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empra-my.sharepoint.com/personal/jnorin_sdge_com/Documents/Desktop/"/>
    </mc:Choice>
  </mc:AlternateContent>
  <xr:revisionPtr revIDLastSave="0" documentId="8_{EE99EC2F-E4C8-42D5-AE70-8EF1FAFAE0F1}" xr6:coauthVersionLast="47" xr6:coauthVersionMax="47" xr10:uidLastSave="{00000000-0000-0000-0000-000000000000}"/>
  <bookViews>
    <workbookView xWindow="-120" yWindow="-120" windowWidth="29040" windowHeight="15720" tabRatio="883" firstSheet="8" xr2:uid="{187FCEDB-5A87-4730-AEC4-C28C449445E2}"/>
  </bookViews>
  <sheets>
    <sheet name="Read Me" sheetId="84" r:id="rId1"/>
    <sheet name="Function Definitions" sheetId="24" r:id="rId2"/>
    <sheet name="0 Validations" sheetId="59" r:id="rId3"/>
    <sheet name="1 Participant Bill Impacts" sheetId="88" r:id="rId4"/>
    <sheet name="2 Rates Rev- IOU Only" sheetId="92" r:id="rId5"/>
    <sheet name="3.1 Funding Category" sheetId="91" r:id="rId6"/>
    <sheet name="3.2 Funding CCA_REN only" sheetId="94" r:id="rId7"/>
    <sheet name="4.1 Program Budget 2028-2031" sheetId="76" r:id="rId8"/>
    <sheet name="4.2 Sector Seg Budget 2032-2035" sheetId="63" r:id="rId9"/>
    <sheet name="4.3 TSB and C&amp;S Targets" sheetId="95" r:id="rId10"/>
    <sheet name="Budget Filing Data" sheetId="70" r:id="rId11"/>
    <sheet name="6 Statewide Programs" sheetId="66" r:id="rId12"/>
    <sheet name="7 PA PY Budget" sheetId="86" r:id="rId13"/>
    <sheet name="8 Cap &amp; Target " sheetId="85" r:id="rId14"/>
    <sheet name="9 Portfolio FTE and Budget" sheetId="25" r:id="rId15"/>
    <sheet name="10 Indicators &amp; Metrics" sheetId="99" r:id="rId16"/>
    <sheet name="SDGE - IOU-3P Budgets 2028-31" sheetId="101" r:id="rId17"/>
    <sheet name="Rates Rev - 2024" sheetId="102" r:id="rId18"/>
    <sheet name="11 Program Card" sheetId="75" r:id="rId19"/>
  </sheets>
  <definedNames>
    <definedName name="__123Graph_A" hidden="1">#REF!</definedName>
    <definedName name="__123Graph_X" hidden="1">#REF!</definedName>
    <definedName name="_AMO_UniqueIdentifier" hidden="1">"'7f26e32b-2cc9-4f43-881e-47427f0e1ea5'"</definedName>
    <definedName name="_Fill" hidden="1">#REF!</definedName>
    <definedName name="_xlnm._FilterDatabase" localSheetId="15" hidden="1">'10 Indicators &amp; Metrics'!$A$10:$AD$354</definedName>
    <definedName name="_xlnm._FilterDatabase" localSheetId="18" hidden="1">'11 Program Card'!$B$8:$AD$52</definedName>
    <definedName name="_xlnm._FilterDatabase" localSheetId="5" hidden="1">'3.1 Funding Category'!$B$9:$H$98</definedName>
    <definedName name="_xlnm._FilterDatabase" localSheetId="7" hidden="1">'4.1 Program Budget 2028-2031'!$C$15:$AH$310</definedName>
    <definedName name="_xlnm._FilterDatabase" localSheetId="8" hidden="1">'4.2 Sector Seg Budget 2032-2035'!$C$12:$Q$108</definedName>
    <definedName name="_xlnm._FilterDatabase" localSheetId="9" hidden="1">'4.3 TSB and C&amp;S Targets'!$C$12:$Q$23</definedName>
    <definedName name="_xlnm._FilterDatabase" localSheetId="11" hidden="1">'6 Statewide Programs'!$10:$11</definedName>
    <definedName name="_xlnm._FilterDatabase" localSheetId="14" hidden="1">'9 Portfolio FTE and Budget'!$B$9:$H$9</definedName>
    <definedName name="_xlnm._FilterDatabase" localSheetId="10" hidden="1">'Budget Filing Data'!$B$9:$BG$301</definedName>
    <definedName name="_xlnm._FilterDatabase" localSheetId="16" hidden="1">'SDGE - IOU-3P Budgets 2028-31'!$C$8:$P$341</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ACTION_FRACTION">#REF!</definedName>
    <definedName name="Cost_Scenario">#REF!</definedName>
    <definedName name="County">#REF!</definedName>
    <definedName name="Countylookup">#REF!</definedName>
    <definedName name="Discount_Rate">#REF!</definedName>
    <definedName name="Elec_EndUse">#REF!</definedName>
    <definedName name="Elec_GWh">#REF!</definedName>
    <definedName name="Elec_GWh_17">#REF!</definedName>
    <definedName name="Elec_GWh_28">#REF!</definedName>
    <definedName name="Elec_GWh_46">#REF!</definedName>
    <definedName name="ELEC_Par_17">#REF!</definedName>
    <definedName name="ELEC_Par_28">#REF!</definedName>
    <definedName name="ELEC_Par_46">#REF!</definedName>
    <definedName name="ELEC_Par_EI_17">#REF!</definedName>
    <definedName name="ELEC_Par_EI_28">#REF!</definedName>
    <definedName name="ELEC_Par_EI_46">#REF!</definedName>
    <definedName name="Electric" localSheetId="11">#REF!</definedName>
    <definedName name="Electric">#REF!</definedName>
    <definedName name="Electric_only" localSheetId="11">#REF!</definedName>
    <definedName name="Electric_only">#REF!</definedName>
    <definedName name="Electricity_Escalation_Rate">#REF!</definedName>
    <definedName name="Gas_EndUse">#REF!</definedName>
    <definedName name="Gas_MMTherm">#REF!</definedName>
    <definedName name="Gas_MMTherm_17">#REF!</definedName>
    <definedName name="Gas_MMTherm_28">#REF!</definedName>
    <definedName name="Gas_MMTherm_46">#REF!</definedName>
    <definedName name="GAS_Par_17">#REF!</definedName>
    <definedName name="GAS_Par_28">#REF!</definedName>
    <definedName name="GAS_Par_46">#REF!</definedName>
    <definedName name="GAS_Par_EI_17">#REF!</definedName>
    <definedName name="GAS_Par_EI_28">#REF!</definedName>
    <definedName name="GAS_Par_EI_46">#REF!</definedName>
    <definedName name="Global_IEPR">#REF!</definedName>
    <definedName name="GraphB" hidden="1">#REF!</definedName>
    <definedName name="Indy_GSP">#REF!</definedName>
    <definedName name="Interest_Rate">#REF!</definedName>
    <definedName name="Leverage">#REF!</definedName>
    <definedName name="Loan_Term">#REF!</definedName>
    <definedName name="Match_Elec_EndUse">#REF!</definedName>
    <definedName name="Match_Elec_GWh">#REF!</definedName>
    <definedName name="Match_Gas_EndUse">#REF!</definedName>
    <definedName name="Match_Gas_MMTherm">#REF!</definedName>
    <definedName name="Match_Indy_GSP">#REF!</definedName>
    <definedName name="MDATable1">#REF!</definedName>
    <definedName name="MDATable2">#REF!</definedName>
    <definedName name="Net_Project_Cost">#REF!</definedName>
    <definedName name="Nominal_Payback_Period">#REF!</definedName>
    <definedName name="NResSavTable">#REF!</definedName>
    <definedName name="P5_">#REF!</definedName>
    <definedName name="PA_NAME" localSheetId="11">#REF!</definedName>
    <definedName name="PA_NAME">#REF!</definedName>
    <definedName name="_xlnm.Print_Area" localSheetId="2">'0 Validations'!$A$1:$AJ$40</definedName>
    <definedName name="_xlnm.Print_Area" localSheetId="3">'1 Participant Bill Impacts'!$A$1:$J$59</definedName>
    <definedName name="_xlnm.Print_Area" localSheetId="15">'10 Indicators &amp; Metrics'!$A$1:$AD$357</definedName>
    <definedName name="_xlnm.Print_Area" localSheetId="18">'11 Program Card'!$A$1:$AD$52</definedName>
    <definedName name="_xlnm.Print_Area" localSheetId="4">'2 Rates Rev- IOU Only'!$A$1:$M$67</definedName>
    <definedName name="_xlnm.Print_Area" localSheetId="5">'3.1 Funding Category'!$A$1:$J$121</definedName>
    <definedName name="_xlnm.Print_Area" localSheetId="6">'3.2 Funding CCA_REN only'!$A$1:$J$25</definedName>
    <definedName name="_xlnm.Print_Area" localSheetId="7">'4.1 Program Budget 2028-2031'!$A$1:$AH$306</definedName>
    <definedName name="_xlnm.Print_Area" localSheetId="8">'4.2 Sector Seg Budget 2032-2035'!$A$1:$Q$116</definedName>
    <definedName name="_xlnm.Print_Area" localSheetId="9">'4.3 TSB and C&amp;S Targets'!$A$1:$P$64</definedName>
    <definedName name="_xlnm.Print_Area" localSheetId="11">'6 Statewide Programs'!$A$2:$AM$61</definedName>
    <definedName name="_xlnm.Print_Area" localSheetId="12">'7 PA PY Budget'!$A$1:$L$71</definedName>
    <definedName name="_xlnm.Print_Area" localSheetId="13">'8 Cap &amp; Target '!$A$1:$L$120</definedName>
    <definedName name="_xlnm.Print_Area" localSheetId="14">'9 Portfolio FTE and Budget'!$A$1:$H$60</definedName>
    <definedName name="_xlnm.Print_Area" localSheetId="10">'Budget Filing Data'!$A$1:$BK$304</definedName>
    <definedName name="_xlnm.Print_Area" localSheetId="1">'Function Definitions'!$A$8:$E$32</definedName>
    <definedName name="_xlnm.Print_Area" localSheetId="17">'Rates Rev - 2024'!$A$1:$AJ$104</definedName>
    <definedName name="_xlnm.Print_Area" localSheetId="0">'Read Me'!$A$1:$C$44</definedName>
    <definedName name="_xlnm.Print_Area" localSheetId="16">'SDGE - IOU-3P Budgets 2028-31'!$A$8:$Z$343</definedName>
    <definedName name="_xlnm.Print_Titles" localSheetId="7">'4.1 Program Budget 2028-2031'!$B:$D,'4.1 Program Budget 2028-2031'!$5:$8</definedName>
    <definedName name="_xlnm.Print_Titles" localSheetId="8">'4.2 Sector Seg Budget 2032-2035'!$B:$E,'4.2 Sector Seg Budget 2032-2035'!$5:$9</definedName>
    <definedName name="_xlnm.Print_Titles" localSheetId="9">'4.3 TSB and C&amp;S Targets'!$B:$E,'4.3 TSB and C&amp;S Targets'!$5:$9</definedName>
    <definedName name="_xlnm.Print_Titles" localSheetId="16">'SDGE - IOU-3P Budgets 2028-31'!$B:$D,'SDGE - IOU-3P Budgets 2028-31'!$4:$6</definedName>
    <definedName name="ResSavTable1">#REF!</definedName>
    <definedName name="ResSavTable2">#REF!</definedName>
    <definedName name="RPT_YEAR" localSheetId="11">#REF!</definedName>
    <definedName name="RPT_YEAR">#REF!</definedName>
    <definedName name="Savings_Degredation_Rate">#REF!</definedName>
    <definedName name="SCGAggEnd" localSheetId="11">#REF!</definedName>
    <definedName name="SCGAggEnd">#REF!</definedName>
    <definedName name="SCGMktSector" localSheetId="11">#REF!</definedName>
    <definedName name="SCGMktSector">#REF!</definedName>
    <definedName name="SCGPgmSum" localSheetId="11">#REF!</definedName>
    <definedName name="SCGPgmSum">#REF!</definedName>
    <definedName name="sdgeAggEnd" localSheetId="11">#REF!</definedName>
    <definedName name="sdgeAggEnd">#REF!</definedName>
    <definedName name="sdgeMktSector" localSheetId="11">#REF!</definedName>
    <definedName name="sdgeMktSector">#REF!</definedName>
    <definedName name="SDGEPgmSum" localSheetId="11">#REF!</definedName>
    <definedName name="SDGEPgmSum">#REF!</definedName>
    <definedName name="SectorTab">#REF!</definedName>
    <definedName name="Therm_Conversion_Rate">#REF!</definedName>
    <definedName name="Therm_Conversion_Rate1">#REF!</definedName>
    <definedName name="Tot_MMBtu_17">#REF!</definedName>
    <definedName name="Tot_MMBtu_28">#REF!</definedName>
    <definedName name="Tot_MMBtu_46">#REF!</definedName>
    <definedName name="Total_Par_17">#REF!</definedName>
    <definedName name="Total_Par_28">#REF!</definedName>
    <definedName name="Total_Par_46">#REF!</definedName>
    <definedName name="Total_Par_EI_17">#REF!</definedName>
    <definedName name="Total_Par_EI_28">#REF!</definedName>
    <definedName name="Total_Par_EI_46">#REF!</definedName>
    <definedName name="UtilizeFinancing">#REF!</definedName>
    <definedName name="wrn.Transport." localSheetId="4" hidden="1">{#N/A,#N/A,FALSE,"9.1A";#N/A,#N/A,FALSE,"9.1B";#N/A,#N/A,FALSE,"9.2A";#N/A,#N/A,FALSE,"9.2B";#N/A,#N/A,FALSE,"9.2C";#N/A,#N/A,FALSE,"9.3A";#N/A,#N/A,FALSE,"9.3B";#N/A,#N/A,FALSE,"9.3C";#N/A,#N/A,FALSE,"9.4";#N/A,#N/A,FALSE,"9.5A";#N/A,#N/A,FALSE,"9.5B"}</definedName>
    <definedName name="wrn.Transport." hidden="1">{#N/A,#N/A,FALSE,"9.1A";#N/A,#N/A,FALSE,"9.1B";#N/A,#N/A,FALSE,"9.2A";#N/A,#N/A,FALSE,"9.2B";#N/A,#N/A,FALSE,"9.2C";#N/A,#N/A,FALSE,"9.3A";#N/A,#N/A,FALSE,"9.3B";#N/A,#N/A,FALSE,"9.3C";#N/A,#N/A,FALSE,"9.4";#N/A,#N/A,FALSE,"9.5A";#N/A,#N/A,FALSE,"9.5B"}</definedName>
    <definedName name="wrn.Waste." localSheetId="4" hidden="1">{#N/A,#N/A,FALSE,"7.1A";#N/A,#N/A,FALSE,"7.1B";#N/A,#N/A,FALSE,"7.2A";#N/A,#N/A,FALSE,"7.2B";#N/A,#N/A,FALSE,"7.2C";#N/A,#N/A,FALSE,"7.3";#N/A,#N/A,FALSE,"7.4A";#N/A,#N/A,FALSE,"7.4B";#N/A,#N/A,FALSE,"7.5";#N/A,#N/A,FALSE,"7.6"}</definedName>
    <definedName name="wrn.Waste."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8" i="75" l="1"/>
  <c r="S46" i="75"/>
  <c r="S45" i="75"/>
  <c r="S44" i="75"/>
  <c r="S43" i="75"/>
  <c r="S42" i="75"/>
  <c r="S41" i="75"/>
  <c r="S40" i="75"/>
  <c r="S39" i="75"/>
  <c r="S38" i="75"/>
  <c r="S37" i="75"/>
  <c r="S36" i="75"/>
  <c r="S31" i="75"/>
  <c r="S30" i="75"/>
  <c r="S29" i="75"/>
  <c r="S28" i="75"/>
  <c r="S26" i="75"/>
  <c r="S25" i="75"/>
  <c r="S24" i="75"/>
  <c r="S23" i="75"/>
  <c r="S22" i="75"/>
  <c r="S20" i="75"/>
  <c r="S19" i="75"/>
  <c r="S18" i="75"/>
  <c r="S17" i="75"/>
  <c r="S16" i="75"/>
  <c r="S15" i="75"/>
  <c r="S14" i="75"/>
  <c r="S13" i="75"/>
  <c r="D18" i="88" l="1"/>
  <c r="O29" i="101" l="1"/>
  <c r="AF102" i="102" l="1"/>
  <c r="X102" i="102"/>
  <c r="AC102" i="102" s="1"/>
  <c r="W102" i="102"/>
  <c r="AB102" i="102" s="1"/>
  <c r="V102" i="102"/>
  <c r="AE102" i="102" s="1"/>
  <c r="U102" i="102"/>
  <c r="AD102" i="102" s="1"/>
  <c r="AF101" i="102"/>
  <c r="X101" i="102"/>
  <c r="AC101" i="102" s="1"/>
  <c r="W101" i="102"/>
  <c r="AB101" i="102" s="1"/>
  <c r="V101" i="102"/>
  <c r="AE101" i="102" s="1"/>
  <c r="U101" i="102"/>
  <c r="AD101" i="102" s="1"/>
  <c r="AF100" i="102"/>
  <c r="X100" i="102"/>
  <c r="AC100" i="102" s="1"/>
  <c r="W100" i="102"/>
  <c r="AB100" i="102" s="1"/>
  <c r="V100" i="102"/>
  <c r="AE100" i="102" s="1"/>
  <c r="U100" i="102"/>
  <c r="AD100" i="102" s="1"/>
  <c r="AF99" i="102"/>
  <c r="X99" i="102"/>
  <c r="AC99" i="102" s="1"/>
  <c r="W99" i="102"/>
  <c r="AB99" i="102" s="1"/>
  <c r="V99" i="102"/>
  <c r="AE99" i="102" s="1"/>
  <c r="U99" i="102"/>
  <c r="AD99" i="102" s="1"/>
  <c r="AF98" i="102"/>
  <c r="X98" i="102"/>
  <c r="W98" i="102"/>
  <c r="AB98" i="102" s="1"/>
  <c r="V98" i="102"/>
  <c r="AE98" i="102" s="1"/>
  <c r="U98" i="102"/>
  <c r="AD98" i="102" s="1"/>
  <c r="AF97" i="102"/>
  <c r="X97" i="102"/>
  <c r="AC97" i="102" s="1"/>
  <c r="W97" i="102"/>
  <c r="AB97" i="102" s="1"/>
  <c r="V97" i="102"/>
  <c r="AE97" i="102" s="1"/>
  <c r="U97" i="102"/>
  <c r="AD97" i="102" s="1"/>
  <c r="AF96" i="102"/>
  <c r="X96" i="102"/>
  <c r="AC96" i="102" s="1"/>
  <c r="W96" i="102"/>
  <c r="AB96" i="102" s="1"/>
  <c r="V96" i="102"/>
  <c r="AE96" i="102" s="1"/>
  <c r="U96" i="102"/>
  <c r="AD96" i="102" s="1"/>
  <c r="AF95" i="102"/>
  <c r="X95" i="102"/>
  <c r="AC95" i="102" s="1"/>
  <c r="W95" i="102"/>
  <c r="AB95" i="102" s="1"/>
  <c r="V95" i="102"/>
  <c r="U95" i="102"/>
  <c r="AD95" i="102" s="1"/>
  <c r="AF94" i="102"/>
  <c r="X94" i="102"/>
  <c r="AC94" i="102" s="1"/>
  <c r="W94" i="102"/>
  <c r="AB94" i="102" s="1"/>
  <c r="V94" i="102"/>
  <c r="AE94" i="102" s="1"/>
  <c r="U94" i="102"/>
  <c r="AD94" i="102" s="1"/>
  <c r="AF93" i="102"/>
  <c r="X93" i="102"/>
  <c r="AC93" i="102" s="1"/>
  <c r="W93" i="102"/>
  <c r="AB93" i="102" s="1"/>
  <c r="V93" i="102"/>
  <c r="AE93" i="102" s="1"/>
  <c r="U93" i="102"/>
  <c r="AD93" i="102" s="1"/>
  <c r="AF92" i="102"/>
  <c r="X92" i="102"/>
  <c r="AC92" i="102" s="1"/>
  <c r="W92" i="102"/>
  <c r="AB92" i="102" s="1"/>
  <c r="V92" i="102"/>
  <c r="AE92" i="102" s="1"/>
  <c r="U92" i="102"/>
  <c r="AD92" i="102" s="1"/>
  <c r="AF91" i="102"/>
  <c r="X91" i="102"/>
  <c r="AC91" i="102" s="1"/>
  <c r="W91" i="102"/>
  <c r="AB91" i="102" s="1"/>
  <c r="V91" i="102"/>
  <c r="AE91" i="102" s="1"/>
  <c r="U91" i="102"/>
  <c r="AD91" i="102" s="1"/>
  <c r="AF90" i="102"/>
  <c r="X90" i="102"/>
  <c r="W90" i="102"/>
  <c r="AB90" i="102" s="1"/>
  <c r="V90" i="102"/>
  <c r="AE90" i="102" s="1"/>
  <c r="U90" i="102"/>
  <c r="AD90" i="102" s="1"/>
  <c r="AF89" i="102"/>
  <c r="X89" i="102"/>
  <c r="AC89" i="102" s="1"/>
  <c r="W89" i="102"/>
  <c r="AB89" i="102" s="1"/>
  <c r="V89" i="102"/>
  <c r="AE89" i="102" s="1"/>
  <c r="U89" i="102"/>
  <c r="AD89" i="102" s="1"/>
  <c r="AF88" i="102"/>
  <c r="X88" i="102"/>
  <c r="AC88" i="102" s="1"/>
  <c r="W88" i="102"/>
  <c r="AB88" i="102" s="1"/>
  <c r="V88" i="102"/>
  <c r="AE88" i="102" s="1"/>
  <c r="U88" i="102"/>
  <c r="AD88" i="102" s="1"/>
  <c r="AF87" i="102"/>
  <c r="X87" i="102"/>
  <c r="AC87" i="102" s="1"/>
  <c r="W87" i="102"/>
  <c r="AB87" i="102" s="1"/>
  <c r="V87" i="102"/>
  <c r="U87" i="102"/>
  <c r="AD87" i="102" s="1"/>
  <c r="AF86" i="102"/>
  <c r="X86" i="102"/>
  <c r="AC86" i="102" s="1"/>
  <c r="W86" i="102"/>
  <c r="AB86" i="102" s="1"/>
  <c r="V86" i="102"/>
  <c r="AE86" i="102" s="1"/>
  <c r="U86" i="102"/>
  <c r="AD86" i="102" s="1"/>
  <c r="AF85" i="102"/>
  <c r="X85" i="102"/>
  <c r="AC85" i="102" s="1"/>
  <c r="W85" i="102"/>
  <c r="AB85" i="102" s="1"/>
  <c r="V85" i="102"/>
  <c r="AE85" i="102" s="1"/>
  <c r="U85" i="102"/>
  <c r="AD85" i="102" s="1"/>
  <c r="AF84" i="102"/>
  <c r="X84" i="102"/>
  <c r="AC84" i="102" s="1"/>
  <c r="W84" i="102"/>
  <c r="AB84" i="102" s="1"/>
  <c r="V84" i="102"/>
  <c r="AE84" i="102" s="1"/>
  <c r="U84" i="102"/>
  <c r="AD84" i="102" s="1"/>
  <c r="AF83" i="102"/>
  <c r="X83" i="102"/>
  <c r="AC83" i="102" s="1"/>
  <c r="W83" i="102"/>
  <c r="AB83" i="102" s="1"/>
  <c r="V83" i="102"/>
  <c r="U83" i="102"/>
  <c r="AD83" i="102" s="1"/>
  <c r="AF82" i="102"/>
  <c r="X82" i="102"/>
  <c r="W82" i="102"/>
  <c r="AB82" i="102" s="1"/>
  <c r="V82" i="102"/>
  <c r="AE82" i="102" s="1"/>
  <c r="U82" i="102"/>
  <c r="AD82" i="102" s="1"/>
  <c r="AF81" i="102"/>
  <c r="X81" i="102"/>
  <c r="AC81" i="102" s="1"/>
  <c r="W81" i="102"/>
  <c r="AB81" i="102" s="1"/>
  <c r="V81" i="102"/>
  <c r="AE81" i="102" s="1"/>
  <c r="U81" i="102"/>
  <c r="AD81" i="102" s="1"/>
  <c r="AF80" i="102"/>
  <c r="X80" i="102"/>
  <c r="AC80" i="102" s="1"/>
  <c r="W80" i="102"/>
  <c r="AB80" i="102" s="1"/>
  <c r="V80" i="102"/>
  <c r="AE80" i="102" s="1"/>
  <c r="U80" i="102"/>
  <c r="AD80" i="102" s="1"/>
  <c r="AF79" i="102"/>
  <c r="X79" i="102"/>
  <c r="AC79" i="102" s="1"/>
  <c r="W79" i="102"/>
  <c r="AB79" i="102" s="1"/>
  <c r="V79" i="102"/>
  <c r="U79" i="102"/>
  <c r="AD79" i="102" s="1"/>
  <c r="AF78" i="102"/>
  <c r="X78" i="102"/>
  <c r="AC78" i="102" s="1"/>
  <c r="W78" i="102"/>
  <c r="AB78" i="102" s="1"/>
  <c r="V78" i="102"/>
  <c r="AE78" i="102" s="1"/>
  <c r="U78" i="102"/>
  <c r="AD78" i="102" s="1"/>
  <c r="AF77" i="102"/>
  <c r="X77" i="102"/>
  <c r="AC77" i="102" s="1"/>
  <c r="W77" i="102"/>
  <c r="AB77" i="102" s="1"/>
  <c r="V77" i="102"/>
  <c r="AE77" i="102" s="1"/>
  <c r="U77" i="102"/>
  <c r="AF76" i="102"/>
  <c r="X76" i="102"/>
  <c r="AC76" i="102" s="1"/>
  <c r="W76" i="102"/>
  <c r="AB76" i="102" s="1"/>
  <c r="V76" i="102"/>
  <c r="AE76" i="102" s="1"/>
  <c r="U76" i="102"/>
  <c r="AD76" i="102" s="1"/>
  <c r="AF75" i="102"/>
  <c r="X75" i="102"/>
  <c r="AC75" i="102" s="1"/>
  <c r="W75" i="102"/>
  <c r="AB75" i="102" s="1"/>
  <c r="V75" i="102"/>
  <c r="U75" i="102"/>
  <c r="AD75" i="102" s="1"/>
  <c r="AF74" i="102"/>
  <c r="X74" i="102"/>
  <c r="W74" i="102"/>
  <c r="AB74" i="102" s="1"/>
  <c r="V74" i="102"/>
  <c r="AE74" i="102" s="1"/>
  <c r="U74" i="102"/>
  <c r="AD74" i="102" s="1"/>
  <c r="AF73" i="102"/>
  <c r="X73" i="102"/>
  <c r="AC73" i="102" s="1"/>
  <c r="W73" i="102"/>
  <c r="AB73" i="102" s="1"/>
  <c r="V73" i="102"/>
  <c r="AE73" i="102" s="1"/>
  <c r="U73" i="102"/>
  <c r="AD73" i="102" s="1"/>
  <c r="AF72" i="102"/>
  <c r="X72" i="102"/>
  <c r="AC72" i="102" s="1"/>
  <c r="W72" i="102"/>
  <c r="AB72" i="102" s="1"/>
  <c r="V72" i="102"/>
  <c r="AE72" i="102" s="1"/>
  <c r="U72" i="102"/>
  <c r="AD72" i="102" s="1"/>
  <c r="AF71" i="102"/>
  <c r="X71" i="102"/>
  <c r="AC71" i="102" s="1"/>
  <c r="W71" i="102"/>
  <c r="AB71" i="102" s="1"/>
  <c r="V71" i="102"/>
  <c r="AE71" i="102" s="1"/>
  <c r="U71" i="102"/>
  <c r="AD71" i="102" s="1"/>
  <c r="AF70" i="102"/>
  <c r="X70" i="102"/>
  <c r="AC70" i="102" s="1"/>
  <c r="W70" i="102"/>
  <c r="AB70" i="102" s="1"/>
  <c r="V70" i="102"/>
  <c r="AE70" i="102" s="1"/>
  <c r="U70" i="102"/>
  <c r="AD70" i="102" s="1"/>
  <c r="AF69" i="102"/>
  <c r="X69" i="102"/>
  <c r="AC69" i="102" s="1"/>
  <c r="W69" i="102"/>
  <c r="AB69" i="102" s="1"/>
  <c r="V69" i="102"/>
  <c r="AE69" i="102" s="1"/>
  <c r="U69" i="102"/>
  <c r="AD69" i="102" s="1"/>
  <c r="AF68" i="102"/>
  <c r="X68" i="102"/>
  <c r="AC68" i="102" s="1"/>
  <c r="W68" i="102"/>
  <c r="AB68" i="102" s="1"/>
  <c r="V68" i="102"/>
  <c r="AE68" i="102" s="1"/>
  <c r="U68" i="102"/>
  <c r="AD68" i="102" s="1"/>
  <c r="AF67" i="102"/>
  <c r="X67" i="102"/>
  <c r="AC67" i="102" s="1"/>
  <c r="W67" i="102"/>
  <c r="AB67" i="102" s="1"/>
  <c r="V67" i="102"/>
  <c r="AE67" i="102" s="1"/>
  <c r="U67" i="102"/>
  <c r="AD67" i="102" s="1"/>
  <c r="AF66" i="102"/>
  <c r="X66" i="102"/>
  <c r="W66" i="102"/>
  <c r="AB66" i="102" s="1"/>
  <c r="V66" i="102"/>
  <c r="AE66" i="102" s="1"/>
  <c r="U66" i="102"/>
  <c r="AF65" i="102"/>
  <c r="X65" i="102"/>
  <c r="AC65" i="102" s="1"/>
  <c r="W65" i="102"/>
  <c r="AB65" i="102" s="1"/>
  <c r="V65" i="102"/>
  <c r="AE65" i="102" s="1"/>
  <c r="U65" i="102"/>
  <c r="AD65" i="102" s="1"/>
  <c r="AF64" i="102"/>
  <c r="X64" i="102"/>
  <c r="AC64" i="102" s="1"/>
  <c r="W64" i="102"/>
  <c r="AB64" i="102" s="1"/>
  <c r="V64" i="102"/>
  <c r="AE64" i="102" s="1"/>
  <c r="U64" i="102"/>
  <c r="AD64" i="102" s="1"/>
  <c r="AF63" i="102"/>
  <c r="X63" i="102"/>
  <c r="AC63" i="102" s="1"/>
  <c r="W63" i="102"/>
  <c r="AB63" i="102" s="1"/>
  <c r="V63" i="102"/>
  <c r="AE63" i="102" s="1"/>
  <c r="U63" i="102"/>
  <c r="AD63" i="102" s="1"/>
  <c r="AF62" i="102"/>
  <c r="X62" i="102"/>
  <c r="AC62" i="102" s="1"/>
  <c r="W62" i="102"/>
  <c r="AB62" i="102" s="1"/>
  <c r="V62" i="102"/>
  <c r="AE62" i="102" s="1"/>
  <c r="U62" i="102"/>
  <c r="AD62" i="102" s="1"/>
  <c r="AF61" i="102"/>
  <c r="X61" i="102"/>
  <c r="AC61" i="102" s="1"/>
  <c r="W61" i="102"/>
  <c r="AB61" i="102" s="1"/>
  <c r="V61" i="102"/>
  <c r="AE61" i="102" s="1"/>
  <c r="U61" i="102"/>
  <c r="AD61" i="102" s="1"/>
  <c r="AF60" i="102"/>
  <c r="X60" i="102"/>
  <c r="AC60" i="102" s="1"/>
  <c r="W60" i="102"/>
  <c r="AB60" i="102" s="1"/>
  <c r="V60" i="102"/>
  <c r="AE60" i="102" s="1"/>
  <c r="U60" i="102"/>
  <c r="AD60" i="102" s="1"/>
  <c r="AF59" i="102"/>
  <c r="X59" i="102"/>
  <c r="AC59" i="102" s="1"/>
  <c r="W59" i="102"/>
  <c r="AB59" i="102" s="1"/>
  <c r="V59" i="102"/>
  <c r="AE59" i="102" s="1"/>
  <c r="U59" i="102"/>
  <c r="AD59" i="102" s="1"/>
  <c r="AF58" i="102"/>
  <c r="X58" i="102"/>
  <c r="W58" i="102"/>
  <c r="AB58" i="102" s="1"/>
  <c r="V58" i="102"/>
  <c r="AE58" i="102" s="1"/>
  <c r="U58" i="102"/>
  <c r="AD58" i="102" s="1"/>
  <c r="AF57" i="102"/>
  <c r="X57" i="102"/>
  <c r="AC57" i="102" s="1"/>
  <c r="W57" i="102"/>
  <c r="AB57" i="102" s="1"/>
  <c r="V57" i="102"/>
  <c r="AE57" i="102" s="1"/>
  <c r="U57" i="102"/>
  <c r="AD57" i="102" s="1"/>
  <c r="AF56" i="102"/>
  <c r="X56" i="102"/>
  <c r="AC56" i="102" s="1"/>
  <c r="W56" i="102"/>
  <c r="AB56" i="102" s="1"/>
  <c r="V56" i="102"/>
  <c r="AE56" i="102" s="1"/>
  <c r="U56" i="102"/>
  <c r="AD56" i="102" s="1"/>
  <c r="AF55" i="102"/>
  <c r="X55" i="102"/>
  <c r="AC55" i="102" s="1"/>
  <c r="W55" i="102"/>
  <c r="AB55" i="102" s="1"/>
  <c r="V55" i="102"/>
  <c r="AE55" i="102" s="1"/>
  <c r="U55" i="102"/>
  <c r="AD55" i="102" s="1"/>
  <c r="AF54" i="102"/>
  <c r="X54" i="102"/>
  <c r="AC54" i="102" s="1"/>
  <c r="W54" i="102"/>
  <c r="AB54" i="102" s="1"/>
  <c r="V54" i="102"/>
  <c r="AE54" i="102" s="1"/>
  <c r="U54" i="102"/>
  <c r="AD54" i="102" s="1"/>
  <c r="AF53" i="102"/>
  <c r="X53" i="102"/>
  <c r="AC53" i="102" s="1"/>
  <c r="W53" i="102"/>
  <c r="AB53" i="102" s="1"/>
  <c r="V53" i="102"/>
  <c r="AE53" i="102" s="1"/>
  <c r="U53" i="102"/>
  <c r="AF52" i="102"/>
  <c r="X52" i="102"/>
  <c r="AC52" i="102" s="1"/>
  <c r="W52" i="102"/>
  <c r="AB52" i="102" s="1"/>
  <c r="V52" i="102"/>
  <c r="AE52" i="102" s="1"/>
  <c r="U52" i="102"/>
  <c r="AD52" i="102" s="1"/>
  <c r="AF51" i="102"/>
  <c r="X51" i="102"/>
  <c r="AC51" i="102" s="1"/>
  <c r="W51" i="102"/>
  <c r="AB51" i="102" s="1"/>
  <c r="V51" i="102"/>
  <c r="U51" i="102"/>
  <c r="AD51" i="102" s="1"/>
  <c r="AF50" i="102"/>
  <c r="X50" i="102"/>
  <c r="W50" i="102"/>
  <c r="AB50" i="102" s="1"/>
  <c r="V50" i="102"/>
  <c r="AE50" i="102" s="1"/>
  <c r="U50" i="102"/>
  <c r="AD50" i="102" s="1"/>
  <c r="AF49" i="102"/>
  <c r="X49" i="102"/>
  <c r="AC49" i="102" s="1"/>
  <c r="W49" i="102"/>
  <c r="AB49" i="102" s="1"/>
  <c r="V49" i="102"/>
  <c r="AE49" i="102" s="1"/>
  <c r="U49" i="102"/>
  <c r="AD49" i="102" s="1"/>
  <c r="AF48" i="102"/>
  <c r="X48" i="102"/>
  <c r="AC48" i="102" s="1"/>
  <c r="W48" i="102"/>
  <c r="AB48" i="102" s="1"/>
  <c r="V48" i="102"/>
  <c r="AE48" i="102" s="1"/>
  <c r="U48" i="102"/>
  <c r="AD48" i="102" s="1"/>
  <c r="AF47" i="102"/>
  <c r="X47" i="102"/>
  <c r="AC47" i="102" s="1"/>
  <c r="W47" i="102"/>
  <c r="AB47" i="102" s="1"/>
  <c r="V47" i="102"/>
  <c r="AE47" i="102" s="1"/>
  <c r="U47" i="102"/>
  <c r="AD47" i="102" s="1"/>
  <c r="AF46" i="102"/>
  <c r="X46" i="102"/>
  <c r="AC46" i="102" s="1"/>
  <c r="W46" i="102"/>
  <c r="AB46" i="102" s="1"/>
  <c r="V46" i="102"/>
  <c r="AE46" i="102" s="1"/>
  <c r="U46" i="102"/>
  <c r="AD46" i="102" s="1"/>
  <c r="AF45" i="102"/>
  <c r="X45" i="102"/>
  <c r="AC45" i="102" s="1"/>
  <c r="W45" i="102"/>
  <c r="AB45" i="102" s="1"/>
  <c r="V45" i="102"/>
  <c r="AE45" i="102" s="1"/>
  <c r="U45" i="102"/>
  <c r="AD45" i="102" s="1"/>
  <c r="AF44" i="102"/>
  <c r="X44" i="102"/>
  <c r="AC44" i="102" s="1"/>
  <c r="W44" i="102"/>
  <c r="AB44" i="102" s="1"/>
  <c r="V44" i="102"/>
  <c r="AE44" i="102" s="1"/>
  <c r="U44" i="102"/>
  <c r="AD44" i="102" s="1"/>
  <c r="AF43" i="102"/>
  <c r="X43" i="102"/>
  <c r="AC43" i="102" s="1"/>
  <c r="W43" i="102"/>
  <c r="AB43" i="102" s="1"/>
  <c r="V43" i="102"/>
  <c r="U43" i="102"/>
  <c r="AD43" i="102" s="1"/>
  <c r="AF42" i="102"/>
  <c r="X42" i="102"/>
  <c r="AC42" i="102" s="1"/>
  <c r="W42" i="102"/>
  <c r="AB42" i="102" s="1"/>
  <c r="V42" i="102"/>
  <c r="U42" i="102"/>
  <c r="AD42" i="102" s="1"/>
  <c r="AF41" i="102"/>
  <c r="X41" i="102"/>
  <c r="AC41" i="102" s="1"/>
  <c r="W41" i="102"/>
  <c r="AB41" i="102" s="1"/>
  <c r="V41" i="102"/>
  <c r="AE41" i="102" s="1"/>
  <c r="U41" i="102"/>
  <c r="AD41" i="102" s="1"/>
  <c r="AF40" i="102"/>
  <c r="X40" i="102"/>
  <c r="AC40" i="102" s="1"/>
  <c r="W40" i="102"/>
  <c r="V40" i="102"/>
  <c r="AE40" i="102" s="1"/>
  <c r="U40" i="102"/>
  <c r="AD40" i="102" s="1"/>
  <c r="AF39" i="102"/>
  <c r="X39" i="102"/>
  <c r="AC39" i="102" s="1"/>
  <c r="W39" i="102"/>
  <c r="AB39" i="102" s="1"/>
  <c r="V39" i="102"/>
  <c r="AE39" i="102" s="1"/>
  <c r="U39" i="102"/>
  <c r="AD39" i="102" s="1"/>
  <c r="AF38" i="102"/>
  <c r="X38" i="102"/>
  <c r="W38" i="102"/>
  <c r="AB38" i="102" s="1"/>
  <c r="V38" i="102"/>
  <c r="AE38" i="102" s="1"/>
  <c r="U38" i="102"/>
  <c r="AD38" i="102" s="1"/>
  <c r="AF37" i="102"/>
  <c r="X37" i="102"/>
  <c r="AC37" i="102" s="1"/>
  <c r="W37" i="102"/>
  <c r="AB37" i="102" s="1"/>
  <c r="V37" i="102"/>
  <c r="AE37" i="102" s="1"/>
  <c r="U37" i="102"/>
  <c r="AF36" i="102"/>
  <c r="X36" i="102"/>
  <c r="AC36" i="102" s="1"/>
  <c r="W36" i="102"/>
  <c r="AB36" i="102" s="1"/>
  <c r="V36" i="102"/>
  <c r="AE36" i="102" s="1"/>
  <c r="U36" i="102"/>
  <c r="AD36" i="102" s="1"/>
  <c r="AF35" i="102"/>
  <c r="X35" i="102"/>
  <c r="AC35" i="102" s="1"/>
  <c r="W35" i="102"/>
  <c r="AB35" i="102" s="1"/>
  <c r="V35" i="102"/>
  <c r="AE35" i="102" s="1"/>
  <c r="U35" i="102"/>
  <c r="AD35" i="102" s="1"/>
  <c r="AF34" i="102"/>
  <c r="X34" i="102"/>
  <c r="AC34" i="102" s="1"/>
  <c r="W34" i="102"/>
  <c r="AB34" i="102" s="1"/>
  <c r="V34" i="102"/>
  <c r="AE34" i="102" s="1"/>
  <c r="U34" i="102"/>
  <c r="AD34" i="102" s="1"/>
  <c r="AF33" i="102"/>
  <c r="X33" i="102"/>
  <c r="AC33" i="102" s="1"/>
  <c r="W33" i="102"/>
  <c r="AB33" i="102" s="1"/>
  <c r="V33" i="102"/>
  <c r="AE33" i="102" s="1"/>
  <c r="U33" i="102"/>
  <c r="AD33" i="102" s="1"/>
  <c r="AF32" i="102"/>
  <c r="X32" i="102"/>
  <c r="AC32" i="102" s="1"/>
  <c r="W32" i="102"/>
  <c r="AB32" i="102" s="1"/>
  <c r="V32" i="102"/>
  <c r="AE32" i="102" s="1"/>
  <c r="U32" i="102"/>
  <c r="AD32" i="102" s="1"/>
  <c r="AF31" i="102"/>
  <c r="X31" i="102"/>
  <c r="AC31" i="102" s="1"/>
  <c r="W31" i="102"/>
  <c r="AB31" i="102" s="1"/>
  <c r="V31" i="102"/>
  <c r="AE31" i="102" s="1"/>
  <c r="U31" i="102"/>
  <c r="AD31" i="102" s="1"/>
  <c r="AF30" i="102"/>
  <c r="X30" i="102"/>
  <c r="AC30" i="102" s="1"/>
  <c r="W30" i="102"/>
  <c r="AB30" i="102" s="1"/>
  <c r="V30" i="102"/>
  <c r="AE30" i="102" s="1"/>
  <c r="U30" i="102"/>
  <c r="AD30" i="102" s="1"/>
  <c r="AF29" i="102"/>
  <c r="X29" i="102"/>
  <c r="AC29" i="102" s="1"/>
  <c r="W29" i="102"/>
  <c r="AB29" i="102" s="1"/>
  <c r="V29" i="102"/>
  <c r="AE29" i="102" s="1"/>
  <c r="U29" i="102"/>
  <c r="AD29" i="102" s="1"/>
  <c r="AF28" i="102"/>
  <c r="X28" i="102"/>
  <c r="AC28" i="102" s="1"/>
  <c r="W28" i="102"/>
  <c r="AB28" i="102" s="1"/>
  <c r="V28" i="102"/>
  <c r="AE28" i="102" s="1"/>
  <c r="U28" i="102"/>
  <c r="AD28" i="102" s="1"/>
  <c r="AF27" i="102"/>
  <c r="X27" i="102"/>
  <c r="AC27" i="102" s="1"/>
  <c r="W27" i="102"/>
  <c r="AB27" i="102" s="1"/>
  <c r="V27" i="102"/>
  <c r="AE27" i="102" s="1"/>
  <c r="U27" i="102"/>
  <c r="AD27" i="102" s="1"/>
  <c r="AF26" i="102"/>
  <c r="X26" i="102"/>
  <c r="AC26" i="102" s="1"/>
  <c r="W26" i="102"/>
  <c r="AB26" i="102" s="1"/>
  <c r="V26" i="102"/>
  <c r="AE26" i="102" s="1"/>
  <c r="U26" i="102"/>
  <c r="AD26" i="102" s="1"/>
  <c r="AF25" i="102"/>
  <c r="X25" i="102"/>
  <c r="AC25" i="102" s="1"/>
  <c r="W25" i="102"/>
  <c r="AB25" i="102" s="1"/>
  <c r="V25" i="102"/>
  <c r="AE25" i="102" s="1"/>
  <c r="U25" i="102"/>
  <c r="AD25" i="102" s="1"/>
  <c r="AF24" i="102"/>
  <c r="X24" i="102"/>
  <c r="AC24" i="102" s="1"/>
  <c r="W24" i="102"/>
  <c r="AB24" i="102" s="1"/>
  <c r="V24" i="102"/>
  <c r="AE24" i="102" s="1"/>
  <c r="U24" i="102"/>
  <c r="AD24" i="102" s="1"/>
  <c r="AF23" i="102"/>
  <c r="X23" i="102"/>
  <c r="AC23" i="102" s="1"/>
  <c r="W23" i="102"/>
  <c r="AB23" i="102" s="1"/>
  <c r="V23" i="102"/>
  <c r="AE23" i="102" s="1"/>
  <c r="U23" i="102"/>
  <c r="AD23" i="102" s="1"/>
  <c r="AF22" i="102"/>
  <c r="X22" i="102"/>
  <c r="AC22" i="102" s="1"/>
  <c r="W22" i="102"/>
  <c r="AB22" i="102" s="1"/>
  <c r="V22" i="102"/>
  <c r="AE22" i="102" s="1"/>
  <c r="U22" i="102"/>
  <c r="AD22" i="102" s="1"/>
  <c r="AF21" i="102"/>
  <c r="X21" i="102"/>
  <c r="AC21" i="102" s="1"/>
  <c r="W21" i="102"/>
  <c r="AB21" i="102" s="1"/>
  <c r="V21" i="102"/>
  <c r="AE21" i="102" s="1"/>
  <c r="U21" i="102"/>
  <c r="AD21" i="102" s="1"/>
  <c r="AF20" i="102"/>
  <c r="X20" i="102"/>
  <c r="AC20" i="102" s="1"/>
  <c r="W20" i="102"/>
  <c r="AB20" i="102" s="1"/>
  <c r="V20" i="102"/>
  <c r="AE20" i="102" s="1"/>
  <c r="U20" i="102"/>
  <c r="AD20" i="102" s="1"/>
  <c r="AF19" i="102"/>
  <c r="X19" i="102"/>
  <c r="AC19" i="102" s="1"/>
  <c r="W19" i="102"/>
  <c r="AB19" i="102" s="1"/>
  <c r="V19" i="102"/>
  <c r="AE19" i="102" s="1"/>
  <c r="U19" i="102"/>
  <c r="AD19" i="102" s="1"/>
  <c r="AF18" i="102"/>
  <c r="X18" i="102"/>
  <c r="AC18" i="102" s="1"/>
  <c r="W18" i="102"/>
  <c r="AB18" i="102" s="1"/>
  <c r="V18" i="102"/>
  <c r="AE18" i="102" s="1"/>
  <c r="U18" i="102"/>
  <c r="AD18" i="102" s="1"/>
  <c r="AF17" i="102"/>
  <c r="X17" i="102"/>
  <c r="AC17" i="102" s="1"/>
  <c r="W17" i="102"/>
  <c r="AB17" i="102" s="1"/>
  <c r="V17" i="102"/>
  <c r="AE17" i="102" s="1"/>
  <c r="U17" i="102"/>
  <c r="AD17" i="102" s="1"/>
  <c r="AF16" i="102"/>
  <c r="X16" i="102"/>
  <c r="AC16" i="102" s="1"/>
  <c r="W16" i="102"/>
  <c r="AB16" i="102" s="1"/>
  <c r="V16" i="102"/>
  <c r="AE16" i="102" s="1"/>
  <c r="U16" i="102"/>
  <c r="AD16" i="102" s="1"/>
  <c r="AF15" i="102"/>
  <c r="X15" i="102"/>
  <c r="AC15" i="102" s="1"/>
  <c r="W15" i="102"/>
  <c r="AB15" i="102" s="1"/>
  <c r="V15" i="102"/>
  <c r="U15" i="102"/>
  <c r="AD15" i="102" s="1"/>
  <c r="AF14" i="102"/>
  <c r="X14" i="102"/>
  <c r="AC14" i="102" s="1"/>
  <c r="W14" i="102"/>
  <c r="AB14" i="102" s="1"/>
  <c r="V14" i="102"/>
  <c r="AE14" i="102" s="1"/>
  <c r="U14" i="102"/>
  <c r="AD14" i="102" s="1"/>
  <c r="AF13" i="102"/>
  <c r="X13" i="102"/>
  <c r="AC13" i="102" s="1"/>
  <c r="W13" i="102"/>
  <c r="AB13" i="102" s="1"/>
  <c r="V13" i="102"/>
  <c r="AE13" i="102" s="1"/>
  <c r="U13" i="102"/>
  <c r="AD13" i="102" s="1"/>
  <c r="AF12" i="102"/>
  <c r="X12" i="102"/>
  <c r="AC12" i="102" s="1"/>
  <c r="W12" i="102"/>
  <c r="AB12" i="102" s="1"/>
  <c r="V12" i="102"/>
  <c r="AE12" i="102" s="1"/>
  <c r="U12" i="102"/>
  <c r="AD12" i="102" s="1"/>
  <c r="AF11" i="102"/>
  <c r="X11" i="102"/>
  <c r="AC11" i="102" s="1"/>
  <c r="W11" i="102"/>
  <c r="AB11" i="102" s="1"/>
  <c r="V11" i="102"/>
  <c r="AE11" i="102" s="1"/>
  <c r="U11" i="102"/>
  <c r="AD11" i="102" s="1"/>
  <c r="AF10" i="102"/>
  <c r="X10" i="102"/>
  <c r="AC10" i="102" s="1"/>
  <c r="W10" i="102"/>
  <c r="AB10" i="102" s="1"/>
  <c r="V10" i="102"/>
  <c r="AE10" i="102" s="1"/>
  <c r="U10" i="102"/>
  <c r="AD10" i="102" s="1"/>
  <c r="AF9" i="102"/>
  <c r="X9" i="102"/>
  <c r="AC9" i="102" s="1"/>
  <c r="W9" i="102"/>
  <c r="AB9" i="102" s="1"/>
  <c r="V9" i="102"/>
  <c r="AE9" i="102" s="1"/>
  <c r="U9" i="102"/>
  <c r="AD9" i="102" s="1"/>
  <c r="AF8" i="102"/>
  <c r="X8" i="102"/>
  <c r="AC8" i="102" s="1"/>
  <c r="W8" i="102"/>
  <c r="AB8" i="102" s="1"/>
  <c r="V8" i="102"/>
  <c r="AE8" i="102" s="1"/>
  <c r="U8" i="102"/>
  <c r="AD8" i="102" s="1"/>
  <c r="AG63" i="102" l="1"/>
  <c r="AH13" i="102"/>
  <c r="AG21" i="102"/>
  <c r="AH10" i="102"/>
  <c r="AJ10" i="102"/>
  <c r="AH51" i="102"/>
  <c r="AG11" i="102"/>
  <c r="AG13" i="102"/>
  <c r="AJ40" i="102"/>
  <c r="AI89" i="102"/>
  <c r="AI31" i="102"/>
  <c r="Z70" i="102"/>
  <c r="AI90" i="102"/>
  <c r="AI44" i="102"/>
  <c r="AI63" i="102"/>
  <c r="AJ90" i="102"/>
  <c r="AI12" i="102"/>
  <c r="Z48" i="102"/>
  <c r="AI68" i="102"/>
  <c r="AG74" i="102"/>
  <c r="AG79" i="102"/>
  <c r="AG95" i="102"/>
  <c r="AJ69" i="102"/>
  <c r="AJ91" i="102"/>
  <c r="AG61" i="102"/>
  <c r="AJ92" i="102"/>
  <c r="AH75" i="102"/>
  <c r="Z80" i="102"/>
  <c r="AI18" i="102"/>
  <c r="AI59" i="102"/>
  <c r="AI81" i="102"/>
  <c r="AJ58" i="102"/>
  <c r="AA12" i="102"/>
  <c r="AH19" i="102"/>
  <c r="AI38" i="102"/>
  <c r="AH59" i="102"/>
  <c r="Z83" i="102"/>
  <c r="Z42" i="102"/>
  <c r="AJ66" i="102"/>
  <c r="AG69" i="102"/>
  <c r="Z37" i="102"/>
  <c r="AG55" i="102"/>
  <c r="AH64" i="102"/>
  <c r="AG66" i="102"/>
  <c r="AH23" i="102"/>
  <c r="AA76" i="102"/>
  <c r="AA19" i="102"/>
  <c r="Z29" i="102"/>
  <c r="AI34" i="102"/>
  <c r="Z82" i="102"/>
  <c r="AI87" i="102"/>
  <c r="Z91" i="102"/>
  <c r="AJ34" i="102"/>
  <c r="Z40" i="102"/>
  <c r="AI42" i="102"/>
  <c r="AG25" i="102"/>
  <c r="AA44" i="102"/>
  <c r="AJ67" i="102"/>
  <c r="AA68" i="102"/>
  <c r="AI76" i="102"/>
  <c r="AI79" i="102"/>
  <c r="AI98" i="102"/>
  <c r="Z18" i="102"/>
  <c r="AI26" i="102"/>
  <c r="AH34" i="102"/>
  <c r="AG71" i="102"/>
  <c r="Z90" i="102"/>
  <c r="AI95" i="102"/>
  <c r="AJ98" i="102"/>
  <c r="AA99" i="102"/>
  <c r="AH42" i="102"/>
  <c r="AI43" i="102"/>
  <c r="AJ61" i="102"/>
  <c r="AG73" i="102"/>
  <c r="AH83" i="102"/>
  <c r="AG87" i="102"/>
  <c r="AJ93" i="102"/>
  <c r="AA95" i="102"/>
  <c r="AG26" i="102"/>
  <c r="Z21" i="102"/>
  <c r="AI23" i="102"/>
  <c r="AH29" i="102"/>
  <c r="AJ36" i="102"/>
  <c r="AG38" i="102"/>
  <c r="AG53" i="102"/>
  <c r="AA59" i="102"/>
  <c r="AH62" i="102"/>
  <c r="AJ74" i="102"/>
  <c r="AG93" i="102"/>
  <c r="AJ99" i="102"/>
  <c r="AG10" i="102"/>
  <c r="Z13" i="102"/>
  <c r="AG18" i="102"/>
  <c r="AA20" i="102"/>
  <c r="AI25" i="102"/>
  <c r="AH28" i="102"/>
  <c r="AJ37" i="102"/>
  <c r="AA52" i="102"/>
  <c r="Z66" i="102"/>
  <c r="AJ76" i="102"/>
  <c r="AI85" i="102"/>
  <c r="AJ101" i="102"/>
  <c r="AA35" i="102"/>
  <c r="Z74" i="102"/>
  <c r="AG81" i="102"/>
  <c r="AG82" i="102"/>
  <c r="AA84" i="102"/>
  <c r="AH91" i="102"/>
  <c r="AH100" i="102"/>
  <c r="AI11" i="102"/>
  <c r="AH15" i="102"/>
  <c r="AH24" i="102"/>
  <c r="AA27" i="102"/>
  <c r="AA41" i="102"/>
  <c r="AI50" i="102"/>
  <c r="AG51" i="102"/>
  <c r="AI75" i="102"/>
  <c r="AI82" i="102"/>
  <c r="AH92" i="102"/>
  <c r="AI99" i="102"/>
  <c r="AI9" i="102"/>
  <c r="AA43" i="102"/>
  <c r="Z50" i="102"/>
  <c r="AA91" i="102"/>
  <c r="AI10" i="102"/>
  <c r="AI19" i="102"/>
  <c r="AH26" i="102"/>
  <c r="AH31" i="102"/>
  <c r="AG34" i="102"/>
  <c r="Z62" i="102"/>
  <c r="AI91" i="102"/>
  <c r="AI57" i="102"/>
  <c r="AH11" i="102"/>
  <c r="AH21" i="102"/>
  <c r="Z26" i="102"/>
  <c r="AI35" i="102"/>
  <c r="AH40" i="102"/>
  <c r="AI55" i="102"/>
  <c r="AI74" i="102"/>
  <c r="AJ77" i="102"/>
  <c r="AA79" i="102"/>
  <c r="AJ82" i="102"/>
  <c r="AI92" i="102"/>
  <c r="AG42" i="102"/>
  <c r="AG98" i="102"/>
  <c r="AG90" i="102"/>
  <c r="AG67" i="102"/>
  <c r="AG23" i="102"/>
  <c r="AH27" i="102"/>
  <c r="AJ52" i="102"/>
  <c r="AG58" i="102"/>
  <c r="AJ12" i="102"/>
  <c r="AJ13" i="102"/>
  <c r="AH18" i="102"/>
  <c r="AA23" i="102"/>
  <c r="AJ26" i="102"/>
  <c r="AI27" i="102"/>
  <c r="Z34" i="102"/>
  <c r="AG37" i="102"/>
  <c r="AA38" i="102"/>
  <c r="Z45" i="102"/>
  <c r="AI51" i="102"/>
  <c r="Z53" i="102"/>
  <c r="AH56" i="102"/>
  <c r="AI67" i="102"/>
  <c r="AG83" i="102"/>
  <c r="AJ84" i="102"/>
  <c r="AG85" i="102"/>
  <c r="Z98" i="102"/>
  <c r="Z99" i="102"/>
  <c r="AG75" i="102"/>
  <c r="AA9" i="102"/>
  <c r="Z10" i="102"/>
  <c r="AJ18" i="102"/>
  <c r="AI20" i="102"/>
  <c r="AJ21" i="102"/>
  <c r="AI28" i="102"/>
  <c r="AJ29" i="102"/>
  <c r="Z35" i="102"/>
  <c r="Z43" i="102"/>
  <c r="AJ45" i="102"/>
  <c r="AJ50" i="102"/>
  <c r="AA51" i="102"/>
  <c r="AJ53" i="102"/>
  <c r="AI58" i="102"/>
  <c r="AG59" i="102"/>
  <c r="AJ63" i="102"/>
  <c r="Z67" i="102"/>
  <c r="AI71" i="102"/>
  <c r="AA73" i="102"/>
  <c r="Z77" i="102"/>
  <c r="AI83" i="102"/>
  <c r="AA87" i="102"/>
  <c r="AG89" i="102"/>
  <c r="AG31" i="102"/>
  <c r="AJ100" i="102"/>
  <c r="Z11" i="102"/>
  <c r="AJ20" i="102"/>
  <c r="AJ28" i="102"/>
  <c r="AA36" i="102"/>
  <c r="AD37" i="102"/>
  <c r="AI37" i="102" s="1"/>
  <c r="AJ41" i="102"/>
  <c r="AI49" i="102"/>
  <c r="AA55" i="102"/>
  <c r="AJ59" i="102"/>
  <c r="AA67" i="102"/>
  <c r="Z75" i="102"/>
  <c r="AE79" i="102"/>
  <c r="AJ79" i="102" s="1"/>
  <c r="AA83" i="102"/>
  <c r="AJ85" i="102"/>
  <c r="AA92" i="102"/>
  <c r="AG9" i="102"/>
  <c r="AA11" i="102"/>
  <c r="AG15" i="102"/>
  <c r="Z27" i="102"/>
  <c r="AH43" i="102"/>
  <c r="AH45" i="102"/>
  <c r="AJ64" i="102"/>
  <c r="AG91" i="102"/>
  <c r="AA100" i="102"/>
  <c r="AA57" i="102"/>
  <c r="AI100" i="102"/>
  <c r="Z8" i="102"/>
  <c r="Z24" i="102"/>
  <c r="AG35" i="102"/>
  <c r="AE43" i="102"/>
  <c r="AJ43" i="102" s="1"/>
  <c r="AG45" i="102"/>
  <c r="AG49" i="102"/>
  <c r="Z51" i="102"/>
  <c r="AH54" i="102"/>
  <c r="Z64" i="102"/>
  <c r="AG99" i="102"/>
  <c r="AG101" i="102"/>
  <c r="AH67" i="102"/>
  <c r="AA75" i="102"/>
  <c r="AI15" i="102"/>
  <c r="Z19" i="102"/>
  <c r="AJ23" i="102"/>
  <c r="AA28" i="102"/>
  <c r="AG29" i="102"/>
  <c r="AJ31" i="102"/>
  <c r="AH35" i="102"/>
  <c r="Z38" i="102"/>
  <c r="AA49" i="102"/>
  <c r="AG50" i="102"/>
  <c r="AH53" i="102"/>
  <c r="Z59" i="102"/>
  <c r="AE75" i="102"/>
  <c r="AJ75" i="102" s="1"/>
  <c r="AG77" i="102"/>
  <c r="AH99" i="102"/>
  <c r="AI13" i="102"/>
  <c r="AJ17" i="102"/>
  <c r="AH17" i="102"/>
  <c r="Z17" i="102"/>
  <c r="AA33" i="102"/>
  <c r="AJ33" i="102"/>
  <c r="AI33" i="102"/>
  <c r="AH33" i="102"/>
  <c r="Z33" i="102"/>
  <c r="AH8" i="102"/>
  <c r="AJ16" i="102"/>
  <c r="AI16" i="102"/>
  <c r="AA16" i="102"/>
  <c r="AG16" i="102"/>
  <c r="AG17" i="102"/>
  <c r="AA25" i="102"/>
  <c r="AG33" i="102"/>
  <c r="AH60" i="102"/>
  <c r="Z60" i="102"/>
  <c r="AG60" i="102"/>
  <c r="AA60" i="102"/>
  <c r="AJ60" i="102"/>
  <c r="AI60" i="102"/>
  <c r="AC74" i="102"/>
  <c r="AH74" i="102" s="1"/>
  <c r="AA74" i="102"/>
  <c r="AA15" i="102"/>
  <c r="AH16" i="102"/>
  <c r="AI17" i="102"/>
  <c r="AI21" i="102"/>
  <c r="AJ22" i="102"/>
  <c r="AI22" i="102"/>
  <c r="AA22" i="102"/>
  <c r="AH22" i="102"/>
  <c r="Z22" i="102"/>
  <c r="AG22" i="102"/>
  <c r="AJ25" i="102"/>
  <c r="AH25" i="102"/>
  <c r="Z25" i="102"/>
  <c r="AE42" i="102"/>
  <c r="AJ42" i="102" s="1"/>
  <c r="AA42" i="102"/>
  <c r="AJ46" i="102"/>
  <c r="AI46" i="102"/>
  <c r="AA46" i="102"/>
  <c r="AG46" i="102"/>
  <c r="Z46" i="102"/>
  <c r="AH46" i="102"/>
  <c r="AH12" i="102"/>
  <c r="AG19" i="102"/>
  <c r="AA31" i="102"/>
  <c r="AJ88" i="102"/>
  <c r="AI88" i="102"/>
  <c r="AA88" i="102"/>
  <c r="AG88" i="102"/>
  <c r="Z88" i="102"/>
  <c r="AH88" i="102"/>
  <c r="AG27" i="102"/>
  <c r="AJ65" i="102"/>
  <c r="AH65" i="102"/>
  <c r="Z65" i="102"/>
  <c r="AA65" i="102"/>
  <c r="AI65" i="102"/>
  <c r="AG65" i="102"/>
  <c r="AJ78" i="102"/>
  <c r="AI78" i="102"/>
  <c r="AA78" i="102"/>
  <c r="AG78" i="102"/>
  <c r="Z78" i="102"/>
  <c r="AH78" i="102"/>
  <c r="AJ8" i="102"/>
  <c r="AI8" i="102"/>
  <c r="AA8" i="102"/>
  <c r="AG8" i="102"/>
  <c r="AJ14" i="102"/>
  <c r="AI14" i="102"/>
  <c r="AA14" i="102"/>
  <c r="Z14" i="102"/>
  <c r="AH14" i="102"/>
  <c r="AG14" i="102"/>
  <c r="AJ24" i="102"/>
  <c r="AI24" i="102"/>
  <c r="AA24" i="102"/>
  <c r="AG24" i="102"/>
  <c r="AI29" i="102"/>
  <c r="AJ30" i="102"/>
  <c r="AA30" i="102"/>
  <c r="AI30" i="102"/>
  <c r="AH30" i="102"/>
  <c r="Z30" i="102"/>
  <c r="AG30" i="102"/>
  <c r="AH32" i="102"/>
  <c r="AJ32" i="102"/>
  <c r="AI32" i="102"/>
  <c r="AA32" i="102"/>
  <c r="Z32" i="102"/>
  <c r="AG32" i="102"/>
  <c r="Z56" i="102"/>
  <c r="Z16" i="102"/>
  <c r="AJ9" i="102"/>
  <c r="AH9" i="102"/>
  <c r="Z9" i="102"/>
  <c r="AE15" i="102"/>
  <c r="AJ15" i="102" s="1"/>
  <c r="AA17" i="102"/>
  <c r="AH20" i="102"/>
  <c r="AJ47" i="102"/>
  <c r="AH47" i="102"/>
  <c r="Z47" i="102"/>
  <c r="AD66" i="102"/>
  <c r="AI66" i="102" s="1"/>
  <c r="AI72" i="102"/>
  <c r="AA72" i="102"/>
  <c r="AG72" i="102"/>
  <c r="AJ86" i="102"/>
  <c r="AI86" i="102"/>
  <c r="AA86" i="102"/>
  <c r="AH86" i="102"/>
  <c r="Z86" i="102"/>
  <c r="AG86" i="102"/>
  <c r="AJ97" i="102"/>
  <c r="AI97" i="102"/>
  <c r="AA97" i="102"/>
  <c r="AH97" i="102"/>
  <c r="Z97" i="102"/>
  <c r="AA10" i="102"/>
  <c r="AJ11" i="102"/>
  <c r="AA18" i="102"/>
  <c r="AJ19" i="102"/>
  <c r="AA26" i="102"/>
  <c r="AJ27" i="102"/>
  <c r="AA34" i="102"/>
  <c r="AJ35" i="102"/>
  <c r="AA37" i="102"/>
  <c r="AH44" i="102"/>
  <c r="Z44" i="102"/>
  <c r="AG44" i="102"/>
  <c r="AG47" i="102"/>
  <c r="AC50" i="102"/>
  <c r="AH50" i="102" s="1"/>
  <c r="AA50" i="102"/>
  <c r="AE51" i="102"/>
  <c r="AJ51" i="102" s="1"/>
  <c r="AJ54" i="102"/>
  <c r="AI54" i="102"/>
  <c r="AA54" i="102"/>
  <c r="AG54" i="102"/>
  <c r="AI61" i="102"/>
  <c r="AA63" i="102"/>
  <c r="AH68" i="102"/>
  <c r="Z68" i="102"/>
  <c r="AG68" i="102"/>
  <c r="AH72" i="102"/>
  <c r="AJ73" i="102"/>
  <c r="AH73" i="102"/>
  <c r="Z73" i="102"/>
  <c r="AA81" i="102"/>
  <c r="AC82" i="102"/>
  <c r="AH82" i="102" s="1"/>
  <c r="AA82" i="102"/>
  <c r="AE83" i="102"/>
  <c r="AJ83" i="102" s="1"/>
  <c r="AG97" i="102"/>
  <c r="AH39" i="102"/>
  <c r="Z39" i="102"/>
  <c r="AI47" i="102"/>
  <c r="AI48" i="102"/>
  <c r="AA48" i="102"/>
  <c r="AG48" i="102"/>
  <c r="AJ55" i="102"/>
  <c r="AJ72" i="102"/>
  <c r="AI80" i="102"/>
  <c r="AA80" i="102"/>
  <c r="AG80" i="102"/>
  <c r="Z15" i="102"/>
  <c r="Z23" i="102"/>
  <c r="Z31" i="102"/>
  <c r="AH37" i="102"/>
  <c r="AC38" i="102"/>
  <c r="AH38" i="102" s="1"/>
  <c r="AG39" i="102"/>
  <c r="AB40" i="102"/>
  <c r="AG40" i="102" s="1"/>
  <c r="AG41" i="102"/>
  <c r="AJ44" i="102"/>
  <c r="AH48" i="102"/>
  <c r="AJ49" i="102"/>
  <c r="AH49" i="102"/>
  <c r="Z49" i="102"/>
  <c r="AC58" i="102"/>
  <c r="AH58" i="102" s="1"/>
  <c r="AA58" i="102"/>
  <c r="AJ62" i="102"/>
  <c r="AI62" i="102"/>
  <c r="AA62" i="102"/>
  <c r="AG62" i="102"/>
  <c r="AJ68" i="102"/>
  <c r="AI69" i="102"/>
  <c r="AA71" i="102"/>
  <c r="AI73" i="102"/>
  <c r="AH76" i="102"/>
  <c r="Z76" i="102"/>
  <c r="AG76" i="102"/>
  <c r="AH80" i="102"/>
  <c r="AJ81" i="102"/>
  <c r="AH81" i="102"/>
  <c r="Z81" i="102"/>
  <c r="AJ96" i="102"/>
  <c r="AI96" i="102"/>
  <c r="AA96" i="102"/>
  <c r="AH96" i="102"/>
  <c r="Z96" i="102"/>
  <c r="AG96" i="102"/>
  <c r="AH36" i="102"/>
  <c r="AI39" i="102"/>
  <c r="AH41" i="102"/>
  <c r="AI45" i="102"/>
  <c r="AJ48" i="102"/>
  <c r="AI56" i="102"/>
  <c r="AA56" i="102"/>
  <c r="AG56" i="102"/>
  <c r="Z58" i="102"/>
  <c r="AJ80" i="102"/>
  <c r="AC90" i="102"/>
  <c r="AH90" i="102" s="1"/>
  <c r="AA90" i="102"/>
  <c r="AE95" i="102"/>
  <c r="AJ95" i="102" s="1"/>
  <c r="AG36" i="102"/>
  <c r="AJ39" i="102"/>
  <c r="AI41" i="102"/>
  <c r="AG43" i="102"/>
  <c r="AA47" i="102"/>
  <c r="AH52" i="102"/>
  <c r="Z52" i="102"/>
  <c r="AG52" i="102"/>
  <c r="AJ57" i="102"/>
  <c r="AH57" i="102"/>
  <c r="Z57" i="102"/>
  <c r="AC66" i="102"/>
  <c r="AH66" i="102" s="1"/>
  <c r="AA66" i="102"/>
  <c r="AJ70" i="102"/>
  <c r="AI70" i="102"/>
  <c r="AA70" i="102"/>
  <c r="AG70" i="102"/>
  <c r="Z72" i="102"/>
  <c r="AH84" i="102"/>
  <c r="Z84" i="102"/>
  <c r="AG84" i="102"/>
  <c r="AA89" i="102"/>
  <c r="AC98" i="102"/>
  <c r="AH98" i="102" s="1"/>
  <c r="AA98" i="102"/>
  <c r="AG12" i="102"/>
  <c r="AG20" i="102"/>
  <c r="AG28" i="102"/>
  <c r="Z12" i="102"/>
  <c r="AA13" i="102"/>
  <c r="Z20" i="102"/>
  <c r="AA21" i="102"/>
  <c r="Z28" i="102"/>
  <c r="AA29" i="102"/>
  <c r="Z36" i="102"/>
  <c r="AI36" i="102"/>
  <c r="AJ38" i="102"/>
  <c r="AA39" i="102"/>
  <c r="AI40" i="102"/>
  <c r="AA40" i="102"/>
  <c r="Z41" i="102"/>
  <c r="AI52" i="102"/>
  <c r="Z54" i="102"/>
  <c r="AJ56" i="102"/>
  <c r="AG57" i="102"/>
  <c r="AI64" i="102"/>
  <c r="AA64" i="102"/>
  <c r="AG64" i="102"/>
  <c r="AH70" i="102"/>
  <c r="AJ71" i="102"/>
  <c r="AI84" i="102"/>
  <c r="AE87" i="102"/>
  <c r="AJ87" i="102" s="1"/>
  <c r="AJ89" i="102"/>
  <c r="AH89" i="102"/>
  <c r="Z89" i="102"/>
  <c r="AI93" i="102"/>
  <c r="AJ94" i="102"/>
  <c r="AI101" i="102"/>
  <c r="AJ102" i="102"/>
  <c r="AD53" i="102"/>
  <c r="AI53" i="102" s="1"/>
  <c r="AD77" i="102"/>
  <c r="AI77" i="102" s="1"/>
  <c r="Z55" i="102"/>
  <c r="AH55" i="102"/>
  <c r="Z63" i="102"/>
  <c r="AH63" i="102"/>
  <c r="Z71" i="102"/>
  <c r="AH71" i="102"/>
  <c r="Z79" i="102"/>
  <c r="AH79" i="102"/>
  <c r="Z87" i="102"/>
  <c r="AH87" i="102"/>
  <c r="AG94" i="102"/>
  <c r="Z95" i="102"/>
  <c r="AH95" i="102"/>
  <c r="AG102" i="102"/>
  <c r="Z94" i="102"/>
  <c r="AH94" i="102"/>
  <c r="Z102" i="102"/>
  <c r="AH102" i="102"/>
  <c r="Z61" i="102"/>
  <c r="AH61" i="102"/>
  <c r="Z69" i="102"/>
  <c r="AH69" i="102"/>
  <c r="AH77" i="102"/>
  <c r="Z85" i="102"/>
  <c r="AH85" i="102"/>
  <c r="AG92" i="102"/>
  <c r="Z93" i="102"/>
  <c r="AH93" i="102"/>
  <c r="AA94" i="102"/>
  <c r="AI94" i="102"/>
  <c r="AG100" i="102"/>
  <c r="Z101" i="102"/>
  <c r="AH101" i="102"/>
  <c r="AA102" i="102"/>
  <c r="AI102" i="102"/>
  <c r="AA45" i="102"/>
  <c r="AA53" i="102"/>
  <c r="AA61" i="102"/>
  <c r="AA69" i="102"/>
  <c r="AA77" i="102"/>
  <c r="AA85" i="102"/>
  <c r="Z92" i="102"/>
  <c r="AA93" i="102"/>
  <c r="Z100" i="102"/>
  <c r="AA101" i="102"/>
  <c r="G32" i="92" l="1"/>
  <c r="D47" i="92"/>
  <c r="F27" i="92"/>
  <c r="D27" i="92"/>
  <c r="D42" i="92"/>
  <c r="F47" i="92"/>
  <c r="E42" i="92"/>
  <c r="G47" i="92"/>
  <c r="G27" i="92"/>
  <c r="E37" i="92"/>
  <c r="F37" i="92"/>
  <c r="G42" i="92"/>
  <c r="F22" i="92"/>
  <c r="G37" i="92"/>
  <c r="D17" i="92"/>
  <c r="F32" i="92"/>
  <c r="E17" i="92"/>
  <c r="F17" i="92"/>
  <c r="D32" i="92"/>
  <c r="G17" i="92"/>
  <c r="G22" i="92"/>
  <c r="E32" i="92"/>
  <c r="E22" i="92"/>
  <c r="E47" i="92"/>
  <c r="D22" i="92"/>
  <c r="E27" i="92"/>
  <c r="D37" i="92"/>
  <c r="F42" i="92"/>
  <c r="BC10" i="70"/>
  <c r="I17" i="92" l="1"/>
  <c r="H17" i="92"/>
  <c r="BG71" i="70"/>
  <c r="BH71" i="70" l="1"/>
  <c r="BI71" i="70"/>
  <c r="BJ71" i="70"/>
  <c r="BK71" i="70"/>
  <c r="D12" i="92" l="1"/>
  <c r="P12" i="66" l="1"/>
  <c r="O12" i="66"/>
  <c r="N12" i="66"/>
  <c r="M12" i="66" l="1"/>
  <c r="AL12" i="66"/>
  <c r="Q12" i="66"/>
  <c r="I32" i="88" l="1"/>
  <c r="I42" i="88"/>
  <c r="J42" i="88"/>
  <c r="Q13" i="66" l="1"/>
  <c r="Q14" i="66"/>
  <c r="Q15" i="66"/>
  <c r="Q16" i="66"/>
  <c r="Q17" i="66"/>
  <c r="Q18" i="66"/>
  <c r="Q19" i="66"/>
  <c r="Q20" i="66"/>
  <c r="Q21" i="66"/>
  <c r="Q22" i="66"/>
  <c r="Q23" i="66"/>
  <c r="Q24" i="66"/>
  <c r="Q25" i="66"/>
  <c r="Q26" i="66"/>
  <c r="Q27" i="66"/>
  <c r="Q28" i="66"/>
  <c r="Q29" i="66"/>
  <c r="Q30" i="66"/>
  <c r="K12" i="92"/>
  <c r="J12" i="92"/>
  <c r="I17" i="86" l="1"/>
  <c r="H17" i="86"/>
  <c r="G17" i="86"/>
  <c r="F17" i="86"/>
  <c r="E17" i="86"/>
  <c r="D107" i="91" l="1"/>
  <c r="G103" i="91"/>
  <c r="G104" i="91"/>
  <c r="G105" i="91"/>
  <c r="G106" i="91"/>
  <c r="E103" i="91"/>
  <c r="E104" i="91"/>
  <c r="E105" i="91"/>
  <c r="E106" i="91"/>
  <c r="I47" i="88" l="1"/>
  <c r="J47" i="88"/>
  <c r="D6" i="99" l="1"/>
  <c r="D5" i="99"/>
  <c r="E100" i="91" l="1"/>
  <c r="E101" i="91"/>
  <c r="E102" i="91"/>
  <c r="E99" i="91"/>
  <c r="G102" i="91"/>
  <c r="G99" i="91"/>
  <c r="G100" i="91"/>
  <c r="G101" i="91"/>
  <c r="I10" i="75"/>
  <c r="I11" i="75"/>
  <c r="I13" i="75"/>
  <c r="I14" i="75"/>
  <c r="I16" i="75"/>
  <c r="I17" i="75"/>
  <c r="I18" i="75"/>
  <c r="I19" i="75"/>
  <c r="I20" i="75"/>
  <c r="I21" i="75"/>
  <c r="I22" i="75"/>
  <c r="I23" i="75"/>
  <c r="I24" i="75"/>
  <c r="I25" i="75"/>
  <c r="I26" i="75"/>
  <c r="I27" i="75"/>
  <c r="I28" i="75"/>
  <c r="I29" i="75"/>
  <c r="I30" i="75"/>
  <c r="I31" i="75"/>
  <c r="I32" i="75"/>
  <c r="I33" i="75"/>
  <c r="I34" i="75"/>
  <c r="I35" i="75"/>
  <c r="I36" i="75"/>
  <c r="I37" i="75"/>
  <c r="I38" i="75"/>
  <c r="I39" i="75"/>
  <c r="I40" i="75"/>
  <c r="I41" i="75"/>
  <c r="I42" i="75"/>
  <c r="I43" i="75"/>
  <c r="I44" i="75"/>
  <c r="I45" i="75"/>
  <c r="I46" i="75"/>
  <c r="I47" i="75"/>
  <c r="I48" i="75"/>
  <c r="I9" i="75"/>
  <c r="G10" i="75"/>
  <c r="G11" i="75"/>
  <c r="G12" i="75"/>
  <c r="G13" i="75"/>
  <c r="G14" i="75"/>
  <c r="G15" i="75"/>
  <c r="G16" i="75"/>
  <c r="G17" i="75"/>
  <c r="G18" i="75"/>
  <c r="G19" i="75"/>
  <c r="G20" i="75"/>
  <c r="G21" i="75"/>
  <c r="G22" i="75"/>
  <c r="G23" i="75"/>
  <c r="G24" i="75"/>
  <c r="G25" i="75"/>
  <c r="G26" i="75"/>
  <c r="G27" i="75"/>
  <c r="G28" i="75"/>
  <c r="G29" i="75"/>
  <c r="G30" i="75"/>
  <c r="G31" i="75"/>
  <c r="G32" i="75"/>
  <c r="G33" i="75"/>
  <c r="G34" i="75"/>
  <c r="G35" i="75"/>
  <c r="G36" i="75"/>
  <c r="G37" i="75"/>
  <c r="G38" i="75"/>
  <c r="G39" i="75"/>
  <c r="G40" i="75"/>
  <c r="G41" i="75"/>
  <c r="G42" i="75"/>
  <c r="G43" i="75"/>
  <c r="G44" i="75"/>
  <c r="G45" i="75"/>
  <c r="G46" i="75"/>
  <c r="G47" i="75"/>
  <c r="G48" i="75"/>
  <c r="G9" i="75"/>
  <c r="D10" i="75"/>
  <c r="D11" i="75"/>
  <c r="D12" i="75"/>
  <c r="D13" i="75"/>
  <c r="D14" i="75"/>
  <c r="D15" i="75"/>
  <c r="D16" i="75"/>
  <c r="D17" i="75"/>
  <c r="D18" i="75"/>
  <c r="D19" i="75"/>
  <c r="D20" i="75"/>
  <c r="D21" i="75"/>
  <c r="D22" i="75"/>
  <c r="D23" i="75"/>
  <c r="D24" i="75"/>
  <c r="D25" i="75"/>
  <c r="D26" i="75"/>
  <c r="D27" i="75"/>
  <c r="D28" i="75"/>
  <c r="D29" i="75"/>
  <c r="D30" i="75"/>
  <c r="D31" i="75"/>
  <c r="D32" i="75"/>
  <c r="D33" i="75"/>
  <c r="D34" i="75"/>
  <c r="D35" i="75"/>
  <c r="D36" i="75"/>
  <c r="D37" i="75"/>
  <c r="D38" i="75"/>
  <c r="D39" i="75"/>
  <c r="D40" i="75"/>
  <c r="D41" i="75"/>
  <c r="D42" i="75"/>
  <c r="D43" i="75"/>
  <c r="D44" i="75"/>
  <c r="D45" i="75"/>
  <c r="D46" i="75"/>
  <c r="D47" i="75"/>
  <c r="D48" i="75"/>
  <c r="D9" i="75"/>
  <c r="G49" i="85"/>
  <c r="G89" i="85"/>
  <c r="E107" i="91" l="1"/>
  <c r="G107" i="91"/>
  <c r="G109" i="85"/>
  <c r="B15" i="75" l="1"/>
  <c r="B11" i="75"/>
  <c r="F12" i="88" l="1"/>
  <c r="B10" i="75" l="1"/>
  <c r="B12" i="75"/>
  <c r="B13" i="75"/>
  <c r="B14" i="75"/>
  <c r="B16" i="75"/>
  <c r="B17" i="75"/>
  <c r="B18" i="75"/>
  <c r="B19" i="75"/>
  <c r="B20" i="75"/>
  <c r="B21" i="75"/>
  <c r="B22" i="75"/>
  <c r="B23" i="75"/>
  <c r="B24" i="75"/>
  <c r="B25" i="75"/>
  <c r="B26" i="75"/>
  <c r="B27" i="75"/>
  <c r="B28" i="75"/>
  <c r="B29" i="75"/>
  <c r="B30" i="75"/>
  <c r="B31" i="75"/>
  <c r="B32" i="75"/>
  <c r="B33" i="75"/>
  <c r="B34" i="75"/>
  <c r="B35" i="75"/>
  <c r="B36" i="75"/>
  <c r="B37" i="75"/>
  <c r="B38" i="75"/>
  <c r="B39" i="75"/>
  <c r="B40" i="75"/>
  <c r="B41" i="75"/>
  <c r="B42" i="75"/>
  <c r="B43" i="75"/>
  <c r="B44" i="75"/>
  <c r="B45" i="75"/>
  <c r="B46" i="75"/>
  <c r="B47" i="75"/>
  <c r="B48" i="75"/>
  <c r="B9" i="75"/>
  <c r="D253" i="101"/>
  <c r="K340" i="101"/>
  <c r="J340" i="101"/>
  <c r="I340" i="101"/>
  <c r="H340" i="101"/>
  <c r="F340" i="101"/>
  <c r="E340" i="101"/>
  <c r="D340" i="101"/>
  <c r="C340" i="101"/>
  <c r="K339" i="101"/>
  <c r="J339" i="101"/>
  <c r="I339" i="101"/>
  <c r="H339" i="101"/>
  <c r="F339" i="101"/>
  <c r="E339" i="101"/>
  <c r="D339" i="101"/>
  <c r="C339" i="101"/>
  <c r="K338" i="101"/>
  <c r="J338" i="101"/>
  <c r="I338" i="101"/>
  <c r="H338" i="101"/>
  <c r="F338" i="101"/>
  <c r="E338" i="101"/>
  <c r="D338" i="101"/>
  <c r="C338" i="101"/>
  <c r="K336" i="101"/>
  <c r="K337" i="101" s="1"/>
  <c r="J336" i="101"/>
  <c r="J337" i="101" s="1"/>
  <c r="I336" i="101"/>
  <c r="I337" i="101" s="1"/>
  <c r="H336" i="101"/>
  <c r="H337" i="101" s="1"/>
  <c r="F336" i="101"/>
  <c r="E336" i="101"/>
  <c r="D336" i="101"/>
  <c r="C336" i="101"/>
  <c r="K334" i="101"/>
  <c r="K335" i="101" s="1"/>
  <c r="J334" i="101"/>
  <c r="J335" i="101" s="1"/>
  <c r="I334" i="101"/>
  <c r="I335" i="101" s="1"/>
  <c r="H334" i="101"/>
  <c r="H335" i="101" s="1"/>
  <c r="F334" i="101"/>
  <c r="E334" i="101"/>
  <c r="D334" i="101"/>
  <c r="C334" i="101"/>
  <c r="K333" i="101"/>
  <c r="J333" i="101"/>
  <c r="I333" i="101"/>
  <c r="H333" i="101"/>
  <c r="F333" i="101"/>
  <c r="E333" i="101"/>
  <c r="D333" i="101"/>
  <c r="C333" i="101"/>
  <c r="K332" i="101"/>
  <c r="J332" i="101"/>
  <c r="I332" i="101"/>
  <c r="H332" i="101"/>
  <c r="F332" i="101"/>
  <c r="E332" i="101"/>
  <c r="D332" i="101"/>
  <c r="C332" i="101"/>
  <c r="K331" i="101"/>
  <c r="J331" i="101"/>
  <c r="I331" i="101"/>
  <c r="H331" i="101"/>
  <c r="F331" i="101"/>
  <c r="E331" i="101"/>
  <c r="D331" i="101"/>
  <c r="C331" i="101"/>
  <c r="K330" i="101"/>
  <c r="J330" i="101"/>
  <c r="I330" i="101"/>
  <c r="H330" i="101"/>
  <c r="F330" i="101"/>
  <c r="E330" i="101"/>
  <c r="D330" i="101"/>
  <c r="C330" i="101"/>
  <c r="K329" i="101"/>
  <c r="J329" i="101"/>
  <c r="I329" i="101"/>
  <c r="H329" i="101"/>
  <c r="F329" i="101"/>
  <c r="E329" i="101"/>
  <c r="D329" i="101"/>
  <c r="C329" i="101"/>
  <c r="K328" i="101"/>
  <c r="J328" i="101"/>
  <c r="I328" i="101"/>
  <c r="H328" i="101"/>
  <c r="F328" i="101"/>
  <c r="E328" i="101"/>
  <c r="D328" i="101"/>
  <c r="C328" i="101"/>
  <c r="K326" i="101"/>
  <c r="K327" i="101" s="1"/>
  <c r="J326" i="101"/>
  <c r="J327" i="101" s="1"/>
  <c r="I326" i="101"/>
  <c r="I327" i="101" s="1"/>
  <c r="H326" i="101"/>
  <c r="H327" i="101" s="1"/>
  <c r="F326" i="101"/>
  <c r="D326" i="101"/>
  <c r="C326" i="101"/>
  <c r="K324" i="101"/>
  <c r="K325" i="101" s="1"/>
  <c r="J324" i="101"/>
  <c r="J325" i="101" s="1"/>
  <c r="I324" i="101"/>
  <c r="I325" i="101" s="1"/>
  <c r="H324" i="101"/>
  <c r="H325" i="101" s="1"/>
  <c r="F324" i="101"/>
  <c r="E324" i="101"/>
  <c r="D324" i="101"/>
  <c r="C324" i="101"/>
  <c r="K322" i="101"/>
  <c r="K323" i="101" s="1"/>
  <c r="J322" i="101"/>
  <c r="J323" i="101" s="1"/>
  <c r="I322" i="101"/>
  <c r="I323" i="101" s="1"/>
  <c r="H322" i="101"/>
  <c r="H323" i="101" s="1"/>
  <c r="F322" i="101"/>
  <c r="E322" i="101"/>
  <c r="D322" i="101"/>
  <c r="C322" i="101"/>
  <c r="K320" i="101"/>
  <c r="K321" i="101" s="1"/>
  <c r="J320" i="101"/>
  <c r="J321" i="101" s="1"/>
  <c r="I320" i="101"/>
  <c r="I321" i="101" s="1"/>
  <c r="H320" i="101"/>
  <c r="H321" i="101" s="1"/>
  <c r="F320" i="101"/>
  <c r="E320" i="101"/>
  <c r="D320" i="101"/>
  <c r="C320" i="101"/>
  <c r="K318" i="101"/>
  <c r="K319" i="101" s="1"/>
  <c r="J318" i="101"/>
  <c r="J319" i="101" s="1"/>
  <c r="I318" i="101"/>
  <c r="I319" i="101" s="1"/>
  <c r="H318" i="101"/>
  <c r="H319" i="101" s="1"/>
  <c r="F318" i="101"/>
  <c r="E318" i="101"/>
  <c r="D318" i="101"/>
  <c r="C318" i="101"/>
  <c r="K317" i="101"/>
  <c r="J317" i="101"/>
  <c r="I317" i="101"/>
  <c r="H317" i="101"/>
  <c r="F317" i="101"/>
  <c r="E317" i="101"/>
  <c r="D317" i="101"/>
  <c r="C317" i="101"/>
  <c r="K316" i="101"/>
  <c r="J316" i="101"/>
  <c r="I316" i="101"/>
  <c r="H316" i="101"/>
  <c r="F316" i="101"/>
  <c r="E316" i="101"/>
  <c r="D316" i="101"/>
  <c r="C316" i="101"/>
  <c r="K315" i="101"/>
  <c r="J315" i="101"/>
  <c r="I315" i="101"/>
  <c r="H315" i="101"/>
  <c r="F315" i="101"/>
  <c r="E315" i="101"/>
  <c r="D315" i="101"/>
  <c r="C315" i="101"/>
  <c r="K314" i="101"/>
  <c r="J314" i="101"/>
  <c r="I314" i="101"/>
  <c r="H314" i="101"/>
  <c r="F314" i="101"/>
  <c r="E314" i="101"/>
  <c r="D314" i="101"/>
  <c r="C314" i="101"/>
  <c r="K313" i="101"/>
  <c r="J313" i="101"/>
  <c r="I313" i="101"/>
  <c r="H313" i="101"/>
  <c r="F313" i="101"/>
  <c r="E313" i="101"/>
  <c r="D313" i="101"/>
  <c r="C313" i="101"/>
  <c r="K312" i="101"/>
  <c r="J312" i="101"/>
  <c r="I312" i="101"/>
  <c r="H312" i="101"/>
  <c r="F312" i="101"/>
  <c r="E312" i="101"/>
  <c r="D312" i="101"/>
  <c r="C312" i="101"/>
  <c r="K311" i="101"/>
  <c r="J311" i="101"/>
  <c r="I311" i="101"/>
  <c r="H311" i="101"/>
  <c r="F311" i="101"/>
  <c r="E311" i="101"/>
  <c r="D311" i="101"/>
  <c r="C311" i="101"/>
  <c r="K310" i="101"/>
  <c r="J310" i="101"/>
  <c r="I310" i="101"/>
  <c r="H310" i="101"/>
  <c r="F310" i="101"/>
  <c r="E310" i="101"/>
  <c r="D310" i="101"/>
  <c r="C310" i="101"/>
  <c r="K309" i="101"/>
  <c r="J309" i="101"/>
  <c r="I309" i="101"/>
  <c r="H309" i="101"/>
  <c r="F309" i="101"/>
  <c r="E309" i="101"/>
  <c r="D309" i="101"/>
  <c r="C309" i="101"/>
  <c r="K308" i="101"/>
  <c r="J308" i="101"/>
  <c r="I308" i="101"/>
  <c r="H308" i="101"/>
  <c r="F308" i="101"/>
  <c r="E308" i="101"/>
  <c r="D308" i="101"/>
  <c r="C308" i="101"/>
  <c r="K307" i="101"/>
  <c r="J307" i="101"/>
  <c r="I307" i="101"/>
  <c r="H307" i="101"/>
  <c r="F307" i="101"/>
  <c r="E307" i="101"/>
  <c r="D307" i="101"/>
  <c r="C307" i="101"/>
  <c r="K306" i="101"/>
  <c r="J306" i="101"/>
  <c r="I306" i="101"/>
  <c r="H306" i="101"/>
  <c r="F306" i="101"/>
  <c r="E306" i="101"/>
  <c r="D306" i="101"/>
  <c r="C306" i="101"/>
  <c r="K305" i="101"/>
  <c r="J305" i="101"/>
  <c r="I305" i="101"/>
  <c r="H305" i="101"/>
  <c r="F305" i="101"/>
  <c r="E305" i="101"/>
  <c r="D305" i="101"/>
  <c r="C305" i="101"/>
  <c r="K304" i="101"/>
  <c r="J304" i="101"/>
  <c r="I304" i="101"/>
  <c r="H304" i="101"/>
  <c r="F304" i="101"/>
  <c r="E304" i="101"/>
  <c r="D304" i="101"/>
  <c r="C304" i="101"/>
  <c r="K303" i="101"/>
  <c r="J303" i="101"/>
  <c r="I303" i="101"/>
  <c r="H303" i="101"/>
  <c r="F303" i="101"/>
  <c r="E303" i="101"/>
  <c r="D303" i="101"/>
  <c r="C303" i="101"/>
  <c r="K302" i="101"/>
  <c r="J302" i="101"/>
  <c r="I302" i="101"/>
  <c r="H302" i="101"/>
  <c r="F302" i="101"/>
  <c r="E302" i="101"/>
  <c r="D302" i="101"/>
  <c r="C302" i="101"/>
  <c r="K301" i="101"/>
  <c r="J301" i="101"/>
  <c r="I301" i="101"/>
  <c r="H301" i="101"/>
  <c r="F301" i="101"/>
  <c r="E301" i="101"/>
  <c r="D301" i="101"/>
  <c r="C301" i="101"/>
  <c r="K300" i="101"/>
  <c r="J300" i="101"/>
  <c r="I300" i="101"/>
  <c r="H300" i="101"/>
  <c r="F300" i="101"/>
  <c r="E300" i="101"/>
  <c r="D300" i="101"/>
  <c r="C300" i="101"/>
  <c r="K299" i="101"/>
  <c r="J299" i="101"/>
  <c r="I299" i="101"/>
  <c r="H299" i="101"/>
  <c r="F299" i="101"/>
  <c r="E299" i="101"/>
  <c r="D299" i="101"/>
  <c r="C299" i="101"/>
  <c r="K298" i="101"/>
  <c r="J298" i="101"/>
  <c r="I298" i="101"/>
  <c r="H298" i="101"/>
  <c r="F298" i="101"/>
  <c r="E298" i="101"/>
  <c r="D298" i="101"/>
  <c r="C298" i="101"/>
  <c r="K297" i="101"/>
  <c r="J297" i="101"/>
  <c r="I297" i="101"/>
  <c r="H297" i="101"/>
  <c r="F297" i="101"/>
  <c r="E297" i="101"/>
  <c r="D297" i="101"/>
  <c r="C297" i="101"/>
  <c r="K296" i="101"/>
  <c r="J296" i="101"/>
  <c r="I296" i="101"/>
  <c r="H296" i="101"/>
  <c r="F296" i="101"/>
  <c r="E296" i="101"/>
  <c r="D296" i="101"/>
  <c r="C296" i="101"/>
  <c r="K295" i="101"/>
  <c r="J295" i="101"/>
  <c r="I295" i="101"/>
  <c r="H295" i="101"/>
  <c r="F295" i="101"/>
  <c r="E295" i="101"/>
  <c r="D295" i="101"/>
  <c r="C295" i="101"/>
  <c r="K294" i="101"/>
  <c r="J294" i="101"/>
  <c r="I294" i="101"/>
  <c r="H294" i="101"/>
  <c r="F294" i="101"/>
  <c r="E294" i="101"/>
  <c r="D294" i="101"/>
  <c r="C294" i="101"/>
  <c r="K293" i="101"/>
  <c r="J293" i="101"/>
  <c r="I293" i="101"/>
  <c r="H293" i="101"/>
  <c r="F293" i="101"/>
  <c r="E293" i="101"/>
  <c r="D293" i="101"/>
  <c r="C293" i="101"/>
  <c r="K292" i="101"/>
  <c r="J292" i="101"/>
  <c r="I292" i="101"/>
  <c r="H292" i="101"/>
  <c r="F292" i="101"/>
  <c r="E292" i="101"/>
  <c r="D292" i="101"/>
  <c r="C292" i="101"/>
  <c r="K291" i="101"/>
  <c r="J291" i="101"/>
  <c r="I291" i="101"/>
  <c r="H291" i="101"/>
  <c r="F291" i="101"/>
  <c r="E291" i="101"/>
  <c r="D291" i="101"/>
  <c r="C291" i="101"/>
  <c r="K290" i="101"/>
  <c r="J290" i="101"/>
  <c r="I290" i="101"/>
  <c r="H290" i="101"/>
  <c r="F290" i="101"/>
  <c r="E290" i="101"/>
  <c r="D290" i="101"/>
  <c r="C290" i="101"/>
  <c r="K289" i="101"/>
  <c r="J289" i="101"/>
  <c r="I289" i="101"/>
  <c r="H289" i="101"/>
  <c r="F289" i="101"/>
  <c r="E289" i="101"/>
  <c r="D289" i="101"/>
  <c r="C289" i="101"/>
  <c r="K288" i="101"/>
  <c r="J288" i="101"/>
  <c r="I288" i="101"/>
  <c r="H288" i="101"/>
  <c r="F288" i="101"/>
  <c r="E288" i="101"/>
  <c r="D288" i="101"/>
  <c r="C288" i="101"/>
  <c r="K287" i="101"/>
  <c r="J287" i="101"/>
  <c r="I287" i="101"/>
  <c r="H287" i="101"/>
  <c r="F287" i="101"/>
  <c r="E287" i="101"/>
  <c r="D287" i="101"/>
  <c r="C287" i="101"/>
  <c r="K286" i="101"/>
  <c r="J286" i="101"/>
  <c r="I286" i="101"/>
  <c r="H286" i="101"/>
  <c r="F286" i="101"/>
  <c r="E286" i="101"/>
  <c r="D286" i="101"/>
  <c r="C286" i="101"/>
  <c r="K285" i="101"/>
  <c r="J285" i="101"/>
  <c r="I285" i="101"/>
  <c r="H285" i="101"/>
  <c r="F285" i="101"/>
  <c r="E285" i="101"/>
  <c r="D285" i="101"/>
  <c r="C285" i="101"/>
  <c r="K284" i="101"/>
  <c r="J284" i="101"/>
  <c r="I284" i="101"/>
  <c r="H284" i="101"/>
  <c r="F284" i="101"/>
  <c r="E284" i="101"/>
  <c r="D284" i="101"/>
  <c r="C284" i="101"/>
  <c r="K283" i="101"/>
  <c r="J283" i="101"/>
  <c r="I283" i="101"/>
  <c r="H283" i="101"/>
  <c r="F283" i="101"/>
  <c r="E283" i="101"/>
  <c r="D283" i="101"/>
  <c r="C283" i="101"/>
  <c r="K282" i="101"/>
  <c r="J282" i="101"/>
  <c r="I282" i="101"/>
  <c r="H282" i="101"/>
  <c r="F282" i="101"/>
  <c r="E282" i="101"/>
  <c r="D282" i="101"/>
  <c r="C282" i="101"/>
  <c r="K281" i="101"/>
  <c r="J281" i="101"/>
  <c r="I281" i="101"/>
  <c r="H281" i="101"/>
  <c r="F281" i="101"/>
  <c r="E281" i="101"/>
  <c r="D281" i="101"/>
  <c r="C281" i="101"/>
  <c r="K280" i="101"/>
  <c r="J280" i="101"/>
  <c r="I280" i="101"/>
  <c r="H280" i="101"/>
  <c r="F280" i="101"/>
  <c r="E280" i="101"/>
  <c r="D280" i="101"/>
  <c r="C280" i="101"/>
  <c r="K279" i="101"/>
  <c r="J279" i="101"/>
  <c r="I279" i="101"/>
  <c r="H279" i="101"/>
  <c r="F279" i="101"/>
  <c r="E279" i="101"/>
  <c r="D279" i="101"/>
  <c r="C279" i="101"/>
  <c r="K278" i="101"/>
  <c r="J278" i="101"/>
  <c r="I278" i="101"/>
  <c r="H278" i="101"/>
  <c r="F278" i="101"/>
  <c r="E278" i="101"/>
  <c r="D278" i="101"/>
  <c r="C278" i="101"/>
  <c r="K277" i="101"/>
  <c r="J277" i="101"/>
  <c r="I277" i="101"/>
  <c r="H277" i="101"/>
  <c r="F277" i="101"/>
  <c r="E277" i="101"/>
  <c r="D277" i="101"/>
  <c r="C277" i="101"/>
  <c r="K276" i="101"/>
  <c r="J276" i="101"/>
  <c r="I276" i="101"/>
  <c r="H276" i="101"/>
  <c r="F276" i="101"/>
  <c r="E276" i="101"/>
  <c r="D276" i="101"/>
  <c r="C276" i="101"/>
  <c r="K275" i="101"/>
  <c r="J275" i="101"/>
  <c r="I275" i="101"/>
  <c r="H275" i="101"/>
  <c r="F275" i="101"/>
  <c r="E275" i="101"/>
  <c r="D275" i="101"/>
  <c r="C275" i="101"/>
  <c r="K274" i="101"/>
  <c r="J274" i="101"/>
  <c r="I274" i="101"/>
  <c r="H274" i="101"/>
  <c r="F274" i="101"/>
  <c r="E274" i="101"/>
  <c r="D274" i="101"/>
  <c r="C274" i="101"/>
  <c r="K273" i="101"/>
  <c r="J273" i="101"/>
  <c r="I273" i="101"/>
  <c r="H273" i="101"/>
  <c r="F273" i="101"/>
  <c r="E273" i="101"/>
  <c r="D273" i="101"/>
  <c r="C273" i="101"/>
  <c r="K272" i="101"/>
  <c r="J272" i="101"/>
  <c r="I272" i="101"/>
  <c r="H272" i="101"/>
  <c r="F272" i="101"/>
  <c r="E272" i="101"/>
  <c r="D272" i="101"/>
  <c r="C272" i="101"/>
  <c r="K270" i="101"/>
  <c r="K271" i="101" s="1"/>
  <c r="J270" i="101"/>
  <c r="J271" i="101" s="1"/>
  <c r="I270" i="101"/>
  <c r="I271" i="101" s="1"/>
  <c r="H270" i="101"/>
  <c r="H271" i="101" s="1"/>
  <c r="F270" i="101"/>
  <c r="E270" i="101"/>
  <c r="D270" i="101"/>
  <c r="C270" i="101"/>
  <c r="K268" i="101"/>
  <c r="K269" i="101" s="1"/>
  <c r="J268" i="101"/>
  <c r="J269" i="101" s="1"/>
  <c r="I268" i="101"/>
  <c r="I269" i="101" s="1"/>
  <c r="H268" i="101"/>
  <c r="H269" i="101" s="1"/>
  <c r="F268" i="101"/>
  <c r="E268" i="101"/>
  <c r="D268" i="101"/>
  <c r="C268" i="101"/>
  <c r="K266" i="101"/>
  <c r="K267" i="101" s="1"/>
  <c r="J266" i="101"/>
  <c r="J267" i="101" s="1"/>
  <c r="I266" i="101"/>
  <c r="I267" i="101" s="1"/>
  <c r="H266" i="101"/>
  <c r="H267" i="101" s="1"/>
  <c r="F266" i="101"/>
  <c r="E266" i="101"/>
  <c r="D266" i="101"/>
  <c r="C266" i="101"/>
  <c r="K264" i="101"/>
  <c r="K265" i="101" s="1"/>
  <c r="J264" i="101"/>
  <c r="J265" i="101" s="1"/>
  <c r="I264" i="101"/>
  <c r="I265" i="101" s="1"/>
  <c r="H264" i="101"/>
  <c r="H265" i="101" s="1"/>
  <c r="F264" i="101"/>
  <c r="E264" i="101"/>
  <c r="D264" i="101"/>
  <c r="C264" i="101"/>
  <c r="K263" i="101"/>
  <c r="J263" i="101"/>
  <c r="I263" i="101"/>
  <c r="H263" i="101"/>
  <c r="F263" i="101"/>
  <c r="E263" i="101"/>
  <c r="D263" i="101"/>
  <c r="C263" i="101"/>
  <c r="K262" i="101"/>
  <c r="J262" i="101"/>
  <c r="I262" i="101"/>
  <c r="H262" i="101"/>
  <c r="F262" i="101"/>
  <c r="E262" i="101"/>
  <c r="D262" i="101"/>
  <c r="C262" i="101"/>
  <c r="K261" i="101"/>
  <c r="J261" i="101"/>
  <c r="I261" i="101"/>
  <c r="H261" i="101"/>
  <c r="F261" i="101"/>
  <c r="E261" i="101"/>
  <c r="D261" i="101"/>
  <c r="C261" i="101"/>
  <c r="K260" i="101"/>
  <c r="J260" i="101"/>
  <c r="I260" i="101"/>
  <c r="H260" i="101"/>
  <c r="F260" i="101"/>
  <c r="E260" i="101"/>
  <c r="D260" i="101"/>
  <c r="C260" i="101"/>
  <c r="K259" i="101"/>
  <c r="J259" i="101"/>
  <c r="I259" i="101"/>
  <c r="H259" i="101"/>
  <c r="F259" i="101"/>
  <c r="E259" i="101"/>
  <c r="D259" i="101"/>
  <c r="C259" i="101"/>
  <c r="K258" i="101"/>
  <c r="J258" i="101"/>
  <c r="I258" i="101"/>
  <c r="H258" i="101"/>
  <c r="F258" i="101"/>
  <c r="E258" i="101"/>
  <c r="D258" i="101"/>
  <c r="C258" i="101"/>
  <c r="K257" i="101"/>
  <c r="J257" i="101"/>
  <c r="I257" i="101"/>
  <c r="H257" i="101"/>
  <c r="F257" i="101"/>
  <c r="E257" i="101"/>
  <c r="D257" i="101"/>
  <c r="C257" i="101"/>
  <c r="K256" i="101"/>
  <c r="J256" i="101"/>
  <c r="I256" i="101"/>
  <c r="H256" i="101"/>
  <c r="F256" i="101"/>
  <c r="E256" i="101"/>
  <c r="D256" i="101"/>
  <c r="C256" i="101"/>
  <c r="K255" i="101"/>
  <c r="J255" i="101"/>
  <c r="I255" i="101"/>
  <c r="H255" i="101"/>
  <c r="F255" i="101"/>
  <c r="E255" i="101"/>
  <c r="D255" i="101"/>
  <c r="C255" i="101"/>
  <c r="K253" i="101"/>
  <c r="K254" i="101" s="1"/>
  <c r="J253" i="101"/>
  <c r="J254" i="101" s="1"/>
  <c r="I253" i="101"/>
  <c r="I254" i="101" s="1"/>
  <c r="H253" i="101"/>
  <c r="H254" i="101" s="1"/>
  <c r="F253" i="101"/>
  <c r="E253" i="101"/>
  <c r="C253" i="101"/>
  <c r="K251" i="101"/>
  <c r="K252" i="101" s="1"/>
  <c r="J251" i="101"/>
  <c r="J252" i="101" s="1"/>
  <c r="I251" i="101"/>
  <c r="I252" i="101" s="1"/>
  <c r="H251" i="101"/>
  <c r="H252" i="101" s="1"/>
  <c r="F251" i="101"/>
  <c r="E251" i="101"/>
  <c r="D251" i="101"/>
  <c r="C251" i="101"/>
  <c r="K250" i="101"/>
  <c r="J250" i="101"/>
  <c r="I250" i="101"/>
  <c r="H250" i="101"/>
  <c r="F250" i="101"/>
  <c r="E250" i="101"/>
  <c r="D250" i="101"/>
  <c r="C250" i="101"/>
  <c r="K249" i="101"/>
  <c r="J249" i="101"/>
  <c r="I249" i="101"/>
  <c r="H249" i="101"/>
  <c r="F249" i="101"/>
  <c r="E249" i="101"/>
  <c r="D249" i="101"/>
  <c r="C249" i="101"/>
  <c r="K248" i="101"/>
  <c r="J248" i="101"/>
  <c r="I248" i="101"/>
  <c r="H248" i="101"/>
  <c r="F248" i="101"/>
  <c r="E248" i="101"/>
  <c r="D248" i="101"/>
  <c r="C248" i="101"/>
  <c r="K247" i="101"/>
  <c r="J247" i="101"/>
  <c r="I247" i="101"/>
  <c r="H247" i="101"/>
  <c r="F247" i="101"/>
  <c r="E247" i="101"/>
  <c r="D247" i="101"/>
  <c r="C247" i="101"/>
  <c r="K246" i="101"/>
  <c r="J246" i="101"/>
  <c r="I246" i="101"/>
  <c r="H246" i="101"/>
  <c r="F246" i="101"/>
  <c r="E246" i="101"/>
  <c r="D246" i="101"/>
  <c r="C246" i="101"/>
  <c r="K245" i="101"/>
  <c r="J245" i="101"/>
  <c r="I245" i="101"/>
  <c r="H245" i="101"/>
  <c r="F245" i="101"/>
  <c r="E245" i="101"/>
  <c r="D245" i="101"/>
  <c r="C245" i="101"/>
  <c r="K243" i="101"/>
  <c r="K244" i="101" s="1"/>
  <c r="J243" i="101"/>
  <c r="J244" i="101" s="1"/>
  <c r="I243" i="101"/>
  <c r="I244" i="101" s="1"/>
  <c r="H243" i="101"/>
  <c r="H244" i="101" s="1"/>
  <c r="F243" i="101"/>
  <c r="E243" i="101"/>
  <c r="D243" i="101"/>
  <c r="C243" i="101"/>
  <c r="K241" i="101"/>
  <c r="K242" i="101" s="1"/>
  <c r="J241" i="101"/>
  <c r="J242" i="101" s="1"/>
  <c r="I241" i="101"/>
  <c r="I242" i="101" s="1"/>
  <c r="H241" i="101"/>
  <c r="H242" i="101" s="1"/>
  <c r="F241" i="101"/>
  <c r="E241" i="101"/>
  <c r="D241" i="101"/>
  <c r="C241" i="101"/>
  <c r="K239" i="101"/>
  <c r="K240" i="101" s="1"/>
  <c r="J239" i="101"/>
  <c r="J240" i="101" s="1"/>
  <c r="I239" i="101"/>
  <c r="I240" i="101" s="1"/>
  <c r="H239" i="101"/>
  <c r="H240" i="101" s="1"/>
  <c r="F239" i="101"/>
  <c r="E239" i="101"/>
  <c r="D239" i="101"/>
  <c r="C239" i="101"/>
  <c r="K237" i="101"/>
  <c r="K238" i="101" s="1"/>
  <c r="J237" i="101"/>
  <c r="J238" i="101" s="1"/>
  <c r="I237" i="101"/>
  <c r="I238" i="101" s="1"/>
  <c r="H237" i="101"/>
  <c r="H238" i="101" s="1"/>
  <c r="F237" i="101"/>
  <c r="E237" i="101"/>
  <c r="D237" i="101"/>
  <c r="C237" i="101"/>
  <c r="K235" i="101"/>
  <c r="K236" i="101" s="1"/>
  <c r="J235" i="101"/>
  <c r="J236" i="101" s="1"/>
  <c r="I235" i="101"/>
  <c r="I236" i="101" s="1"/>
  <c r="H235" i="101"/>
  <c r="H236" i="101" s="1"/>
  <c r="F235" i="101"/>
  <c r="E235" i="101"/>
  <c r="D235" i="101"/>
  <c r="C235" i="101"/>
  <c r="K234" i="101"/>
  <c r="J234" i="101"/>
  <c r="I234" i="101"/>
  <c r="H234" i="101"/>
  <c r="F234" i="101"/>
  <c r="E234" i="101"/>
  <c r="D234" i="101"/>
  <c r="C234" i="101"/>
  <c r="K233" i="101"/>
  <c r="J233" i="101"/>
  <c r="I233" i="101"/>
  <c r="H233" i="101"/>
  <c r="F233" i="101"/>
  <c r="E233" i="101"/>
  <c r="D233" i="101"/>
  <c r="C233" i="101"/>
  <c r="K232" i="101"/>
  <c r="J232" i="101"/>
  <c r="I232" i="101"/>
  <c r="H232" i="101"/>
  <c r="F232" i="101"/>
  <c r="E232" i="101"/>
  <c r="D232" i="101"/>
  <c r="C232" i="101"/>
  <c r="K231" i="101"/>
  <c r="J231" i="101"/>
  <c r="I231" i="101"/>
  <c r="H231" i="101"/>
  <c r="F231" i="101"/>
  <c r="E231" i="101"/>
  <c r="D231" i="101"/>
  <c r="C231" i="101"/>
  <c r="K230" i="101"/>
  <c r="J230" i="101"/>
  <c r="I230" i="101"/>
  <c r="H230" i="101"/>
  <c r="F230" i="101"/>
  <c r="E230" i="101"/>
  <c r="D230" i="101"/>
  <c r="C230" i="101"/>
  <c r="K229" i="101"/>
  <c r="J229" i="101"/>
  <c r="I229" i="101"/>
  <c r="H229" i="101"/>
  <c r="F229" i="101"/>
  <c r="E229" i="101"/>
  <c r="D229" i="101"/>
  <c r="C229" i="101"/>
  <c r="K228" i="101"/>
  <c r="J228" i="101"/>
  <c r="I228" i="101"/>
  <c r="H228" i="101"/>
  <c r="F228" i="101"/>
  <c r="E228" i="101"/>
  <c r="D228" i="101"/>
  <c r="C228" i="101"/>
  <c r="K227" i="101"/>
  <c r="J227" i="101"/>
  <c r="I227" i="101"/>
  <c r="H227" i="101"/>
  <c r="F227" i="101"/>
  <c r="E227" i="101"/>
  <c r="D227" i="101"/>
  <c r="C227" i="101"/>
  <c r="K226" i="101"/>
  <c r="J226" i="101"/>
  <c r="I226" i="101"/>
  <c r="H226" i="101"/>
  <c r="F226" i="101"/>
  <c r="E226" i="101"/>
  <c r="D226" i="101"/>
  <c r="C226" i="101"/>
  <c r="K225" i="101"/>
  <c r="J225" i="101"/>
  <c r="I225" i="101"/>
  <c r="H225" i="101"/>
  <c r="F225" i="101"/>
  <c r="E225" i="101"/>
  <c r="D225" i="101"/>
  <c r="C225" i="101"/>
  <c r="K224" i="101"/>
  <c r="J224" i="101"/>
  <c r="I224" i="101"/>
  <c r="H224" i="101"/>
  <c r="F224" i="101"/>
  <c r="E224" i="101"/>
  <c r="D224" i="101"/>
  <c r="C224" i="101"/>
  <c r="K223" i="101"/>
  <c r="J223" i="101"/>
  <c r="I223" i="101"/>
  <c r="H223" i="101"/>
  <c r="F223" i="101"/>
  <c r="E223" i="101"/>
  <c r="D223" i="101"/>
  <c r="C223" i="101"/>
  <c r="K222" i="101"/>
  <c r="J222" i="101"/>
  <c r="I222" i="101"/>
  <c r="H222" i="101"/>
  <c r="F222" i="101"/>
  <c r="E222" i="101"/>
  <c r="D222" i="101"/>
  <c r="C222" i="101"/>
  <c r="K221" i="101"/>
  <c r="J221" i="101"/>
  <c r="I221" i="101"/>
  <c r="H221" i="101"/>
  <c r="F221" i="101"/>
  <c r="E221" i="101"/>
  <c r="D221" i="101"/>
  <c r="C221" i="101"/>
  <c r="K220" i="101"/>
  <c r="J220" i="101"/>
  <c r="I220" i="101"/>
  <c r="H220" i="101"/>
  <c r="F220" i="101"/>
  <c r="E220" i="101"/>
  <c r="D220" i="101"/>
  <c r="C220" i="101"/>
  <c r="K219" i="101"/>
  <c r="J219" i="101"/>
  <c r="I219" i="101"/>
  <c r="H219" i="101"/>
  <c r="F219" i="101"/>
  <c r="E219" i="101"/>
  <c r="D219" i="101"/>
  <c r="C219" i="101"/>
  <c r="K218" i="101"/>
  <c r="J218" i="101"/>
  <c r="I218" i="101"/>
  <c r="H218" i="101"/>
  <c r="F218" i="101"/>
  <c r="E218" i="101"/>
  <c r="D218" i="101"/>
  <c r="C218" i="101"/>
  <c r="K217" i="101"/>
  <c r="J217" i="101"/>
  <c r="I217" i="101"/>
  <c r="H217" i="101"/>
  <c r="F217" i="101"/>
  <c r="E217" i="101"/>
  <c r="D217" i="101"/>
  <c r="C217" i="101"/>
  <c r="K216" i="101"/>
  <c r="J216" i="101"/>
  <c r="I216" i="101"/>
  <c r="H216" i="101"/>
  <c r="F216" i="101"/>
  <c r="E216" i="101"/>
  <c r="D216" i="101"/>
  <c r="C216" i="101"/>
  <c r="K215" i="101"/>
  <c r="J215" i="101"/>
  <c r="I215" i="101"/>
  <c r="H215" i="101"/>
  <c r="F215" i="101"/>
  <c r="E215" i="101"/>
  <c r="D215" i="101"/>
  <c r="C215" i="101"/>
  <c r="K214" i="101"/>
  <c r="J214" i="101"/>
  <c r="I214" i="101"/>
  <c r="H214" i="101"/>
  <c r="F214" i="101"/>
  <c r="E214" i="101"/>
  <c r="D214" i="101"/>
  <c r="C214" i="101"/>
  <c r="K213" i="101"/>
  <c r="J213" i="101"/>
  <c r="I213" i="101"/>
  <c r="H213" i="101"/>
  <c r="F213" i="101"/>
  <c r="E213" i="101"/>
  <c r="D213" i="101"/>
  <c r="C213" i="101"/>
  <c r="K212" i="101"/>
  <c r="J212" i="101"/>
  <c r="I212" i="101"/>
  <c r="H212" i="101"/>
  <c r="F212" i="101"/>
  <c r="E212" i="101"/>
  <c r="D212" i="101"/>
  <c r="C212" i="101"/>
  <c r="K211" i="101"/>
  <c r="J211" i="101"/>
  <c r="I211" i="101"/>
  <c r="H211" i="101"/>
  <c r="F211" i="101"/>
  <c r="E211" i="101"/>
  <c r="D211" i="101"/>
  <c r="C211" i="101"/>
  <c r="K210" i="101"/>
  <c r="J210" i="101"/>
  <c r="I210" i="101"/>
  <c r="H210" i="101"/>
  <c r="F210" i="101"/>
  <c r="E210" i="101"/>
  <c r="D210" i="101"/>
  <c r="C210" i="101"/>
  <c r="K209" i="101"/>
  <c r="J209" i="101"/>
  <c r="I209" i="101"/>
  <c r="H209" i="101"/>
  <c r="F209" i="101"/>
  <c r="E209" i="101"/>
  <c r="D209" i="101"/>
  <c r="C209" i="101"/>
  <c r="K208" i="101"/>
  <c r="J208" i="101"/>
  <c r="I208" i="101"/>
  <c r="H208" i="101"/>
  <c r="F208" i="101"/>
  <c r="E208" i="101"/>
  <c r="D208" i="101"/>
  <c r="C208" i="101"/>
  <c r="K207" i="101"/>
  <c r="J207" i="101"/>
  <c r="I207" i="101"/>
  <c r="H207" i="101"/>
  <c r="F207" i="101"/>
  <c r="E207" i="101"/>
  <c r="D207" i="101"/>
  <c r="C207" i="101"/>
  <c r="K206" i="101"/>
  <c r="J206" i="101"/>
  <c r="I206" i="101"/>
  <c r="H206" i="101"/>
  <c r="F206" i="101"/>
  <c r="E206" i="101"/>
  <c r="D206" i="101"/>
  <c r="C206" i="101"/>
  <c r="K205" i="101"/>
  <c r="J205" i="101"/>
  <c r="I205" i="101"/>
  <c r="H205" i="101"/>
  <c r="F205" i="101"/>
  <c r="E205" i="101"/>
  <c r="D205" i="101"/>
  <c r="C205" i="101"/>
  <c r="K204" i="101"/>
  <c r="J204" i="101"/>
  <c r="I204" i="101"/>
  <c r="H204" i="101"/>
  <c r="F204" i="101"/>
  <c r="E204" i="101"/>
  <c r="D204" i="101"/>
  <c r="C204" i="101"/>
  <c r="K203" i="101"/>
  <c r="J203" i="101"/>
  <c r="I203" i="101"/>
  <c r="H203" i="101"/>
  <c r="F203" i="101"/>
  <c r="E203" i="101"/>
  <c r="D203" i="101"/>
  <c r="C203" i="101"/>
  <c r="K202" i="101"/>
  <c r="J202" i="101"/>
  <c r="I202" i="101"/>
  <c r="H202" i="101"/>
  <c r="F202" i="101"/>
  <c r="E202" i="101"/>
  <c r="D202" i="101"/>
  <c r="C202" i="101"/>
  <c r="K201" i="101"/>
  <c r="J201" i="101"/>
  <c r="I201" i="101"/>
  <c r="H201" i="101"/>
  <c r="F201" i="101"/>
  <c r="E201" i="101"/>
  <c r="D201" i="101"/>
  <c r="C201" i="101"/>
  <c r="K200" i="101"/>
  <c r="J200" i="101"/>
  <c r="I200" i="101"/>
  <c r="H200" i="101"/>
  <c r="F200" i="101"/>
  <c r="E200" i="101"/>
  <c r="D200" i="101"/>
  <c r="C200" i="101"/>
  <c r="K199" i="101"/>
  <c r="J199" i="101"/>
  <c r="I199" i="101"/>
  <c r="H199" i="101"/>
  <c r="F199" i="101"/>
  <c r="E199" i="101"/>
  <c r="D199" i="101"/>
  <c r="C199" i="101"/>
  <c r="K198" i="101"/>
  <c r="J198" i="101"/>
  <c r="I198" i="101"/>
  <c r="H198" i="101"/>
  <c r="F198" i="101"/>
  <c r="E198" i="101"/>
  <c r="D198" i="101"/>
  <c r="C198" i="101"/>
  <c r="K197" i="101"/>
  <c r="J197" i="101"/>
  <c r="I197" i="101"/>
  <c r="H197" i="101"/>
  <c r="F197" i="101"/>
  <c r="E197" i="101"/>
  <c r="D197" i="101"/>
  <c r="C197" i="101"/>
  <c r="K196" i="101"/>
  <c r="J196" i="101"/>
  <c r="I196" i="101"/>
  <c r="H196" i="101"/>
  <c r="F196" i="101"/>
  <c r="E196" i="101"/>
  <c r="D196" i="101"/>
  <c r="C196" i="101"/>
  <c r="K195" i="101"/>
  <c r="J195" i="101"/>
  <c r="I195" i="101"/>
  <c r="H195" i="101"/>
  <c r="F195" i="101"/>
  <c r="E195" i="101"/>
  <c r="D195" i="101"/>
  <c r="C195" i="101"/>
  <c r="K194" i="101"/>
  <c r="J194" i="101"/>
  <c r="I194" i="101"/>
  <c r="H194" i="101"/>
  <c r="F194" i="101"/>
  <c r="E194" i="101"/>
  <c r="D194" i="101"/>
  <c r="C194" i="101"/>
  <c r="K193" i="101"/>
  <c r="J193" i="101"/>
  <c r="I193" i="101"/>
  <c r="H193" i="101"/>
  <c r="F193" i="101"/>
  <c r="E193" i="101"/>
  <c r="D193" i="101"/>
  <c r="C193" i="101"/>
  <c r="K192" i="101"/>
  <c r="J192" i="101"/>
  <c r="I192" i="101"/>
  <c r="H192" i="101"/>
  <c r="F192" i="101"/>
  <c r="E192" i="101"/>
  <c r="D192" i="101"/>
  <c r="C192" i="101"/>
  <c r="K191" i="101"/>
  <c r="J191" i="101"/>
  <c r="I191" i="101"/>
  <c r="H191" i="101"/>
  <c r="F191" i="101"/>
  <c r="E191" i="101"/>
  <c r="D191" i="101"/>
  <c r="C191" i="101"/>
  <c r="K190" i="101"/>
  <c r="J190" i="101"/>
  <c r="I190" i="101"/>
  <c r="H190" i="101"/>
  <c r="F190" i="101"/>
  <c r="E190" i="101"/>
  <c r="D190" i="101"/>
  <c r="C190" i="101"/>
  <c r="K189" i="101"/>
  <c r="J189" i="101"/>
  <c r="I189" i="101"/>
  <c r="H189" i="101"/>
  <c r="F189" i="101"/>
  <c r="E189" i="101"/>
  <c r="D189" i="101"/>
  <c r="C189" i="101"/>
  <c r="K187" i="101"/>
  <c r="K188" i="101" s="1"/>
  <c r="J187" i="101"/>
  <c r="J188" i="101" s="1"/>
  <c r="I187" i="101"/>
  <c r="I188" i="101" s="1"/>
  <c r="H187" i="101"/>
  <c r="H188" i="101" s="1"/>
  <c r="F187" i="101"/>
  <c r="E187" i="101"/>
  <c r="D187" i="101"/>
  <c r="C187" i="101"/>
  <c r="K185" i="101"/>
  <c r="K186" i="101" s="1"/>
  <c r="J185" i="101"/>
  <c r="J186" i="101" s="1"/>
  <c r="I185" i="101"/>
  <c r="I186" i="101" s="1"/>
  <c r="H185" i="101"/>
  <c r="H186" i="101" s="1"/>
  <c r="F185" i="101"/>
  <c r="E185" i="101"/>
  <c r="D185" i="101"/>
  <c r="C185" i="101"/>
  <c r="K183" i="101"/>
  <c r="K184" i="101" s="1"/>
  <c r="J183" i="101"/>
  <c r="J184" i="101" s="1"/>
  <c r="I183" i="101"/>
  <c r="I184" i="101" s="1"/>
  <c r="H183" i="101"/>
  <c r="H184" i="101" s="1"/>
  <c r="F183" i="101"/>
  <c r="E183" i="101"/>
  <c r="D183" i="101"/>
  <c r="C183" i="101"/>
  <c r="K181" i="101"/>
  <c r="K182" i="101" s="1"/>
  <c r="J181" i="101"/>
  <c r="J182" i="101" s="1"/>
  <c r="I181" i="101"/>
  <c r="I182" i="101" s="1"/>
  <c r="H181" i="101"/>
  <c r="H182" i="101" s="1"/>
  <c r="F181" i="101"/>
  <c r="E181" i="101"/>
  <c r="D181" i="101"/>
  <c r="C181" i="101"/>
  <c r="K180" i="101"/>
  <c r="J180" i="101"/>
  <c r="I180" i="101"/>
  <c r="H180" i="101"/>
  <c r="F180" i="101"/>
  <c r="E180" i="101"/>
  <c r="D180" i="101"/>
  <c r="C180" i="101"/>
  <c r="K179" i="101"/>
  <c r="J179" i="101"/>
  <c r="I179" i="101"/>
  <c r="H179" i="101"/>
  <c r="F179" i="101"/>
  <c r="E179" i="101"/>
  <c r="D179" i="101"/>
  <c r="C179" i="101"/>
  <c r="K178" i="101"/>
  <c r="J178" i="101"/>
  <c r="I178" i="101"/>
  <c r="H178" i="101"/>
  <c r="F178" i="101"/>
  <c r="E178" i="101"/>
  <c r="D178" i="101"/>
  <c r="C178" i="101"/>
  <c r="K177" i="101"/>
  <c r="J177" i="101"/>
  <c r="I177" i="101"/>
  <c r="H177" i="101"/>
  <c r="F177" i="101"/>
  <c r="E177" i="101"/>
  <c r="D177" i="101"/>
  <c r="C177" i="101"/>
  <c r="K176" i="101"/>
  <c r="J176" i="101"/>
  <c r="I176" i="101"/>
  <c r="H176" i="101"/>
  <c r="F176" i="101"/>
  <c r="E176" i="101"/>
  <c r="D176" i="101"/>
  <c r="C176" i="101"/>
  <c r="K175" i="101"/>
  <c r="J175" i="101"/>
  <c r="I175" i="101"/>
  <c r="H175" i="101"/>
  <c r="F175" i="101"/>
  <c r="E175" i="101"/>
  <c r="D175" i="101"/>
  <c r="C175" i="101"/>
  <c r="K174" i="101"/>
  <c r="J174" i="101"/>
  <c r="I174" i="101"/>
  <c r="H174" i="101"/>
  <c r="F174" i="101"/>
  <c r="E174" i="101"/>
  <c r="D174" i="101"/>
  <c r="C174" i="101"/>
  <c r="K173" i="101"/>
  <c r="J173" i="101"/>
  <c r="I173" i="101"/>
  <c r="H173" i="101"/>
  <c r="F173" i="101"/>
  <c r="E173" i="101"/>
  <c r="D173" i="101"/>
  <c r="C173" i="101"/>
  <c r="K172" i="101"/>
  <c r="J172" i="101"/>
  <c r="I172" i="101"/>
  <c r="H172" i="101"/>
  <c r="F172" i="101"/>
  <c r="E172" i="101"/>
  <c r="D172" i="101"/>
  <c r="C172" i="101"/>
  <c r="K170" i="101"/>
  <c r="K171" i="101" s="1"/>
  <c r="J170" i="101"/>
  <c r="J171" i="101" s="1"/>
  <c r="I170" i="101"/>
  <c r="I171" i="101" s="1"/>
  <c r="H170" i="101"/>
  <c r="H171" i="101" s="1"/>
  <c r="F170" i="101"/>
  <c r="E170" i="101"/>
  <c r="D170" i="101"/>
  <c r="C170" i="101"/>
  <c r="K168" i="101"/>
  <c r="K169" i="101" s="1"/>
  <c r="J168" i="101"/>
  <c r="J169" i="101" s="1"/>
  <c r="I168" i="101"/>
  <c r="I169" i="101" s="1"/>
  <c r="H168" i="101"/>
  <c r="H169" i="101" s="1"/>
  <c r="F168" i="101"/>
  <c r="E168" i="101"/>
  <c r="D168" i="101"/>
  <c r="C168" i="101"/>
  <c r="K167" i="101"/>
  <c r="J167" i="101"/>
  <c r="I167" i="101"/>
  <c r="H167" i="101"/>
  <c r="F167" i="101"/>
  <c r="E167" i="101"/>
  <c r="D167" i="101"/>
  <c r="C167" i="101"/>
  <c r="K166" i="101"/>
  <c r="J166" i="101"/>
  <c r="I166" i="101"/>
  <c r="H166" i="101"/>
  <c r="F166" i="101"/>
  <c r="E166" i="101"/>
  <c r="D166" i="101"/>
  <c r="C166" i="101"/>
  <c r="K165" i="101"/>
  <c r="J165" i="101"/>
  <c r="I165" i="101"/>
  <c r="H165" i="101"/>
  <c r="F165" i="101"/>
  <c r="E165" i="101"/>
  <c r="D165" i="101"/>
  <c r="C165" i="101"/>
  <c r="K164" i="101"/>
  <c r="J164" i="101"/>
  <c r="I164" i="101"/>
  <c r="H164" i="101"/>
  <c r="F164" i="101"/>
  <c r="E164" i="101"/>
  <c r="D164" i="101"/>
  <c r="C164" i="101"/>
  <c r="K163" i="101"/>
  <c r="J163" i="101"/>
  <c r="I163" i="101"/>
  <c r="H163" i="101"/>
  <c r="F163" i="101"/>
  <c r="E163" i="101"/>
  <c r="D163" i="101"/>
  <c r="C163" i="101"/>
  <c r="K162" i="101"/>
  <c r="J162" i="101"/>
  <c r="I162" i="101"/>
  <c r="H162" i="101"/>
  <c r="F162" i="101"/>
  <c r="E162" i="101"/>
  <c r="D162" i="101"/>
  <c r="C162" i="101"/>
  <c r="K160" i="101"/>
  <c r="K161" i="101" s="1"/>
  <c r="J160" i="101"/>
  <c r="J161" i="101" s="1"/>
  <c r="I160" i="101"/>
  <c r="I161" i="101" s="1"/>
  <c r="H160" i="101"/>
  <c r="H161" i="101" s="1"/>
  <c r="F160" i="101"/>
  <c r="E160" i="101"/>
  <c r="D160" i="101"/>
  <c r="C160" i="101"/>
  <c r="K158" i="101"/>
  <c r="K159" i="101" s="1"/>
  <c r="J158" i="101"/>
  <c r="J159" i="101" s="1"/>
  <c r="I158" i="101"/>
  <c r="I159" i="101" s="1"/>
  <c r="H158" i="101"/>
  <c r="H159" i="101" s="1"/>
  <c r="F158" i="101"/>
  <c r="E158" i="101"/>
  <c r="D158" i="101"/>
  <c r="C158" i="101"/>
  <c r="K156" i="101"/>
  <c r="K157" i="101" s="1"/>
  <c r="J156" i="101"/>
  <c r="J157" i="101" s="1"/>
  <c r="I156" i="101"/>
  <c r="I157" i="101" s="1"/>
  <c r="H156" i="101"/>
  <c r="H157" i="101" s="1"/>
  <c r="F156" i="101"/>
  <c r="E156" i="101"/>
  <c r="D156" i="101"/>
  <c r="C156" i="101"/>
  <c r="K154" i="101"/>
  <c r="K155" i="101" s="1"/>
  <c r="J154" i="101"/>
  <c r="J155" i="101" s="1"/>
  <c r="I154" i="101"/>
  <c r="I155" i="101" s="1"/>
  <c r="H154" i="101"/>
  <c r="H155" i="101" s="1"/>
  <c r="F154" i="101"/>
  <c r="E154" i="101"/>
  <c r="D154" i="101"/>
  <c r="C154" i="101"/>
  <c r="K152" i="101"/>
  <c r="K153" i="101" s="1"/>
  <c r="J152" i="101"/>
  <c r="J153" i="101" s="1"/>
  <c r="I152" i="101"/>
  <c r="I153" i="101" s="1"/>
  <c r="H152" i="101"/>
  <c r="H153" i="101" s="1"/>
  <c r="F152" i="101"/>
  <c r="E152" i="101"/>
  <c r="D152" i="101"/>
  <c r="C152" i="101"/>
  <c r="K151" i="101"/>
  <c r="J151" i="101"/>
  <c r="I151" i="101"/>
  <c r="H151" i="101"/>
  <c r="F151" i="101"/>
  <c r="E151" i="101"/>
  <c r="D151" i="101"/>
  <c r="C151" i="101"/>
  <c r="K150" i="101"/>
  <c r="J150" i="101"/>
  <c r="I150" i="101"/>
  <c r="H150" i="101"/>
  <c r="F150" i="101"/>
  <c r="E150" i="101"/>
  <c r="D150" i="101"/>
  <c r="C150" i="101"/>
  <c r="K149" i="101"/>
  <c r="J149" i="101"/>
  <c r="I149" i="101"/>
  <c r="H149" i="101"/>
  <c r="F149" i="101"/>
  <c r="E149" i="101"/>
  <c r="D149" i="101"/>
  <c r="C149" i="101"/>
  <c r="K148" i="101"/>
  <c r="J148" i="101"/>
  <c r="I148" i="101"/>
  <c r="H148" i="101"/>
  <c r="F148" i="101"/>
  <c r="E148" i="101"/>
  <c r="D148" i="101"/>
  <c r="C148" i="101"/>
  <c r="K147" i="101"/>
  <c r="J147" i="101"/>
  <c r="I147" i="101"/>
  <c r="H147" i="101"/>
  <c r="F147" i="101"/>
  <c r="E147" i="101"/>
  <c r="D147" i="101"/>
  <c r="C147" i="101"/>
  <c r="K146" i="101"/>
  <c r="J146" i="101"/>
  <c r="I146" i="101"/>
  <c r="H146" i="101"/>
  <c r="F146" i="101"/>
  <c r="E146" i="101"/>
  <c r="D146" i="101"/>
  <c r="C146" i="101"/>
  <c r="K145" i="101"/>
  <c r="J145" i="101"/>
  <c r="I145" i="101"/>
  <c r="H145" i="101"/>
  <c r="F145" i="101"/>
  <c r="E145" i="101"/>
  <c r="D145" i="101"/>
  <c r="C145" i="101"/>
  <c r="K144" i="101"/>
  <c r="J144" i="101"/>
  <c r="I144" i="101"/>
  <c r="H144" i="101"/>
  <c r="F144" i="101"/>
  <c r="E144" i="101"/>
  <c r="D144" i="101"/>
  <c r="C144" i="101"/>
  <c r="K143" i="101"/>
  <c r="J143" i="101"/>
  <c r="I143" i="101"/>
  <c r="H143" i="101"/>
  <c r="F143" i="101"/>
  <c r="E143" i="101"/>
  <c r="D143" i="101"/>
  <c r="C143" i="101"/>
  <c r="K142" i="101"/>
  <c r="J142" i="101"/>
  <c r="I142" i="101"/>
  <c r="H142" i="101"/>
  <c r="F142" i="101"/>
  <c r="E142" i="101"/>
  <c r="D142" i="101"/>
  <c r="C142" i="101"/>
  <c r="K141" i="101"/>
  <c r="J141" i="101"/>
  <c r="I141" i="101"/>
  <c r="H141" i="101"/>
  <c r="F141" i="101"/>
  <c r="E141" i="101"/>
  <c r="D141" i="101"/>
  <c r="C141" i="101"/>
  <c r="K140" i="101"/>
  <c r="J140" i="101"/>
  <c r="I140" i="101"/>
  <c r="H140" i="101"/>
  <c r="F140" i="101"/>
  <c r="E140" i="101"/>
  <c r="D140" i="101"/>
  <c r="C140" i="101"/>
  <c r="K139" i="101"/>
  <c r="J139" i="101"/>
  <c r="I139" i="101"/>
  <c r="H139" i="101"/>
  <c r="F139" i="101"/>
  <c r="E139" i="101"/>
  <c r="D139" i="101"/>
  <c r="C139" i="101"/>
  <c r="K138" i="101"/>
  <c r="J138" i="101"/>
  <c r="I138" i="101"/>
  <c r="H138" i="101"/>
  <c r="F138" i="101"/>
  <c r="E138" i="101"/>
  <c r="D138" i="101"/>
  <c r="C138" i="101"/>
  <c r="K137" i="101"/>
  <c r="J137" i="101"/>
  <c r="I137" i="101"/>
  <c r="H137" i="101"/>
  <c r="F137" i="101"/>
  <c r="E137" i="101"/>
  <c r="D137" i="101"/>
  <c r="C137" i="101"/>
  <c r="K136" i="101"/>
  <c r="J136" i="101"/>
  <c r="I136" i="101"/>
  <c r="H136" i="101"/>
  <c r="F136" i="101"/>
  <c r="E136" i="101"/>
  <c r="D136" i="101"/>
  <c r="C136" i="101"/>
  <c r="K135" i="101"/>
  <c r="J135" i="101"/>
  <c r="I135" i="101"/>
  <c r="H135" i="101"/>
  <c r="F135" i="101"/>
  <c r="E135" i="101"/>
  <c r="D135" i="101"/>
  <c r="C135" i="101"/>
  <c r="K134" i="101"/>
  <c r="J134" i="101"/>
  <c r="I134" i="101"/>
  <c r="H134" i="101"/>
  <c r="F134" i="101"/>
  <c r="E134" i="101"/>
  <c r="D134" i="101"/>
  <c r="C134" i="101"/>
  <c r="K133" i="101"/>
  <c r="J133" i="101"/>
  <c r="I133" i="101"/>
  <c r="H133" i="101"/>
  <c r="F133" i="101"/>
  <c r="E133" i="101"/>
  <c r="D133" i="101"/>
  <c r="C133" i="101"/>
  <c r="K132" i="101"/>
  <c r="J132" i="101"/>
  <c r="I132" i="101"/>
  <c r="H132" i="101"/>
  <c r="F132" i="101"/>
  <c r="E132" i="101"/>
  <c r="D132" i="101"/>
  <c r="C132" i="101"/>
  <c r="K131" i="101"/>
  <c r="J131" i="101"/>
  <c r="I131" i="101"/>
  <c r="H131" i="101"/>
  <c r="F131" i="101"/>
  <c r="E131" i="101"/>
  <c r="D131" i="101"/>
  <c r="C131" i="101"/>
  <c r="K130" i="101"/>
  <c r="J130" i="101"/>
  <c r="I130" i="101"/>
  <c r="H130" i="101"/>
  <c r="F130" i="101"/>
  <c r="E130" i="101"/>
  <c r="D130" i="101"/>
  <c r="C130" i="101"/>
  <c r="K129" i="101"/>
  <c r="J129" i="101"/>
  <c r="I129" i="101"/>
  <c r="H129" i="101"/>
  <c r="F129" i="101"/>
  <c r="E129" i="101"/>
  <c r="D129" i="101"/>
  <c r="C129" i="101"/>
  <c r="K128" i="101"/>
  <c r="J128" i="101"/>
  <c r="I128" i="101"/>
  <c r="H128" i="101"/>
  <c r="F128" i="101"/>
  <c r="E128" i="101"/>
  <c r="D128" i="101"/>
  <c r="C128" i="101"/>
  <c r="K127" i="101"/>
  <c r="J127" i="101"/>
  <c r="I127" i="101"/>
  <c r="H127" i="101"/>
  <c r="F127" i="101"/>
  <c r="E127" i="101"/>
  <c r="D127" i="101"/>
  <c r="C127" i="101"/>
  <c r="K126" i="101"/>
  <c r="J126" i="101"/>
  <c r="I126" i="101"/>
  <c r="H126" i="101"/>
  <c r="F126" i="101"/>
  <c r="E126" i="101"/>
  <c r="D126" i="101"/>
  <c r="C126" i="101"/>
  <c r="K125" i="101"/>
  <c r="J125" i="101"/>
  <c r="I125" i="101"/>
  <c r="H125" i="101"/>
  <c r="F125" i="101"/>
  <c r="E125" i="101"/>
  <c r="D125" i="101"/>
  <c r="C125" i="101"/>
  <c r="K124" i="101"/>
  <c r="J124" i="101"/>
  <c r="I124" i="101"/>
  <c r="H124" i="101"/>
  <c r="F124" i="101"/>
  <c r="E124" i="101"/>
  <c r="D124" i="101"/>
  <c r="C124" i="101"/>
  <c r="K123" i="101"/>
  <c r="J123" i="101"/>
  <c r="I123" i="101"/>
  <c r="H123" i="101"/>
  <c r="F123" i="101"/>
  <c r="E123" i="101"/>
  <c r="D123" i="101"/>
  <c r="C123" i="101"/>
  <c r="K122" i="101"/>
  <c r="J122" i="101"/>
  <c r="I122" i="101"/>
  <c r="H122" i="101"/>
  <c r="F122" i="101"/>
  <c r="E122" i="101"/>
  <c r="D122" i="101"/>
  <c r="C122" i="101"/>
  <c r="K121" i="101"/>
  <c r="J121" i="101"/>
  <c r="I121" i="101"/>
  <c r="H121" i="101"/>
  <c r="F121" i="101"/>
  <c r="E121" i="101"/>
  <c r="D121" i="101"/>
  <c r="C121" i="101"/>
  <c r="K120" i="101"/>
  <c r="J120" i="101"/>
  <c r="I120" i="101"/>
  <c r="H120" i="101"/>
  <c r="F120" i="101"/>
  <c r="E120" i="101"/>
  <c r="D120" i="101"/>
  <c r="C120" i="101"/>
  <c r="K119" i="101"/>
  <c r="J119" i="101"/>
  <c r="I119" i="101"/>
  <c r="H119" i="101"/>
  <c r="F119" i="101"/>
  <c r="E119" i="101"/>
  <c r="D119" i="101"/>
  <c r="C119" i="101"/>
  <c r="K118" i="101"/>
  <c r="J118" i="101"/>
  <c r="I118" i="101"/>
  <c r="H118" i="101"/>
  <c r="F118" i="101"/>
  <c r="E118" i="101"/>
  <c r="D118" i="101"/>
  <c r="C118" i="101"/>
  <c r="K117" i="101"/>
  <c r="J117" i="101"/>
  <c r="I117" i="101"/>
  <c r="H117" i="101"/>
  <c r="F117" i="101"/>
  <c r="E117" i="101"/>
  <c r="D117" i="101"/>
  <c r="C117" i="101"/>
  <c r="K116" i="101"/>
  <c r="J116" i="101"/>
  <c r="I116" i="101"/>
  <c r="H116" i="101"/>
  <c r="F116" i="101"/>
  <c r="E116" i="101"/>
  <c r="D116" i="101"/>
  <c r="C116" i="101"/>
  <c r="K115" i="101"/>
  <c r="J115" i="101"/>
  <c r="I115" i="101"/>
  <c r="H115" i="101"/>
  <c r="F115" i="101"/>
  <c r="E115" i="101"/>
  <c r="D115" i="101"/>
  <c r="C115" i="101"/>
  <c r="K114" i="101"/>
  <c r="J114" i="101"/>
  <c r="I114" i="101"/>
  <c r="H114" i="101"/>
  <c r="F114" i="101"/>
  <c r="E114" i="101"/>
  <c r="D114" i="101"/>
  <c r="C114" i="101"/>
  <c r="K113" i="101"/>
  <c r="J113" i="101"/>
  <c r="I113" i="101"/>
  <c r="H113" i="101"/>
  <c r="F113" i="101"/>
  <c r="E113" i="101"/>
  <c r="D113" i="101"/>
  <c r="C113" i="101"/>
  <c r="K112" i="101"/>
  <c r="J112" i="101"/>
  <c r="I112" i="101"/>
  <c r="H112" i="101"/>
  <c r="F112" i="101"/>
  <c r="E112" i="101"/>
  <c r="D112" i="101"/>
  <c r="C112" i="101"/>
  <c r="K111" i="101"/>
  <c r="J111" i="101"/>
  <c r="I111" i="101"/>
  <c r="H111" i="101"/>
  <c r="F111" i="101"/>
  <c r="E111" i="101"/>
  <c r="D111" i="101"/>
  <c r="C111" i="101"/>
  <c r="K110" i="101"/>
  <c r="J110" i="101"/>
  <c r="I110" i="101"/>
  <c r="H110" i="101"/>
  <c r="F110" i="101"/>
  <c r="E110" i="101"/>
  <c r="D110" i="101"/>
  <c r="C110" i="101"/>
  <c r="K109" i="101"/>
  <c r="J109" i="101"/>
  <c r="I109" i="101"/>
  <c r="H109" i="101"/>
  <c r="F109" i="101"/>
  <c r="E109" i="101"/>
  <c r="D109" i="101"/>
  <c r="C109" i="101"/>
  <c r="K108" i="101"/>
  <c r="J108" i="101"/>
  <c r="I108" i="101"/>
  <c r="H108" i="101"/>
  <c r="F108" i="101"/>
  <c r="E108" i="101"/>
  <c r="D108" i="101"/>
  <c r="C108" i="101"/>
  <c r="K107" i="101"/>
  <c r="J107" i="101"/>
  <c r="I107" i="101"/>
  <c r="H107" i="101"/>
  <c r="F107" i="101"/>
  <c r="E107" i="101"/>
  <c r="D107" i="101"/>
  <c r="C107" i="101"/>
  <c r="K106" i="101"/>
  <c r="J106" i="101"/>
  <c r="I106" i="101"/>
  <c r="H106" i="101"/>
  <c r="F106" i="101"/>
  <c r="E106" i="101"/>
  <c r="D106" i="101"/>
  <c r="C106" i="101"/>
  <c r="K104" i="101"/>
  <c r="K105" i="101" s="1"/>
  <c r="J104" i="101"/>
  <c r="J105" i="101" s="1"/>
  <c r="I104" i="101"/>
  <c r="I105" i="101" s="1"/>
  <c r="H104" i="101"/>
  <c r="H105" i="101" s="1"/>
  <c r="F104" i="101"/>
  <c r="E104" i="101"/>
  <c r="D104" i="101"/>
  <c r="C104" i="101"/>
  <c r="K102" i="101"/>
  <c r="K103" i="101" s="1"/>
  <c r="J102" i="101"/>
  <c r="J103" i="101" s="1"/>
  <c r="I102" i="101"/>
  <c r="I103" i="101" s="1"/>
  <c r="H102" i="101"/>
  <c r="H103" i="101" s="1"/>
  <c r="F102" i="101"/>
  <c r="E102" i="101"/>
  <c r="D102" i="101"/>
  <c r="C102" i="101"/>
  <c r="K100" i="101"/>
  <c r="K101" i="101" s="1"/>
  <c r="J100" i="101"/>
  <c r="J101" i="101" s="1"/>
  <c r="I100" i="101"/>
  <c r="I101" i="101" s="1"/>
  <c r="H100" i="101"/>
  <c r="H101" i="101" s="1"/>
  <c r="F100" i="101"/>
  <c r="E100" i="101"/>
  <c r="D100" i="101"/>
  <c r="C100" i="101"/>
  <c r="K98" i="101"/>
  <c r="K99" i="101" s="1"/>
  <c r="J98" i="101"/>
  <c r="J99" i="101" s="1"/>
  <c r="I98" i="101"/>
  <c r="I99" i="101" s="1"/>
  <c r="H98" i="101"/>
  <c r="H99" i="101" s="1"/>
  <c r="F98" i="101"/>
  <c r="E98" i="101"/>
  <c r="D98" i="101"/>
  <c r="C98" i="101"/>
  <c r="K97" i="101"/>
  <c r="J97" i="101"/>
  <c r="I97" i="101"/>
  <c r="H97" i="101"/>
  <c r="F97" i="101"/>
  <c r="E97" i="101"/>
  <c r="D97" i="101"/>
  <c r="C97" i="101"/>
  <c r="K96" i="101"/>
  <c r="J96" i="101"/>
  <c r="I96" i="101"/>
  <c r="H96" i="101"/>
  <c r="F96" i="101"/>
  <c r="E96" i="101"/>
  <c r="D96" i="101"/>
  <c r="C96" i="101"/>
  <c r="K95" i="101"/>
  <c r="J95" i="101"/>
  <c r="I95" i="101"/>
  <c r="H95" i="101"/>
  <c r="F95" i="101"/>
  <c r="E95" i="101"/>
  <c r="D95" i="101"/>
  <c r="C95" i="101"/>
  <c r="K94" i="101"/>
  <c r="J94" i="101"/>
  <c r="I94" i="101"/>
  <c r="H94" i="101"/>
  <c r="F94" i="101"/>
  <c r="E94" i="101"/>
  <c r="D94" i="101"/>
  <c r="C94" i="101"/>
  <c r="K93" i="101"/>
  <c r="J93" i="101"/>
  <c r="I93" i="101"/>
  <c r="H93" i="101"/>
  <c r="F93" i="101"/>
  <c r="E93" i="101"/>
  <c r="D93" i="101"/>
  <c r="C93" i="101"/>
  <c r="K92" i="101"/>
  <c r="J92" i="101"/>
  <c r="I92" i="101"/>
  <c r="H92" i="101"/>
  <c r="F92" i="101"/>
  <c r="E92" i="101"/>
  <c r="D92" i="101"/>
  <c r="C92" i="101"/>
  <c r="K91" i="101"/>
  <c r="J91" i="101"/>
  <c r="I91" i="101"/>
  <c r="H91" i="101"/>
  <c r="F91" i="101"/>
  <c r="E91" i="101"/>
  <c r="D91" i="101"/>
  <c r="C91" i="101"/>
  <c r="K90" i="101"/>
  <c r="J90" i="101"/>
  <c r="I90" i="101"/>
  <c r="H90" i="101"/>
  <c r="F90" i="101"/>
  <c r="E90" i="101"/>
  <c r="D90" i="101"/>
  <c r="C90" i="101"/>
  <c r="K89" i="101"/>
  <c r="J89" i="101"/>
  <c r="I89" i="101"/>
  <c r="H89" i="101"/>
  <c r="F89" i="101"/>
  <c r="E89" i="101"/>
  <c r="D89" i="101"/>
  <c r="C89" i="101"/>
  <c r="K87" i="101"/>
  <c r="K88" i="101" s="1"/>
  <c r="J87" i="101"/>
  <c r="J88" i="101" s="1"/>
  <c r="I87" i="101"/>
  <c r="I88" i="101" s="1"/>
  <c r="H87" i="101"/>
  <c r="H88" i="101" s="1"/>
  <c r="F87" i="101"/>
  <c r="E87" i="101"/>
  <c r="D87" i="101"/>
  <c r="C87" i="101"/>
  <c r="K85" i="101"/>
  <c r="K86" i="101" s="1"/>
  <c r="J85" i="101"/>
  <c r="J86" i="101" s="1"/>
  <c r="I85" i="101"/>
  <c r="I86" i="101" s="1"/>
  <c r="H85" i="101"/>
  <c r="H86" i="101" s="1"/>
  <c r="F85" i="101"/>
  <c r="E85" i="101"/>
  <c r="D85" i="101"/>
  <c r="C85" i="101"/>
  <c r="K84" i="101"/>
  <c r="J84" i="101"/>
  <c r="I84" i="101"/>
  <c r="H84" i="101"/>
  <c r="F84" i="101"/>
  <c r="E84" i="101"/>
  <c r="D84" i="101"/>
  <c r="C84" i="101"/>
  <c r="K83" i="101"/>
  <c r="J83" i="101"/>
  <c r="I83" i="101"/>
  <c r="H83" i="101"/>
  <c r="F83" i="101"/>
  <c r="E83" i="101"/>
  <c r="D83" i="101"/>
  <c r="C83" i="101"/>
  <c r="K82" i="101"/>
  <c r="J82" i="101"/>
  <c r="I82" i="101"/>
  <c r="H82" i="101"/>
  <c r="F82" i="101"/>
  <c r="E82" i="101"/>
  <c r="D82" i="101"/>
  <c r="C82" i="101"/>
  <c r="K81" i="101"/>
  <c r="J81" i="101"/>
  <c r="I81" i="101"/>
  <c r="H81" i="101"/>
  <c r="F81" i="101"/>
  <c r="E81" i="101"/>
  <c r="D81" i="101"/>
  <c r="C81" i="101"/>
  <c r="K80" i="101"/>
  <c r="J80" i="101"/>
  <c r="I80" i="101"/>
  <c r="H80" i="101"/>
  <c r="F80" i="101"/>
  <c r="E80" i="101"/>
  <c r="D80" i="101"/>
  <c r="C80" i="101"/>
  <c r="K79" i="101"/>
  <c r="J79" i="101"/>
  <c r="I79" i="101"/>
  <c r="H79" i="101"/>
  <c r="F79" i="101"/>
  <c r="E79" i="101"/>
  <c r="D79" i="101"/>
  <c r="C79" i="101"/>
  <c r="K77" i="101"/>
  <c r="K78" i="101" s="1"/>
  <c r="J77" i="101"/>
  <c r="J78" i="101" s="1"/>
  <c r="I77" i="101"/>
  <c r="I78" i="101" s="1"/>
  <c r="H77" i="101"/>
  <c r="H78" i="101" s="1"/>
  <c r="F77" i="101"/>
  <c r="E77" i="101"/>
  <c r="D77" i="101"/>
  <c r="C77" i="101"/>
  <c r="K75" i="101"/>
  <c r="K76" i="101" s="1"/>
  <c r="J75" i="101"/>
  <c r="J76" i="101" s="1"/>
  <c r="I75" i="101"/>
  <c r="I76" i="101" s="1"/>
  <c r="H75" i="101"/>
  <c r="H76" i="101" s="1"/>
  <c r="F75" i="101"/>
  <c r="E75" i="101"/>
  <c r="D75" i="101"/>
  <c r="C75" i="101"/>
  <c r="K73" i="101"/>
  <c r="K74" i="101" s="1"/>
  <c r="J73" i="101"/>
  <c r="J74" i="101" s="1"/>
  <c r="I73" i="101"/>
  <c r="I74" i="101" s="1"/>
  <c r="H73" i="101"/>
  <c r="H74" i="101" s="1"/>
  <c r="F73" i="101"/>
  <c r="E73" i="101"/>
  <c r="D73" i="101"/>
  <c r="C73" i="101"/>
  <c r="K71" i="101"/>
  <c r="K72" i="101" s="1"/>
  <c r="J71" i="101"/>
  <c r="J72" i="101" s="1"/>
  <c r="I71" i="101"/>
  <c r="I72" i="101" s="1"/>
  <c r="H71" i="101"/>
  <c r="H72" i="101" s="1"/>
  <c r="F71" i="101"/>
  <c r="E71" i="101"/>
  <c r="D71" i="101"/>
  <c r="C71" i="101"/>
  <c r="K69" i="101"/>
  <c r="K70" i="101" s="1"/>
  <c r="J69" i="101"/>
  <c r="J70" i="101" s="1"/>
  <c r="I69" i="101"/>
  <c r="I70" i="101" s="1"/>
  <c r="H69" i="101"/>
  <c r="H70" i="101" s="1"/>
  <c r="F69" i="101"/>
  <c r="E69" i="101"/>
  <c r="D69" i="101"/>
  <c r="C69" i="101"/>
  <c r="K68" i="101"/>
  <c r="J68" i="101"/>
  <c r="I68" i="101"/>
  <c r="H68" i="101"/>
  <c r="F68" i="101"/>
  <c r="E68" i="101"/>
  <c r="D68" i="101"/>
  <c r="C68" i="101"/>
  <c r="K67" i="101"/>
  <c r="J67" i="101"/>
  <c r="I67" i="101"/>
  <c r="H67" i="101"/>
  <c r="F67" i="101"/>
  <c r="E67" i="101"/>
  <c r="D67" i="101"/>
  <c r="C67" i="101"/>
  <c r="K66" i="101"/>
  <c r="J66" i="101"/>
  <c r="I66" i="101"/>
  <c r="H66" i="101"/>
  <c r="F66" i="101"/>
  <c r="E66" i="101"/>
  <c r="D66" i="101"/>
  <c r="C66" i="101"/>
  <c r="K65" i="101"/>
  <c r="J65" i="101"/>
  <c r="I65" i="101"/>
  <c r="H65" i="101"/>
  <c r="F65" i="101"/>
  <c r="E65" i="101"/>
  <c r="D65" i="101"/>
  <c r="C65" i="101"/>
  <c r="K64" i="101"/>
  <c r="J64" i="101"/>
  <c r="I64" i="101"/>
  <c r="H64" i="101"/>
  <c r="F64" i="101"/>
  <c r="E64" i="101"/>
  <c r="D64" i="101"/>
  <c r="C64" i="101"/>
  <c r="K63" i="101"/>
  <c r="J63" i="101"/>
  <c r="I63" i="101"/>
  <c r="H63" i="101"/>
  <c r="F63" i="101"/>
  <c r="E63" i="101"/>
  <c r="D63" i="101"/>
  <c r="C63" i="101"/>
  <c r="K62" i="101"/>
  <c r="J62" i="101"/>
  <c r="I62" i="101"/>
  <c r="H62" i="101"/>
  <c r="F62" i="101"/>
  <c r="E62" i="101"/>
  <c r="D62" i="101"/>
  <c r="C62" i="101"/>
  <c r="K61" i="101"/>
  <c r="J61" i="101"/>
  <c r="I61" i="101"/>
  <c r="H61" i="101"/>
  <c r="F61" i="101"/>
  <c r="E61" i="101"/>
  <c r="D61" i="101"/>
  <c r="C61" i="101"/>
  <c r="K60" i="101"/>
  <c r="J60" i="101"/>
  <c r="I60" i="101"/>
  <c r="H60" i="101"/>
  <c r="F60" i="101"/>
  <c r="E60" i="101"/>
  <c r="D60" i="101"/>
  <c r="C60" i="101"/>
  <c r="K59" i="101"/>
  <c r="J59" i="101"/>
  <c r="I59" i="101"/>
  <c r="H59" i="101"/>
  <c r="F59" i="101"/>
  <c r="E59" i="101"/>
  <c r="D59" i="101"/>
  <c r="C59" i="101"/>
  <c r="K58" i="101"/>
  <c r="J58" i="101"/>
  <c r="I58" i="101"/>
  <c r="H58" i="101"/>
  <c r="F58" i="101"/>
  <c r="E58" i="101"/>
  <c r="D58" i="101"/>
  <c r="C58" i="101"/>
  <c r="K57" i="101"/>
  <c r="J57" i="101"/>
  <c r="I57" i="101"/>
  <c r="H57" i="101"/>
  <c r="F57" i="101"/>
  <c r="E57" i="101"/>
  <c r="D57" i="101"/>
  <c r="C57" i="101"/>
  <c r="K56" i="101"/>
  <c r="J56" i="101"/>
  <c r="I56" i="101"/>
  <c r="H56" i="101"/>
  <c r="F56" i="101"/>
  <c r="E56" i="101"/>
  <c r="D56" i="101"/>
  <c r="C56" i="101"/>
  <c r="K55" i="101"/>
  <c r="J55" i="101"/>
  <c r="I55" i="101"/>
  <c r="H55" i="101"/>
  <c r="F55" i="101"/>
  <c r="E55" i="101"/>
  <c r="D55" i="101"/>
  <c r="C55" i="101"/>
  <c r="K54" i="101"/>
  <c r="J54" i="101"/>
  <c r="I54" i="101"/>
  <c r="H54" i="101"/>
  <c r="F54" i="101"/>
  <c r="E54" i="101"/>
  <c r="D54" i="101"/>
  <c r="C54" i="101"/>
  <c r="K53" i="101"/>
  <c r="J53" i="101"/>
  <c r="I53" i="101"/>
  <c r="H53" i="101"/>
  <c r="F53" i="101"/>
  <c r="E53" i="101"/>
  <c r="D53" i="101"/>
  <c r="C53" i="101"/>
  <c r="K52" i="101"/>
  <c r="J52" i="101"/>
  <c r="I52" i="101"/>
  <c r="H52" i="101"/>
  <c r="F52" i="101"/>
  <c r="E52" i="101"/>
  <c r="D52" i="101"/>
  <c r="C52" i="101"/>
  <c r="K51" i="101"/>
  <c r="J51" i="101"/>
  <c r="I51" i="101"/>
  <c r="H51" i="101"/>
  <c r="F51" i="101"/>
  <c r="E51" i="101"/>
  <c r="D51" i="101"/>
  <c r="C51" i="101"/>
  <c r="K50" i="101"/>
  <c r="J50" i="101"/>
  <c r="I50" i="101"/>
  <c r="H50" i="101"/>
  <c r="F50" i="101"/>
  <c r="E50" i="101"/>
  <c r="D50" i="101"/>
  <c r="C50" i="101"/>
  <c r="K49" i="101"/>
  <c r="J49" i="101"/>
  <c r="I49" i="101"/>
  <c r="H49" i="101"/>
  <c r="F49" i="101"/>
  <c r="E49" i="101"/>
  <c r="D49" i="101"/>
  <c r="C49" i="101"/>
  <c r="K48" i="101"/>
  <c r="J48" i="101"/>
  <c r="I48" i="101"/>
  <c r="H48" i="101"/>
  <c r="F48" i="101"/>
  <c r="E48" i="101"/>
  <c r="D48" i="101"/>
  <c r="C48" i="101"/>
  <c r="K47" i="101"/>
  <c r="J47" i="101"/>
  <c r="I47" i="101"/>
  <c r="H47" i="101"/>
  <c r="F47" i="101"/>
  <c r="E47" i="101"/>
  <c r="D47" i="101"/>
  <c r="C47" i="101"/>
  <c r="K46" i="101"/>
  <c r="J46" i="101"/>
  <c r="I46" i="101"/>
  <c r="H46" i="101"/>
  <c r="F46" i="101"/>
  <c r="E46" i="101"/>
  <c r="D46" i="101"/>
  <c r="C46" i="101"/>
  <c r="K45" i="101"/>
  <c r="J45" i="101"/>
  <c r="I45" i="101"/>
  <c r="H45" i="101"/>
  <c r="F45" i="101"/>
  <c r="E45" i="101"/>
  <c r="D45" i="101"/>
  <c r="C45" i="101"/>
  <c r="K44" i="101"/>
  <c r="J44" i="101"/>
  <c r="I44" i="101"/>
  <c r="H44" i="101"/>
  <c r="F44" i="101"/>
  <c r="E44" i="101"/>
  <c r="D44" i="101"/>
  <c r="C44" i="101"/>
  <c r="K43" i="101"/>
  <c r="J43" i="101"/>
  <c r="I43" i="101"/>
  <c r="H43" i="101"/>
  <c r="F43" i="101"/>
  <c r="E43" i="101"/>
  <c r="D43" i="101"/>
  <c r="C43" i="101"/>
  <c r="K42" i="101"/>
  <c r="J42" i="101"/>
  <c r="I42" i="101"/>
  <c r="H42" i="101"/>
  <c r="F42" i="101"/>
  <c r="E42" i="101"/>
  <c r="D42" i="101"/>
  <c r="C42" i="101"/>
  <c r="K41" i="101"/>
  <c r="J41" i="101"/>
  <c r="I41" i="101"/>
  <c r="H41" i="101"/>
  <c r="F41" i="101"/>
  <c r="E41" i="101"/>
  <c r="D41" i="101"/>
  <c r="C41" i="101"/>
  <c r="K40" i="101"/>
  <c r="J40" i="101"/>
  <c r="I40" i="101"/>
  <c r="H40" i="101"/>
  <c r="F40" i="101"/>
  <c r="E40" i="101"/>
  <c r="D40" i="101"/>
  <c r="C40" i="101"/>
  <c r="K39" i="101"/>
  <c r="J39" i="101"/>
  <c r="I39" i="101"/>
  <c r="H39" i="101"/>
  <c r="F39" i="101"/>
  <c r="E39" i="101"/>
  <c r="D39" i="101"/>
  <c r="C39" i="101"/>
  <c r="K38" i="101"/>
  <c r="J38" i="101"/>
  <c r="I38" i="101"/>
  <c r="H38" i="101"/>
  <c r="F38" i="101"/>
  <c r="E38" i="101"/>
  <c r="D38" i="101"/>
  <c r="C38" i="101"/>
  <c r="K37" i="101"/>
  <c r="J37" i="101"/>
  <c r="I37" i="101"/>
  <c r="H37" i="101"/>
  <c r="F37" i="101"/>
  <c r="E37" i="101"/>
  <c r="D37" i="101"/>
  <c r="C37" i="101"/>
  <c r="K36" i="101"/>
  <c r="J36" i="101"/>
  <c r="I36" i="101"/>
  <c r="H36" i="101"/>
  <c r="F36" i="101"/>
  <c r="E36" i="101"/>
  <c r="D36" i="101"/>
  <c r="C36" i="101"/>
  <c r="K35" i="101"/>
  <c r="J35" i="101"/>
  <c r="I35" i="101"/>
  <c r="H35" i="101"/>
  <c r="F35" i="101"/>
  <c r="E35" i="101"/>
  <c r="D35" i="101"/>
  <c r="C35" i="101"/>
  <c r="K34" i="101"/>
  <c r="J34" i="101"/>
  <c r="I34" i="101"/>
  <c r="H34" i="101"/>
  <c r="F34" i="101"/>
  <c r="E34" i="101"/>
  <c r="D34" i="101"/>
  <c r="C34" i="101"/>
  <c r="K33" i="101"/>
  <c r="J33" i="101"/>
  <c r="I33" i="101"/>
  <c r="H33" i="101"/>
  <c r="F33" i="101"/>
  <c r="E33" i="101"/>
  <c r="D33" i="101"/>
  <c r="C33" i="101"/>
  <c r="K32" i="101"/>
  <c r="J32" i="101"/>
  <c r="I32" i="101"/>
  <c r="H32" i="101"/>
  <c r="F32" i="101"/>
  <c r="E32" i="101"/>
  <c r="D32" i="101"/>
  <c r="C32" i="101"/>
  <c r="K31" i="101"/>
  <c r="J31" i="101"/>
  <c r="I31" i="101"/>
  <c r="H31" i="101"/>
  <c r="F31" i="101"/>
  <c r="E31" i="101"/>
  <c r="D31" i="101"/>
  <c r="C31" i="101"/>
  <c r="K30" i="101"/>
  <c r="J30" i="101"/>
  <c r="I30" i="101"/>
  <c r="H30" i="101"/>
  <c r="F30" i="101"/>
  <c r="E30" i="101"/>
  <c r="D30" i="101"/>
  <c r="C30" i="101"/>
  <c r="K29" i="101"/>
  <c r="J29" i="101"/>
  <c r="I29" i="101"/>
  <c r="H29" i="101"/>
  <c r="F29" i="101"/>
  <c r="E29" i="101"/>
  <c r="D29" i="101"/>
  <c r="C29" i="101"/>
  <c r="K28" i="101"/>
  <c r="J28" i="101"/>
  <c r="I28" i="101"/>
  <c r="H28" i="101"/>
  <c r="F28" i="101"/>
  <c r="E28" i="101"/>
  <c r="D28" i="101"/>
  <c r="C28" i="101"/>
  <c r="K27" i="101"/>
  <c r="J27" i="101"/>
  <c r="I27" i="101"/>
  <c r="H27" i="101"/>
  <c r="F27" i="101"/>
  <c r="E27" i="101"/>
  <c r="D27" i="101"/>
  <c r="C27" i="101"/>
  <c r="K26" i="101"/>
  <c r="J26" i="101"/>
  <c r="I26" i="101"/>
  <c r="H26" i="101"/>
  <c r="F26" i="101"/>
  <c r="E26" i="101"/>
  <c r="D26" i="101"/>
  <c r="C26" i="101"/>
  <c r="K25" i="101"/>
  <c r="J25" i="101"/>
  <c r="I25" i="101"/>
  <c r="H25" i="101"/>
  <c r="F25" i="101"/>
  <c r="E25" i="101"/>
  <c r="D25" i="101"/>
  <c r="C25" i="101"/>
  <c r="K24" i="101"/>
  <c r="J24" i="101"/>
  <c r="I24" i="101"/>
  <c r="H24" i="101"/>
  <c r="F24" i="101"/>
  <c r="E24" i="101"/>
  <c r="D24" i="101"/>
  <c r="C24" i="101"/>
  <c r="K23" i="101"/>
  <c r="J23" i="101"/>
  <c r="I23" i="101"/>
  <c r="H23" i="101"/>
  <c r="F23" i="101"/>
  <c r="E23" i="101"/>
  <c r="D23" i="101"/>
  <c r="C23" i="101"/>
  <c r="K21" i="101"/>
  <c r="K22" i="101" s="1"/>
  <c r="J21" i="101"/>
  <c r="J22" i="101" s="1"/>
  <c r="I21" i="101"/>
  <c r="I22" i="101" s="1"/>
  <c r="H21" i="101"/>
  <c r="H22" i="101" s="1"/>
  <c r="F21" i="101"/>
  <c r="E21" i="101"/>
  <c r="D21" i="101"/>
  <c r="C21" i="101"/>
  <c r="K19" i="101"/>
  <c r="K20" i="101" s="1"/>
  <c r="J19" i="101"/>
  <c r="J20" i="101" s="1"/>
  <c r="I19" i="101"/>
  <c r="I20" i="101" s="1"/>
  <c r="H19" i="101"/>
  <c r="H20" i="101" s="1"/>
  <c r="F19" i="101"/>
  <c r="E19" i="101"/>
  <c r="D19" i="101"/>
  <c r="C19" i="101"/>
  <c r="K17" i="101"/>
  <c r="K18" i="101" s="1"/>
  <c r="J17" i="101"/>
  <c r="J18" i="101" s="1"/>
  <c r="I17" i="101"/>
  <c r="I18" i="101" s="1"/>
  <c r="H17" i="101"/>
  <c r="H18" i="101" s="1"/>
  <c r="F17" i="101"/>
  <c r="E17" i="101"/>
  <c r="D17" i="101"/>
  <c r="C17" i="101"/>
  <c r="K15" i="101"/>
  <c r="K16" i="101" s="1"/>
  <c r="J15" i="101"/>
  <c r="J16" i="101" s="1"/>
  <c r="I15" i="101"/>
  <c r="I16" i="101" s="1"/>
  <c r="H15" i="101"/>
  <c r="H16" i="101" s="1"/>
  <c r="F15" i="101"/>
  <c r="E15" i="101"/>
  <c r="D15" i="101"/>
  <c r="C15" i="101"/>
  <c r="K14" i="101"/>
  <c r="J14" i="101"/>
  <c r="I14" i="101"/>
  <c r="H14" i="101"/>
  <c r="F14" i="101"/>
  <c r="E14" i="101"/>
  <c r="D14" i="101"/>
  <c r="C14" i="101"/>
  <c r="K13" i="101"/>
  <c r="J13" i="101"/>
  <c r="I13" i="101"/>
  <c r="H13" i="101"/>
  <c r="F13" i="101"/>
  <c r="E13" i="101"/>
  <c r="D13" i="101"/>
  <c r="C13" i="101"/>
  <c r="K12" i="101"/>
  <c r="J12" i="101"/>
  <c r="I12" i="101"/>
  <c r="H12" i="101"/>
  <c r="F12" i="101"/>
  <c r="E12" i="101"/>
  <c r="D12" i="101"/>
  <c r="C12" i="101"/>
  <c r="K11" i="101"/>
  <c r="J11" i="101"/>
  <c r="I11" i="101"/>
  <c r="H11" i="101"/>
  <c r="F11" i="101"/>
  <c r="E11" i="101"/>
  <c r="D11" i="101"/>
  <c r="C11" i="101"/>
  <c r="K10" i="101"/>
  <c r="J10" i="101"/>
  <c r="I10" i="101"/>
  <c r="H10" i="101"/>
  <c r="F10" i="101"/>
  <c r="E10" i="101"/>
  <c r="D10" i="101"/>
  <c r="C10" i="101"/>
  <c r="K9" i="101"/>
  <c r="J9" i="101"/>
  <c r="I9" i="101"/>
  <c r="H9" i="101"/>
  <c r="F9" i="101"/>
  <c r="E9" i="101"/>
  <c r="D9" i="101"/>
  <c r="C9" i="101"/>
  <c r="C5" i="101"/>
  <c r="C4" i="101"/>
  <c r="S40" i="101" l="1"/>
  <c r="S31" i="101"/>
  <c r="S22" i="101"/>
  <c r="S13" i="101"/>
  <c r="L87" i="101"/>
  <c r="L269" i="101"/>
  <c r="L20" i="101"/>
  <c r="L244" i="101"/>
  <c r="L238" i="101"/>
  <c r="L236" i="101"/>
  <c r="L254" i="101"/>
  <c r="L252" i="101"/>
  <c r="L265" i="101"/>
  <c r="L327" i="101"/>
  <c r="L325" i="101"/>
  <c r="L323" i="101"/>
  <c r="L321" i="101"/>
  <c r="L319" i="101"/>
  <c r="L335" i="101"/>
  <c r="L169" i="101"/>
  <c r="L188" i="101"/>
  <c r="L22" i="101"/>
  <c r="L70" i="101"/>
  <c r="L72" i="101"/>
  <c r="L103" i="101"/>
  <c r="L99" i="101"/>
  <c r="L171" i="101"/>
  <c r="L16" i="101"/>
  <c r="L76" i="101"/>
  <c r="L74" i="101"/>
  <c r="L242" i="101"/>
  <c r="L240" i="101"/>
  <c r="L271" i="101"/>
  <c r="L267" i="101"/>
  <c r="L337" i="101"/>
  <c r="L88" i="101"/>
  <c r="L86" i="101"/>
  <c r="L105" i="101"/>
  <c r="L101" i="101"/>
  <c r="L186" i="101"/>
  <c r="L184" i="101"/>
  <c r="L182" i="101"/>
  <c r="L78" i="101"/>
  <c r="L161" i="101"/>
  <c r="L159" i="101"/>
  <c r="L157" i="101"/>
  <c r="L155" i="101"/>
  <c r="L153" i="101"/>
  <c r="L18" i="101"/>
  <c r="L185" i="101" l="1"/>
  <c r="L170" i="101"/>
  <c r="L102" i="101"/>
  <c r="L237" i="101"/>
  <c r="L320" i="101"/>
  <c r="L100" i="101"/>
  <c r="L73" i="101"/>
  <c r="L77" i="101"/>
  <c r="L154" i="101"/>
  <c r="L243" i="101"/>
  <c r="L158" i="101"/>
  <c r="L156" i="101"/>
  <c r="L160" i="101"/>
  <c r="L71" i="101"/>
  <c r="L187" i="101"/>
  <c r="L104" i="101"/>
  <c r="L183" i="101"/>
  <c r="L326" i="101"/>
  <c r="L239" i="101"/>
  <c r="L322" i="101"/>
  <c r="L324" i="101"/>
  <c r="L75" i="101"/>
  <c r="L241" i="101"/>
  <c r="L253" i="101"/>
  <c r="L270" i="101"/>
  <c r="L336" i="101"/>
  <c r="L266" i="101"/>
  <c r="L268" i="101"/>
  <c r="BF10" i="70"/>
  <c r="AD22" i="76"/>
  <c r="AE23" i="76"/>
  <c r="AD24" i="76"/>
  <c r="AE24" i="76"/>
  <c r="AE25" i="76"/>
  <c r="AD26" i="76"/>
  <c r="AD27" i="76"/>
  <c r="AE27" i="76"/>
  <c r="AD28" i="76"/>
  <c r="AE28" i="76"/>
  <c r="AE29" i="76"/>
  <c r="AD30" i="76"/>
  <c r="AD31" i="76"/>
  <c r="AE31" i="76"/>
  <c r="AD32" i="76"/>
  <c r="AE32" i="76"/>
  <c r="AD33" i="76"/>
  <c r="AD34" i="76"/>
  <c r="AE34" i="76"/>
  <c r="AE35" i="76"/>
  <c r="AD36" i="76"/>
  <c r="AE36" i="76"/>
  <c r="AD37" i="76"/>
  <c r="AE38" i="76"/>
  <c r="AD39" i="76"/>
  <c r="AD40" i="76"/>
  <c r="AE40" i="76"/>
  <c r="AD41" i="76"/>
  <c r="AE41" i="76"/>
  <c r="AD42" i="76"/>
  <c r="AE42" i="76"/>
  <c r="AD43" i="76"/>
  <c r="AD44" i="76"/>
  <c r="AE44" i="76"/>
  <c r="AD45" i="76"/>
  <c r="AD46" i="76"/>
  <c r="AE46" i="76"/>
  <c r="AD47" i="76"/>
  <c r="AE47" i="76"/>
  <c r="AD48" i="76"/>
  <c r="AE49" i="76"/>
  <c r="AD50" i="76"/>
  <c r="AE50" i="76"/>
  <c r="AD51" i="76"/>
  <c r="AE51" i="76"/>
  <c r="AE52" i="76"/>
  <c r="AE53" i="76"/>
  <c r="AD54" i="76"/>
  <c r="AE54" i="76"/>
  <c r="AD55" i="76"/>
  <c r="AE55" i="76"/>
  <c r="AD56" i="76"/>
  <c r="AE56" i="76"/>
  <c r="AD58" i="76"/>
  <c r="AE58" i="76"/>
  <c r="AE59" i="76"/>
  <c r="AD60" i="76"/>
  <c r="AE60" i="76"/>
  <c r="AD61" i="76"/>
  <c r="AE61" i="76"/>
  <c r="AE62" i="76"/>
  <c r="AD63" i="76"/>
  <c r="AE63" i="76"/>
  <c r="AE64" i="76"/>
  <c r="AD65" i="76"/>
  <c r="AE65" i="76"/>
  <c r="AE66" i="76"/>
  <c r="AE67" i="76"/>
  <c r="AD68" i="76"/>
  <c r="AE68" i="76"/>
  <c r="AD69" i="76"/>
  <c r="AD70" i="76"/>
  <c r="AE70" i="76"/>
  <c r="AD71" i="76"/>
  <c r="AE71" i="76"/>
  <c r="AD72" i="76"/>
  <c r="AD73" i="76"/>
  <c r="AE73" i="76"/>
  <c r="AD74" i="76"/>
  <c r="AE74" i="76"/>
  <c r="AD75" i="76"/>
  <c r="AD76" i="76"/>
  <c r="AE76" i="76"/>
  <c r="AD77" i="76"/>
  <c r="AE77" i="76"/>
  <c r="AE78" i="76"/>
  <c r="AD79" i="76"/>
  <c r="AE79" i="76"/>
  <c r="AD80" i="76"/>
  <c r="AE80" i="76"/>
  <c r="AE81" i="76"/>
  <c r="AE82" i="76"/>
  <c r="AD83" i="76"/>
  <c r="AE83" i="76"/>
  <c r="AD84" i="76"/>
  <c r="AE84" i="76"/>
  <c r="AD85" i="76"/>
  <c r="AE85" i="76"/>
  <c r="AE86" i="76"/>
  <c r="AD87" i="76"/>
  <c r="AD88" i="76"/>
  <c r="AE88" i="76"/>
  <c r="AD89" i="76"/>
  <c r="AE90" i="76"/>
  <c r="AD91" i="76"/>
  <c r="AD92" i="76"/>
  <c r="AE92" i="76"/>
  <c r="AD93" i="76"/>
  <c r="AE93" i="76"/>
  <c r="AE94" i="76"/>
  <c r="AD95" i="76"/>
  <c r="AE95" i="76"/>
  <c r="AD96" i="76"/>
  <c r="AE96" i="76"/>
  <c r="AD97" i="76"/>
  <c r="AE97" i="76"/>
  <c r="AE98" i="76"/>
  <c r="AD99" i="76"/>
  <c r="AD100" i="76"/>
  <c r="AE100" i="76"/>
  <c r="AD101" i="76"/>
  <c r="AE101" i="76"/>
  <c r="AD102" i="76"/>
  <c r="AD103" i="76"/>
  <c r="AE103" i="76"/>
  <c r="AE104" i="76"/>
  <c r="AD105" i="76"/>
  <c r="AE105" i="76"/>
  <c r="AD106" i="76"/>
  <c r="AE106" i="76"/>
  <c r="AE107" i="76"/>
  <c r="AD108" i="76"/>
  <c r="AD109" i="76"/>
  <c r="AE109" i="76"/>
  <c r="AD110" i="76"/>
  <c r="AE110" i="76"/>
  <c r="AE111" i="76"/>
  <c r="AD112" i="76"/>
  <c r="AE112" i="76"/>
  <c r="AD113" i="76"/>
  <c r="AE113" i="76"/>
  <c r="AD114" i="76"/>
  <c r="AE114" i="76"/>
  <c r="AE115" i="76"/>
  <c r="AD116" i="76"/>
  <c r="AD117" i="76"/>
  <c r="AE117" i="76"/>
  <c r="AD118" i="76"/>
  <c r="AE118" i="76"/>
  <c r="AE119" i="76"/>
  <c r="AD120" i="76"/>
  <c r="AE120" i="76"/>
  <c r="AD121" i="76"/>
  <c r="AE121" i="76"/>
  <c r="AD122" i="76"/>
  <c r="AE122" i="76"/>
  <c r="AE123" i="76"/>
  <c r="AD124" i="76"/>
  <c r="AD125" i="76"/>
  <c r="AE125" i="76"/>
  <c r="AD126" i="76"/>
  <c r="AE126" i="76"/>
  <c r="AE127" i="76"/>
  <c r="AD128" i="76"/>
  <c r="AE128" i="76"/>
  <c r="AD129" i="76"/>
  <c r="AE129" i="76"/>
  <c r="AD130" i="76"/>
  <c r="AE130" i="76"/>
  <c r="AE131" i="76"/>
  <c r="AD132" i="76"/>
  <c r="AE132" i="76"/>
  <c r="AE133" i="76"/>
  <c r="AD134" i="76"/>
  <c r="AE134" i="76"/>
  <c r="AD135" i="76"/>
  <c r="AE135" i="76"/>
  <c r="AE136" i="76"/>
  <c r="AD137" i="76"/>
  <c r="AE137" i="76"/>
  <c r="AD138" i="76"/>
  <c r="AE138" i="76"/>
  <c r="AD139" i="76"/>
  <c r="AE139" i="76"/>
  <c r="AE140" i="76"/>
  <c r="AD141" i="76"/>
  <c r="AE141" i="76"/>
  <c r="AE142" i="76"/>
  <c r="AD143" i="76"/>
  <c r="AE143" i="76"/>
  <c r="AD144" i="76"/>
  <c r="AE144" i="76"/>
  <c r="AE145" i="76"/>
  <c r="AD146" i="76"/>
  <c r="AE146" i="76"/>
  <c r="AD147" i="76"/>
  <c r="AE147" i="76"/>
  <c r="AD148" i="76"/>
  <c r="AE148" i="76"/>
  <c r="AE149" i="76"/>
  <c r="AD150" i="76"/>
  <c r="AD151" i="76"/>
  <c r="AE151" i="76"/>
  <c r="AD152" i="76"/>
  <c r="AE152" i="76"/>
  <c r="AD153" i="76"/>
  <c r="AE153" i="76"/>
  <c r="AD154" i="76"/>
  <c r="AE154" i="76"/>
  <c r="AE155" i="76"/>
  <c r="AD156" i="76"/>
  <c r="AE156" i="76"/>
  <c r="AD157" i="76"/>
  <c r="AE157" i="76"/>
  <c r="AD158" i="76"/>
  <c r="AE158" i="76"/>
  <c r="AE159" i="76"/>
  <c r="AD160" i="76"/>
  <c r="AE160" i="76"/>
  <c r="AD161" i="76"/>
  <c r="AE161" i="76"/>
  <c r="AD162" i="76"/>
  <c r="AE162" i="76"/>
  <c r="AE163" i="76"/>
  <c r="AD164" i="76"/>
  <c r="AE164" i="76"/>
  <c r="AE165" i="76"/>
  <c r="AD166" i="76"/>
  <c r="AE166" i="76"/>
  <c r="AD167" i="76"/>
  <c r="AE167" i="76"/>
  <c r="AD168" i="76"/>
  <c r="AE168" i="76"/>
  <c r="AE169" i="76"/>
  <c r="AD170" i="76"/>
  <c r="AE170" i="76"/>
  <c r="AD171" i="76"/>
  <c r="AE171" i="76"/>
  <c r="AD172" i="76"/>
  <c r="AE172" i="76"/>
  <c r="AD173" i="76"/>
  <c r="AE173" i="76"/>
  <c r="AE174" i="76"/>
  <c r="AD175" i="76"/>
  <c r="AE175" i="76"/>
  <c r="AD176" i="76"/>
  <c r="AE176" i="76"/>
  <c r="AE177" i="76"/>
  <c r="AD178" i="76"/>
  <c r="AE178" i="76"/>
  <c r="AE179" i="76"/>
  <c r="AD180" i="76"/>
  <c r="AE180" i="76"/>
  <c r="AD181" i="76"/>
  <c r="AE181" i="76"/>
  <c r="AD182" i="76"/>
  <c r="AE182" i="76"/>
  <c r="AE183" i="76"/>
  <c r="AD184" i="76"/>
  <c r="AE184" i="76"/>
  <c r="AD185" i="76"/>
  <c r="AE185" i="76"/>
  <c r="AD186" i="76"/>
  <c r="AE186" i="76"/>
  <c r="AE187" i="76"/>
  <c r="AD188" i="76"/>
  <c r="AE188" i="76"/>
  <c r="AD189" i="76"/>
  <c r="AE189" i="76"/>
  <c r="AD190" i="76"/>
  <c r="AE190" i="76"/>
  <c r="AD191" i="76"/>
  <c r="AD192" i="76"/>
  <c r="AE192" i="76"/>
  <c r="AD193" i="76"/>
  <c r="AE193" i="76"/>
  <c r="AD194" i="76"/>
  <c r="AE194" i="76"/>
  <c r="AD195" i="76"/>
  <c r="AE195" i="76"/>
  <c r="AE196" i="76"/>
  <c r="AD197" i="76"/>
  <c r="AE197" i="76"/>
  <c r="AE198" i="76"/>
  <c r="AD199" i="76"/>
  <c r="AE199" i="76"/>
  <c r="AD200" i="76"/>
  <c r="AE200" i="76"/>
  <c r="AD201" i="76"/>
  <c r="AE201" i="76"/>
  <c r="AE202" i="76"/>
  <c r="AD203" i="76"/>
  <c r="AE203" i="76"/>
  <c r="AD204" i="76"/>
  <c r="AE204" i="76"/>
  <c r="AD205" i="76"/>
  <c r="AD206" i="76"/>
  <c r="AE206" i="76"/>
  <c r="AD207" i="76"/>
  <c r="AE207" i="76"/>
  <c r="AE208" i="76"/>
  <c r="AD209" i="76"/>
  <c r="AE209" i="76"/>
  <c r="AD210" i="76"/>
  <c r="AE210" i="76"/>
  <c r="AD211" i="76"/>
  <c r="AE211" i="76"/>
  <c r="AE212" i="76"/>
  <c r="AD213" i="76"/>
  <c r="AE213" i="76"/>
  <c r="AD214" i="76"/>
  <c r="AE214" i="76"/>
  <c r="AE215" i="76"/>
  <c r="AD216" i="76"/>
  <c r="AE216" i="76"/>
  <c r="AD217" i="76"/>
  <c r="AE217" i="76"/>
  <c r="AD218" i="76"/>
  <c r="AE218" i="76"/>
  <c r="AD219" i="76"/>
  <c r="AE219" i="76"/>
  <c r="AE220" i="76"/>
  <c r="AD221" i="76"/>
  <c r="AE221" i="76"/>
  <c r="AD222" i="76"/>
  <c r="AE222" i="76"/>
  <c r="AD223" i="76"/>
  <c r="AE223" i="76"/>
  <c r="AD224" i="76"/>
  <c r="AD225" i="76"/>
  <c r="AE225" i="76"/>
  <c r="AD226" i="76"/>
  <c r="AE226" i="76"/>
  <c r="AD227" i="76"/>
  <c r="AE227" i="76"/>
  <c r="AD228" i="76"/>
  <c r="AE228" i="76"/>
  <c r="AD229" i="76"/>
  <c r="AE229" i="76"/>
  <c r="AE230" i="76"/>
  <c r="AE231" i="76"/>
  <c r="AD232" i="76"/>
  <c r="AE232" i="76"/>
  <c r="AD233" i="76"/>
  <c r="AE233" i="76"/>
  <c r="AD234" i="76"/>
  <c r="AE234" i="76"/>
  <c r="AD235" i="76"/>
  <c r="AE235" i="76"/>
  <c r="AD236" i="76"/>
  <c r="AE236" i="76"/>
  <c r="AD237" i="76"/>
  <c r="AE237" i="76"/>
  <c r="AD238" i="76"/>
  <c r="AE238" i="76"/>
  <c r="AD239" i="76"/>
  <c r="AE239" i="76"/>
  <c r="AD240" i="76"/>
  <c r="AE240" i="76"/>
  <c r="AD241" i="76"/>
  <c r="AE241" i="76"/>
  <c r="AD242" i="76"/>
  <c r="AE242" i="76"/>
  <c r="AD243" i="76"/>
  <c r="AE243" i="76"/>
  <c r="AD244" i="76"/>
  <c r="AD245" i="76"/>
  <c r="AE245" i="76"/>
  <c r="AD246" i="76"/>
  <c r="AE246" i="76"/>
  <c r="AD247" i="76"/>
  <c r="AE247" i="76"/>
  <c r="AE248" i="76"/>
  <c r="AD249" i="76"/>
  <c r="AE249" i="76"/>
  <c r="AD250" i="76"/>
  <c r="AE250" i="76"/>
  <c r="AD251" i="76"/>
  <c r="AE251" i="76"/>
  <c r="AD252" i="76"/>
  <c r="AE252" i="76"/>
  <c r="AD253" i="76"/>
  <c r="AE253" i="76"/>
  <c r="AD254" i="76"/>
  <c r="AE254" i="76"/>
  <c r="AD255" i="76"/>
  <c r="AE255" i="76"/>
  <c r="AD256" i="76"/>
  <c r="AE256" i="76"/>
  <c r="AD257" i="76"/>
  <c r="AE257" i="76"/>
  <c r="AD258" i="76"/>
  <c r="AE258" i="76"/>
  <c r="AD259" i="76"/>
  <c r="AE259" i="76"/>
  <c r="AD260" i="76"/>
  <c r="AE260" i="76"/>
  <c r="AD261" i="76"/>
  <c r="AE261" i="76"/>
  <c r="AD262" i="76"/>
  <c r="AE262" i="76"/>
  <c r="AD263" i="76"/>
  <c r="AE263" i="76"/>
  <c r="AD264" i="76"/>
  <c r="AE264" i="76"/>
  <c r="AD265" i="76"/>
  <c r="AE265" i="76"/>
  <c r="AD266" i="76"/>
  <c r="AE266" i="76"/>
  <c r="AD267" i="76"/>
  <c r="AE267" i="76"/>
  <c r="AD268" i="76"/>
  <c r="AE268" i="76"/>
  <c r="AD269" i="76"/>
  <c r="AE269" i="76"/>
  <c r="AD270" i="76"/>
  <c r="AE270" i="76"/>
  <c r="AD271" i="76"/>
  <c r="AE271" i="76"/>
  <c r="AD272" i="76"/>
  <c r="AE272" i="76"/>
  <c r="AD273" i="76"/>
  <c r="AE273" i="76"/>
  <c r="AD274" i="76"/>
  <c r="AE274" i="76"/>
  <c r="AD275" i="76"/>
  <c r="AE275" i="76"/>
  <c r="AD276" i="76"/>
  <c r="AE276" i="76"/>
  <c r="AD277" i="76"/>
  <c r="AE277" i="76"/>
  <c r="AD278" i="76"/>
  <c r="AE278" i="76"/>
  <c r="AD279" i="76"/>
  <c r="AE279" i="76"/>
  <c r="AD280" i="76"/>
  <c r="AE280" i="76"/>
  <c r="AD281" i="76"/>
  <c r="AE281" i="76"/>
  <c r="AD282" i="76"/>
  <c r="AE282" i="76"/>
  <c r="AD283" i="76"/>
  <c r="AE283" i="76"/>
  <c r="AD284" i="76"/>
  <c r="AE284" i="76"/>
  <c r="AD285" i="76"/>
  <c r="AE285" i="76"/>
  <c r="AD286" i="76"/>
  <c r="AE286" i="76"/>
  <c r="AD287" i="76"/>
  <c r="AE287" i="76"/>
  <c r="AD288" i="76"/>
  <c r="AE288" i="76"/>
  <c r="AD289" i="76"/>
  <c r="AE289" i="76"/>
  <c r="AD290" i="76"/>
  <c r="AE290" i="76"/>
  <c r="AD291" i="76"/>
  <c r="AE291" i="76"/>
  <c r="AD292" i="76"/>
  <c r="AE292" i="76"/>
  <c r="AD293" i="76"/>
  <c r="AE293" i="76"/>
  <c r="AD294" i="76"/>
  <c r="AE294" i="76"/>
  <c r="AD295" i="76"/>
  <c r="AE295" i="76"/>
  <c r="AD296" i="76"/>
  <c r="AE296" i="76"/>
  <c r="AD297" i="76"/>
  <c r="AE297" i="76"/>
  <c r="AD298" i="76"/>
  <c r="AE298" i="76"/>
  <c r="AD299" i="76"/>
  <c r="AE299" i="76"/>
  <c r="AD300" i="76"/>
  <c r="AE300" i="76"/>
  <c r="AD301" i="76"/>
  <c r="AE301" i="76"/>
  <c r="AD302" i="76"/>
  <c r="AE302" i="76"/>
  <c r="AD303" i="76"/>
  <c r="AE303" i="76"/>
  <c r="AD17" i="76"/>
  <c r="AE17" i="76"/>
  <c r="AD18" i="76"/>
  <c r="AE18" i="76"/>
  <c r="AD19" i="76"/>
  <c r="AE19" i="76"/>
  <c r="AD20" i="76"/>
  <c r="AE20" i="76"/>
  <c r="AD21" i="76"/>
  <c r="AE21" i="76"/>
  <c r="AD82" i="76"/>
  <c r="AE75" i="76"/>
  <c r="AE72" i="76"/>
  <c r="AD66" i="76"/>
  <c r="AE57" i="76"/>
  <c r="AD52" i="76"/>
  <c r="AE48" i="76"/>
  <c r="AE45" i="76"/>
  <c r="AE43" i="76"/>
  <c r="AE39" i="76"/>
  <c r="AD38" i="76"/>
  <c r="AD35" i="76"/>
  <c r="AE33" i="76"/>
  <c r="AE30" i="76"/>
  <c r="AD29" i="76"/>
  <c r="AE26" i="76"/>
  <c r="AD25" i="76"/>
  <c r="AD23" i="76"/>
  <c r="AE22" i="76"/>
  <c r="AD16" i="76"/>
  <c r="E48" i="85"/>
  <c r="G48" i="85" s="1"/>
  <c r="V114" i="76"/>
  <c r="V146" i="76"/>
  <c r="BD157" i="70"/>
  <c r="V178" i="76"/>
  <c r="V191" i="76"/>
  <c r="V195" i="76"/>
  <c r="V197" i="76"/>
  <c r="V199" i="76"/>
  <c r="V201" i="76"/>
  <c r="V207" i="76"/>
  <c r="V209" i="76"/>
  <c r="V211" i="76"/>
  <c r="V213" i="76"/>
  <c r="V215" i="76"/>
  <c r="V217" i="76"/>
  <c r="V219" i="76"/>
  <c r="V223" i="76"/>
  <c r="V225" i="76"/>
  <c r="V227" i="76"/>
  <c r="V229" i="76"/>
  <c r="V231" i="76"/>
  <c r="V233" i="76"/>
  <c r="V235" i="76"/>
  <c r="V237" i="76"/>
  <c r="V239" i="76"/>
  <c r="V245" i="76"/>
  <c r="V247" i="76"/>
  <c r="V249" i="76"/>
  <c r="V253" i="76"/>
  <c r="V257" i="76"/>
  <c r="V261" i="76"/>
  <c r="V265" i="76"/>
  <c r="V269" i="76"/>
  <c r="V271" i="76"/>
  <c r="V273" i="76"/>
  <c r="V275" i="76"/>
  <c r="V277" i="76"/>
  <c r="V279" i="76"/>
  <c r="V281" i="76"/>
  <c r="V283" i="76"/>
  <c r="V285" i="76"/>
  <c r="V287" i="76"/>
  <c r="V289" i="76"/>
  <c r="V291" i="76"/>
  <c r="V293" i="76"/>
  <c r="V297" i="76"/>
  <c r="V299" i="76"/>
  <c r="V301" i="76"/>
  <c r="V303" i="76"/>
  <c r="AE37" i="76"/>
  <c r="AD49" i="76"/>
  <c r="AD53" i="76"/>
  <c r="AD57" i="76"/>
  <c r="AD59" i="76"/>
  <c r="AD62" i="76"/>
  <c r="AD64" i="76"/>
  <c r="AD67" i="76"/>
  <c r="AE69" i="76"/>
  <c r="AD78" i="76"/>
  <c r="AD81" i="76"/>
  <c r="AD86" i="76"/>
  <c r="AE87" i="76"/>
  <c r="AD90" i="76"/>
  <c r="AE91" i="76"/>
  <c r="AD94" i="76"/>
  <c r="AD98" i="76"/>
  <c r="AE99" i="76"/>
  <c r="AE102" i="76"/>
  <c r="AD104" i="76"/>
  <c r="AD107" i="76"/>
  <c r="AE108" i="76"/>
  <c r="AD111" i="76"/>
  <c r="AD115" i="76"/>
  <c r="AE116" i="76"/>
  <c r="AD119" i="76"/>
  <c r="AD123" i="76"/>
  <c r="AE124" i="76"/>
  <c r="AD127" i="76"/>
  <c r="AD131" i="76"/>
  <c r="AD133" i="76"/>
  <c r="AD136" i="76"/>
  <c r="AD140" i="76"/>
  <c r="AD142" i="76"/>
  <c r="AD145" i="76"/>
  <c r="AD149" i="76"/>
  <c r="AE150" i="76"/>
  <c r="AD155" i="76"/>
  <c r="AD159" i="76"/>
  <c r="AD163" i="76"/>
  <c r="AD165" i="76"/>
  <c r="AD169" i="76"/>
  <c r="AD174" i="76"/>
  <c r="AD177" i="76"/>
  <c r="AD179" i="76"/>
  <c r="AD183" i="76"/>
  <c r="AD187" i="76"/>
  <c r="AE191" i="76"/>
  <c r="AD196" i="76"/>
  <c r="AD198" i="76"/>
  <c r="AD202" i="76"/>
  <c r="AE205" i="76"/>
  <c r="AD208" i="76"/>
  <c r="AD212" i="76"/>
  <c r="AD215" i="76"/>
  <c r="AD220" i="76"/>
  <c r="AE224" i="76"/>
  <c r="AD230" i="76"/>
  <c r="AD231" i="76"/>
  <c r="AE244" i="76"/>
  <c r="AD248" i="76"/>
  <c r="P340" i="101"/>
  <c r="O340" i="101"/>
  <c r="N340" i="101"/>
  <c r="M340" i="101"/>
  <c r="P339" i="101"/>
  <c r="O339" i="101"/>
  <c r="N339" i="101"/>
  <c r="M339" i="101"/>
  <c r="P338" i="101"/>
  <c r="O338" i="101"/>
  <c r="N338" i="101"/>
  <c r="M338" i="101"/>
  <c r="P333" i="101"/>
  <c r="O333" i="101"/>
  <c r="N333" i="101"/>
  <c r="M333" i="101"/>
  <c r="P332" i="101"/>
  <c r="O332" i="101"/>
  <c r="N332" i="101"/>
  <c r="M332" i="101"/>
  <c r="P331" i="101"/>
  <c r="O331" i="101"/>
  <c r="N331" i="101"/>
  <c r="M331" i="101"/>
  <c r="P330" i="101"/>
  <c r="O330" i="101"/>
  <c r="N330" i="101"/>
  <c r="M330" i="101"/>
  <c r="P329" i="101"/>
  <c r="O329" i="101"/>
  <c r="N329" i="101"/>
  <c r="M329" i="101"/>
  <c r="P328" i="101"/>
  <c r="O328" i="101"/>
  <c r="N328" i="101"/>
  <c r="M328" i="101"/>
  <c r="P317" i="101"/>
  <c r="O317" i="101"/>
  <c r="N317" i="101"/>
  <c r="M317" i="101"/>
  <c r="P316" i="101"/>
  <c r="O316" i="101"/>
  <c r="N316" i="101"/>
  <c r="M316" i="101"/>
  <c r="P315" i="101"/>
  <c r="O315" i="101"/>
  <c r="N315" i="101"/>
  <c r="M315" i="101"/>
  <c r="P314" i="101"/>
  <c r="O314" i="101"/>
  <c r="N314" i="101"/>
  <c r="M314" i="101"/>
  <c r="P313" i="101"/>
  <c r="O313" i="101"/>
  <c r="N313" i="101"/>
  <c r="M313" i="101"/>
  <c r="P312" i="101"/>
  <c r="O312" i="101"/>
  <c r="N312" i="101"/>
  <c r="M312" i="101"/>
  <c r="P311" i="101"/>
  <c r="O311" i="101"/>
  <c r="N311" i="101"/>
  <c r="M311" i="101"/>
  <c r="P310" i="101"/>
  <c r="O310" i="101"/>
  <c r="N310" i="101"/>
  <c r="M310" i="101"/>
  <c r="P309" i="101"/>
  <c r="O309" i="101"/>
  <c r="N309" i="101"/>
  <c r="M309" i="101"/>
  <c r="P308" i="101"/>
  <c r="O308" i="101"/>
  <c r="N308" i="101"/>
  <c r="M308" i="101"/>
  <c r="P307" i="101"/>
  <c r="O307" i="101"/>
  <c r="N307" i="101"/>
  <c r="M307" i="101"/>
  <c r="P306" i="101"/>
  <c r="O306" i="101"/>
  <c r="N306" i="101"/>
  <c r="M306" i="101"/>
  <c r="P305" i="101"/>
  <c r="O305" i="101"/>
  <c r="N305" i="101"/>
  <c r="M305" i="101"/>
  <c r="P304" i="101"/>
  <c r="O304" i="101"/>
  <c r="N304" i="101"/>
  <c r="M304" i="101"/>
  <c r="P303" i="101"/>
  <c r="O303" i="101"/>
  <c r="N303" i="101"/>
  <c r="M303" i="101"/>
  <c r="P302" i="101"/>
  <c r="O302" i="101"/>
  <c r="N302" i="101"/>
  <c r="M302" i="101"/>
  <c r="P301" i="101"/>
  <c r="O301" i="101"/>
  <c r="N301" i="101"/>
  <c r="M301" i="101"/>
  <c r="P300" i="101"/>
  <c r="O300" i="101"/>
  <c r="N300" i="101"/>
  <c r="M300" i="101"/>
  <c r="P299" i="101"/>
  <c r="O299" i="101"/>
  <c r="N299" i="101"/>
  <c r="M299" i="101"/>
  <c r="P298" i="101"/>
  <c r="O298" i="101"/>
  <c r="N298" i="101"/>
  <c r="M298" i="101"/>
  <c r="P297" i="101"/>
  <c r="O297" i="101"/>
  <c r="N297" i="101"/>
  <c r="M297" i="101"/>
  <c r="P296" i="101"/>
  <c r="O296" i="101"/>
  <c r="N296" i="101"/>
  <c r="M296" i="101"/>
  <c r="P295" i="101"/>
  <c r="O295" i="101"/>
  <c r="N295" i="101"/>
  <c r="M295" i="101"/>
  <c r="P294" i="101"/>
  <c r="O294" i="101"/>
  <c r="N294" i="101"/>
  <c r="M294" i="101"/>
  <c r="P293" i="101"/>
  <c r="O293" i="101"/>
  <c r="N293" i="101"/>
  <c r="M293" i="101"/>
  <c r="P292" i="101"/>
  <c r="O292" i="101"/>
  <c r="N292" i="101"/>
  <c r="M292" i="101"/>
  <c r="P291" i="101"/>
  <c r="O291" i="101"/>
  <c r="N291" i="101"/>
  <c r="M291" i="101"/>
  <c r="P290" i="101"/>
  <c r="O290" i="101"/>
  <c r="N290" i="101"/>
  <c r="M290" i="101"/>
  <c r="P289" i="101"/>
  <c r="O289" i="101"/>
  <c r="N289" i="101"/>
  <c r="M289" i="101"/>
  <c r="P288" i="101"/>
  <c r="O288" i="101"/>
  <c r="N288" i="101"/>
  <c r="M288" i="101"/>
  <c r="P287" i="101"/>
  <c r="O287" i="101"/>
  <c r="N287" i="101"/>
  <c r="M287" i="101"/>
  <c r="P286" i="101"/>
  <c r="O286" i="101"/>
  <c r="N286" i="101"/>
  <c r="M286" i="101"/>
  <c r="P285" i="101"/>
  <c r="O285" i="101"/>
  <c r="N285" i="101"/>
  <c r="M285" i="101"/>
  <c r="P284" i="101"/>
  <c r="O284" i="101"/>
  <c r="N284" i="101"/>
  <c r="M284" i="101"/>
  <c r="P283" i="101"/>
  <c r="O283" i="101"/>
  <c r="N283" i="101"/>
  <c r="M283" i="101"/>
  <c r="P282" i="101"/>
  <c r="O282" i="101"/>
  <c r="N282" i="101"/>
  <c r="M282" i="101"/>
  <c r="P281" i="101"/>
  <c r="O281" i="101"/>
  <c r="N281" i="101"/>
  <c r="M281" i="101"/>
  <c r="P280" i="101"/>
  <c r="O280" i="101"/>
  <c r="N280" i="101"/>
  <c r="M280" i="101"/>
  <c r="P279" i="101"/>
  <c r="O279" i="101"/>
  <c r="N279" i="101"/>
  <c r="M279" i="101"/>
  <c r="P278" i="101"/>
  <c r="O278" i="101"/>
  <c r="N278" i="101"/>
  <c r="M278" i="101"/>
  <c r="P277" i="101"/>
  <c r="O277" i="101"/>
  <c r="N277" i="101"/>
  <c r="M277" i="101"/>
  <c r="P276" i="101"/>
  <c r="O276" i="101"/>
  <c r="N276" i="101"/>
  <c r="M276" i="101"/>
  <c r="P275" i="101"/>
  <c r="O275" i="101"/>
  <c r="N275" i="101"/>
  <c r="M275" i="101"/>
  <c r="P274" i="101"/>
  <c r="O274" i="101"/>
  <c r="N274" i="101"/>
  <c r="M274" i="101"/>
  <c r="P273" i="101"/>
  <c r="O273" i="101"/>
  <c r="N273" i="101"/>
  <c r="M273" i="101"/>
  <c r="P272" i="101"/>
  <c r="O272" i="101"/>
  <c r="N272" i="101"/>
  <c r="M272" i="101"/>
  <c r="L264" i="101"/>
  <c r="P263" i="101"/>
  <c r="O263" i="101"/>
  <c r="N263" i="101"/>
  <c r="M263" i="101"/>
  <c r="P262" i="101"/>
  <c r="O262" i="101"/>
  <c r="N262" i="101"/>
  <c r="M262" i="101"/>
  <c r="P261" i="101"/>
  <c r="O261" i="101"/>
  <c r="N261" i="101"/>
  <c r="M261" i="101"/>
  <c r="P260" i="101"/>
  <c r="O260" i="101"/>
  <c r="N260" i="101"/>
  <c r="M260" i="101"/>
  <c r="P259" i="101"/>
  <c r="O259" i="101"/>
  <c r="N259" i="101"/>
  <c r="M259" i="101"/>
  <c r="P258" i="101"/>
  <c r="O258" i="101"/>
  <c r="N258" i="101"/>
  <c r="M258" i="101"/>
  <c r="P257" i="101"/>
  <c r="O257" i="101"/>
  <c r="N257" i="101"/>
  <c r="M257" i="101"/>
  <c r="P256" i="101"/>
  <c r="O256" i="101"/>
  <c r="N256" i="101"/>
  <c r="M256" i="101"/>
  <c r="P255" i="101"/>
  <c r="O255" i="101"/>
  <c r="N255" i="101"/>
  <c r="M255" i="101"/>
  <c r="P250" i="101"/>
  <c r="O250" i="101"/>
  <c r="N250" i="101"/>
  <c r="M250" i="101"/>
  <c r="P249" i="101"/>
  <c r="O249" i="101"/>
  <c r="N249" i="101"/>
  <c r="M249" i="101"/>
  <c r="P248" i="101"/>
  <c r="O248" i="101"/>
  <c r="N248" i="101"/>
  <c r="M248" i="101"/>
  <c r="P247" i="101"/>
  <c r="O247" i="101"/>
  <c r="N247" i="101"/>
  <c r="M247" i="101"/>
  <c r="P246" i="101"/>
  <c r="O246" i="101"/>
  <c r="N246" i="101"/>
  <c r="M246" i="101"/>
  <c r="P245" i="101"/>
  <c r="O245" i="101"/>
  <c r="N245" i="101"/>
  <c r="M245" i="101"/>
  <c r="P234" i="101"/>
  <c r="O234" i="101"/>
  <c r="N234" i="101"/>
  <c r="M234" i="101"/>
  <c r="P233" i="101"/>
  <c r="O233" i="101"/>
  <c r="N233" i="101"/>
  <c r="M233" i="101"/>
  <c r="P232" i="101"/>
  <c r="O232" i="101"/>
  <c r="N232" i="101"/>
  <c r="M232" i="101"/>
  <c r="P231" i="101"/>
  <c r="O231" i="101"/>
  <c r="N231" i="101"/>
  <c r="M231" i="101"/>
  <c r="P230" i="101"/>
  <c r="O230" i="101"/>
  <c r="N230" i="101"/>
  <c r="M230" i="101"/>
  <c r="P229" i="101"/>
  <c r="O229" i="101"/>
  <c r="N229" i="101"/>
  <c r="M229" i="101"/>
  <c r="P228" i="101"/>
  <c r="O228" i="101"/>
  <c r="N228" i="101"/>
  <c r="M228" i="101"/>
  <c r="P227" i="101"/>
  <c r="O227" i="101"/>
  <c r="N227" i="101"/>
  <c r="M227" i="101"/>
  <c r="P226" i="101"/>
  <c r="O226" i="101"/>
  <c r="N226" i="101"/>
  <c r="M226" i="101"/>
  <c r="P225" i="101"/>
  <c r="O225" i="101"/>
  <c r="N225" i="101"/>
  <c r="M225" i="101"/>
  <c r="P224" i="101"/>
  <c r="O224" i="101"/>
  <c r="N224" i="101"/>
  <c r="M224" i="101"/>
  <c r="P223" i="101"/>
  <c r="O223" i="101"/>
  <c r="N223" i="101"/>
  <c r="M223" i="101"/>
  <c r="P222" i="101"/>
  <c r="O222" i="101"/>
  <c r="N222" i="101"/>
  <c r="M222" i="101"/>
  <c r="P221" i="101"/>
  <c r="O221" i="101"/>
  <c r="N221" i="101"/>
  <c r="M221" i="101"/>
  <c r="P220" i="101"/>
  <c r="O220" i="101"/>
  <c r="N220" i="101"/>
  <c r="M220" i="101"/>
  <c r="P219" i="101"/>
  <c r="O219" i="101"/>
  <c r="N219" i="101"/>
  <c r="M219" i="101"/>
  <c r="P218" i="101"/>
  <c r="O218" i="101"/>
  <c r="N218" i="101"/>
  <c r="M218" i="101"/>
  <c r="P217" i="101"/>
  <c r="O217" i="101"/>
  <c r="N217" i="101"/>
  <c r="M217" i="101"/>
  <c r="P216" i="101"/>
  <c r="O216" i="101"/>
  <c r="N216" i="101"/>
  <c r="M216" i="101"/>
  <c r="P215" i="101"/>
  <c r="O215" i="101"/>
  <c r="N215" i="101"/>
  <c r="M215" i="101"/>
  <c r="P214" i="101"/>
  <c r="O214" i="101"/>
  <c r="N214" i="101"/>
  <c r="M214" i="101"/>
  <c r="P213" i="101"/>
  <c r="O213" i="101"/>
  <c r="N213" i="101"/>
  <c r="M213" i="101"/>
  <c r="P212" i="101"/>
  <c r="O212" i="101"/>
  <c r="N212" i="101"/>
  <c r="M212" i="101"/>
  <c r="P211" i="101"/>
  <c r="O211" i="101"/>
  <c r="N211" i="101"/>
  <c r="M211" i="101"/>
  <c r="P210" i="101"/>
  <c r="O210" i="101"/>
  <c r="N210" i="101"/>
  <c r="M210" i="101"/>
  <c r="P209" i="101"/>
  <c r="O209" i="101"/>
  <c r="N209" i="101"/>
  <c r="M209" i="101"/>
  <c r="P208" i="101"/>
  <c r="O208" i="101"/>
  <c r="N208" i="101"/>
  <c r="M208" i="101"/>
  <c r="P207" i="101"/>
  <c r="O207" i="101"/>
  <c r="N207" i="101"/>
  <c r="M207" i="101"/>
  <c r="P206" i="101"/>
  <c r="O206" i="101"/>
  <c r="N206" i="101"/>
  <c r="M206" i="101"/>
  <c r="P205" i="101"/>
  <c r="O205" i="101"/>
  <c r="N205" i="101"/>
  <c r="M205" i="101"/>
  <c r="P204" i="101"/>
  <c r="O204" i="101"/>
  <c r="N204" i="101"/>
  <c r="M204" i="101"/>
  <c r="P203" i="101"/>
  <c r="O203" i="101"/>
  <c r="N203" i="101"/>
  <c r="M203" i="101"/>
  <c r="P202" i="101"/>
  <c r="O202" i="101"/>
  <c r="N202" i="101"/>
  <c r="M202" i="101"/>
  <c r="P201" i="101"/>
  <c r="O201" i="101"/>
  <c r="N201" i="101"/>
  <c r="M201" i="101"/>
  <c r="P200" i="101"/>
  <c r="O200" i="101"/>
  <c r="N200" i="101"/>
  <c r="M200" i="101"/>
  <c r="P199" i="101"/>
  <c r="O199" i="101"/>
  <c r="N199" i="101"/>
  <c r="M199" i="101"/>
  <c r="P198" i="101"/>
  <c r="O198" i="101"/>
  <c r="N198" i="101"/>
  <c r="M198" i="101"/>
  <c r="P197" i="101"/>
  <c r="O197" i="101"/>
  <c r="N197" i="101"/>
  <c r="M197" i="101"/>
  <c r="P196" i="101"/>
  <c r="O196" i="101"/>
  <c r="N196" i="101"/>
  <c r="M196" i="101"/>
  <c r="P195" i="101"/>
  <c r="O195" i="101"/>
  <c r="N195" i="101"/>
  <c r="M195" i="101"/>
  <c r="P194" i="101"/>
  <c r="O194" i="101"/>
  <c r="N194" i="101"/>
  <c r="M194" i="101"/>
  <c r="P193" i="101"/>
  <c r="O193" i="101"/>
  <c r="N193" i="101"/>
  <c r="M193" i="101"/>
  <c r="P192" i="101"/>
  <c r="O192" i="101"/>
  <c r="N192" i="101"/>
  <c r="M192" i="101"/>
  <c r="P191" i="101"/>
  <c r="O191" i="101"/>
  <c r="N191" i="101"/>
  <c r="M191" i="101"/>
  <c r="P190" i="101"/>
  <c r="O190" i="101"/>
  <c r="N190" i="101"/>
  <c r="M190" i="101"/>
  <c r="P189" i="101"/>
  <c r="O189" i="101"/>
  <c r="N189" i="101"/>
  <c r="M189" i="101"/>
  <c r="L181" i="101"/>
  <c r="P180" i="101"/>
  <c r="O180" i="101"/>
  <c r="N180" i="101"/>
  <c r="M180" i="101"/>
  <c r="P179" i="101"/>
  <c r="O179" i="101"/>
  <c r="N179" i="101"/>
  <c r="M179" i="101"/>
  <c r="P178" i="101"/>
  <c r="O178" i="101"/>
  <c r="N178" i="101"/>
  <c r="M178" i="101"/>
  <c r="P177" i="101"/>
  <c r="O177" i="101"/>
  <c r="N177" i="101"/>
  <c r="M177" i="101"/>
  <c r="P176" i="101"/>
  <c r="O176" i="101"/>
  <c r="N176" i="101"/>
  <c r="M176" i="101"/>
  <c r="P175" i="101"/>
  <c r="O175" i="101"/>
  <c r="N175" i="101"/>
  <c r="M175" i="101"/>
  <c r="P174" i="101"/>
  <c r="O174" i="101"/>
  <c r="N174" i="101"/>
  <c r="M174" i="101"/>
  <c r="P173" i="101"/>
  <c r="O173" i="101"/>
  <c r="N173" i="101"/>
  <c r="M173" i="101"/>
  <c r="P172" i="101"/>
  <c r="O172" i="101"/>
  <c r="N172" i="101"/>
  <c r="M172" i="101"/>
  <c r="P167" i="101"/>
  <c r="O167" i="101"/>
  <c r="N167" i="101"/>
  <c r="M167" i="101"/>
  <c r="P166" i="101"/>
  <c r="O166" i="101"/>
  <c r="N166" i="101"/>
  <c r="M166" i="101"/>
  <c r="P165" i="101"/>
  <c r="O165" i="101"/>
  <c r="N165" i="101"/>
  <c r="M165" i="101"/>
  <c r="P164" i="101"/>
  <c r="O164" i="101"/>
  <c r="N164" i="101"/>
  <c r="M164" i="101"/>
  <c r="P163" i="101"/>
  <c r="O163" i="101"/>
  <c r="N163" i="101"/>
  <c r="M163" i="101"/>
  <c r="P162" i="101"/>
  <c r="O162" i="101"/>
  <c r="N162" i="101"/>
  <c r="M162" i="101"/>
  <c r="P151" i="101"/>
  <c r="O151" i="101"/>
  <c r="N151" i="101"/>
  <c r="M151" i="101"/>
  <c r="P150" i="101"/>
  <c r="O150" i="101"/>
  <c r="N150" i="101"/>
  <c r="M150" i="101"/>
  <c r="P149" i="101"/>
  <c r="O149" i="101"/>
  <c r="N149" i="101"/>
  <c r="M149" i="101"/>
  <c r="P148" i="101"/>
  <c r="O148" i="101"/>
  <c r="N148" i="101"/>
  <c r="M148" i="101"/>
  <c r="P147" i="101"/>
  <c r="O147" i="101"/>
  <c r="N147" i="101"/>
  <c r="M147" i="101"/>
  <c r="P146" i="101"/>
  <c r="O146" i="101"/>
  <c r="N146" i="101"/>
  <c r="M146" i="101"/>
  <c r="P145" i="101"/>
  <c r="O145" i="101"/>
  <c r="N145" i="101"/>
  <c r="M145" i="101"/>
  <c r="P144" i="101"/>
  <c r="O144" i="101"/>
  <c r="N144" i="101"/>
  <c r="M144" i="101"/>
  <c r="P143" i="101"/>
  <c r="O143" i="101"/>
  <c r="N143" i="101"/>
  <c r="M143" i="101"/>
  <c r="P142" i="101"/>
  <c r="O142" i="101"/>
  <c r="N142" i="101"/>
  <c r="M142" i="101"/>
  <c r="P141" i="101"/>
  <c r="O141" i="101"/>
  <c r="N141" i="101"/>
  <c r="M141" i="101"/>
  <c r="P140" i="101"/>
  <c r="O140" i="101"/>
  <c r="N140" i="101"/>
  <c r="M140" i="101"/>
  <c r="P139" i="101"/>
  <c r="O139" i="101"/>
  <c r="N139" i="101"/>
  <c r="M139" i="101"/>
  <c r="P138" i="101"/>
  <c r="O138" i="101"/>
  <c r="N138" i="101"/>
  <c r="M138" i="101"/>
  <c r="P137" i="101"/>
  <c r="O137" i="101"/>
  <c r="N137" i="101"/>
  <c r="M137" i="101"/>
  <c r="P136" i="101"/>
  <c r="O136" i="101"/>
  <c r="N136" i="101"/>
  <c r="M136" i="101"/>
  <c r="P135" i="101"/>
  <c r="O135" i="101"/>
  <c r="N135" i="101"/>
  <c r="M135" i="101"/>
  <c r="P134" i="101"/>
  <c r="O134" i="101"/>
  <c r="N134" i="101"/>
  <c r="M134" i="101"/>
  <c r="P133" i="101"/>
  <c r="O133" i="101"/>
  <c r="N133" i="101"/>
  <c r="M133" i="101"/>
  <c r="P132" i="101"/>
  <c r="O132" i="101"/>
  <c r="N132" i="101"/>
  <c r="M132" i="101"/>
  <c r="P131" i="101"/>
  <c r="O131" i="101"/>
  <c r="N131" i="101"/>
  <c r="M131" i="101"/>
  <c r="P130" i="101"/>
  <c r="O130" i="101"/>
  <c r="N130" i="101"/>
  <c r="M130" i="101"/>
  <c r="P129" i="101"/>
  <c r="O129" i="101"/>
  <c r="N129" i="101"/>
  <c r="M129" i="101"/>
  <c r="P128" i="101"/>
  <c r="O128" i="101"/>
  <c r="N128" i="101"/>
  <c r="M128" i="101"/>
  <c r="P127" i="101"/>
  <c r="O127" i="101"/>
  <c r="N127" i="101"/>
  <c r="M127" i="101"/>
  <c r="P126" i="101"/>
  <c r="O126" i="101"/>
  <c r="N126" i="101"/>
  <c r="M126" i="101"/>
  <c r="P125" i="101"/>
  <c r="O125" i="101"/>
  <c r="N125" i="101"/>
  <c r="M125" i="101"/>
  <c r="P124" i="101"/>
  <c r="O124" i="101"/>
  <c r="N124" i="101"/>
  <c r="M124" i="101"/>
  <c r="P123" i="101"/>
  <c r="O123" i="101"/>
  <c r="N123" i="101"/>
  <c r="M123" i="101"/>
  <c r="P122" i="101"/>
  <c r="O122" i="101"/>
  <c r="N122" i="101"/>
  <c r="M122" i="101"/>
  <c r="P121" i="101"/>
  <c r="O121" i="101"/>
  <c r="N121" i="101"/>
  <c r="M121" i="101"/>
  <c r="P120" i="101"/>
  <c r="O120" i="101"/>
  <c r="N120" i="101"/>
  <c r="M120" i="101"/>
  <c r="P119" i="101"/>
  <c r="O119" i="101"/>
  <c r="N119" i="101"/>
  <c r="M119" i="101"/>
  <c r="P118" i="101"/>
  <c r="O118" i="101"/>
  <c r="N118" i="101"/>
  <c r="M118" i="101"/>
  <c r="P117" i="101"/>
  <c r="O117" i="101"/>
  <c r="N117" i="101"/>
  <c r="M117" i="101"/>
  <c r="P116" i="101"/>
  <c r="O116" i="101"/>
  <c r="N116" i="101"/>
  <c r="M116" i="101"/>
  <c r="P115" i="101"/>
  <c r="O115" i="101"/>
  <c r="N115" i="101"/>
  <c r="M115" i="101"/>
  <c r="P114" i="101"/>
  <c r="O114" i="101"/>
  <c r="N114" i="101"/>
  <c r="M114" i="101"/>
  <c r="P113" i="101"/>
  <c r="O113" i="101"/>
  <c r="N113" i="101"/>
  <c r="M113" i="101"/>
  <c r="P112" i="101"/>
  <c r="O112" i="101"/>
  <c r="N112" i="101"/>
  <c r="M112" i="101"/>
  <c r="P111" i="101"/>
  <c r="O111" i="101"/>
  <c r="N111" i="101"/>
  <c r="M111" i="101"/>
  <c r="P110" i="101"/>
  <c r="O110" i="101"/>
  <c r="N110" i="101"/>
  <c r="M110" i="101"/>
  <c r="P109" i="101"/>
  <c r="O109" i="101"/>
  <c r="N109" i="101"/>
  <c r="M109" i="101"/>
  <c r="P108" i="101"/>
  <c r="O108" i="101"/>
  <c r="N108" i="101"/>
  <c r="M108" i="101"/>
  <c r="P107" i="101"/>
  <c r="O107" i="101"/>
  <c r="N107" i="101"/>
  <c r="M107" i="101"/>
  <c r="P106" i="101"/>
  <c r="O106" i="101"/>
  <c r="N106" i="101"/>
  <c r="M106" i="101"/>
  <c r="L98" i="101"/>
  <c r="P97" i="101"/>
  <c r="O97" i="101"/>
  <c r="N97" i="101"/>
  <c r="M97" i="101"/>
  <c r="P96" i="101"/>
  <c r="O96" i="101"/>
  <c r="N96" i="101"/>
  <c r="M96" i="101"/>
  <c r="P95" i="101"/>
  <c r="O95" i="101"/>
  <c r="N95" i="101"/>
  <c r="M95" i="101"/>
  <c r="P94" i="101"/>
  <c r="O94" i="101"/>
  <c r="N94" i="101"/>
  <c r="M94" i="101"/>
  <c r="P93" i="101"/>
  <c r="O93" i="101"/>
  <c r="N93" i="101"/>
  <c r="M93" i="101"/>
  <c r="P92" i="101"/>
  <c r="O92" i="101"/>
  <c r="N92" i="101"/>
  <c r="M92" i="101"/>
  <c r="P91" i="101"/>
  <c r="O91" i="101"/>
  <c r="N91" i="101"/>
  <c r="M91" i="101"/>
  <c r="P90" i="101"/>
  <c r="O90" i="101"/>
  <c r="N90" i="101"/>
  <c r="M90" i="101"/>
  <c r="P89" i="101"/>
  <c r="O89" i="101"/>
  <c r="N89" i="101"/>
  <c r="M89" i="101"/>
  <c r="E56" i="85" l="1"/>
  <c r="BD10" i="70"/>
  <c r="BE10" i="70"/>
  <c r="D21" i="88"/>
  <c r="AD304" i="76"/>
  <c r="AE16" i="76"/>
  <c r="BG10" i="70"/>
  <c r="BE151" i="70"/>
  <c r="BF225" i="70"/>
  <c r="BF157" i="70"/>
  <c r="BF77" i="70"/>
  <c r="BG83" i="70"/>
  <c r="BE157" i="70"/>
  <c r="BE77" i="70"/>
  <c r="BF231" i="70"/>
  <c r="BF151" i="70"/>
  <c r="BF83" i="70"/>
  <c r="BG77" i="70"/>
  <c r="BA77" i="70" s="1"/>
  <c r="AE89" i="76"/>
  <c r="V182" i="76"/>
  <c r="V205" i="76"/>
  <c r="V263" i="76"/>
  <c r="V221" i="76"/>
  <c r="V255" i="76"/>
  <c r="W51" i="76"/>
  <c r="W57" i="76"/>
  <c r="V174" i="76"/>
  <c r="V203" i="76"/>
  <c r="X55" i="76"/>
  <c r="V241" i="76"/>
  <c r="V295" i="76"/>
  <c r="X270" i="76"/>
  <c r="W288" i="76"/>
  <c r="W290" i="76"/>
  <c r="F98" i="85"/>
  <c r="F94" i="85"/>
  <c r="G94" i="85" s="1"/>
  <c r="F96" i="85"/>
  <c r="F99" i="85"/>
  <c r="F55" i="85"/>
  <c r="F75" i="85"/>
  <c r="F95" i="85"/>
  <c r="E59" i="85"/>
  <c r="E76" i="85"/>
  <c r="E79" i="85"/>
  <c r="E96" i="85"/>
  <c r="E99" i="85"/>
  <c r="F54" i="85"/>
  <c r="E100" i="85"/>
  <c r="F56" i="85"/>
  <c r="E78" i="85"/>
  <c r="F76" i="85"/>
  <c r="E98" i="85"/>
  <c r="E80" i="85"/>
  <c r="F80" i="85"/>
  <c r="E58" i="85"/>
  <c r="F59" i="85"/>
  <c r="F79" i="85"/>
  <c r="E60" i="85"/>
  <c r="F60" i="85"/>
  <c r="F74" i="85"/>
  <c r="F100" i="85"/>
  <c r="F58" i="85"/>
  <c r="F78" i="85"/>
  <c r="L94" i="101"/>
  <c r="L106" i="101"/>
  <c r="L114" i="101"/>
  <c r="L122" i="101"/>
  <c r="L130" i="101"/>
  <c r="L138" i="101"/>
  <c r="L146" i="101"/>
  <c r="L167" i="101"/>
  <c r="L177" i="101"/>
  <c r="L189" i="101"/>
  <c r="L197" i="101"/>
  <c r="L205" i="101"/>
  <c r="L213" i="101"/>
  <c r="L219" i="101"/>
  <c r="L221" i="101"/>
  <c r="L229" i="101"/>
  <c r="L272" i="101"/>
  <c r="L278" i="101"/>
  <c r="L280" i="101"/>
  <c r="L288" i="101"/>
  <c r="L296" i="101"/>
  <c r="L304" i="101"/>
  <c r="L90" i="101"/>
  <c r="L110" i="101"/>
  <c r="L118" i="101"/>
  <c r="L126" i="101"/>
  <c r="L134" i="101"/>
  <c r="L142" i="101"/>
  <c r="L150" i="101"/>
  <c r="L201" i="101"/>
  <c r="L209" i="101"/>
  <c r="L217" i="101"/>
  <c r="L225" i="101"/>
  <c r="L233" i="101"/>
  <c r="L276" i="101"/>
  <c r="L284" i="101"/>
  <c r="L300" i="101"/>
  <c r="L308" i="101"/>
  <c r="L329" i="101"/>
  <c r="L339" i="101"/>
  <c r="L119" i="101"/>
  <c r="L135" i="101"/>
  <c r="L143" i="101"/>
  <c r="L151" i="101"/>
  <c r="L164" i="101"/>
  <c r="Y21" i="101" s="1"/>
  <c r="L174" i="101"/>
  <c r="L316" i="101"/>
  <c r="L312" i="101"/>
  <c r="L91" i="101"/>
  <c r="L127" i="101"/>
  <c r="L194" i="101"/>
  <c r="L202" i="101"/>
  <c r="L210" i="101"/>
  <c r="L218" i="101"/>
  <c r="L226" i="101"/>
  <c r="L247" i="101"/>
  <c r="Y30" i="101" s="1"/>
  <c r="L257" i="101"/>
  <c r="L250" i="101"/>
  <c r="L330" i="101"/>
  <c r="Y39" i="101" s="1"/>
  <c r="L260" i="101"/>
  <c r="L333" i="101"/>
  <c r="L93" i="101"/>
  <c r="L113" i="101"/>
  <c r="L121" i="101"/>
  <c r="L129" i="101"/>
  <c r="L137" i="101"/>
  <c r="L145" i="101"/>
  <c r="L166" i="101"/>
  <c r="L176" i="101"/>
  <c r="L196" i="101"/>
  <c r="L204" i="101"/>
  <c r="L212" i="101"/>
  <c r="L220" i="101"/>
  <c r="L228" i="101"/>
  <c r="L249" i="101"/>
  <c r="L259" i="101"/>
  <c r="L279" i="101"/>
  <c r="L287" i="101"/>
  <c r="L295" i="101"/>
  <c r="L303" i="101"/>
  <c r="L311" i="101"/>
  <c r="L314" i="101"/>
  <c r="L332" i="101"/>
  <c r="L97" i="101"/>
  <c r="L139" i="101"/>
  <c r="L147" i="101"/>
  <c r="L190" i="101"/>
  <c r="L193" i="101"/>
  <c r="L198" i="101"/>
  <c r="L206" i="101"/>
  <c r="L214" i="101"/>
  <c r="L222" i="101"/>
  <c r="L230" i="101"/>
  <c r="L246" i="101"/>
  <c r="Y32" i="101" s="1"/>
  <c r="L251" i="101"/>
  <c r="L256" i="101"/>
  <c r="L261" i="101"/>
  <c r="L273" i="101"/>
  <c r="L281" i="101"/>
  <c r="L289" i="101"/>
  <c r="L292" i="101"/>
  <c r="L297" i="101"/>
  <c r="L305" i="101"/>
  <c r="L313" i="101"/>
  <c r="L334" i="101"/>
  <c r="L85" i="101"/>
  <c r="L95" i="101"/>
  <c r="L107" i="101"/>
  <c r="L115" i="101"/>
  <c r="L123" i="101"/>
  <c r="L131" i="101"/>
  <c r="L163" i="101"/>
  <c r="L168" i="101"/>
  <c r="L173" i="101"/>
  <c r="L178" i="101"/>
  <c r="L89" i="101"/>
  <c r="L109" i="101"/>
  <c r="L117" i="101"/>
  <c r="L125" i="101"/>
  <c r="L133" i="101"/>
  <c r="L136" i="101"/>
  <c r="L141" i="101"/>
  <c r="L144" i="101"/>
  <c r="L149" i="101"/>
  <c r="L162" i="101"/>
  <c r="Y20" i="101" s="1"/>
  <c r="L172" i="101"/>
  <c r="L180" i="101"/>
  <c r="L192" i="101"/>
  <c r="L195" i="101"/>
  <c r="L200" i="101"/>
  <c r="L208" i="101"/>
  <c r="L216" i="101"/>
  <c r="L224" i="101"/>
  <c r="L232" i="101"/>
  <c r="L245" i="101"/>
  <c r="Y29" i="101" s="1"/>
  <c r="L255" i="101"/>
  <c r="L263" i="101"/>
  <c r="L275" i="101"/>
  <c r="L291" i="101"/>
  <c r="L299" i="101"/>
  <c r="L307" i="101"/>
  <c r="L310" i="101"/>
  <c r="L315" i="101"/>
  <c r="L328" i="101"/>
  <c r="Y38" i="101" s="1"/>
  <c r="L338" i="101"/>
  <c r="W43" i="76"/>
  <c r="X110" i="76"/>
  <c r="W126" i="76"/>
  <c r="V243" i="76"/>
  <c r="W246" i="76"/>
  <c r="V259" i="76"/>
  <c r="L277" i="101"/>
  <c r="L283" i="101"/>
  <c r="L285" i="101"/>
  <c r="L293" i="101"/>
  <c r="L301" i="101"/>
  <c r="L309" i="101"/>
  <c r="L317" i="101"/>
  <c r="L340" i="101"/>
  <c r="L96" i="101"/>
  <c r="L108" i="101"/>
  <c r="L111" i="101"/>
  <c r="L116" i="101"/>
  <c r="L124" i="101"/>
  <c r="L132" i="101"/>
  <c r="L140" i="101"/>
  <c r="L148" i="101"/>
  <c r="L179" i="101"/>
  <c r="L191" i="101"/>
  <c r="L199" i="101"/>
  <c r="L207" i="101"/>
  <c r="S32" i="101" s="1"/>
  <c r="L215" i="101"/>
  <c r="L223" i="101"/>
  <c r="L231" i="101"/>
  <c r="L234" i="101"/>
  <c r="L262" i="101"/>
  <c r="L274" i="101"/>
  <c r="L282" i="101"/>
  <c r="L290" i="101"/>
  <c r="S41" i="101" s="1"/>
  <c r="L298" i="101"/>
  <c r="L306" i="101"/>
  <c r="BE231" i="70"/>
  <c r="W179" i="76"/>
  <c r="W187" i="76"/>
  <c r="W208" i="76"/>
  <c r="W209" i="76"/>
  <c r="W248" i="76"/>
  <c r="W264" i="76"/>
  <c r="X167" i="76"/>
  <c r="X204" i="76"/>
  <c r="W224" i="76"/>
  <c r="V251" i="76"/>
  <c r="V267" i="76"/>
  <c r="W283" i="76"/>
  <c r="V142" i="76"/>
  <c r="X178" i="76"/>
  <c r="X198" i="76"/>
  <c r="L92" i="101"/>
  <c r="L112" i="101"/>
  <c r="L120" i="101"/>
  <c r="L128" i="101"/>
  <c r="L152" i="101"/>
  <c r="L165" i="101"/>
  <c r="Y22" i="101" s="1"/>
  <c r="L175" i="101"/>
  <c r="L203" i="101"/>
  <c r="L211" i="101"/>
  <c r="L227" i="101"/>
  <c r="L235" i="101"/>
  <c r="L248" i="101"/>
  <c r="Y31" i="101" s="1"/>
  <c r="L258" i="101"/>
  <c r="L286" i="101"/>
  <c r="L294" i="101"/>
  <c r="L302" i="101"/>
  <c r="L318" i="101"/>
  <c r="L331" i="101"/>
  <c r="Y40" i="101" s="1"/>
  <c r="W49" i="76"/>
  <c r="X180" i="76"/>
  <c r="W193" i="76"/>
  <c r="W262" i="76"/>
  <c r="X57" i="76"/>
  <c r="X63" i="76"/>
  <c r="X80" i="76"/>
  <c r="W84" i="76"/>
  <c r="X126" i="76"/>
  <c r="X157" i="76"/>
  <c r="X159" i="76"/>
  <c r="W180" i="76"/>
  <c r="W184" i="76"/>
  <c r="W245" i="76"/>
  <c r="W272" i="76"/>
  <c r="X296" i="76"/>
  <c r="X104" i="76"/>
  <c r="W131" i="76"/>
  <c r="X165" i="76"/>
  <c r="X183" i="76"/>
  <c r="W221" i="76"/>
  <c r="W243" i="76"/>
  <c r="W282" i="76"/>
  <c r="W39" i="76"/>
  <c r="X46" i="76"/>
  <c r="X50" i="76"/>
  <c r="X54" i="76"/>
  <c r="X64" i="76"/>
  <c r="X66" i="76"/>
  <c r="W100" i="76"/>
  <c r="W162" i="76"/>
  <c r="X179" i="76"/>
  <c r="W210" i="76"/>
  <c r="X213" i="76"/>
  <c r="W223" i="76"/>
  <c r="W235" i="76"/>
  <c r="W249" i="76"/>
  <c r="W252" i="76"/>
  <c r="W257" i="76"/>
  <c r="W265" i="76"/>
  <c r="W268" i="76"/>
  <c r="X271" i="76"/>
  <c r="X287" i="76"/>
  <c r="W65" i="76"/>
  <c r="X99" i="76"/>
  <c r="X114" i="76"/>
  <c r="W115" i="76"/>
  <c r="X170" i="76"/>
  <c r="X172" i="76"/>
  <c r="X245" i="76"/>
  <c r="X278" i="76"/>
  <c r="W285" i="76"/>
  <c r="X21" i="76"/>
  <c r="W48" i="76"/>
  <c r="W53" i="76"/>
  <c r="X67" i="76"/>
  <c r="W173" i="76"/>
  <c r="X196" i="76"/>
  <c r="W203" i="76"/>
  <c r="X227" i="76"/>
  <c r="W230" i="76"/>
  <c r="W231" i="76"/>
  <c r="W241" i="76"/>
  <c r="X251" i="76"/>
  <c r="W269" i="76"/>
  <c r="W281" i="76"/>
  <c r="X290" i="76"/>
  <c r="X47" i="76"/>
  <c r="X59" i="76"/>
  <c r="W178" i="76"/>
  <c r="X185" i="76"/>
  <c r="X217" i="76"/>
  <c r="W258" i="76"/>
  <c r="W266" i="76"/>
  <c r="W270" i="76"/>
  <c r="X56" i="76"/>
  <c r="X62" i="76"/>
  <c r="X68" i="76"/>
  <c r="W69" i="76"/>
  <c r="X70" i="76"/>
  <c r="X79" i="76"/>
  <c r="X93" i="76"/>
  <c r="X171" i="76"/>
  <c r="X176" i="76"/>
  <c r="X235" i="76"/>
  <c r="X239" i="76"/>
  <c r="W253" i="76"/>
  <c r="W261" i="76"/>
  <c r="X29" i="76"/>
  <c r="X53" i="76"/>
  <c r="W61" i="76"/>
  <c r="X71" i="76"/>
  <c r="X77" i="76"/>
  <c r="X90" i="76"/>
  <c r="X194" i="76"/>
  <c r="X200" i="76"/>
  <c r="W201" i="76"/>
  <c r="W215" i="76"/>
  <c r="W232" i="76"/>
  <c r="W271" i="76"/>
  <c r="X26" i="76"/>
  <c r="W27" i="76"/>
  <c r="X34" i="76"/>
  <c r="W35" i="76"/>
  <c r="W170" i="76"/>
  <c r="X17" i="76"/>
  <c r="W22" i="76"/>
  <c r="W30" i="76"/>
  <c r="X37" i="76"/>
  <c r="W181" i="76"/>
  <c r="W18" i="76"/>
  <c r="X19" i="76"/>
  <c r="X24" i="76"/>
  <c r="W25" i="76"/>
  <c r="X32" i="76"/>
  <c r="W33" i="76"/>
  <c r="X38" i="76"/>
  <c r="W16" i="76"/>
  <c r="W20" i="76"/>
  <c r="X27" i="76"/>
  <c r="W28" i="76"/>
  <c r="X35" i="76"/>
  <c r="W36" i="76"/>
  <c r="W44" i="76"/>
  <c r="X58" i="76"/>
  <c r="BG157" i="70"/>
  <c r="X22" i="76"/>
  <c r="W23" i="76"/>
  <c r="X30" i="76"/>
  <c r="W31" i="76"/>
  <c r="X39" i="76"/>
  <c r="W40" i="76"/>
  <c r="X181" i="76"/>
  <c r="X18" i="76"/>
  <c r="X25" i="76"/>
  <c r="W26" i="76"/>
  <c r="X33" i="76"/>
  <c r="W34" i="76"/>
  <c r="W45" i="76"/>
  <c r="X16" i="76"/>
  <c r="W17" i="76"/>
  <c r="X20" i="76"/>
  <c r="W21" i="76"/>
  <c r="X28" i="76"/>
  <c r="W29" i="76"/>
  <c r="X52" i="76"/>
  <c r="W19" i="76"/>
  <c r="X23" i="76"/>
  <c r="W24" i="76"/>
  <c r="X31" i="76"/>
  <c r="W32" i="76"/>
  <c r="W38" i="76"/>
  <c r="W42" i="76"/>
  <c r="X48" i="76"/>
  <c r="X60" i="76"/>
  <c r="X155" i="76"/>
  <c r="X43" i="76"/>
  <c r="W46" i="76"/>
  <c r="W58" i="76"/>
  <c r="W62" i="76"/>
  <c r="W66" i="76"/>
  <c r="W70" i="76"/>
  <c r="W73" i="76"/>
  <c r="W77" i="76"/>
  <c r="W85" i="76"/>
  <c r="X87" i="76"/>
  <c r="W94" i="76"/>
  <c r="W98" i="76"/>
  <c r="W107" i="76"/>
  <c r="X108" i="76"/>
  <c r="X115" i="76"/>
  <c r="W119" i="76"/>
  <c r="W120" i="76"/>
  <c r="X121" i="76"/>
  <c r="X124" i="76"/>
  <c r="W127" i="76"/>
  <c r="W130" i="76"/>
  <c r="X131" i="76"/>
  <c r="W137" i="76"/>
  <c r="W143" i="76"/>
  <c r="W147" i="76"/>
  <c r="X154" i="76"/>
  <c r="W156" i="76"/>
  <c r="X163" i="76"/>
  <c r="W169" i="76"/>
  <c r="W171" i="76"/>
  <c r="X173" i="76"/>
  <c r="X175" i="76"/>
  <c r="W190" i="76"/>
  <c r="X255" i="76"/>
  <c r="X263" i="76"/>
  <c r="W76" i="76"/>
  <c r="X81" i="76"/>
  <c r="W83" i="76"/>
  <c r="X84" i="76"/>
  <c r="W92" i="76"/>
  <c r="W104" i="76"/>
  <c r="W114" i="76"/>
  <c r="X122" i="76"/>
  <c r="W132" i="76"/>
  <c r="X133" i="76"/>
  <c r="W140" i="76"/>
  <c r="W141" i="76"/>
  <c r="W144" i="76"/>
  <c r="W145" i="76"/>
  <c r="W148" i="76"/>
  <c r="W159" i="76"/>
  <c r="X166" i="76"/>
  <c r="W174" i="76"/>
  <c r="W176" i="76"/>
  <c r="X177" i="76"/>
  <c r="X184" i="76"/>
  <c r="X189" i="76"/>
  <c r="W191" i="76"/>
  <c r="W202" i="76"/>
  <c r="X36" i="76"/>
  <c r="W37" i="76"/>
  <c r="X41" i="76"/>
  <c r="W56" i="76"/>
  <c r="W72" i="76"/>
  <c r="X74" i="76"/>
  <c r="W82" i="76"/>
  <c r="W86" i="76"/>
  <c r="W89" i="76"/>
  <c r="X91" i="76"/>
  <c r="W95" i="76"/>
  <c r="W101" i="76"/>
  <c r="X103" i="76"/>
  <c r="W106" i="76"/>
  <c r="W109" i="76"/>
  <c r="X112" i="76"/>
  <c r="X116" i="76"/>
  <c r="W117" i="76"/>
  <c r="X128" i="76"/>
  <c r="W134" i="76"/>
  <c r="X135" i="76"/>
  <c r="X150" i="76"/>
  <c r="X152" i="76"/>
  <c r="W153" i="76"/>
  <c r="X164" i="76"/>
  <c r="W165" i="76"/>
  <c r="W167" i="76"/>
  <c r="X182" i="76"/>
  <c r="W185" i="76"/>
  <c r="X193" i="76"/>
  <c r="W194" i="76"/>
  <c r="X197" i="76"/>
  <c r="X199" i="76"/>
  <c r="W200" i="76"/>
  <c r="W274" i="76"/>
  <c r="W280" i="76"/>
  <c r="W71" i="76"/>
  <c r="X73" i="76"/>
  <c r="X78" i="76"/>
  <c r="X88" i="76"/>
  <c r="X96" i="76"/>
  <c r="X98" i="76"/>
  <c r="W99" i="76"/>
  <c r="W102" i="76"/>
  <c r="X105" i="76"/>
  <c r="X107" i="76"/>
  <c r="W113" i="76"/>
  <c r="X119" i="76"/>
  <c r="X120" i="76"/>
  <c r="W123" i="76"/>
  <c r="X130" i="76"/>
  <c r="W136" i="76"/>
  <c r="W138" i="76"/>
  <c r="X139" i="76"/>
  <c r="X143" i="76"/>
  <c r="W146" i="76"/>
  <c r="X147" i="76"/>
  <c r="W151" i="76"/>
  <c r="W157" i="76"/>
  <c r="X158" i="76"/>
  <c r="W160" i="76"/>
  <c r="X161" i="76"/>
  <c r="W183" i="76"/>
  <c r="X186" i="76"/>
  <c r="X190" i="76"/>
  <c r="X195" i="76"/>
  <c r="W196" i="76"/>
  <c r="W239" i="76"/>
  <c r="W240" i="76"/>
  <c r="X49" i="76"/>
  <c r="W55" i="76"/>
  <c r="W60" i="76"/>
  <c r="W64" i="76"/>
  <c r="W68" i="76"/>
  <c r="W75" i="76"/>
  <c r="X85" i="76"/>
  <c r="W87" i="76"/>
  <c r="W90" i="76"/>
  <c r="W93" i="76"/>
  <c r="X94" i="76"/>
  <c r="W97" i="76"/>
  <c r="X100" i="76"/>
  <c r="W108" i="76"/>
  <c r="W110" i="76"/>
  <c r="W111" i="76"/>
  <c r="W118" i="76"/>
  <c r="W124" i="76"/>
  <c r="W125" i="76"/>
  <c r="X127" i="76"/>
  <c r="W129" i="76"/>
  <c r="X132" i="76"/>
  <c r="X137" i="76"/>
  <c r="X140" i="76"/>
  <c r="X141" i="76"/>
  <c r="W142" i="76"/>
  <c r="X144" i="76"/>
  <c r="X145" i="76"/>
  <c r="X148" i="76"/>
  <c r="W149" i="76"/>
  <c r="W154" i="76"/>
  <c r="X156" i="76"/>
  <c r="X162" i="76"/>
  <c r="W163" i="76"/>
  <c r="W168" i="76"/>
  <c r="X169" i="76"/>
  <c r="X174" i="76"/>
  <c r="W188" i="76"/>
  <c r="W192" i="76"/>
  <c r="X259" i="76"/>
  <c r="X42" i="76"/>
  <c r="X44" i="76"/>
  <c r="W50" i="76"/>
  <c r="X51" i="76"/>
  <c r="W54" i="76"/>
  <c r="X76" i="76"/>
  <c r="X83" i="76"/>
  <c r="X92" i="76"/>
  <c r="X101" i="76"/>
  <c r="X106" i="76"/>
  <c r="X109" i="76"/>
  <c r="W121" i="76"/>
  <c r="X134" i="76"/>
  <c r="X153" i="76"/>
  <c r="W166" i="76"/>
  <c r="W175" i="76"/>
  <c r="X187" i="76"/>
  <c r="W189" i="76"/>
  <c r="X191" i="76"/>
  <c r="X40" i="76"/>
  <c r="W41" i="76"/>
  <c r="W47" i="76"/>
  <c r="W59" i="76"/>
  <c r="X61" i="76"/>
  <c r="W63" i="76"/>
  <c r="X65" i="76"/>
  <c r="W67" i="76"/>
  <c r="X69" i="76"/>
  <c r="X72" i="76"/>
  <c r="W74" i="76"/>
  <c r="W80" i="76"/>
  <c r="W81" i="76"/>
  <c r="X82" i="76"/>
  <c r="X89" i="76"/>
  <c r="W91" i="76"/>
  <c r="W96" i="76"/>
  <c r="X102" i="76"/>
  <c r="W103" i="76"/>
  <c r="X113" i="76"/>
  <c r="X117" i="76"/>
  <c r="W122" i="76"/>
  <c r="X123" i="76"/>
  <c r="W133" i="76"/>
  <c r="X136" i="76"/>
  <c r="X138" i="76"/>
  <c r="X146" i="76"/>
  <c r="X151" i="76"/>
  <c r="W155" i="76"/>
  <c r="X160" i="76"/>
  <c r="W164" i="76"/>
  <c r="W172" i="76"/>
  <c r="W177" i="76"/>
  <c r="W197" i="76"/>
  <c r="W199" i="76"/>
  <c r="X277" i="76"/>
  <c r="X45" i="76"/>
  <c r="W52" i="76"/>
  <c r="X75" i="76"/>
  <c r="W78" i="76"/>
  <c r="W79" i="76"/>
  <c r="X86" i="76"/>
  <c r="W88" i="76"/>
  <c r="X95" i="76"/>
  <c r="X97" i="76"/>
  <c r="W105" i="76"/>
  <c r="X111" i="76"/>
  <c r="W112" i="76"/>
  <c r="W116" i="76"/>
  <c r="X118" i="76"/>
  <c r="X125" i="76"/>
  <c r="W128" i="76"/>
  <c r="X129" i="76"/>
  <c r="W135" i="76"/>
  <c r="W139" i="76"/>
  <c r="X142" i="76"/>
  <c r="X149" i="76"/>
  <c r="W150" i="76"/>
  <c r="W152" i="76"/>
  <c r="W158" i="76"/>
  <c r="W161" i="76"/>
  <c r="X168" i="76"/>
  <c r="W182" i="76"/>
  <c r="W186" i="76"/>
  <c r="X188" i="76"/>
  <c r="X192" i="76"/>
  <c r="W195" i="76"/>
  <c r="W213" i="76"/>
  <c r="W214" i="76"/>
  <c r="X281" i="76"/>
  <c r="X211" i="76"/>
  <c r="W219" i="76"/>
  <c r="W226" i="76"/>
  <c r="W228" i="76"/>
  <c r="X230" i="76"/>
  <c r="X232" i="76"/>
  <c r="W236" i="76"/>
  <c r="X237" i="76"/>
  <c r="X246" i="76"/>
  <c r="X249" i="76"/>
  <c r="W251" i="76"/>
  <c r="X253" i="76"/>
  <c r="W255" i="76"/>
  <c r="X257" i="76"/>
  <c r="W259" i="76"/>
  <c r="X261" i="76"/>
  <c r="W263" i="76"/>
  <c r="X265" i="76"/>
  <c r="W267" i="76"/>
  <c r="X268" i="76"/>
  <c r="W279" i="76"/>
  <c r="X285" i="76"/>
  <c r="X288" i="76"/>
  <c r="X293" i="76"/>
  <c r="W295" i="76"/>
  <c r="X297" i="76"/>
  <c r="W302" i="76"/>
  <c r="X203" i="76"/>
  <c r="W204" i="76"/>
  <c r="W206" i="76"/>
  <c r="X208" i="76"/>
  <c r="X214" i="76"/>
  <c r="X224" i="76"/>
  <c r="X240" i="76"/>
  <c r="X243" i="76"/>
  <c r="X272" i="76"/>
  <c r="X276" i="76"/>
  <c r="W287" i="76"/>
  <c r="X294" i="76"/>
  <c r="X298" i="76"/>
  <c r="W216" i="76"/>
  <c r="W218" i="76"/>
  <c r="W225" i="76"/>
  <c r="W229" i="76"/>
  <c r="W234" i="76"/>
  <c r="X242" i="76"/>
  <c r="W244" i="76"/>
  <c r="W247" i="76"/>
  <c r="X248" i="76"/>
  <c r="W250" i="76"/>
  <c r="X252" i="76"/>
  <c r="W254" i="76"/>
  <c r="X256" i="76"/>
  <c r="X260" i="76"/>
  <c r="X264" i="76"/>
  <c r="W273" i="76"/>
  <c r="W277" i="76"/>
  <c r="W278" i="76"/>
  <c r="X286" i="76"/>
  <c r="W291" i="76"/>
  <c r="W296" i="76"/>
  <c r="X299" i="76"/>
  <c r="X300" i="76"/>
  <c r="X301" i="76"/>
  <c r="W303" i="76"/>
  <c r="X205" i="76"/>
  <c r="W207" i="76"/>
  <c r="W211" i="76"/>
  <c r="X212" i="76"/>
  <c r="X222" i="76"/>
  <c r="X223" i="76"/>
  <c r="X233" i="76"/>
  <c r="W237" i="76"/>
  <c r="X238" i="76"/>
  <c r="X275" i="76"/>
  <c r="W284" i="76"/>
  <c r="X289" i="76"/>
  <c r="X295" i="76"/>
  <c r="X302" i="76"/>
  <c r="W198" i="76"/>
  <c r="X202" i="76"/>
  <c r="X209" i="76"/>
  <c r="X215" i="76"/>
  <c r="X220" i="76"/>
  <c r="X221" i="76"/>
  <c r="X228" i="76"/>
  <c r="X231" i="76"/>
  <c r="X267" i="76"/>
  <c r="X282" i="76"/>
  <c r="W292" i="76"/>
  <c r="W293" i="76"/>
  <c r="W297" i="76"/>
  <c r="X206" i="76"/>
  <c r="X210" i="76"/>
  <c r="X219" i="76"/>
  <c r="X226" i="76"/>
  <c r="W227" i="76"/>
  <c r="X236" i="76"/>
  <c r="X241" i="76"/>
  <c r="X247" i="76"/>
  <c r="X269" i="76"/>
  <c r="X274" i="76"/>
  <c r="W276" i="76"/>
  <c r="X279" i="76"/>
  <c r="X280" i="76"/>
  <c r="X283" i="76"/>
  <c r="W212" i="76"/>
  <c r="W217" i="76"/>
  <c r="X218" i="76"/>
  <c r="W222" i="76"/>
  <c r="W238" i="76"/>
  <c r="W242" i="76"/>
  <c r="X250" i="76"/>
  <c r="X254" i="76"/>
  <c r="W256" i="76"/>
  <c r="X258" i="76"/>
  <c r="W260" i="76"/>
  <c r="X262" i="76"/>
  <c r="X266" i="76"/>
  <c r="W275" i="76"/>
  <c r="X291" i="76"/>
  <c r="W294" i="76"/>
  <c r="W298" i="76"/>
  <c r="X303" i="76"/>
  <c r="X201" i="76"/>
  <c r="W205" i="76"/>
  <c r="X207" i="76"/>
  <c r="X216" i="76"/>
  <c r="W220" i="76"/>
  <c r="X225" i="76"/>
  <c r="X229" i="76"/>
  <c r="W233" i="76"/>
  <c r="X234" i="76"/>
  <c r="X244" i="76"/>
  <c r="X273" i="76"/>
  <c r="X284" i="76"/>
  <c r="W286" i="76"/>
  <c r="W289" i="76"/>
  <c r="X292" i="76"/>
  <c r="W299" i="76"/>
  <c r="W300" i="76"/>
  <c r="W301" i="76"/>
  <c r="V116" i="76"/>
  <c r="V118" i="76"/>
  <c r="V122" i="76"/>
  <c r="V144" i="76"/>
  <c r="V134" i="76"/>
  <c r="V138" i="76"/>
  <c r="V100" i="76"/>
  <c r="V108" i="76"/>
  <c r="V180" i="76"/>
  <c r="V184" i="76"/>
  <c r="V104" i="76"/>
  <c r="V110" i="76"/>
  <c r="V112" i="76"/>
  <c r="V132" i="76"/>
  <c r="V156" i="76"/>
  <c r="V186" i="76"/>
  <c r="V152" i="76"/>
  <c r="V166" i="76"/>
  <c r="V170" i="76"/>
  <c r="V172" i="76"/>
  <c r="V176" i="76"/>
  <c r="V148" i="76"/>
  <c r="V150" i="76"/>
  <c r="V164" i="76"/>
  <c r="V193" i="76"/>
  <c r="V124" i="76"/>
  <c r="V128" i="76"/>
  <c r="V120" i="76"/>
  <c r="V154" i="76"/>
  <c r="V140" i="76"/>
  <c r="V189" i="76"/>
  <c r="V130" i="76"/>
  <c r="V136" i="76"/>
  <c r="V126" i="76"/>
  <c r="V62" i="76"/>
  <c r="V162" i="76"/>
  <c r="V168" i="76"/>
  <c r="V158" i="76"/>
  <c r="V160" i="76"/>
  <c r="V302" i="76"/>
  <c r="V300" i="76"/>
  <c r="V298" i="76"/>
  <c r="V296" i="76"/>
  <c r="V294" i="76"/>
  <c r="V292" i="76"/>
  <c r="V290" i="76"/>
  <c r="V288" i="76"/>
  <c r="V286" i="76"/>
  <c r="V284" i="76"/>
  <c r="V282" i="76"/>
  <c r="V280" i="76"/>
  <c r="V278" i="76"/>
  <c r="V276" i="76"/>
  <c r="V274" i="76"/>
  <c r="V272" i="76"/>
  <c r="V270" i="76"/>
  <c r="V268" i="76"/>
  <c r="V266" i="76"/>
  <c r="V264" i="76"/>
  <c r="V262" i="76"/>
  <c r="V260" i="76"/>
  <c r="V258" i="76"/>
  <c r="V256" i="76"/>
  <c r="V254" i="76"/>
  <c r="V252" i="76"/>
  <c r="V250" i="76"/>
  <c r="V248" i="76"/>
  <c r="V246" i="76"/>
  <c r="V244" i="76"/>
  <c r="V242" i="76"/>
  <c r="V240" i="76"/>
  <c r="V238" i="76"/>
  <c r="V187" i="76"/>
  <c r="V185" i="76"/>
  <c r="V183" i="76"/>
  <c r="V181" i="76"/>
  <c r="V179" i="76"/>
  <c r="V177" i="76"/>
  <c r="V175" i="76"/>
  <c r="V173" i="76"/>
  <c r="V171" i="76"/>
  <c r="V169" i="76"/>
  <c r="V167" i="76"/>
  <c r="V165" i="76"/>
  <c r="V163" i="76"/>
  <c r="V161" i="76"/>
  <c r="V159" i="76"/>
  <c r="V157" i="76"/>
  <c r="V155" i="76"/>
  <c r="V153" i="76"/>
  <c r="V151" i="76"/>
  <c r="V149" i="76"/>
  <c r="V147" i="76"/>
  <c r="V145" i="76"/>
  <c r="V143" i="76"/>
  <c r="V141" i="76"/>
  <c r="V139" i="76"/>
  <c r="V137" i="76"/>
  <c r="V133" i="76"/>
  <c r="V131" i="76"/>
  <c r="V129" i="76"/>
  <c r="V127" i="76"/>
  <c r="V125" i="76"/>
  <c r="V123" i="76"/>
  <c r="V121" i="76"/>
  <c r="V119" i="76"/>
  <c r="V117" i="76"/>
  <c r="V115" i="76"/>
  <c r="V113" i="76"/>
  <c r="V109" i="76"/>
  <c r="V107" i="76"/>
  <c r="V105" i="76"/>
  <c r="V103" i="76"/>
  <c r="V101" i="76"/>
  <c r="V99" i="76"/>
  <c r="V97" i="76"/>
  <c r="V95" i="76"/>
  <c r="V93" i="76"/>
  <c r="V91" i="76"/>
  <c r="V89" i="76"/>
  <c r="V87" i="76"/>
  <c r="V85" i="76"/>
  <c r="V83" i="76"/>
  <c r="V81" i="76"/>
  <c r="V77" i="76"/>
  <c r="V75" i="76"/>
  <c r="V71" i="76"/>
  <c r="V69" i="76"/>
  <c r="V67" i="76"/>
  <c r="V65" i="76"/>
  <c r="V63" i="76"/>
  <c r="V61" i="76"/>
  <c r="V59" i="76"/>
  <c r="V57" i="76"/>
  <c r="V55" i="76"/>
  <c r="V53" i="76"/>
  <c r="V51" i="76"/>
  <c r="V49" i="76"/>
  <c r="V47" i="76"/>
  <c r="V45" i="76"/>
  <c r="V43" i="76"/>
  <c r="V41" i="76"/>
  <c r="V39" i="76"/>
  <c r="V37" i="76"/>
  <c r="V35" i="76"/>
  <c r="V33" i="76"/>
  <c r="V31" i="76"/>
  <c r="V29" i="76"/>
  <c r="V27" i="76"/>
  <c r="V25" i="76"/>
  <c r="V23" i="76"/>
  <c r="V21" i="76"/>
  <c r="V19" i="76"/>
  <c r="V17" i="76"/>
  <c r="V106" i="76"/>
  <c r="V102" i="76"/>
  <c r="V98" i="76"/>
  <c r="V96" i="76"/>
  <c r="V94" i="76"/>
  <c r="V92" i="76"/>
  <c r="V90" i="76"/>
  <c r="V88" i="76"/>
  <c r="V86" i="76"/>
  <c r="V84" i="76"/>
  <c r="V82" i="76"/>
  <c r="V80" i="76"/>
  <c r="V78" i="76"/>
  <c r="V76" i="76"/>
  <c r="V74" i="76"/>
  <c r="V70" i="76"/>
  <c r="V68" i="76"/>
  <c r="V66" i="76"/>
  <c r="V64" i="76"/>
  <c r="V60" i="76"/>
  <c r="V58" i="76"/>
  <c r="V56" i="76"/>
  <c r="V54" i="76"/>
  <c r="V52" i="76"/>
  <c r="V50" i="76"/>
  <c r="V48" i="76"/>
  <c r="V46" i="76"/>
  <c r="V44" i="76"/>
  <c r="V42" i="76"/>
  <c r="V40" i="76"/>
  <c r="V38" i="76"/>
  <c r="V36" i="76"/>
  <c r="V34" i="76"/>
  <c r="V32" i="76"/>
  <c r="V30" i="76"/>
  <c r="V28" i="76"/>
  <c r="V26" i="76"/>
  <c r="V24" i="76"/>
  <c r="V22" i="76"/>
  <c r="V20" i="76"/>
  <c r="V18" i="76"/>
  <c r="V135" i="76"/>
  <c r="V111" i="76"/>
  <c r="V79" i="76"/>
  <c r="V73" i="76"/>
  <c r="V72" i="76"/>
  <c r="V216" i="76"/>
  <c r="V214" i="76"/>
  <c r="V212" i="76"/>
  <c r="V210" i="76"/>
  <c r="V208" i="76"/>
  <c r="V206" i="76"/>
  <c r="V204" i="76"/>
  <c r="V202" i="76"/>
  <c r="V200" i="76"/>
  <c r="V198" i="76"/>
  <c r="V196" i="76"/>
  <c r="V194" i="76"/>
  <c r="V192" i="76"/>
  <c r="V190" i="76"/>
  <c r="V188" i="76"/>
  <c r="V16" i="76"/>
  <c r="V236" i="76"/>
  <c r="V234" i="76"/>
  <c r="V232" i="76"/>
  <c r="V230" i="76"/>
  <c r="V228" i="76"/>
  <c r="V226" i="76"/>
  <c r="V224" i="76"/>
  <c r="V222" i="76"/>
  <c r="V220" i="76"/>
  <c r="V218" i="76"/>
  <c r="BG225" i="70"/>
  <c r="U302" i="76"/>
  <c r="T302" i="76"/>
  <c r="U300" i="76"/>
  <c r="T300" i="76"/>
  <c r="U298" i="76"/>
  <c r="T298" i="76"/>
  <c r="U296" i="76"/>
  <c r="T296" i="76"/>
  <c r="U294" i="76"/>
  <c r="T294" i="76"/>
  <c r="U292" i="76"/>
  <c r="T292" i="76"/>
  <c r="U290" i="76"/>
  <c r="T290" i="76"/>
  <c r="U288" i="76"/>
  <c r="T288" i="76"/>
  <c r="U286" i="76"/>
  <c r="T286" i="76"/>
  <c r="U284" i="76"/>
  <c r="T284" i="76"/>
  <c r="U282" i="76"/>
  <c r="T282" i="76"/>
  <c r="U280" i="76"/>
  <c r="T280" i="76"/>
  <c r="U278" i="76"/>
  <c r="T278" i="76"/>
  <c r="U276" i="76"/>
  <c r="T276" i="76"/>
  <c r="U274" i="76"/>
  <c r="T274" i="76"/>
  <c r="U272" i="76"/>
  <c r="T272" i="76"/>
  <c r="U270" i="76"/>
  <c r="T270" i="76"/>
  <c r="U268" i="76"/>
  <c r="T268" i="76"/>
  <c r="U266" i="76"/>
  <c r="T266" i="76"/>
  <c r="U264" i="76"/>
  <c r="T264" i="76"/>
  <c r="U262" i="76"/>
  <c r="T262" i="76"/>
  <c r="U260" i="76"/>
  <c r="T260" i="76"/>
  <c r="U258" i="76"/>
  <c r="T258" i="76"/>
  <c r="U256" i="76"/>
  <c r="T256" i="76"/>
  <c r="U254" i="76"/>
  <c r="T254" i="76"/>
  <c r="U252" i="76"/>
  <c r="T252" i="76"/>
  <c r="U250" i="76"/>
  <c r="T250" i="76"/>
  <c r="U248" i="76"/>
  <c r="T248" i="76"/>
  <c r="U246" i="76"/>
  <c r="T246" i="76"/>
  <c r="U244" i="76"/>
  <c r="T244" i="76"/>
  <c r="U242" i="76"/>
  <c r="T242" i="76"/>
  <c r="U240" i="76"/>
  <c r="T240" i="76"/>
  <c r="U238" i="76"/>
  <c r="T238" i="76"/>
  <c r="U236" i="76"/>
  <c r="T236" i="76"/>
  <c r="U234" i="76"/>
  <c r="T234" i="76"/>
  <c r="U232" i="76"/>
  <c r="T232" i="76"/>
  <c r="U230" i="76"/>
  <c r="T230" i="76"/>
  <c r="U228" i="76"/>
  <c r="T228" i="76"/>
  <c r="U226" i="76"/>
  <c r="T226" i="76"/>
  <c r="U224" i="76"/>
  <c r="T224" i="76"/>
  <c r="U222" i="76"/>
  <c r="T222" i="76"/>
  <c r="U220" i="76"/>
  <c r="T220" i="76"/>
  <c r="U218" i="76"/>
  <c r="T218" i="76"/>
  <c r="U216" i="76"/>
  <c r="T216" i="76"/>
  <c r="U214" i="76"/>
  <c r="T214" i="76"/>
  <c r="U212" i="76"/>
  <c r="T212" i="76"/>
  <c r="U210" i="76"/>
  <c r="T210" i="76"/>
  <c r="U208" i="76"/>
  <c r="T208" i="76"/>
  <c r="U206" i="76"/>
  <c r="T206" i="76"/>
  <c r="U204" i="76"/>
  <c r="T204" i="76"/>
  <c r="U202" i="76"/>
  <c r="T202" i="76"/>
  <c r="U200" i="76"/>
  <c r="T200" i="76"/>
  <c r="U198" i="76"/>
  <c r="T198" i="76"/>
  <c r="U196" i="76"/>
  <c r="T196" i="76"/>
  <c r="U194" i="76"/>
  <c r="T194" i="76"/>
  <c r="U192" i="76"/>
  <c r="T192" i="76"/>
  <c r="U190" i="76"/>
  <c r="T190" i="76"/>
  <c r="U188" i="76"/>
  <c r="T188" i="76"/>
  <c r="U186" i="76"/>
  <c r="T186" i="76"/>
  <c r="U184" i="76"/>
  <c r="T184" i="76"/>
  <c r="U182" i="76"/>
  <c r="T182" i="76"/>
  <c r="U180" i="76"/>
  <c r="T180" i="76"/>
  <c r="U178" i="76"/>
  <c r="T178" i="76"/>
  <c r="U176" i="76"/>
  <c r="T176" i="76"/>
  <c r="U174" i="76"/>
  <c r="T174" i="76"/>
  <c r="U172" i="76"/>
  <c r="T172" i="76"/>
  <c r="U170" i="76"/>
  <c r="T170" i="76"/>
  <c r="U168" i="76"/>
  <c r="T168" i="76"/>
  <c r="U166" i="76"/>
  <c r="T166" i="76"/>
  <c r="U164" i="76"/>
  <c r="T164" i="76"/>
  <c r="U162" i="76"/>
  <c r="T162" i="76"/>
  <c r="U160" i="76"/>
  <c r="T160" i="76"/>
  <c r="U158" i="76"/>
  <c r="T158" i="76"/>
  <c r="U156" i="76"/>
  <c r="T156" i="76"/>
  <c r="U154" i="76"/>
  <c r="T154" i="76"/>
  <c r="U152" i="76"/>
  <c r="T152" i="76"/>
  <c r="U150" i="76"/>
  <c r="T150" i="76"/>
  <c r="U148" i="76"/>
  <c r="T148" i="76"/>
  <c r="U146" i="76"/>
  <c r="T146" i="76"/>
  <c r="U144" i="76"/>
  <c r="T144" i="76"/>
  <c r="U142" i="76"/>
  <c r="T142" i="76"/>
  <c r="U140" i="76"/>
  <c r="T140" i="76"/>
  <c r="U138" i="76"/>
  <c r="T138" i="76"/>
  <c r="U136" i="76"/>
  <c r="T136" i="76"/>
  <c r="U134" i="76"/>
  <c r="T134" i="76"/>
  <c r="U132" i="76"/>
  <c r="T132" i="76"/>
  <c r="U130" i="76"/>
  <c r="T130" i="76"/>
  <c r="U128" i="76"/>
  <c r="T128" i="76"/>
  <c r="U126" i="76"/>
  <c r="T126" i="76"/>
  <c r="U124" i="76"/>
  <c r="T124" i="76"/>
  <c r="U122" i="76"/>
  <c r="T122" i="76"/>
  <c r="U120" i="76"/>
  <c r="T120" i="76"/>
  <c r="U118" i="76"/>
  <c r="T118" i="76"/>
  <c r="U116" i="76"/>
  <c r="T116" i="76"/>
  <c r="U114" i="76"/>
  <c r="T114" i="76"/>
  <c r="U112" i="76"/>
  <c r="T112" i="76"/>
  <c r="U16" i="76"/>
  <c r="T16" i="76"/>
  <c r="U303" i="76"/>
  <c r="T303" i="76"/>
  <c r="U301" i="76"/>
  <c r="T301" i="76"/>
  <c r="U299" i="76"/>
  <c r="T299" i="76"/>
  <c r="U297" i="76"/>
  <c r="T297" i="76"/>
  <c r="U295" i="76"/>
  <c r="T295" i="76"/>
  <c r="U293" i="76"/>
  <c r="T293" i="76"/>
  <c r="U291" i="76"/>
  <c r="T291" i="76"/>
  <c r="U289" i="76"/>
  <c r="T289" i="76"/>
  <c r="U287" i="76"/>
  <c r="T287" i="76"/>
  <c r="U285" i="76"/>
  <c r="T285" i="76"/>
  <c r="U283" i="76"/>
  <c r="T283" i="76"/>
  <c r="U281" i="76"/>
  <c r="T281" i="76"/>
  <c r="U279" i="76"/>
  <c r="T279" i="76"/>
  <c r="U277" i="76"/>
  <c r="T277" i="76"/>
  <c r="U275" i="76"/>
  <c r="T275" i="76"/>
  <c r="U273" i="76"/>
  <c r="T273" i="76"/>
  <c r="U271" i="76"/>
  <c r="T271" i="76"/>
  <c r="U269" i="76"/>
  <c r="T269" i="76"/>
  <c r="U267" i="76"/>
  <c r="T267" i="76"/>
  <c r="U265" i="76"/>
  <c r="T265" i="76"/>
  <c r="U263" i="76"/>
  <c r="T263" i="76"/>
  <c r="U261" i="76"/>
  <c r="T261" i="76"/>
  <c r="U259" i="76"/>
  <c r="T259" i="76"/>
  <c r="U257" i="76"/>
  <c r="T257" i="76"/>
  <c r="U255" i="76"/>
  <c r="T255" i="76"/>
  <c r="U253" i="76"/>
  <c r="T253" i="76"/>
  <c r="U251" i="76"/>
  <c r="T251" i="76"/>
  <c r="U249" i="76"/>
  <c r="T249" i="76"/>
  <c r="U247" i="76"/>
  <c r="T247" i="76"/>
  <c r="U245" i="76"/>
  <c r="T245" i="76"/>
  <c r="U243" i="76"/>
  <c r="T243" i="76"/>
  <c r="U241" i="76"/>
  <c r="T241" i="76"/>
  <c r="U239" i="76"/>
  <c r="T239" i="76"/>
  <c r="U237" i="76"/>
  <c r="T237" i="76"/>
  <c r="U235" i="76"/>
  <c r="T235" i="76"/>
  <c r="U233" i="76"/>
  <c r="T233" i="76"/>
  <c r="U231" i="76"/>
  <c r="T231" i="76"/>
  <c r="U229" i="76"/>
  <c r="T229" i="76"/>
  <c r="U227" i="76"/>
  <c r="T227" i="76"/>
  <c r="U225" i="76"/>
  <c r="T225" i="76"/>
  <c r="U223" i="76"/>
  <c r="T223" i="76"/>
  <c r="U221" i="76"/>
  <c r="T221" i="76"/>
  <c r="U219" i="76"/>
  <c r="T219" i="76"/>
  <c r="U217" i="76"/>
  <c r="T217" i="76"/>
  <c r="U215" i="76"/>
  <c r="T215" i="76"/>
  <c r="U213" i="76"/>
  <c r="T213" i="76"/>
  <c r="U211" i="76"/>
  <c r="T211" i="76"/>
  <c r="U209" i="76"/>
  <c r="T209" i="76"/>
  <c r="U207" i="76"/>
  <c r="T207" i="76"/>
  <c r="U205" i="76"/>
  <c r="T205" i="76"/>
  <c r="U203" i="76"/>
  <c r="T203" i="76"/>
  <c r="U201" i="76"/>
  <c r="T201" i="76"/>
  <c r="U199" i="76"/>
  <c r="T199" i="76"/>
  <c r="U197" i="76"/>
  <c r="T197" i="76"/>
  <c r="U195" i="76"/>
  <c r="T195" i="76"/>
  <c r="U193" i="76"/>
  <c r="T193" i="76"/>
  <c r="U191" i="76"/>
  <c r="T191" i="76"/>
  <c r="U189" i="76"/>
  <c r="T189" i="76"/>
  <c r="U187" i="76"/>
  <c r="T187" i="76"/>
  <c r="U185" i="76"/>
  <c r="T185" i="76"/>
  <c r="U183" i="76"/>
  <c r="T183" i="76"/>
  <c r="U181" i="76"/>
  <c r="T181" i="76"/>
  <c r="U179" i="76"/>
  <c r="T179" i="76"/>
  <c r="U177" i="76"/>
  <c r="T177" i="76"/>
  <c r="U175" i="76"/>
  <c r="T175" i="76"/>
  <c r="U173" i="76"/>
  <c r="T173" i="76"/>
  <c r="U171" i="76"/>
  <c r="T171" i="76"/>
  <c r="U169" i="76"/>
  <c r="T169" i="76"/>
  <c r="U167" i="76"/>
  <c r="T167" i="76"/>
  <c r="U165" i="76"/>
  <c r="T165" i="76"/>
  <c r="U163" i="76"/>
  <c r="T163" i="76"/>
  <c r="U161" i="76"/>
  <c r="T161" i="76"/>
  <c r="U159" i="76"/>
  <c r="T159" i="76"/>
  <c r="U157" i="76"/>
  <c r="T157" i="76"/>
  <c r="U155" i="76"/>
  <c r="T155" i="76"/>
  <c r="U153" i="76"/>
  <c r="T153" i="76"/>
  <c r="U151" i="76"/>
  <c r="T151" i="76"/>
  <c r="U149" i="76"/>
  <c r="T149" i="76"/>
  <c r="U147" i="76"/>
  <c r="T147" i="76"/>
  <c r="U145" i="76"/>
  <c r="T145" i="76"/>
  <c r="U143" i="76"/>
  <c r="T143" i="76"/>
  <c r="U141" i="76"/>
  <c r="T141" i="76"/>
  <c r="U139" i="76"/>
  <c r="T139" i="76"/>
  <c r="U137" i="76"/>
  <c r="T137" i="76"/>
  <c r="U135" i="76"/>
  <c r="T135" i="76"/>
  <c r="U133" i="76"/>
  <c r="T133" i="76"/>
  <c r="U131" i="76"/>
  <c r="T131" i="76"/>
  <c r="U129" i="76"/>
  <c r="T129" i="76"/>
  <c r="U127" i="76"/>
  <c r="T127" i="76"/>
  <c r="U125" i="76"/>
  <c r="T125" i="76"/>
  <c r="U123" i="76"/>
  <c r="T123" i="76"/>
  <c r="U121" i="76"/>
  <c r="T121" i="76"/>
  <c r="U119" i="76"/>
  <c r="T119" i="76"/>
  <c r="U117" i="76"/>
  <c r="T117" i="76"/>
  <c r="U115" i="76"/>
  <c r="T115" i="76"/>
  <c r="U113" i="76"/>
  <c r="T113" i="76"/>
  <c r="U111" i="76"/>
  <c r="T111" i="76"/>
  <c r="U109" i="76"/>
  <c r="T109" i="76"/>
  <c r="U107" i="76"/>
  <c r="T107" i="76"/>
  <c r="U105" i="76"/>
  <c r="T105" i="76"/>
  <c r="U103" i="76"/>
  <c r="T103" i="76"/>
  <c r="U101" i="76"/>
  <c r="T101" i="76"/>
  <c r="U99" i="76"/>
  <c r="T99" i="76"/>
  <c r="U97" i="76"/>
  <c r="T97" i="76"/>
  <c r="U95" i="76"/>
  <c r="T95" i="76"/>
  <c r="U93" i="76"/>
  <c r="T93" i="76"/>
  <c r="U91" i="76"/>
  <c r="T91" i="76"/>
  <c r="U89" i="76"/>
  <c r="T89" i="76"/>
  <c r="U87" i="76"/>
  <c r="T87" i="76"/>
  <c r="U85" i="76"/>
  <c r="T85" i="76"/>
  <c r="U83" i="76"/>
  <c r="T83" i="76"/>
  <c r="U81" i="76"/>
  <c r="T81" i="76"/>
  <c r="U79" i="76"/>
  <c r="T79" i="76"/>
  <c r="U77" i="76"/>
  <c r="T77" i="76"/>
  <c r="U75" i="76"/>
  <c r="T75" i="76"/>
  <c r="U73" i="76"/>
  <c r="T73" i="76"/>
  <c r="U71" i="76"/>
  <c r="T71" i="76"/>
  <c r="U69" i="76"/>
  <c r="T69" i="76"/>
  <c r="U67" i="76"/>
  <c r="T67" i="76"/>
  <c r="U65" i="76"/>
  <c r="T65" i="76"/>
  <c r="U63" i="76"/>
  <c r="T63" i="76"/>
  <c r="U61" i="76"/>
  <c r="T61" i="76"/>
  <c r="U59" i="76"/>
  <c r="T59" i="76"/>
  <c r="U57" i="76"/>
  <c r="T57" i="76"/>
  <c r="U55" i="76"/>
  <c r="T55" i="76"/>
  <c r="U53" i="76"/>
  <c r="T53" i="76"/>
  <c r="U51" i="76"/>
  <c r="T51" i="76"/>
  <c r="U49" i="76"/>
  <c r="T49" i="76"/>
  <c r="U47" i="76"/>
  <c r="T47" i="76"/>
  <c r="U45" i="76"/>
  <c r="T45" i="76"/>
  <c r="U43" i="76"/>
  <c r="T43" i="76"/>
  <c r="U41" i="76"/>
  <c r="T41" i="76"/>
  <c r="U39" i="76"/>
  <c r="T39" i="76"/>
  <c r="U37" i="76"/>
  <c r="T37" i="76"/>
  <c r="U35" i="76"/>
  <c r="T35" i="76"/>
  <c r="U33" i="76"/>
  <c r="T33" i="76"/>
  <c r="U31" i="76"/>
  <c r="T31" i="76"/>
  <c r="U29" i="76"/>
  <c r="T29" i="76"/>
  <c r="U27" i="76"/>
  <c r="T27" i="76"/>
  <c r="U25" i="76"/>
  <c r="T25" i="76"/>
  <c r="U23" i="76"/>
  <c r="T23" i="76"/>
  <c r="U21" i="76"/>
  <c r="T21" i="76"/>
  <c r="U19" i="76"/>
  <c r="T19" i="76"/>
  <c r="U17" i="76"/>
  <c r="T17" i="76"/>
  <c r="U110" i="76"/>
  <c r="T110" i="76"/>
  <c r="U108" i="76"/>
  <c r="T108" i="76"/>
  <c r="U106" i="76"/>
  <c r="T106" i="76"/>
  <c r="U104" i="76"/>
  <c r="T104" i="76"/>
  <c r="U102" i="76"/>
  <c r="T102" i="76"/>
  <c r="U100" i="76"/>
  <c r="T100" i="76"/>
  <c r="U98" i="76"/>
  <c r="T98" i="76"/>
  <c r="U96" i="76"/>
  <c r="T96" i="76"/>
  <c r="U94" i="76"/>
  <c r="T94" i="76"/>
  <c r="U92" i="76"/>
  <c r="T92" i="76"/>
  <c r="U90" i="76"/>
  <c r="T90" i="76"/>
  <c r="U88" i="76"/>
  <c r="T88" i="76"/>
  <c r="U86" i="76"/>
  <c r="T86" i="76"/>
  <c r="U84" i="76"/>
  <c r="T84" i="76"/>
  <c r="U82" i="76"/>
  <c r="T82" i="76"/>
  <c r="U80" i="76"/>
  <c r="T80" i="76"/>
  <c r="U78" i="76"/>
  <c r="T78" i="76"/>
  <c r="U76" i="76"/>
  <c r="T76" i="76"/>
  <c r="U74" i="76"/>
  <c r="T74" i="76"/>
  <c r="U72" i="76"/>
  <c r="T72" i="76"/>
  <c r="U70" i="76"/>
  <c r="T70" i="76"/>
  <c r="U68" i="76"/>
  <c r="T68" i="76"/>
  <c r="U66" i="76"/>
  <c r="T66" i="76"/>
  <c r="U64" i="76"/>
  <c r="T64" i="76"/>
  <c r="U62" i="76"/>
  <c r="T62" i="76"/>
  <c r="U60" i="76"/>
  <c r="T60" i="76"/>
  <c r="U58" i="76"/>
  <c r="T58" i="76"/>
  <c r="U56" i="76"/>
  <c r="T56" i="76"/>
  <c r="U54" i="76"/>
  <c r="T54" i="76"/>
  <c r="U52" i="76"/>
  <c r="T52" i="76"/>
  <c r="U50" i="76"/>
  <c r="T50" i="76"/>
  <c r="U48" i="76"/>
  <c r="T48" i="76"/>
  <c r="U46" i="76"/>
  <c r="T46" i="76"/>
  <c r="U44" i="76"/>
  <c r="T44" i="76"/>
  <c r="U42" i="76"/>
  <c r="T42" i="76"/>
  <c r="U40" i="76"/>
  <c r="T40" i="76"/>
  <c r="U38" i="76"/>
  <c r="T38" i="76"/>
  <c r="U36" i="76"/>
  <c r="T36" i="76"/>
  <c r="U34" i="76"/>
  <c r="T34" i="76"/>
  <c r="U32" i="76"/>
  <c r="T32" i="76"/>
  <c r="U30" i="76"/>
  <c r="T30" i="76"/>
  <c r="U28" i="76"/>
  <c r="T28" i="76"/>
  <c r="U26" i="76"/>
  <c r="T26" i="76"/>
  <c r="U24" i="76"/>
  <c r="T24" i="76"/>
  <c r="U22" i="76"/>
  <c r="T22" i="76"/>
  <c r="U20" i="76"/>
  <c r="T20" i="76"/>
  <c r="U18" i="76"/>
  <c r="T18" i="76"/>
  <c r="BC77" i="70"/>
  <c r="BD77" i="70"/>
  <c r="BC83" i="70"/>
  <c r="BD83" i="70"/>
  <c r="BC151" i="70"/>
  <c r="BD151" i="70"/>
  <c r="BC157" i="70"/>
  <c r="BE225" i="70"/>
  <c r="BE83" i="70"/>
  <c r="BG151" i="70"/>
  <c r="BB151" i="70" s="1"/>
  <c r="BG231" i="70"/>
  <c r="BD231" i="70"/>
  <c r="BD225" i="70"/>
  <c r="F103" i="63"/>
  <c r="F106" i="63"/>
  <c r="F104" i="63"/>
  <c r="F108" i="63"/>
  <c r="BC225" i="70"/>
  <c r="BC231" i="70"/>
  <c r="BI77" i="70" l="1"/>
  <c r="BH77" i="70"/>
  <c r="BJ77" i="70"/>
  <c r="BK77" i="70"/>
  <c r="BK151" i="70"/>
  <c r="BJ151" i="70"/>
  <c r="BB231" i="70"/>
  <c r="BI231" i="70"/>
  <c r="BK231" i="70"/>
  <c r="BJ231" i="70"/>
  <c r="BH231" i="70"/>
  <c r="BB225" i="70"/>
  <c r="BI225" i="70"/>
  <c r="BK225" i="70"/>
  <c r="BH225" i="70"/>
  <c r="BJ225" i="70"/>
  <c r="BA157" i="70"/>
  <c r="BI157" i="70"/>
  <c r="BK157" i="70"/>
  <c r="BH157" i="70"/>
  <c r="BJ157" i="70"/>
  <c r="BA83" i="70"/>
  <c r="BI83" i="70"/>
  <c r="BK83" i="70"/>
  <c r="BJ83" i="70"/>
  <c r="BH83" i="70"/>
  <c r="BI151" i="70"/>
  <c r="BH151" i="70"/>
  <c r="BB10" i="70"/>
  <c r="BA10" i="70"/>
  <c r="BJ10" i="70"/>
  <c r="BK10" i="70"/>
  <c r="BH10" i="70"/>
  <c r="BI10" i="70"/>
  <c r="AE304" i="76"/>
  <c r="S23" i="101"/>
  <c r="BB77" i="70"/>
  <c r="BB83" i="70"/>
  <c r="BA151" i="70"/>
  <c r="BA225" i="70"/>
  <c r="BB157" i="70"/>
  <c r="BA231" i="70"/>
  <c r="S38" i="101"/>
  <c r="T31" i="101"/>
  <c r="U31" i="101" s="1"/>
  <c r="W31" i="101" s="1"/>
  <c r="T29" i="101"/>
  <c r="S20" i="101"/>
  <c r="T40" i="101"/>
  <c r="U40" i="101" s="1"/>
  <c r="W40" i="101" s="1"/>
  <c r="T22" i="101"/>
  <c r="U22" i="101" s="1"/>
  <c r="W22" i="101" s="1"/>
  <c r="S30" i="101"/>
  <c r="S21" i="101"/>
  <c r="S39" i="101"/>
  <c r="T38" i="101"/>
  <c r="Y23" i="101"/>
  <c r="T23" i="101" s="1"/>
  <c r="Y33" i="101"/>
  <c r="Y41" i="101"/>
  <c r="T41" i="101" s="1"/>
  <c r="U41" i="101" s="1"/>
  <c r="W41" i="101" s="1"/>
  <c r="T32" i="101"/>
  <c r="U32" i="101" s="1"/>
  <c r="W32" i="101" s="1"/>
  <c r="T20" i="101"/>
  <c r="T39" i="101"/>
  <c r="T30" i="101"/>
  <c r="T21" i="101"/>
  <c r="S29" i="101"/>
  <c r="F105" i="85"/>
  <c r="F85" i="85"/>
  <c r="F65" i="85"/>
  <c r="C237" i="76"/>
  <c r="D237" i="76"/>
  <c r="G237" i="76"/>
  <c r="H237" i="76"/>
  <c r="J237" i="76"/>
  <c r="K237" i="76"/>
  <c r="L237" i="76"/>
  <c r="M237" i="76"/>
  <c r="P237" i="76"/>
  <c r="Q237" i="76"/>
  <c r="R237" i="76"/>
  <c r="S237" i="76"/>
  <c r="Y237" i="76"/>
  <c r="Z237" i="76"/>
  <c r="AA237" i="76"/>
  <c r="AB237" i="76"/>
  <c r="AC237" i="76"/>
  <c r="AF237" i="76"/>
  <c r="AG237" i="76"/>
  <c r="C231" i="76"/>
  <c r="D231" i="76"/>
  <c r="G231" i="76"/>
  <c r="H231" i="76"/>
  <c r="J231" i="76"/>
  <c r="K231" i="76"/>
  <c r="L231" i="76"/>
  <c r="M231" i="76"/>
  <c r="P231" i="76"/>
  <c r="Q231" i="76"/>
  <c r="R231" i="76"/>
  <c r="S231" i="76"/>
  <c r="Y231" i="76"/>
  <c r="Z231" i="76"/>
  <c r="AA231" i="76"/>
  <c r="AB231" i="76"/>
  <c r="AC231" i="76"/>
  <c r="AF231" i="76"/>
  <c r="AG231" i="76"/>
  <c r="C163" i="76"/>
  <c r="D163" i="76"/>
  <c r="G163" i="76"/>
  <c r="H163" i="76"/>
  <c r="J163" i="76"/>
  <c r="K163" i="76"/>
  <c r="L163" i="76"/>
  <c r="M163" i="76"/>
  <c r="P163" i="76"/>
  <c r="Q163" i="76"/>
  <c r="R163" i="76"/>
  <c r="S163" i="76"/>
  <c r="Y163" i="76"/>
  <c r="Z163" i="76"/>
  <c r="AA163" i="76"/>
  <c r="AB163" i="76"/>
  <c r="AC163" i="76"/>
  <c r="AF163" i="76"/>
  <c r="AG163" i="76"/>
  <c r="C157" i="76"/>
  <c r="D157" i="76"/>
  <c r="G157" i="76"/>
  <c r="H157" i="76"/>
  <c r="J157" i="76"/>
  <c r="K157" i="76"/>
  <c r="L157" i="76"/>
  <c r="M157" i="76"/>
  <c r="P157" i="76"/>
  <c r="Q157" i="76"/>
  <c r="R157" i="76"/>
  <c r="S157" i="76"/>
  <c r="Y157" i="76"/>
  <c r="Z157" i="76"/>
  <c r="AA157" i="76"/>
  <c r="AB157" i="76"/>
  <c r="AC157" i="76"/>
  <c r="AF157" i="76"/>
  <c r="AG157" i="76"/>
  <c r="C89" i="76"/>
  <c r="D89" i="76"/>
  <c r="G89" i="76"/>
  <c r="H89" i="76"/>
  <c r="J89" i="76"/>
  <c r="K89" i="76"/>
  <c r="L89" i="76"/>
  <c r="M89" i="76"/>
  <c r="O89" i="76"/>
  <c r="P89" i="76"/>
  <c r="Q89" i="76"/>
  <c r="R89" i="76"/>
  <c r="S89" i="76"/>
  <c r="Y89" i="76"/>
  <c r="Z89" i="76"/>
  <c r="AA89" i="76"/>
  <c r="AB89" i="76"/>
  <c r="AC89" i="76"/>
  <c r="AF89" i="76"/>
  <c r="AG89" i="76"/>
  <c r="C83" i="76"/>
  <c r="D83" i="76"/>
  <c r="G83" i="76"/>
  <c r="H83" i="76"/>
  <c r="J83" i="76"/>
  <c r="K83" i="76"/>
  <c r="L83" i="76"/>
  <c r="M83" i="76"/>
  <c r="O83" i="76"/>
  <c r="P83" i="76"/>
  <c r="Q83" i="76"/>
  <c r="R83" i="76"/>
  <c r="S83" i="76"/>
  <c r="Y83" i="76"/>
  <c r="Z83" i="76"/>
  <c r="AA83" i="76"/>
  <c r="AB83" i="76"/>
  <c r="AC83" i="76"/>
  <c r="AF83" i="76"/>
  <c r="AG83" i="76"/>
  <c r="S42" i="101" l="1"/>
  <c r="N89" i="76"/>
  <c r="N83" i="76"/>
  <c r="U23" i="101"/>
  <c r="W23" i="101" s="1"/>
  <c r="U38" i="101"/>
  <c r="W38" i="101" s="1"/>
  <c r="Y24" i="101"/>
  <c r="X40" i="101"/>
  <c r="X31" i="101"/>
  <c r="X22" i="101"/>
  <c r="T33" i="101"/>
  <c r="U21" i="101"/>
  <c r="W21" i="101" s="1"/>
  <c r="X41" i="101"/>
  <c r="Y42" i="101"/>
  <c r="T24" i="101"/>
  <c r="U30" i="101"/>
  <c r="U29" i="101"/>
  <c r="S33" i="101"/>
  <c r="T42" i="101"/>
  <c r="X32" i="101"/>
  <c r="U39" i="101"/>
  <c r="W39" i="101" s="1"/>
  <c r="U20" i="101"/>
  <c r="S24" i="101"/>
  <c r="X23" i="101" l="1"/>
  <c r="X38" i="101"/>
  <c r="X21" i="101"/>
  <c r="X30" i="101"/>
  <c r="W30" i="101"/>
  <c r="W20" i="101"/>
  <c r="W24" i="101" s="1"/>
  <c r="E55" i="85" s="1"/>
  <c r="U24" i="101"/>
  <c r="X20" i="101"/>
  <c r="X39" i="101"/>
  <c r="W29" i="101"/>
  <c r="U33" i="101"/>
  <c r="X29" i="101"/>
  <c r="U42" i="101"/>
  <c r="J16" i="76"/>
  <c r="C18" i="63"/>
  <c r="O231" i="76"/>
  <c r="N231" i="76" s="1"/>
  <c r="O157" i="76"/>
  <c r="N157" i="76" s="1"/>
  <c r="Q241" i="76"/>
  <c r="R241" i="76"/>
  <c r="Q243" i="76"/>
  <c r="R243" i="76"/>
  <c r="R245" i="76"/>
  <c r="Q247" i="76"/>
  <c r="R247" i="76"/>
  <c r="Q249" i="76"/>
  <c r="R249" i="76"/>
  <c r="Q251" i="76"/>
  <c r="R251" i="76"/>
  <c r="P252" i="76"/>
  <c r="R253" i="76"/>
  <c r="P254" i="76"/>
  <c r="Q255" i="76"/>
  <c r="R255" i="76"/>
  <c r="P256" i="76"/>
  <c r="Q257" i="76"/>
  <c r="R257" i="76"/>
  <c r="P258" i="76"/>
  <c r="Q259" i="76"/>
  <c r="R259" i="76"/>
  <c r="P260" i="76"/>
  <c r="R261" i="76"/>
  <c r="P262" i="76"/>
  <c r="Q263" i="76"/>
  <c r="R263" i="76"/>
  <c r="P264" i="76"/>
  <c r="Q265" i="76"/>
  <c r="R265" i="76"/>
  <c r="P266" i="76"/>
  <c r="Q267" i="76"/>
  <c r="R267" i="76"/>
  <c r="P268" i="76"/>
  <c r="R269" i="76"/>
  <c r="P270" i="76"/>
  <c r="Q271" i="76"/>
  <c r="R271" i="76"/>
  <c r="P272" i="76"/>
  <c r="Q273" i="76"/>
  <c r="P274" i="76"/>
  <c r="O275" i="76"/>
  <c r="Q275" i="76"/>
  <c r="R275" i="76"/>
  <c r="P276" i="76"/>
  <c r="R277" i="76"/>
  <c r="P278" i="76"/>
  <c r="Q279" i="76"/>
  <c r="R279" i="76"/>
  <c r="P280" i="76"/>
  <c r="Q281" i="76"/>
  <c r="R281" i="76"/>
  <c r="P282" i="76"/>
  <c r="Q283" i="76"/>
  <c r="R283" i="76"/>
  <c r="P284" i="76"/>
  <c r="R285" i="76"/>
  <c r="P286" i="76"/>
  <c r="Q287" i="76"/>
  <c r="R287" i="76"/>
  <c r="P288" i="76"/>
  <c r="O289" i="76"/>
  <c r="Q289" i="76"/>
  <c r="R289" i="76"/>
  <c r="P290" i="76"/>
  <c r="O291" i="76"/>
  <c r="Q291" i="76"/>
  <c r="R291" i="76"/>
  <c r="P292" i="76"/>
  <c r="O293" i="76"/>
  <c r="Q293" i="76"/>
  <c r="R293" i="76"/>
  <c r="P294" i="76"/>
  <c r="R294" i="76"/>
  <c r="O295" i="76"/>
  <c r="Q295" i="76"/>
  <c r="R295" i="76"/>
  <c r="P296" i="76"/>
  <c r="R296" i="76"/>
  <c r="O297" i="76"/>
  <c r="Q297" i="76"/>
  <c r="R297" i="76"/>
  <c r="P298" i="76"/>
  <c r="R298" i="76"/>
  <c r="O299" i="76"/>
  <c r="Q299" i="76"/>
  <c r="R299" i="76"/>
  <c r="P300" i="76"/>
  <c r="R300" i="76"/>
  <c r="O301" i="76"/>
  <c r="Q301" i="76"/>
  <c r="R301" i="76"/>
  <c r="P302" i="76"/>
  <c r="R302" i="76"/>
  <c r="O303" i="76"/>
  <c r="Q303" i="76"/>
  <c r="R303" i="76"/>
  <c r="Q239" i="76"/>
  <c r="P238" i="76"/>
  <c r="O238" i="76"/>
  <c r="Q167" i="76"/>
  <c r="R167" i="76"/>
  <c r="Q169" i="76"/>
  <c r="R169" i="76"/>
  <c r="Q171" i="76"/>
  <c r="R171" i="76"/>
  <c r="Q173" i="76"/>
  <c r="R173" i="76"/>
  <c r="R174" i="76"/>
  <c r="Q175" i="76"/>
  <c r="R175" i="76"/>
  <c r="R176" i="76"/>
  <c r="Q177" i="76"/>
  <c r="R177" i="76"/>
  <c r="Q179" i="76"/>
  <c r="R179" i="76"/>
  <c r="Q181" i="76"/>
  <c r="R181" i="76"/>
  <c r="R182" i="76"/>
  <c r="Q183" i="76"/>
  <c r="R183" i="76"/>
  <c r="R184" i="76"/>
  <c r="Q185" i="76"/>
  <c r="R185" i="76"/>
  <c r="R186" i="76"/>
  <c r="Q187" i="76"/>
  <c r="R187" i="76"/>
  <c r="Q189" i="76"/>
  <c r="R189" i="76"/>
  <c r="R190" i="76"/>
  <c r="Q191" i="76"/>
  <c r="R191" i="76"/>
  <c r="R192" i="76"/>
  <c r="Q193" i="76"/>
  <c r="R193" i="76"/>
  <c r="R194" i="76"/>
  <c r="Q195" i="76"/>
  <c r="Q197" i="76"/>
  <c r="R197" i="76"/>
  <c r="R198" i="76"/>
  <c r="Q199" i="76"/>
  <c r="R199" i="76"/>
  <c r="R200" i="76"/>
  <c r="Q201" i="76"/>
  <c r="R201" i="76"/>
  <c r="R202" i="76"/>
  <c r="Q203" i="76"/>
  <c r="R203" i="76"/>
  <c r="R204" i="76"/>
  <c r="Q205" i="76"/>
  <c r="R205" i="76"/>
  <c r="R206" i="76"/>
  <c r="Q207" i="76"/>
  <c r="R207" i="76"/>
  <c r="R208" i="76"/>
  <c r="Q209" i="76"/>
  <c r="R209" i="76"/>
  <c r="R210" i="76"/>
  <c r="Q211" i="76"/>
  <c r="R211" i="76"/>
  <c r="R212" i="76"/>
  <c r="Q213" i="76"/>
  <c r="R213" i="76"/>
  <c r="R214" i="76"/>
  <c r="Q215" i="76"/>
  <c r="R215" i="76"/>
  <c r="R216" i="76"/>
  <c r="Q217" i="76"/>
  <c r="R217" i="76"/>
  <c r="R218" i="76"/>
  <c r="Q219" i="76"/>
  <c r="R219" i="76"/>
  <c r="R220" i="76"/>
  <c r="Q221" i="76"/>
  <c r="R221" i="76"/>
  <c r="R222" i="76"/>
  <c r="Q223" i="76"/>
  <c r="R223" i="76"/>
  <c r="R224" i="76"/>
  <c r="Q225" i="76"/>
  <c r="R225" i="76"/>
  <c r="R226" i="76"/>
  <c r="Q227" i="76"/>
  <c r="R227" i="76"/>
  <c r="R228" i="76"/>
  <c r="Q229" i="76"/>
  <c r="R229" i="76"/>
  <c r="R230" i="76"/>
  <c r="Q232" i="76"/>
  <c r="R232" i="76"/>
  <c r="Q233" i="76"/>
  <c r="R233" i="76"/>
  <c r="P234" i="76"/>
  <c r="Q234" i="76"/>
  <c r="R234" i="76"/>
  <c r="Q235" i="76"/>
  <c r="R235" i="76"/>
  <c r="P236" i="76"/>
  <c r="Q236" i="76"/>
  <c r="R236" i="76"/>
  <c r="R165" i="76"/>
  <c r="Q165" i="76"/>
  <c r="O165" i="76"/>
  <c r="R164" i="76"/>
  <c r="P164" i="76"/>
  <c r="O164" i="76"/>
  <c r="R92" i="76"/>
  <c r="Q93" i="76"/>
  <c r="R93" i="76"/>
  <c r="R94" i="76"/>
  <c r="Q95" i="76"/>
  <c r="R95" i="76"/>
  <c r="R96" i="76"/>
  <c r="Q97" i="76"/>
  <c r="R97" i="76"/>
  <c r="R98" i="76"/>
  <c r="Q99" i="76"/>
  <c r="R99" i="76"/>
  <c r="R100" i="76"/>
  <c r="Q101" i="76"/>
  <c r="R101" i="76"/>
  <c r="R102" i="76"/>
  <c r="Q103" i="76"/>
  <c r="R103" i="76"/>
  <c r="R104" i="76"/>
  <c r="Q105" i="76"/>
  <c r="R105" i="76"/>
  <c r="R106" i="76"/>
  <c r="Q107" i="76"/>
  <c r="R107" i="76"/>
  <c r="R108" i="76"/>
  <c r="Q109" i="76"/>
  <c r="R109" i="76"/>
  <c r="R110" i="76"/>
  <c r="Q111" i="76"/>
  <c r="R111" i="76"/>
  <c r="R112" i="76"/>
  <c r="Q113" i="76"/>
  <c r="R113" i="76"/>
  <c r="R114" i="76"/>
  <c r="Q115" i="76"/>
  <c r="R115" i="76"/>
  <c r="R116" i="76"/>
  <c r="R117" i="76"/>
  <c r="R118" i="76"/>
  <c r="Q119" i="76"/>
  <c r="R119" i="76"/>
  <c r="R120" i="76"/>
  <c r="Q121" i="76"/>
  <c r="R121" i="76"/>
  <c r="R122" i="76"/>
  <c r="Q123" i="76"/>
  <c r="R123" i="76"/>
  <c r="R124" i="76"/>
  <c r="Q125" i="76"/>
  <c r="R125" i="76"/>
  <c r="R126" i="76"/>
  <c r="Q127" i="76"/>
  <c r="R127" i="76"/>
  <c r="R128" i="76"/>
  <c r="Q129" i="76"/>
  <c r="R129" i="76"/>
  <c r="R130" i="76"/>
  <c r="Q131" i="76"/>
  <c r="R131" i="76"/>
  <c r="R132" i="76"/>
  <c r="Q133" i="76"/>
  <c r="R133" i="76"/>
  <c r="R134" i="76"/>
  <c r="R135" i="76"/>
  <c r="R136" i="76"/>
  <c r="Q137" i="76"/>
  <c r="R137" i="76"/>
  <c r="R138" i="76"/>
  <c r="Q139" i="76"/>
  <c r="R139" i="76"/>
  <c r="R140" i="76"/>
  <c r="Q141" i="76"/>
  <c r="R141" i="76"/>
  <c r="R142" i="76"/>
  <c r="Q143" i="76"/>
  <c r="R143" i="76"/>
  <c r="R144" i="76"/>
  <c r="Q145" i="76"/>
  <c r="R145" i="76"/>
  <c r="R146" i="76"/>
  <c r="R147" i="76"/>
  <c r="R148" i="76"/>
  <c r="Q149" i="76"/>
  <c r="R149" i="76"/>
  <c r="R150" i="76"/>
  <c r="Q151" i="76"/>
  <c r="R151" i="76"/>
  <c r="R152" i="76"/>
  <c r="Q153" i="76"/>
  <c r="R153" i="76"/>
  <c r="R154" i="76"/>
  <c r="Q155" i="76"/>
  <c r="R155" i="76"/>
  <c r="R156" i="76"/>
  <c r="Q158" i="76"/>
  <c r="R158" i="76"/>
  <c r="P159" i="76"/>
  <c r="Q159" i="76"/>
  <c r="R159" i="76"/>
  <c r="Q160" i="76"/>
  <c r="R160" i="76"/>
  <c r="Q161" i="76"/>
  <c r="R161" i="76"/>
  <c r="Q162" i="76"/>
  <c r="R162" i="76"/>
  <c r="P90" i="76"/>
  <c r="O90" i="76"/>
  <c r="M11" i="101"/>
  <c r="N11" i="101"/>
  <c r="O11" i="101"/>
  <c r="P11" i="101"/>
  <c r="M12" i="101"/>
  <c r="N12" i="101"/>
  <c r="O12" i="101"/>
  <c r="P12" i="101"/>
  <c r="M13" i="101"/>
  <c r="N13" i="101"/>
  <c r="O13" i="101"/>
  <c r="P13" i="101"/>
  <c r="M14" i="101"/>
  <c r="N14" i="101"/>
  <c r="O14" i="101"/>
  <c r="P14" i="101"/>
  <c r="M23" i="101"/>
  <c r="N23" i="101"/>
  <c r="O23" i="101"/>
  <c r="P23" i="101"/>
  <c r="M24" i="101"/>
  <c r="N24" i="101"/>
  <c r="O24" i="101"/>
  <c r="P24" i="101"/>
  <c r="M25" i="101"/>
  <c r="N25" i="101"/>
  <c r="O25" i="101"/>
  <c r="P25" i="101"/>
  <c r="M26" i="101"/>
  <c r="N26" i="101"/>
  <c r="O26" i="101"/>
  <c r="P26" i="101"/>
  <c r="M27" i="101"/>
  <c r="N27" i="101"/>
  <c r="O27" i="101"/>
  <c r="P27" i="101"/>
  <c r="M28" i="101"/>
  <c r="N28" i="101"/>
  <c r="O28" i="101"/>
  <c r="P28" i="101"/>
  <c r="M29" i="101"/>
  <c r="N29" i="101"/>
  <c r="P29" i="101"/>
  <c r="M30" i="101"/>
  <c r="N30" i="101"/>
  <c r="O30" i="101"/>
  <c r="P30" i="101"/>
  <c r="M31" i="101"/>
  <c r="N31" i="101"/>
  <c r="O31" i="101"/>
  <c r="P31" i="101"/>
  <c r="M32" i="101"/>
  <c r="N32" i="101"/>
  <c r="O32" i="101"/>
  <c r="P32" i="101"/>
  <c r="M33" i="101"/>
  <c r="N33" i="101"/>
  <c r="O33" i="101"/>
  <c r="P33" i="101"/>
  <c r="M34" i="101"/>
  <c r="N34" i="101"/>
  <c r="O34" i="101"/>
  <c r="P34" i="101"/>
  <c r="M35" i="101"/>
  <c r="N35" i="101"/>
  <c r="O35" i="101"/>
  <c r="P35" i="101"/>
  <c r="M36" i="101"/>
  <c r="N36" i="101"/>
  <c r="O36" i="101"/>
  <c r="P36" i="101"/>
  <c r="M37" i="101"/>
  <c r="N37" i="101"/>
  <c r="O37" i="101"/>
  <c r="P37" i="101"/>
  <c r="M38" i="101"/>
  <c r="N38" i="101"/>
  <c r="O38" i="101"/>
  <c r="P38" i="101"/>
  <c r="M39" i="101"/>
  <c r="N39" i="101"/>
  <c r="O39" i="101"/>
  <c r="P39" i="101"/>
  <c r="W42" i="101" s="1"/>
  <c r="E95" i="85" s="1"/>
  <c r="M40" i="101"/>
  <c r="N40" i="101"/>
  <c r="O40" i="101"/>
  <c r="P40" i="101"/>
  <c r="M41" i="101"/>
  <c r="N41" i="101"/>
  <c r="O41" i="101"/>
  <c r="P41" i="101"/>
  <c r="M42" i="101"/>
  <c r="N42" i="101"/>
  <c r="O42" i="101"/>
  <c r="P42" i="101"/>
  <c r="M43" i="101"/>
  <c r="N43" i="101"/>
  <c r="O43" i="101"/>
  <c r="P43" i="101"/>
  <c r="M44" i="101"/>
  <c r="N44" i="101"/>
  <c r="O44" i="101"/>
  <c r="P44" i="101"/>
  <c r="M45" i="101"/>
  <c r="N45" i="101"/>
  <c r="O45" i="101"/>
  <c r="P45" i="101"/>
  <c r="M46" i="101"/>
  <c r="N46" i="101"/>
  <c r="O46" i="101"/>
  <c r="P46" i="101"/>
  <c r="M47" i="101"/>
  <c r="N47" i="101"/>
  <c r="O47" i="101"/>
  <c r="P47" i="101"/>
  <c r="M48" i="101"/>
  <c r="N48" i="101"/>
  <c r="O48" i="101"/>
  <c r="P48" i="101"/>
  <c r="M49" i="101"/>
  <c r="N49" i="101"/>
  <c r="O49" i="101"/>
  <c r="P49" i="101"/>
  <c r="M50" i="101"/>
  <c r="N50" i="101"/>
  <c r="O50" i="101"/>
  <c r="P50" i="101"/>
  <c r="M51" i="101"/>
  <c r="N51" i="101"/>
  <c r="O51" i="101"/>
  <c r="P51" i="101"/>
  <c r="M52" i="101"/>
  <c r="N52" i="101"/>
  <c r="O52" i="101"/>
  <c r="P52" i="101"/>
  <c r="M53" i="101"/>
  <c r="N53" i="101"/>
  <c r="O53" i="101"/>
  <c r="P53" i="101"/>
  <c r="M54" i="101"/>
  <c r="N54" i="101"/>
  <c r="O54" i="101"/>
  <c r="P54" i="101"/>
  <c r="M55" i="101"/>
  <c r="N55" i="101"/>
  <c r="O55" i="101"/>
  <c r="P55" i="101"/>
  <c r="M56" i="101"/>
  <c r="N56" i="101"/>
  <c r="O56" i="101"/>
  <c r="P56" i="101"/>
  <c r="M57" i="101"/>
  <c r="N57" i="101"/>
  <c r="O57" i="101"/>
  <c r="P57" i="101"/>
  <c r="M58" i="101"/>
  <c r="N58" i="101"/>
  <c r="O58" i="101"/>
  <c r="P58" i="101"/>
  <c r="M59" i="101"/>
  <c r="N59" i="101"/>
  <c r="O59" i="101"/>
  <c r="P59" i="101"/>
  <c r="M60" i="101"/>
  <c r="N60" i="101"/>
  <c r="O60" i="101"/>
  <c r="P60" i="101"/>
  <c r="M61" i="101"/>
  <c r="N61" i="101"/>
  <c r="O61" i="101"/>
  <c r="P61" i="101"/>
  <c r="M62" i="101"/>
  <c r="N62" i="101"/>
  <c r="O62" i="101"/>
  <c r="P62" i="101"/>
  <c r="M63" i="101"/>
  <c r="N63" i="101"/>
  <c r="O63" i="101"/>
  <c r="P63" i="101"/>
  <c r="M64" i="101"/>
  <c r="N64" i="101"/>
  <c r="O64" i="101"/>
  <c r="P64" i="101"/>
  <c r="M65" i="101"/>
  <c r="N65" i="101"/>
  <c r="O65" i="101"/>
  <c r="P65" i="101"/>
  <c r="M66" i="101"/>
  <c r="N66" i="101"/>
  <c r="O66" i="101"/>
  <c r="P66" i="101"/>
  <c r="M67" i="101"/>
  <c r="N67" i="101"/>
  <c r="O67" i="101"/>
  <c r="P67" i="101"/>
  <c r="M68" i="101"/>
  <c r="N68" i="101"/>
  <c r="O68" i="101"/>
  <c r="P68" i="101"/>
  <c r="M79" i="101"/>
  <c r="N79" i="101"/>
  <c r="O79" i="101"/>
  <c r="P79" i="101"/>
  <c r="M80" i="101"/>
  <c r="N80" i="101"/>
  <c r="O80" i="101"/>
  <c r="P80" i="101"/>
  <c r="M81" i="101"/>
  <c r="N81" i="101"/>
  <c r="O81" i="101"/>
  <c r="P81" i="101"/>
  <c r="M82" i="101"/>
  <c r="N82" i="101"/>
  <c r="O82" i="101"/>
  <c r="P82" i="101"/>
  <c r="M83" i="101"/>
  <c r="N83" i="101"/>
  <c r="O83" i="101"/>
  <c r="P83" i="101"/>
  <c r="M84" i="101"/>
  <c r="N84" i="101"/>
  <c r="O84" i="101"/>
  <c r="P84" i="101"/>
  <c r="Q84" i="76"/>
  <c r="R84" i="76"/>
  <c r="Q85" i="76"/>
  <c r="R85" i="76"/>
  <c r="Q86" i="76"/>
  <c r="R86" i="76"/>
  <c r="R87" i="76"/>
  <c r="Q88" i="76"/>
  <c r="R88" i="76"/>
  <c r="P10" i="101"/>
  <c r="O10" i="101"/>
  <c r="N10" i="101"/>
  <c r="M10" i="101"/>
  <c r="P9" i="101"/>
  <c r="O9" i="101"/>
  <c r="N9" i="101"/>
  <c r="M9" i="101"/>
  <c r="O237" i="76"/>
  <c r="N237" i="76" s="1"/>
  <c r="O163" i="76"/>
  <c r="N163" i="76" s="1"/>
  <c r="H27" i="76"/>
  <c r="H28" i="76"/>
  <c r="H29" i="76"/>
  <c r="H30" i="76"/>
  <c r="H31" i="76"/>
  <c r="H32" i="76"/>
  <c r="H33" i="76"/>
  <c r="H34" i="76"/>
  <c r="H35" i="76"/>
  <c r="H36" i="76"/>
  <c r="H37" i="76"/>
  <c r="H38" i="76"/>
  <c r="H39" i="76"/>
  <c r="H40" i="76"/>
  <c r="H41" i="76"/>
  <c r="H42" i="76"/>
  <c r="H43" i="76"/>
  <c r="H44" i="76"/>
  <c r="H45" i="76"/>
  <c r="H46" i="76"/>
  <c r="H47" i="76"/>
  <c r="H48" i="76"/>
  <c r="H49" i="76"/>
  <c r="H50" i="76"/>
  <c r="H51" i="76"/>
  <c r="H52" i="76"/>
  <c r="H53" i="76"/>
  <c r="H54" i="76"/>
  <c r="H55" i="76"/>
  <c r="H56" i="76"/>
  <c r="H57" i="76"/>
  <c r="H58" i="76"/>
  <c r="H59" i="76"/>
  <c r="H60" i="76"/>
  <c r="H61" i="76"/>
  <c r="H62" i="76"/>
  <c r="H63" i="76"/>
  <c r="H64" i="76"/>
  <c r="H65" i="76"/>
  <c r="H66" i="76"/>
  <c r="H67" i="76"/>
  <c r="H68" i="76"/>
  <c r="H69" i="76"/>
  <c r="H70" i="76"/>
  <c r="H71" i="76"/>
  <c r="H72" i="76"/>
  <c r="H73" i="76"/>
  <c r="H74" i="76"/>
  <c r="H75" i="76"/>
  <c r="H76" i="76"/>
  <c r="H77" i="76"/>
  <c r="H78" i="76"/>
  <c r="H79" i="76"/>
  <c r="H80" i="76"/>
  <c r="H81" i="76"/>
  <c r="H82" i="76"/>
  <c r="H84" i="76"/>
  <c r="H85" i="76"/>
  <c r="H86" i="76"/>
  <c r="H87" i="76"/>
  <c r="H88" i="76"/>
  <c r="H90" i="76"/>
  <c r="H91" i="76"/>
  <c r="H92" i="76"/>
  <c r="H93" i="76"/>
  <c r="H94" i="76"/>
  <c r="H95" i="76"/>
  <c r="H96" i="76"/>
  <c r="H97" i="76"/>
  <c r="H98" i="76"/>
  <c r="H99" i="76"/>
  <c r="H100" i="76"/>
  <c r="H101" i="76"/>
  <c r="H102" i="76"/>
  <c r="H103" i="76"/>
  <c r="H104" i="76"/>
  <c r="H105" i="76"/>
  <c r="H106" i="76"/>
  <c r="H107" i="76"/>
  <c r="H108" i="76"/>
  <c r="H109" i="76"/>
  <c r="H110" i="76"/>
  <c r="H111" i="76"/>
  <c r="H112" i="76"/>
  <c r="H113" i="76"/>
  <c r="H114" i="76"/>
  <c r="H115" i="76"/>
  <c r="H116" i="76"/>
  <c r="H117" i="76"/>
  <c r="H118" i="76"/>
  <c r="H119" i="76"/>
  <c r="H120" i="76"/>
  <c r="H121" i="76"/>
  <c r="H122" i="76"/>
  <c r="H123" i="76"/>
  <c r="H124" i="76"/>
  <c r="H125" i="76"/>
  <c r="H126" i="76"/>
  <c r="H127" i="76"/>
  <c r="H128" i="76"/>
  <c r="H129" i="76"/>
  <c r="H130" i="76"/>
  <c r="H131" i="76"/>
  <c r="H132" i="76"/>
  <c r="H133" i="76"/>
  <c r="H134" i="76"/>
  <c r="H135" i="76"/>
  <c r="H136" i="76"/>
  <c r="H137" i="76"/>
  <c r="H138" i="76"/>
  <c r="H139" i="76"/>
  <c r="H140" i="76"/>
  <c r="H141" i="76"/>
  <c r="H142" i="76"/>
  <c r="H143" i="76"/>
  <c r="H144" i="76"/>
  <c r="H145" i="76"/>
  <c r="H146" i="76"/>
  <c r="H147" i="76"/>
  <c r="H148" i="76"/>
  <c r="H149" i="76"/>
  <c r="H150" i="76"/>
  <c r="H151" i="76"/>
  <c r="H152" i="76"/>
  <c r="H153" i="76"/>
  <c r="H154" i="76"/>
  <c r="H155" i="76"/>
  <c r="H156" i="76"/>
  <c r="H158" i="76"/>
  <c r="H159" i="76"/>
  <c r="H160" i="76"/>
  <c r="H161" i="76"/>
  <c r="H162" i="76"/>
  <c r="H164" i="76"/>
  <c r="H165" i="76"/>
  <c r="H166" i="76"/>
  <c r="H167" i="76"/>
  <c r="H168" i="76"/>
  <c r="H169" i="76"/>
  <c r="H170" i="76"/>
  <c r="H171" i="76"/>
  <c r="H172" i="76"/>
  <c r="H173" i="76"/>
  <c r="H174" i="76"/>
  <c r="H175" i="76"/>
  <c r="H176" i="76"/>
  <c r="H177" i="76"/>
  <c r="H178" i="76"/>
  <c r="H179" i="76"/>
  <c r="H180" i="76"/>
  <c r="H181" i="76"/>
  <c r="H182" i="76"/>
  <c r="H183" i="76"/>
  <c r="H184" i="76"/>
  <c r="H185" i="76"/>
  <c r="H186" i="76"/>
  <c r="H187" i="76"/>
  <c r="H188" i="76"/>
  <c r="H189" i="76"/>
  <c r="H190" i="76"/>
  <c r="H191" i="76"/>
  <c r="H192" i="76"/>
  <c r="H193" i="76"/>
  <c r="H194" i="76"/>
  <c r="H195" i="76"/>
  <c r="H196" i="76"/>
  <c r="H197" i="76"/>
  <c r="H198" i="76"/>
  <c r="H199" i="76"/>
  <c r="H200" i="76"/>
  <c r="H201" i="76"/>
  <c r="H202" i="76"/>
  <c r="H203" i="76"/>
  <c r="H204" i="76"/>
  <c r="H205" i="76"/>
  <c r="H206" i="76"/>
  <c r="H207" i="76"/>
  <c r="H208" i="76"/>
  <c r="H209" i="76"/>
  <c r="H210" i="76"/>
  <c r="H211" i="76"/>
  <c r="H212" i="76"/>
  <c r="H213" i="76"/>
  <c r="H214" i="76"/>
  <c r="H215" i="76"/>
  <c r="H216" i="76"/>
  <c r="H217" i="76"/>
  <c r="H218" i="76"/>
  <c r="H219" i="76"/>
  <c r="H220" i="76"/>
  <c r="H221" i="76"/>
  <c r="H222" i="76"/>
  <c r="H223" i="76"/>
  <c r="H224" i="76"/>
  <c r="H225" i="76"/>
  <c r="H226" i="76"/>
  <c r="H227" i="76"/>
  <c r="H228" i="76"/>
  <c r="H229" i="76"/>
  <c r="H230" i="76"/>
  <c r="H232" i="76"/>
  <c r="H233" i="76"/>
  <c r="H234" i="76"/>
  <c r="H235" i="76"/>
  <c r="H236" i="76"/>
  <c r="H238" i="76"/>
  <c r="H239" i="76"/>
  <c r="H240" i="76"/>
  <c r="H241" i="76"/>
  <c r="H242" i="76"/>
  <c r="H243" i="76"/>
  <c r="H244" i="76"/>
  <c r="H245" i="76"/>
  <c r="H246" i="76"/>
  <c r="H247" i="76"/>
  <c r="H248" i="76"/>
  <c r="H249" i="76"/>
  <c r="H250" i="76"/>
  <c r="H251" i="76"/>
  <c r="H252" i="76"/>
  <c r="H253" i="76"/>
  <c r="H254" i="76"/>
  <c r="H255" i="76"/>
  <c r="H256" i="76"/>
  <c r="H257" i="76"/>
  <c r="H258" i="76"/>
  <c r="H259" i="76"/>
  <c r="H260" i="76"/>
  <c r="H261" i="76"/>
  <c r="H262" i="76"/>
  <c r="H263" i="76"/>
  <c r="H264" i="76"/>
  <c r="H265" i="76"/>
  <c r="H266" i="76"/>
  <c r="H267" i="76"/>
  <c r="H268" i="76"/>
  <c r="H269" i="76"/>
  <c r="H270" i="76"/>
  <c r="H271" i="76"/>
  <c r="H272" i="76"/>
  <c r="H273" i="76"/>
  <c r="H274" i="76"/>
  <c r="H275" i="76"/>
  <c r="H276" i="76"/>
  <c r="H277" i="76"/>
  <c r="H278" i="76"/>
  <c r="H279" i="76"/>
  <c r="H280" i="76"/>
  <c r="H281" i="76"/>
  <c r="H282" i="76"/>
  <c r="H283" i="76"/>
  <c r="H284" i="76"/>
  <c r="H285" i="76"/>
  <c r="H286" i="76"/>
  <c r="H287" i="76"/>
  <c r="H288" i="76"/>
  <c r="H289" i="76"/>
  <c r="H290" i="76"/>
  <c r="H291" i="76"/>
  <c r="H292" i="76"/>
  <c r="H293" i="76"/>
  <c r="H294" i="76"/>
  <c r="H295" i="76"/>
  <c r="H296" i="76"/>
  <c r="H297" i="76"/>
  <c r="H298" i="76"/>
  <c r="H299" i="76"/>
  <c r="H300" i="76"/>
  <c r="H301" i="76"/>
  <c r="H302" i="76"/>
  <c r="H303" i="76"/>
  <c r="H17" i="76"/>
  <c r="H18" i="76"/>
  <c r="H19" i="76"/>
  <c r="H20" i="76"/>
  <c r="H21" i="76"/>
  <c r="H22" i="76"/>
  <c r="H23" i="76"/>
  <c r="H24" i="76"/>
  <c r="H25" i="76"/>
  <c r="H26" i="76"/>
  <c r="H16" i="76"/>
  <c r="C94" i="76"/>
  <c r="D94" i="76"/>
  <c r="G94" i="76"/>
  <c r="J94" i="76"/>
  <c r="K94" i="76"/>
  <c r="L94" i="76"/>
  <c r="M94" i="76"/>
  <c r="O94" i="76"/>
  <c r="P94" i="76"/>
  <c r="Q94" i="76"/>
  <c r="S94" i="76"/>
  <c r="Y94" i="76"/>
  <c r="Z94" i="76"/>
  <c r="AA94" i="76"/>
  <c r="AB94" i="76"/>
  <c r="AC94" i="76"/>
  <c r="AF94" i="76"/>
  <c r="AG94" i="76"/>
  <c r="C95" i="76"/>
  <c r="D95" i="76"/>
  <c r="G95" i="76"/>
  <c r="J95" i="76"/>
  <c r="K95" i="76"/>
  <c r="L95" i="76"/>
  <c r="M95" i="76"/>
  <c r="O95" i="76"/>
  <c r="P95" i="76"/>
  <c r="S95" i="76"/>
  <c r="Y95" i="76"/>
  <c r="Z95" i="76"/>
  <c r="AA95" i="76"/>
  <c r="AB95" i="76"/>
  <c r="AC95" i="76"/>
  <c r="AF95" i="76"/>
  <c r="AG95" i="76"/>
  <c r="C96" i="76"/>
  <c r="D96" i="76"/>
  <c r="G96" i="76"/>
  <c r="J96" i="76"/>
  <c r="K96" i="76"/>
  <c r="L96" i="76"/>
  <c r="M96" i="76"/>
  <c r="O96" i="76"/>
  <c r="P96" i="76"/>
  <c r="Q96" i="76"/>
  <c r="S96" i="76"/>
  <c r="Y96" i="76"/>
  <c r="Z96" i="76"/>
  <c r="AA96" i="76"/>
  <c r="AB96" i="76"/>
  <c r="AC96" i="76"/>
  <c r="AF96" i="76"/>
  <c r="AG96" i="76"/>
  <c r="C97" i="76"/>
  <c r="D97" i="76"/>
  <c r="G97" i="76"/>
  <c r="J97" i="76"/>
  <c r="K97" i="76"/>
  <c r="L97" i="76"/>
  <c r="M97" i="76"/>
  <c r="O97" i="76"/>
  <c r="P97" i="76"/>
  <c r="S97" i="76"/>
  <c r="Y97" i="76"/>
  <c r="Z97" i="76"/>
  <c r="AA97" i="76"/>
  <c r="AB97" i="76"/>
  <c r="AC97" i="76"/>
  <c r="AF97" i="76"/>
  <c r="AG97" i="76"/>
  <c r="C98" i="76"/>
  <c r="D98" i="76"/>
  <c r="G98" i="76"/>
  <c r="J98" i="76"/>
  <c r="K98" i="76"/>
  <c r="L98" i="76"/>
  <c r="M98" i="76"/>
  <c r="O98" i="76"/>
  <c r="P98" i="76"/>
  <c r="Q98" i="76"/>
  <c r="S98" i="76"/>
  <c r="Y98" i="76"/>
  <c r="Z98" i="76"/>
  <c r="AA98" i="76"/>
  <c r="AB98" i="76"/>
  <c r="AC98" i="76"/>
  <c r="AF98" i="76"/>
  <c r="AG98" i="76"/>
  <c r="C99" i="76"/>
  <c r="D99" i="76"/>
  <c r="G99" i="76"/>
  <c r="J99" i="76"/>
  <c r="K99" i="76"/>
  <c r="L99" i="76"/>
  <c r="M99" i="76"/>
  <c r="O99" i="76"/>
  <c r="P99" i="76"/>
  <c r="S99" i="76"/>
  <c r="Y99" i="76"/>
  <c r="Z99" i="76"/>
  <c r="AA99" i="76"/>
  <c r="AB99" i="76"/>
  <c r="AC99" i="76"/>
  <c r="AF99" i="76"/>
  <c r="AG99" i="76"/>
  <c r="C100" i="76"/>
  <c r="D100" i="76"/>
  <c r="G100" i="76"/>
  <c r="J100" i="76"/>
  <c r="K100" i="76"/>
  <c r="L100" i="76"/>
  <c r="M100" i="76"/>
  <c r="O100" i="76"/>
  <c r="P100" i="76"/>
  <c r="Q100" i="76"/>
  <c r="S100" i="76"/>
  <c r="Y100" i="76"/>
  <c r="Z100" i="76"/>
  <c r="AA100" i="76"/>
  <c r="AB100" i="76"/>
  <c r="AC100" i="76"/>
  <c r="AF100" i="76"/>
  <c r="AG100" i="76"/>
  <c r="C101" i="76"/>
  <c r="D101" i="76"/>
  <c r="G101" i="76"/>
  <c r="J101" i="76"/>
  <c r="K101" i="76"/>
  <c r="L101" i="76"/>
  <c r="M101" i="76"/>
  <c r="O101" i="76"/>
  <c r="P101" i="76"/>
  <c r="S101" i="76"/>
  <c r="Y101" i="76"/>
  <c r="Z101" i="76"/>
  <c r="AA101" i="76"/>
  <c r="AB101" i="76"/>
  <c r="AC101" i="76"/>
  <c r="AF101" i="76"/>
  <c r="AG101" i="76"/>
  <c r="C102" i="76"/>
  <c r="D102" i="76"/>
  <c r="G102" i="76"/>
  <c r="J102" i="76"/>
  <c r="K102" i="76"/>
  <c r="L102" i="76"/>
  <c r="M102" i="76"/>
  <c r="O102" i="76"/>
  <c r="P102" i="76"/>
  <c r="Q102" i="76"/>
  <c r="S102" i="76"/>
  <c r="Y102" i="76"/>
  <c r="Z102" i="76"/>
  <c r="AA102" i="76"/>
  <c r="AB102" i="76"/>
  <c r="AC102" i="76"/>
  <c r="AF102" i="76"/>
  <c r="AG102" i="76"/>
  <c r="C103" i="76"/>
  <c r="D103" i="76"/>
  <c r="G103" i="76"/>
  <c r="J103" i="76"/>
  <c r="K103" i="76"/>
  <c r="L103" i="76"/>
  <c r="M103" i="76"/>
  <c r="O103" i="76"/>
  <c r="P103" i="76"/>
  <c r="S103" i="76"/>
  <c r="Y103" i="76"/>
  <c r="Z103" i="76"/>
  <c r="AA103" i="76"/>
  <c r="AB103" i="76"/>
  <c r="AC103" i="76"/>
  <c r="AF103" i="76"/>
  <c r="AG103" i="76"/>
  <c r="C104" i="76"/>
  <c r="D104" i="76"/>
  <c r="G104" i="76"/>
  <c r="J104" i="76"/>
  <c r="K104" i="76"/>
  <c r="L104" i="76"/>
  <c r="M104" i="76"/>
  <c r="O104" i="76"/>
  <c r="P104" i="76"/>
  <c r="Q104" i="76"/>
  <c r="S104" i="76"/>
  <c r="Y104" i="76"/>
  <c r="Z104" i="76"/>
  <c r="AA104" i="76"/>
  <c r="AB104" i="76"/>
  <c r="AC104" i="76"/>
  <c r="AF104" i="76"/>
  <c r="AG104" i="76"/>
  <c r="C105" i="76"/>
  <c r="D105" i="76"/>
  <c r="G105" i="76"/>
  <c r="J105" i="76"/>
  <c r="K105" i="76"/>
  <c r="L105" i="76"/>
  <c r="M105" i="76"/>
  <c r="O105" i="76"/>
  <c r="P105" i="76"/>
  <c r="S105" i="76"/>
  <c r="Y105" i="76"/>
  <c r="Z105" i="76"/>
  <c r="AA105" i="76"/>
  <c r="AB105" i="76"/>
  <c r="AC105" i="76"/>
  <c r="AF105" i="76"/>
  <c r="AG105" i="76"/>
  <c r="C106" i="76"/>
  <c r="D106" i="76"/>
  <c r="G106" i="76"/>
  <c r="J106" i="76"/>
  <c r="K106" i="76"/>
  <c r="L106" i="76"/>
  <c r="M106" i="76"/>
  <c r="O106" i="76"/>
  <c r="P106" i="76"/>
  <c r="Q106" i="76"/>
  <c r="S106" i="76"/>
  <c r="Y106" i="76"/>
  <c r="Z106" i="76"/>
  <c r="AA106" i="76"/>
  <c r="AB106" i="76"/>
  <c r="AC106" i="76"/>
  <c r="AF106" i="76"/>
  <c r="AG106" i="76"/>
  <c r="C107" i="76"/>
  <c r="D107" i="76"/>
  <c r="G107" i="76"/>
  <c r="J107" i="76"/>
  <c r="K107" i="76"/>
  <c r="L107" i="76"/>
  <c r="M107" i="76"/>
  <c r="O107" i="76"/>
  <c r="P107" i="76"/>
  <c r="S107" i="76"/>
  <c r="Y107" i="76"/>
  <c r="Z107" i="76"/>
  <c r="AA107" i="76"/>
  <c r="AB107" i="76"/>
  <c r="AC107" i="76"/>
  <c r="AF107" i="76"/>
  <c r="AG107" i="76"/>
  <c r="C108" i="76"/>
  <c r="D108" i="76"/>
  <c r="G108" i="76"/>
  <c r="J108" i="76"/>
  <c r="K108" i="76"/>
  <c r="L108" i="76"/>
  <c r="M108" i="76"/>
  <c r="O108" i="76"/>
  <c r="P108" i="76"/>
  <c r="Q108" i="76"/>
  <c r="S108" i="76"/>
  <c r="Y108" i="76"/>
  <c r="Z108" i="76"/>
  <c r="AA108" i="76"/>
  <c r="AB108" i="76"/>
  <c r="AC108" i="76"/>
  <c r="AF108" i="76"/>
  <c r="AG108" i="76"/>
  <c r="C109" i="76"/>
  <c r="D109" i="76"/>
  <c r="G109" i="76"/>
  <c r="J109" i="76"/>
  <c r="K109" i="76"/>
  <c r="L109" i="76"/>
  <c r="M109" i="76"/>
  <c r="O109" i="76"/>
  <c r="P109" i="76"/>
  <c r="S109" i="76"/>
  <c r="Y109" i="76"/>
  <c r="Z109" i="76"/>
  <c r="AA109" i="76"/>
  <c r="AB109" i="76"/>
  <c r="AC109" i="76"/>
  <c r="AF109" i="76"/>
  <c r="AG109" i="76"/>
  <c r="C110" i="76"/>
  <c r="D110" i="76"/>
  <c r="G110" i="76"/>
  <c r="J110" i="76"/>
  <c r="K110" i="76"/>
  <c r="L110" i="76"/>
  <c r="M110" i="76"/>
  <c r="O110" i="76"/>
  <c r="P110" i="76"/>
  <c r="Q110" i="76"/>
  <c r="S110" i="76"/>
  <c r="Y110" i="76"/>
  <c r="Z110" i="76"/>
  <c r="AA110" i="76"/>
  <c r="AB110" i="76"/>
  <c r="AC110" i="76"/>
  <c r="AF110" i="76"/>
  <c r="AG110" i="76"/>
  <c r="C111" i="76"/>
  <c r="D111" i="76"/>
  <c r="G111" i="76"/>
  <c r="J111" i="76"/>
  <c r="K111" i="76"/>
  <c r="L111" i="76"/>
  <c r="M111" i="76"/>
  <c r="O111" i="76"/>
  <c r="P111" i="76"/>
  <c r="S111" i="76"/>
  <c r="Y111" i="76"/>
  <c r="Z111" i="76"/>
  <c r="AA111" i="76"/>
  <c r="AB111" i="76"/>
  <c r="AC111" i="76"/>
  <c r="AF111" i="76"/>
  <c r="AG111" i="76"/>
  <c r="C112" i="76"/>
  <c r="D112" i="76"/>
  <c r="G112" i="76"/>
  <c r="J112" i="76"/>
  <c r="K112" i="76"/>
  <c r="L112" i="76"/>
  <c r="M112" i="76"/>
  <c r="O112" i="76"/>
  <c r="P112" i="76"/>
  <c r="Q112" i="76"/>
  <c r="S112" i="76"/>
  <c r="Y112" i="76"/>
  <c r="Z112" i="76"/>
  <c r="AA112" i="76"/>
  <c r="AB112" i="76"/>
  <c r="AC112" i="76"/>
  <c r="AF112" i="76"/>
  <c r="AG112" i="76"/>
  <c r="C113" i="76"/>
  <c r="D113" i="76"/>
  <c r="G113" i="76"/>
  <c r="J113" i="76"/>
  <c r="K113" i="76"/>
  <c r="L113" i="76"/>
  <c r="M113" i="76"/>
  <c r="O113" i="76"/>
  <c r="P113" i="76"/>
  <c r="S113" i="76"/>
  <c r="Y113" i="76"/>
  <c r="Z113" i="76"/>
  <c r="AA113" i="76"/>
  <c r="AB113" i="76"/>
  <c r="AC113" i="76"/>
  <c r="AF113" i="76"/>
  <c r="AG113" i="76"/>
  <c r="C114" i="76"/>
  <c r="D114" i="76"/>
  <c r="G114" i="76"/>
  <c r="J114" i="76"/>
  <c r="K114" i="76"/>
  <c r="L114" i="76"/>
  <c r="M114" i="76"/>
  <c r="O114" i="76"/>
  <c r="P114" i="76"/>
  <c r="Q114" i="76"/>
  <c r="S114" i="76"/>
  <c r="Y114" i="76"/>
  <c r="Z114" i="76"/>
  <c r="AA114" i="76"/>
  <c r="AB114" i="76"/>
  <c r="AC114" i="76"/>
  <c r="AF114" i="76"/>
  <c r="AG114" i="76"/>
  <c r="C115" i="76"/>
  <c r="D115" i="76"/>
  <c r="G115" i="76"/>
  <c r="J115" i="76"/>
  <c r="K115" i="76"/>
  <c r="L115" i="76"/>
  <c r="M115" i="76"/>
  <c r="O115" i="76"/>
  <c r="P115" i="76"/>
  <c r="S115" i="76"/>
  <c r="Y115" i="76"/>
  <c r="Z115" i="76"/>
  <c r="AA115" i="76"/>
  <c r="AB115" i="76"/>
  <c r="AC115" i="76"/>
  <c r="AF115" i="76"/>
  <c r="AG115" i="76"/>
  <c r="C116" i="76"/>
  <c r="D116" i="76"/>
  <c r="G116" i="76"/>
  <c r="J116" i="76"/>
  <c r="K116" i="76"/>
  <c r="L116" i="76"/>
  <c r="M116" i="76"/>
  <c r="O116" i="76"/>
  <c r="P116" i="76"/>
  <c r="Q116" i="76"/>
  <c r="S116" i="76"/>
  <c r="Y116" i="76"/>
  <c r="Z116" i="76"/>
  <c r="AA116" i="76"/>
  <c r="AB116" i="76"/>
  <c r="AC116" i="76"/>
  <c r="AF116" i="76"/>
  <c r="AG116" i="76"/>
  <c r="C117" i="76"/>
  <c r="D117" i="76"/>
  <c r="G117" i="76"/>
  <c r="J117" i="76"/>
  <c r="K117" i="76"/>
  <c r="L117" i="76"/>
  <c r="M117" i="76"/>
  <c r="O117" i="76"/>
  <c r="P117" i="76"/>
  <c r="Q117" i="76"/>
  <c r="S117" i="76"/>
  <c r="Y117" i="76"/>
  <c r="Z117" i="76"/>
  <c r="AA117" i="76"/>
  <c r="AB117" i="76"/>
  <c r="AC117" i="76"/>
  <c r="AF117" i="76"/>
  <c r="AG117" i="76"/>
  <c r="C118" i="76"/>
  <c r="D118" i="76"/>
  <c r="G118" i="76"/>
  <c r="J118" i="76"/>
  <c r="K118" i="76"/>
  <c r="L118" i="76"/>
  <c r="M118" i="76"/>
  <c r="O118" i="76"/>
  <c r="P118" i="76"/>
  <c r="Q118" i="76"/>
  <c r="S118" i="76"/>
  <c r="Y118" i="76"/>
  <c r="Z118" i="76"/>
  <c r="AA118" i="76"/>
  <c r="AB118" i="76"/>
  <c r="AC118" i="76"/>
  <c r="AF118" i="76"/>
  <c r="AG118" i="76"/>
  <c r="C119" i="76"/>
  <c r="D119" i="76"/>
  <c r="G119" i="76"/>
  <c r="J119" i="76"/>
  <c r="K119" i="76"/>
  <c r="L119" i="76"/>
  <c r="M119" i="76"/>
  <c r="O119" i="76"/>
  <c r="P119" i="76"/>
  <c r="S119" i="76"/>
  <c r="Y119" i="76"/>
  <c r="Z119" i="76"/>
  <c r="AA119" i="76"/>
  <c r="AB119" i="76"/>
  <c r="AC119" i="76"/>
  <c r="AF119" i="76"/>
  <c r="AG119" i="76"/>
  <c r="C120" i="76"/>
  <c r="D120" i="76"/>
  <c r="G120" i="76"/>
  <c r="J120" i="76"/>
  <c r="K120" i="76"/>
  <c r="L120" i="76"/>
  <c r="M120" i="76"/>
  <c r="O120" i="76"/>
  <c r="P120" i="76"/>
  <c r="Q120" i="76"/>
  <c r="S120" i="76"/>
  <c r="Y120" i="76"/>
  <c r="Z120" i="76"/>
  <c r="AA120" i="76"/>
  <c r="AB120" i="76"/>
  <c r="AC120" i="76"/>
  <c r="AF120" i="76"/>
  <c r="AG120" i="76"/>
  <c r="C121" i="76"/>
  <c r="D121" i="76"/>
  <c r="G121" i="76"/>
  <c r="J121" i="76"/>
  <c r="K121" i="76"/>
  <c r="L121" i="76"/>
  <c r="M121" i="76"/>
  <c r="O121" i="76"/>
  <c r="P121" i="76"/>
  <c r="S121" i="76"/>
  <c r="Y121" i="76"/>
  <c r="Z121" i="76"/>
  <c r="AA121" i="76"/>
  <c r="AB121" i="76"/>
  <c r="AC121" i="76"/>
  <c r="AF121" i="76"/>
  <c r="AG121" i="76"/>
  <c r="C122" i="76"/>
  <c r="D122" i="76"/>
  <c r="G122" i="76"/>
  <c r="J122" i="76"/>
  <c r="K122" i="76"/>
  <c r="L122" i="76"/>
  <c r="M122" i="76"/>
  <c r="O122" i="76"/>
  <c r="P122" i="76"/>
  <c r="Q122" i="76"/>
  <c r="S122" i="76"/>
  <c r="Y122" i="76"/>
  <c r="Z122" i="76"/>
  <c r="AA122" i="76"/>
  <c r="AB122" i="76"/>
  <c r="AC122" i="76"/>
  <c r="AF122" i="76"/>
  <c r="AG122" i="76"/>
  <c r="C123" i="76"/>
  <c r="D123" i="76"/>
  <c r="G123" i="76"/>
  <c r="J123" i="76"/>
  <c r="K123" i="76"/>
  <c r="L123" i="76"/>
  <c r="M123" i="76"/>
  <c r="O123" i="76"/>
  <c r="P123" i="76"/>
  <c r="S123" i="76"/>
  <c r="Y123" i="76"/>
  <c r="Z123" i="76"/>
  <c r="AA123" i="76"/>
  <c r="AB123" i="76"/>
  <c r="AC123" i="76"/>
  <c r="AF123" i="76"/>
  <c r="AG123" i="76"/>
  <c r="C124" i="76"/>
  <c r="D124" i="76"/>
  <c r="G124" i="76"/>
  <c r="J124" i="76"/>
  <c r="K124" i="76"/>
  <c r="L124" i="76"/>
  <c r="M124" i="76"/>
  <c r="O124" i="76"/>
  <c r="P124" i="76"/>
  <c r="Q124" i="76"/>
  <c r="S124" i="76"/>
  <c r="Y124" i="76"/>
  <c r="Z124" i="76"/>
  <c r="AA124" i="76"/>
  <c r="AB124" i="76"/>
  <c r="AC124" i="76"/>
  <c r="AF124" i="76"/>
  <c r="AG124" i="76"/>
  <c r="C125" i="76"/>
  <c r="D125" i="76"/>
  <c r="G125" i="76"/>
  <c r="J125" i="76"/>
  <c r="K125" i="76"/>
  <c r="L125" i="76"/>
  <c r="M125" i="76"/>
  <c r="O125" i="76"/>
  <c r="P125" i="76"/>
  <c r="S125" i="76"/>
  <c r="Y125" i="76"/>
  <c r="Z125" i="76"/>
  <c r="AA125" i="76"/>
  <c r="AB125" i="76"/>
  <c r="AC125" i="76"/>
  <c r="AF125" i="76"/>
  <c r="AG125" i="76"/>
  <c r="C126" i="76"/>
  <c r="D126" i="76"/>
  <c r="G126" i="76"/>
  <c r="J126" i="76"/>
  <c r="K126" i="76"/>
  <c r="L126" i="76"/>
  <c r="M126" i="76"/>
  <c r="O126" i="76"/>
  <c r="P126" i="76"/>
  <c r="Q126" i="76"/>
  <c r="S126" i="76"/>
  <c r="Y126" i="76"/>
  <c r="Z126" i="76"/>
  <c r="AA126" i="76"/>
  <c r="AB126" i="76"/>
  <c r="AC126" i="76"/>
  <c r="AF126" i="76"/>
  <c r="AG126" i="76"/>
  <c r="C127" i="76"/>
  <c r="D127" i="76"/>
  <c r="G127" i="76"/>
  <c r="J127" i="76"/>
  <c r="K127" i="76"/>
  <c r="L127" i="76"/>
  <c r="M127" i="76"/>
  <c r="O127" i="76"/>
  <c r="P127" i="76"/>
  <c r="S127" i="76"/>
  <c r="Y127" i="76"/>
  <c r="Z127" i="76"/>
  <c r="AA127" i="76"/>
  <c r="AB127" i="76"/>
  <c r="AC127" i="76"/>
  <c r="AF127" i="76"/>
  <c r="AG127" i="76"/>
  <c r="C128" i="76"/>
  <c r="D128" i="76"/>
  <c r="G128" i="76"/>
  <c r="J128" i="76"/>
  <c r="K128" i="76"/>
  <c r="L128" i="76"/>
  <c r="M128" i="76"/>
  <c r="O128" i="76"/>
  <c r="P128" i="76"/>
  <c r="Q128" i="76"/>
  <c r="S128" i="76"/>
  <c r="Y128" i="76"/>
  <c r="Z128" i="76"/>
  <c r="AA128" i="76"/>
  <c r="AB128" i="76"/>
  <c r="AC128" i="76"/>
  <c r="AF128" i="76"/>
  <c r="AG128" i="76"/>
  <c r="C129" i="76"/>
  <c r="D129" i="76"/>
  <c r="G129" i="76"/>
  <c r="J129" i="76"/>
  <c r="K129" i="76"/>
  <c r="L129" i="76"/>
  <c r="M129" i="76"/>
  <c r="O129" i="76"/>
  <c r="P129" i="76"/>
  <c r="S129" i="76"/>
  <c r="Y129" i="76"/>
  <c r="Z129" i="76"/>
  <c r="AA129" i="76"/>
  <c r="AB129" i="76"/>
  <c r="AC129" i="76"/>
  <c r="AF129" i="76"/>
  <c r="AG129" i="76"/>
  <c r="C130" i="76"/>
  <c r="D130" i="76"/>
  <c r="G130" i="76"/>
  <c r="J130" i="76"/>
  <c r="K130" i="76"/>
  <c r="L130" i="76"/>
  <c r="M130" i="76"/>
  <c r="O130" i="76"/>
  <c r="P130" i="76"/>
  <c r="Q130" i="76"/>
  <c r="S130" i="76"/>
  <c r="Y130" i="76"/>
  <c r="Z130" i="76"/>
  <c r="AA130" i="76"/>
  <c r="AB130" i="76"/>
  <c r="AC130" i="76"/>
  <c r="AF130" i="76"/>
  <c r="AG130" i="76"/>
  <c r="C131" i="76"/>
  <c r="D131" i="76"/>
  <c r="G131" i="76"/>
  <c r="J131" i="76"/>
  <c r="K131" i="76"/>
  <c r="L131" i="76"/>
  <c r="M131" i="76"/>
  <c r="O131" i="76"/>
  <c r="P131" i="76"/>
  <c r="S131" i="76"/>
  <c r="Y131" i="76"/>
  <c r="Z131" i="76"/>
  <c r="AA131" i="76"/>
  <c r="AB131" i="76"/>
  <c r="AC131" i="76"/>
  <c r="AF131" i="76"/>
  <c r="AG131" i="76"/>
  <c r="C132" i="76"/>
  <c r="D132" i="76"/>
  <c r="G132" i="76"/>
  <c r="J132" i="76"/>
  <c r="K132" i="76"/>
  <c r="L132" i="76"/>
  <c r="M132" i="76"/>
  <c r="O132" i="76"/>
  <c r="P132" i="76"/>
  <c r="Q132" i="76"/>
  <c r="S132" i="76"/>
  <c r="Y132" i="76"/>
  <c r="Z132" i="76"/>
  <c r="AA132" i="76"/>
  <c r="AB132" i="76"/>
  <c r="AC132" i="76"/>
  <c r="AF132" i="76"/>
  <c r="AG132" i="76"/>
  <c r="C133" i="76"/>
  <c r="D133" i="76"/>
  <c r="G133" i="76"/>
  <c r="J133" i="76"/>
  <c r="K133" i="76"/>
  <c r="L133" i="76"/>
  <c r="M133" i="76"/>
  <c r="O133" i="76"/>
  <c r="P133" i="76"/>
  <c r="S133" i="76"/>
  <c r="Y133" i="76"/>
  <c r="Z133" i="76"/>
  <c r="AA133" i="76"/>
  <c r="AB133" i="76"/>
  <c r="AC133" i="76"/>
  <c r="AF133" i="76"/>
  <c r="AG133" i="76"/>
  <c r="C134" i="76"/>
  <c r="D134" i="76"/>
  <c r="G134" i="76"/>
  <c r="J134" i="76"/>
  <c r="K134" i="76"/>
  <c r="L134" i="76"/>
  <c r="M134" i="76"/>
  <c r="O134" i="76"/>
  <c r="P134" i="76"/>
  <c r="Q134" i="76"/>
  <c r="S134" i="76"/>
  <c r="Y134" i="76"/>
  <c r="Z134" i="76"/>
  <c r="AA134" i="76"/>
  <c r="AB134" i="76"/>
  <c r="AC134" i="76"/>
  <c r="AF134" i="76"/>
  <c r="AG134" i="76"/>
  <c r="C135" i="76"/>
  <c r="D135" i="76"/>
  <c r="G135" i="76"/>
  <c r="J135" i="76"/>
  <c r="K135" i="76"/>
  <c r="L135" i="76"/>
  <c r="M135" i="76"/>
  <c r="O135" i="76"/>
  <c r="P135" i="76"/>
  <c r="Q135" i="76"/>
  <c r="S135" i="76"/>
  <c r="Y135" i="76"/>
  <c r="Z135" i="76"/>
  <c r="AA135" i="76"/>
  <c r="AB135" i="76"/>
  <c r="AC135" i="76"/>
  <c r="AF135" i="76"/>
  <c r="AG135" i="76"/>
  <c r="C136" i="76"/>
  <c r="D136" i="76"/>
  <c r="G136" i="76"/>
  <c r="J136" i="76"/>
  <c r="K136" i="76"/>
  <c r="L136" i="76"/>
  <c r="M136" i="76"/>
  <c r="O136" i="76"/>
  <c r="P136" i="76"/>
  <c r="Q136" i="76"/>
  <c r="S136" i="76"/>
  <c r="Y136" i="76"/>
  <c r="Z136" i="76"/>
  <c r="AA136" i="76"/>
  <c r="AB136" i="76"/>
  <c r="AC136" i="76"/>
  <c r="AF136" i="76"/>
  <c r="AG136" i="76"/>
  <c r="C137" i="76"/>
  <c r="D137" i="76"/>
  <c r="G137" i="76"/>
  <c r="J137" i="76"/>
  <c r="K137" i="76"/>
  <c r="L137" i="76"/>
  <c r="M137" i="76"/>
  <c r="O137" i="76"/>
  <c r="P137" i="76"/>
  <c r="S137" i="76"/>
  <c r="Y137" i="76"/>
  <c r="Z137" i="76"/>
  <c r="AA137" i="76"/>
  <c r="AB137" i="76"/>
  <c r="AC137" i="76"/>
  <c r="AF137" i="76"/>
  <c r="AG137" i="76"/>
  <c r="C138" i="76"/>
  <c r="D138" i="76"/>
  <c r="G138" i="76"/>
  <c r="J138" i="76"/>
  <c r="K138" i="76"/>
  <c r="L138" i="76"/>
  <c r="M138" i="76"/>
  <c r="O138" i="76"/>
  <c r="P138" i="76"/>
  <c r="Q138" i="76"/>
  <c r="S138" i="76"/>
  <c r="Y138" i="76"/>
  <c r="Z138" i="76"/>
  <c r="AA138" i="76"/>
  <c r="AB138" i="76"/>
  <c r="AC138" i="76"/>
  <c r="AF138" i="76"/>
  <c r="AG138" i="76"/>
  <c r="C139" i="76"/>
  <c r="D139" i="76"/>
  <c r="G139" i="76"/>
  <c r="J139" i="76"/>
  <c r="K139" i="76"/>
  <c r="L139" i="76"/>
  <c r="M139" i="76"/>
  <c r="O139" i="76"/>
  <c r="P139" i="76"/>
  <c r="S139" i="76"/>
  <c r="Y139" i="76"/>
  <c r="Z139" i="76"/>
  <c r="AA139" i="76"/>
  <c r="AB139" i="76"/>
  <c r="AC139" i="76"/>
  <c r="AF139" i="76"/>
  <c r="AG139" i="76"/>
  <c r="C140" i="76"/>
  <c r="D140" i="76"/>
  <c r="G140" i="76"/>
  <c r="J140" i="76"/>
  <c r="K140" i="76"/>
  <c r="L140" i="76"/>
  <c r="M140" i="76"/>
  <c r="O140" i="76"/>
  <c r="P140" i="76"/>
  <c r="Q140" i="76"/>
  <c r="S140" i="76"/>
  <c r="Y140" i="76"/>
  <c r="Z140" i="76"/>
  <c r="AA140" i="76"/>
  <c r="AB140" i="76"/>
  <c r="AC140" i="76"/>
  <c r="AF140" i="76"/>
  <c r="AG140" i="76"/>
  <c r="C141" i="76"/>
  <c r="D141" i="76"/>
  <c r="G141" i="76"/>
  <c r="J141" i="76"/>
  <c r="K141" i="76"/>
  <c r="L141" i="76"/>
  <c r="M141" i="76"/>
  <c r="O141" i="76"/>
  <c r="P141" i="76"/>
  <c r="S141" i="76"/>
  <c r="Y141" i="76"/>
  <c r="Z141" i="76"/>
  <c r="AA141" i="76"/>
  <c r="AB141" i="76"/>
  <c r="AC141" i="76"/>
  <c r="AF141" i="76"/>
  <c r="AG141" i="76"/>
  <c r="C142" i="76"/>
  <c r="D142" i="76"/>
  <c r="G142" i="76"/>
  <c r="J142" i="76"/>
  <c r="K142" i="76"/>
  <c r="L142" i="76"/>
  <c r="M142" i="76"/>
  <c r="O142" i="76"/>
  <c r="P142" i="76"/>
  <c r="Q142" i="76"/>
  <c r="S142" i="76"/>
  <c r="Y142" i="76"/>
  <c r="Z142" i="76"/>
  <c r="AA142" i="76"/>
  <c r="AB142" i="76"/>
  <c r="AC142" i="76"/>
  <c r="AF142" i="76"/>
  <c r="AG142" i="76"/>
  <c r="C143" i="76"/>
  <c r="D143" i="76"/>
  <c r="G143" i="76"/>
  <c r="J143" i="76"/>
  <c r="K143" i="76"/>
  <c r="L143" i="76"/>
  <c r="M143" i="76"/>
  <c r="O143" i="76"/>
  <c r="P143" i="76"/>
  <c r="S143" i="76"/>
  <c r="Y143" i="76"/>
  <c r="Z143" i="76"/>
  <c r="AA143" i="76"/>
  <c r="AB143" i="76"/>
  <c r="AC143" i="76"/>
  <c r="AF143" i="76"/>
  <c r="AG143" i="76"/>
  <c r="C144" i="76"/>
  <c r="D144" i="76"/>
  <c r="G144" i="76"/>
  <c r="J144" i="76"/>
  <c r="K144" i="76"/>
  <c r="L144" i="76"/>
  <c r="M144" i="76"/>
  <c r="O144" i="76"/>
  <c r="P144" i="76"/>
  <c r="Q144" i="76"/>
  <c r="S144" i="76"/>
  <c r="Y144" i="76"/>
  <c r="Z144" i="76"/>
  <c r="AA144" i="76"/>
  <c r="AB144" i="76"/>
  <c r="AC144" i="76"/>
  <c r="AF144" i="76"/>
  <c r="AG144" i="76"/>
  <c r="C145" i="76"/>
  <c r="D145" i="76"/>
  <c r="G145" i="76"/>
  <c r="J145" i="76"/>
  <c r="K145" i="76"/>
  <c r="L145" i="76"/>
  <c r="M145" i="76"/>
  <c r="O145" i="76"/>
  <c r="P145" i="76"/>
  <c r="S145" i="76"/>
  <c r="Y145" i="76"/>
  <c r="Z145" i="76"/>
  <c r="AA145" i="76"/>
  <c r="AB145" i="76"/>
  <c r="AC145" i="76"/>
  <c r="AF145" i="76"/>
  <c r="AG145" i="76"/>
  <c r="C146" i="76"/>
  <c r="D146" i="76"/>
  <c r="G146" i="76"/>
  <c r="J146" i="76"/>
  <c r="K146" i="76"/>
  <c r="L146" i="76"/>
  <c r="M146" i="76"/>
  <c r="O146" i="76"/>
  <c r="P146" i="76"/>
  <c r="Q146" i="76"/>
  <c r="S146" i="76"/>
  <c r="Y146" i="76"/>
  <c r="Z146" i="76"/>
  <c r="AA146" i="76"/>
  <c r="AB146" i="76"/>
  <c r="AC146" i="76"/>
  <c r="AF146" i="76"/>
  <c r="AG146" i="76"/>
  <c r="C147" i="76"/>
  <c r="D147" i="76"/>
  <c r="G147" i="76"/>
  <c r="J147" i="76"/>
  <c r="K147" i="76"/>
  <c r="L147" i="76"/>
  <c r="M147" i="76"/>
  <c r="O147" i="76"/>
  <c r="P147" i="76"/>
  <c r="Q147" i="76"/>
  <c r="S147" i="76"/>
  <c r="Y147" i="76"/>
  <c r="Z147" i="76"/>
  <c r="AA147" i="76"/>
  <c r="AB147" i="76"/>
  <c r="AC147" i="76"/>
  <c r="AF147" i="76"/>
  <c r="AG147" i="76"/>
  <c r="C148" i="76"/>
  <c r="D148" i="76"/>
  <c r="G148" i="76"/>
  <c r="J148" i="76"/>
  <c r="K148" i="76"/>
  <c r="L148" i="76"/>
  <c r="M148" i="76"/>
  <c r="O148" i="76"/>
  <c r="P148" i="76"/>
  <c r="Q148" i="76"/>
  <c r="S148" i="76"/>
  <c r="Y148" i="76"/>
  <c r="Z148" i="76"/>
  <c r="AA148" i="76"/>
  <c r="AB148" i="76"/>
  <c r="AC148" i="76"/>
  <c r="AF148" i="76"/>
  <c r="AG148" i="76"/>
  <c r="C149" i="76"/>
  <c r="D149" i="76"/>
  <c r="G149" i="76"/>
  <c r="J149" i="76"/>
  <c r="K149" i="76"/>
  <c r="L149" i="76"/>
  <c r="M149" i="76"/>
  <c r="O149" i="76"/>
  <c r="P149" i="76"/>
  <c r="S149" i="76"/>
  <c r="Y149" i="76"/>
  <c r="Z149" i="76"/>
  <c r="AA149" i="76"/>
  <c r="AB149" i="76"/>
  <c r="AC149" i="76"/>
  <c r="AF149" i="76"/>
  <c r="AG149" i="76"/>
  <c r="C150" i="76"/>
  <c r="D150" i="76"/>
  <c r="G150" i="76"/>
  <c r="J150" i="76"/>
  <c r="K150" i="76"/>
  <c r="L150" i="76"/>
  <c r="M150" i="76"/>
  <c r="O150" i="76"/>
  <c r="P150" i="76"/>
  <c r="Q150" i="76"/>
  <c r="S150" i="76"/>
  <c r="Y150" i="76"/>
  <c r="Z150" i="76"/>
  <c r="AA150" i="76"/>
  <c r="AB150" i="76"/>
  <c r="AC150" i="76"/>
  <c r="AF150" i="76"/>
  <c r="AG150" i="76"/>
  <c r="C151" i="76"/>
  <c r="D151" i="76"/>
  <c r="G151" i="76"/>
  <c r="J151" i="76"/>
  <c r="K151" i="76"/>
  <c r="L151" i="76"/>
  <c r="M151" i="76"/>
  <c r="O151" i="76"/>
  <c r="P151" i="76"/>
  <c r="S151" i="76"/>
  <c r="Y151" i="76"/>
  <c r="Z151" i="76"/>
  <c r="AA151" i="76"/>
  <c r="AB151" i="76"/>
  <c r="AC151" i="76"/>
  <c r="AF151" i="76"/>
  <c r="AG151" i="76"/>
  <c r="C152" i="76"/>
  <c r="D152" i="76"/>
  <c r="G152" i="76"/>
  <c r="J152" i="76"/>
  <c r="K152" i="76"/>
  <c r="L152" i="76"/>
  <c r="M152" i="76"/>
  <c r="O152" i="76"/>
  <c r="P152" i="76"/>
  <c r="Q152" i="76"/>
  <c r="S152" i="76"/>
  <c r="Y152" i="76"/>
  <c r="Z152" i="76"/>
  <c r="AA152" i="76"/>
  <c r="AB152" i="76"/>
  <c r="AC152" i="76"/>
  <c r="AF152" i="76"/>
  <c r="AG152" i="76"/>
  <c r="C153" i="76"/>
  <c r="D153" i="76"/>
  <c r="G153" i="76"/>
  <c r="J153" i="76"/>
  <c r="K153" i="76"/>
  <c r="L153" i="76"/>
  <c r="M153" i="76"/>
  <c r="O153" i="76"/>
  <c r="P153" i="76"/>
  <c r="S153" i="76"/>
  <c r="Y153" i="76"/>
  <c r="Z153" i="76"/>
  <c r="AA153" i="76"/>
  <c r="AB153" i="76"/>
  <c r="AC153" i="76"/>
  <c r="AF153" i="76"/>
  <c r="AG153" i="76"/>
  <c r="C154" i="76"/>
  <c r="D154" i="76"/>
  <c r="G154" i="76"/>
  <c r="J154" i="76"/>
  <c r="K154" i="76"/>
  <c r="L154" i="76"/>
  <c r="M154" i="76"/>
  <c r="O154" i="76"/>
  <c r="P154" i="76"/>
  <c r="Q154" i="76"/>
  <c r="S154" i="76"/>
  <c r="Y154" i="76"/>
  <c r="Z154" i="76"/>
  <c r="AA154" i="76"/>
  <c r="AB154" i="76"/>
  <c r="AC154" i="76"/>
  <c r="AF154" i="76"/>
  <c r="AG154" i="76"/>
  <c r="C155" i="76"/>
  <c r="D155" i="76"/>
  <c r="G155" i="76"/>
  <c r="J155" i="76"/>
  <c r="K155" i="76"/>
  <c r="L155" i="76"/>
  <c r="M155" i="76"/>
  <c r="O155" i="76"/>
  <c r="P155" i="76"/>
  <c r="S155" i="76"/>
  <c r="Y155" i="76"/>
  <c r="Z155" i="76"/>
  <c r="AA155" i="76"/>
  <c r="AB155" i="76"/>
  <c r="AC155" i="76"/>
  <c r="AF155" i="76"/>
  <c r="AG155" i="76"/>
  <c r="C156" i="76"/>
  <c r="D156" i="76"/>
  <c r="G156" i="76"/>
  <c r="J156" i="76"/>
  <c r="K156" i="76"/>
  <c r="L156" i="76"/>
  <c r="M156" i="76"/>
  <c r="O156" i="76"/>
  <c r="P156" i="76"/>
  <c r="Q156" i="76"/>
  <c r="S156" i="76"/>
  <c r="Y156" i="76"/>
  <c r="Z156" i="76"/>
  <c r="AA156" i="76"/>
  <c r="AB156" i="76"/>
  <c r="AC156" i="76"/>
  <c r="AF156" i="76"/>
  <c r="AG156" i="76"/>
  <c r="C158" i="76"/>
  <c r="D158" i="76"/>
  <c r="G158" i="76"/>
  <c r="J158" i="76"/>
  <c r="K158" i="76"/>
  <c r="L158" i="76"/>
  <c r="M158" i="76"/>
  <c r="O158" i="76"/>
  <c r="P158" i="76"/>
  <c r="S158" i="76"/>
  <c r="Y158" i="76"/>
  <c r="Z158" i="76"/>
  <c r="AA158" i="76"/>
  <c r="AB158" i="76"/>
  <c r="AC158" i="76"/>
  <c r="AF158" i="76"/>
  <c r="AG158" i="76"/>
  <c r="C159" i="76"/>
  <c r="D159" i="76"/>
  <c r="G159" i="76"/>
  <c r="J159" i="76"/>
  <c r="K159" i="76"/>
  <c r="L159" i="76"/>
  <c r="M159" i="76"/>
  <c r="O159" i="76"/>
  <c r="S159" i="76"/>
  <c r="Y159" i="76"/>
  <c r="Z159" i="76"/>
  <c r="AA159" i="76"/>
  <c r="AB159" i="76"/>
  <c r="AC159" i="76"/>
  <c r="AF159" i="76"/>
  <c r="AG159" i="76"/>
  <c r="C160" i="76"/>
  <c r="D160" i="76"/>
  <c r="G160" i="76"/>
  <c r="J160" i="76"/>
  <c r="K160" i="76"/>
  <c r="L160" i="76"/>
  <c r="M160" i="76"/>
  <c r="O160" i="76"/>
  <c r="P160" i="76"/>
  <c r="S160" i="76"/>
  <c r="Y160" i="76"/>
  <c r="Z160" i="76"/>
  <c r="AA160" i="76"/>
  <c r="AB160" i="76"/>
  <c r="AC160" i="76"/>
  <c r="AF160" i="76"/>
  <c r="AG160" i="76"/>
  <c r="C161" i="76"/>
  <c r="D161" i="76"/>
  <c r="G161" i="76"/>
  <c r="J161" i="76"/>
  <c r="K161" i="76"/>
  <c r="L161" i="76"/>
  <c r="M161" i="76"/>
  <c r="O161" i="76"/>
  <c r="P161" i="76"/>
  <c r="S161" i="76"/>
  <c r="Y161" i="76"/>
  <c r="Z161" i="76"/>
  <c r="AA161" i="76"/>
  <c r="AB161" i="76"/>
  <c r="AC161" i="76"/>
  <c r="AF161" i="76"/>
  <c r="AG161" i="76"/>
  <c r="C162" i="76"/>
  <c r="D162" i="76"/>
  <c r="G162" i="76"/>
  <c r="J162" i="76"/>
  <c r="K162" i="76"/>
  <c r="L162" i="76"/>
  <c r="M162" i="76"/>
  <c r="O162" i="76"/>
  <c r="P162" i="76"/>
  <c r="S162" i="76"/>
  <c r="Y162" i="76"/>
  <c r="Z162" i="76"/>
  <c r="AA162" i="76"/>
  <c r="AB162" i="76"/>
  <c r="AC162" i="76"/>
  <c r="AF162" i="76"/>
  <c r="AG162" i="76"/>
  <c r="C164" i="76"/>
  <c r="D164" i="76"/>
  <c r="G164" i="76"/>
  <c r="J164" i="76"/>
  <c r="K164" i="76"/>
  <c r="L164" i="76"/>
  <c r="M164" i="76"/>
  <c r="Q164" i="76"/>
  <c r="S164" i="76"/>
  <c r="Y164" i="76"/>
  <c r="Z164" i="76"/>
  <c r="AA164" i="76"/>
  <c r="AB164" i="76"/>
  <c r="AC164" i="76"/>
  <c r="AF164" i="76"/>
  <c r="AG164" i="76"/>
  <c r="C165" i="76"/>
  <c r="D165" i="76"/>
  <c r="G165" i="76"/>
  <c r="J165" i="76"/>
  <c r="K165" i="76"/>
  <c r="L165" i="76"/>
  <c r="M165" i="76"/>
  <c r="P165" i="76"/>
  <c r="S165" i="76"/>
  <c r="Y165" i="76"/>
  <c r="Z165" i="76"/>
  <c r="AA165" i="76"/>
  <c r="AB165" i="76"/>
  <c r="AC165" i="76"/>
  <c r="AF165" i="76"/>
  <c r="AG165" i="76"/>
  <c r="C166" i="76"/>
  <c r="D166" i="76"/>
  <c r="G166" i="76"/>
  <c r="J166" i="76"/>
  <c r="K166" i="76"/>
  <c r="L166" i="76"/>
  <c r="M166" i="76"/>
  <c r="O166" i="76"/>
  <c r="P166" i="76"/>
  <c r="Q166" i="76"/>
  <c r="R166" i="76"/>
  <c r="S166" i="76"/>
  <c r="Y166" i="76"/>
  <c r="Z166" i="76"/>
  <c r="AA166" i="76"/>
  <c r="AB166" i="76"/>
  <c r="AC166" i="76"/>
  <c r="AF166" i="76"/>
  <c r="AG166" i="76"/>
  <c r="C167" i="76"/>
  <c r="D167" i="76"/>
  <c r="G167" i="76"/>
  <c r="J167" i="76"/>
  <c r="K167" i="76"/>
  <c r="L167" i="76"/>
  <c r="M167" i="76"/>
  <c r="O167" i="76"/>
  <c r="P167" i="76"/>
  <c r="S167" i="76"/>
  <c r="Y167" i="76"/>
  <c r="Z167" i="76"/>
  <c r="AA167" i="76"/>
  <c r="AB167" i="76"/>
  <c r="AC167" i="76"/>
  <c r="AF167" i="76"/>
  <c r="AG167" i="76"/>
  <c r="C168" i="76"/>
  <c r="D168" i="76"/>
  <c r="G168" i="76"/>
  <c r="J168" i="76"/>
  <c r="K168" i="76"/>
  <c r="L168" i="76"/>
  <c r="M168" i="76"/>
  <c r="O168" i="76"/>
  <c r="P168" i="76"/>
  <c r="Q168" i="76"/>
  <c r="R168" i="76"/>
  <c r="S168" i="76"/>
  <c r="Y168" i="76"/>
  <c r="Z168" i="76"/>
  <c r="AA168" i="76"/>
  <c r="AB168" i="76"/>
  <c r="AC168" i="76"/>
  <c r="AF168" i="76"/>
  <c r="AG168" i="76"/>
  <c r="C169" i="76"/>
  <c r="D169" i="76"/>
  <c r="G169" i="76"/>
  <c r="J169" i="76"/>
  <c r="K169" i="76"/>
  <c r="L169" i="76"/>
  <c r="M169" i="76"/>
  <c r="O169" i="76"/>
  <c r="P169" i="76"/>
  <c r="S169" i="76"/>
  <c r="Y169" i="76"/>
  <c r="Z169" i="76"/>
  <c r="AA169" i="76"/>
  <c r="AB169" i="76"/>
  <c r="AC169" i="76"/>
  <c r="AF169" i="76"/>
  <c r="AG169" i="76"/>
  <c r="C170" i="76"/>
  <c r="D170" i="76"/>
  <c r="G170" i="76"/>
  <c r="J170" i="76"/>
  <c r="K170" i="76"/>
  <c r="L170" i="76"/>
  <c r="M170" i="76"/>
  <c r="O170" i="76"/>
  <c r="P170" i="76"/>
  <c r="Q170" i="76"/>
  <c r="R170" i="76"/>
  <c r="S170" i="76"/>
  <c r="Y170" i="76"/>
  <c r="Z170" i="76"/>
  <c r="AA170" i="76"/>
  <c r="AB170" i="76"/>
  <c r="AC170" i="76"/>
  <c r="AF170" i="76"/>
  <c r="AG170" i="76"/>
  <c r="C171" i="76"/>
  <c r="D171" i="76"/>
  <c r="G171" i="76"/>
  <c r="J171" i="76"/>
  <c r="K171" i="76"/>
  <c r="L171" i="76"/>
  <c r="M171" i="76"/>
  <c r="O171" i="76"/>
  <c r="P171" i="76"/>
  <c r="S171" i="76"/>
  <c r="Y171" i="76"/>
  <c r="Z171" i="76"/>
  <c r="AA171" i="76"/>
  <c r="AB171" i="76"/>
  <c r="AC171" i="76"/>
  <c r="AF171" i="76"/>
  <c r="AG171" i="76"/>
  <c r="C172" i="76"/>
  <c r="D172" i="76"/>
  <c r="G172" i="76"/>
  <c r="J172" i="76"/>
  <c r="K172" i="76"/>
  <c r="L172" i="76"/>
  <c r="M172" i="76"/>
  <c r="O172" i="76"/>
  <c r="P172" i="76"/>
  <c r="Q172" i="76"/>
  <c r="R172" i="76"/>
  <c r="S172" i="76"/>
  <c r="Y172" i="76"/>
  <c r="Z172" i="76"/>
  <c r="AA172" i="76"/>
  <c r="AB172" i="76"/>
  <c r="AC172" i="76"/>
  <c r="AF172" i="76"/>
  <c r="AG172" i="76"/>
  <c r="C173" i="76"/>
  <c r="D173" i="76"/>
  <c r="G173" i="76"/>
  <c r="J173" i="76"/>
  <c r="K173" i="76"/>
  <c r="L173" i="76"/>
  <c r="M173" i="76"/>
  <c r="O173" i="76"/>
  <c r="P173" i="76"/>
  <c r="S173" i="76"/>
  <c r="Y173" i="76"/>
  <c r="Z173" i="76"/>
  <c r="AA173" i="76"/>
  <c r="AB173" i="76"/>
  <c r="AC173" i="76"/>
  <c r="AF173" i="76"/>
  <c r="AG173" i="76"/>
  <c r="C174" i="76"/>
  <c r="D174" i="76"/>
  <c r="G174" i="76"/>
  <c r="J174" i="76"/>
  <c r="K174" i="76"/>
  <c r="L174" i="76"/>
  <c r="M174" i="76"/>
  <c r="O174" i="76"/>
  <c r="P174" i="76"/>
  <c r="Q174" i="76"/>
  <c r="S174" i="76"/>
  <c r="Y174" i="76"/>
  <c r="Z174" i="76"/>
  <c r="AA174" i="76"/>
  <c r="AB174" i="76"/>
  <c r="AC174" i="76"/>
  <c r="AF174" i="76"/>
  <c r="AG174" i="76"/>
  <c r="C175" i="76"/>
  <c r="D175" i="76"/>
  <c r="G175" i="76"/>
  <c r="J175" i="76"/>
  <c r="K175" i="76"/>
  <c r="L175" i="76"/>
  <c r="M175" i="76"/>
  <c r="O175" i="76"/>
  <c r="P175" i="76"/>
  <c r="S175" i="76"/>
  <c r="Y175" i="76"/>
  <c r="Z175" i="76"/>
  <c r="AA175" i="76"/>
  <c r="AB175" i="76"/>
  <c r="AC175" i="76"/>
  <c r="AF175" i="76"/>
  <c r="AG175" i="76"/>
  <c r="C176" i="76"/>
  <c r="D176" i="76"/>
  <c r="G176" i="76"/>
  <c r="J176" i="76"/>
  <c r="K176" i="76"/>
  <c r="L176" i="76"/>
  <c r="M176" i="76"/>
  <c r="O176" i="76"/>
  <c r="P176" i="76"/>
  <c r="Q176" i="76"/>
  <c r="S176" i="76"/>
  <c r="Y176" i="76"/>
  <c r="Z176" i="76"/>
  <c r="AA176" i="76"/>
  <c r="AB176" i="76"/>
  <c r="AC176" i="76"/>
  <c r="AF176" i="76"/>
  <c r="AG176" i="76"/>
  <c r="C177" i="76"/>
  <c r="D177" i="76"/>
  <c r="G177" i="76"/>
  <c r="J177" i="76"/>
  <c r="K177" i="76"/>
  <c r="L177" i="76"/>
  <c r="M177" i="76"/>
  <c r="O177" i="76"/>
  <c r="P177" i="76"/>
  <c r="S177" i="76"/>
  <c r="Y177" i="76"/>
  <c r="Z177" i="76"/>
  <c r="AA177" i="76"/>
  <c r="AB177" i="76"/>
  <c r="AC177" i="76"/>
  <c r="AF177" i="76"/>
  <c r="AG177" i="76"/>
  <c r="C178" i="76"/>
  <c r="D178" i="76"/>
  <c r="G178" i="76"/>
  <c r="J178" i="76"/>
  <c r="K178" i="76"/>
  <c r="L178" i="76"/>
  <c r="M178" i="76"/>
  <c r="O178" i="76"/>
  <c r="P178" i="76"/>
  <c r="Q178" i="76"/>
  <c r="R178" i="76"/>
  <c r="S178" i="76"/>
  <c r="Y178" i="76"/>
  <c r="Z178" i="76"/>
  <c r="AA178" i="76"/>
  <c r="AB178" i="76"/>
  <c r="AC178" i="76"/>
  <c r="AF178" i="76"/>
  <c r="AG178" i="76"/>
  <c r="C179" i="76"/>
  <c r="D179" i="76"/>
  <c r="G179" i="76"/>
  <c r="J179" i="76"/>
  <c r="K179" i="76"/>
  <c r="L179" i="76"/>
  <c r="M179" i="76"/>
  <c r="O179" i="76"/>
  <c r="P179" i="76"/>
  <c r="S179" i="76"/>
  <c r="Y179" i="76"/>
  <c r="Z179" i="76"/>
  <c r="AA179" i="76"/>
  <c r="AB179" i="76"/>
  <c r="AC179" i="76"/>
  <c r="AF179" i="76"/>
  <c r="AG179" i="76"/>
  <c r="C180" i="76"/>
  <c r="D180" i="76"/>
  <c r="G180" i="76"/>
  <c r="J180" i="76"/>
  <c r="K180" i="76"/>
  <c r="L180" i="76"/>
  <c r="M180" i="76"/>
  <c r="O180" i="76"/>
  <c r="P180" i="76"/>
  <c r="Q180" i="76"/>
  <c r="R180" i="76"/>
  <c r="S180" i="76"/>
  <c r="Y180" i="76"/>
  <c r="Z180" i="76"/>
  <c r="AA180" i="76"/>
  <c r="AB180" i="76"/>
  <c r="AC180" i="76"/>
  <c r="AF180" i="76"/>
  <c r="AG180" i="76"/>
  <c r="C181" i="76"/>
  <c r="D181" i="76"/>
  <c r="G181" i="76"/>
  <c r="J181" i="76"/>
  <c r="K181" i="76"/>
  <c r="L181" i="76"/>
  <c r="M181" i="76"/>
  <c r="O181" i="76"/>
  <c r="P181" i="76"/>
  <c r="S181" i="76"/>
  <c r="Y181" i="76"/>
  <c r="Z181" i="76"/>
  <c r="AA181" i="76"/>
  <c r="AB181" i="76"/>
  <c r="AC181" i="76"/>
  <c r="AF181" i="76"/>
  <c r="AG181" i="76"/>
  <c r="C182" i="76"/>
  <c r="D182" i="76"/>
  <c r="G182" i="76"/>
  <c r="J182" i="76"/>
  <c r="K182" i="76"/>
  <c r="L182" i="76"/>
  <c r="M182" i="76"/>
  <c r="O182" i="76"/>
  <c r="P182" i="76"/>
  <c r="Q182" i="76"/>
  <c r="S182" i="76"/>
  <c r="Y182" i="76"/>
  <c r="Z182" i="76"/>
  <c r="AA182" i="76"/>
  <c r="AB182" i="76"/>
  <c r="AC182" i="76"/>
  <c r="AF182" i="76"/>
  <c r="AG182" i="76"/>
  <c r="C183" i="76"/>
  <c r="D183" i="76"/>
  <c r="G183" i="76"/>
  <c r="J183" i="76"/>
  <c r="K183" i="76"/>
  <c r="L183" i="76"/>
  <c r="M183" i="76"/>
  <c r="O183" i="76"/>
  <c r="P183" i="76"/>
  <c r="S183" i="76"/>
  <c r="Y183" i="76"/>
  <c r="Z183" i="76"/>
  <c r="AA183" i="76"/>
  <c r="AB183" i="76"/>
  <c r="AC183" i="76"/>
  <c r="AF183" i="76"/>
  <c r="AG183" i="76"/>
  <c r="C184" i="76"/>
  <c r="D184" i="76"/>
  <c r="G184" i="76"/>
  <c r="J184" i="76"/>
  <c r="K184" i="76"/>
  <c r="L184" i="76"/>
  <c r="M184" i="76"/>
  <c r="O184" i="76"/>
  <c r="P184" i="76"/>
  <c r="Q184" i="76"/>
  <c r="S184" i="76"/>
  <c r="Y184" i="76"/>
  <c r="Z184" i="76"/>
  <c r="AA184" i="76"/>
  <c r="AB184" i="76"/>
  <c r="AC184" i="76"/>
  <c r="AF184" i="76"/>
  <c r="AG184" i="76"/>
  <c r="C185" i="76"/>
  <c r="D185" i="76"/>
  <c r="G185" i="76"/>
  <c r="J185" i="76"/>
  <c r="K185" i="76"/>
  <c r="L185" i="76"/>
  <c r="M185" i="76"/>
  <c r="O185" i="76"/>
  <c r="P185" i="76"/>
  <c r="S185" i="76"/>
  <c r="Y185" i="76"/>
  <c r="Z185" i="76"/>
  <c r="AA185" i="76"/>
  <c r="AB185" i="76"/>
  <c r="AC185" i="76"/>
  <c r="AF185" i="76"/>
  <c r="AG185" i="76"/>
  <c r="C186" i="76"/>
  <c r="D186" i="76"/>
  <c r="G186" i="76"/>
  <c r="J186" i="76"/>
  <c r="K186" i="76"/>
  <c r="L186" i="76"/>
  <c r="M186" i="76"/>
  <c r="O186" i="76"/>
  <c r="P186" i="76"/>
  <c r="Q186" i="76"/>
  <c r="S186" i="76"/>
  <c r="Y186" i="76"/>
  <c r="Z186" i="76"/>
  <c r="AA186" i="76"/>
  <c r="AB186" i="76"/>
  <c r="AC186" i="76"/>
  <c r="AF186" i="76"/>
  <c r="AG186" i="76"/>
  <c r="C187" i="76"/>
  <c r="D187" i="76"/>
  <c r="G187" i="76"/>
  <c r="J187" i="76"/>
  <c r="K187" i="76"/>
  <c r="L187" i="76"/>
  <c r="M187" i="76"/>
  <c r="O187" i="76"/>
  <c r="P187" i="76"/>
  <c r="S187" i="76"/>
  <c r="Y187" i="76"/>
  <c r="Z187" i="76"/>
  <c r="AA187" i="76"/>
  <c r="AB187" i="76"/>
  <c r="AC187" i="76"/>
  <c r="AF187" i="76"/>
  <c r="AG187" i="76"/>
  <c r="C188" i="76"/>
  <c r="D188" i="76"/>
  <c r="G188" i="76"/>
  <c r="J188" i="76"/>
  <c r="K188" i="76"/>
  <c r="L188" i="76"/>
  <c r="M188" i="76"/>
  <c r="O188" i="76"/>
  <c r="P188" i="76"/>
  <c r="Q188" i="76"/>
  <c r="R188" i="76"/>
  <c r="S188" i="76"/>
  <c r="Y188" i="76"/>
  <c r="Z188" i="76"/>
  <c r="AA188" i="76"/>
  <c r="AB188" i="76"/>
  <c r="AC188" i="76"/>
  <c r="AF188" i="76"/>
  <c r="AG188" i="76"/>
  <c r="C189" i="76"/>
  <c r="D189" i="76"/>
  <c r="G189" i="76"/>
  <c r="J189" i="76"/>
  <c r="K189" i="76"/>
  <c r="L189" i="76"/>
  <c r="M189" i="76"/>
  <c r="O189" i="76"/>
  <c r="P189" i="76"/>
  <c r="S189" i="76"/>
  <c r="Y189" i="76"/>
  <c r="Z189" i="76"/>
  <c r="AA189" i="76"/>
  <c r="AB189" i="76"/>
  <c r="AC189" i="76"/>
  <c r="AF189" i="76"/>
  <c r="AG189" i="76"/>
  <c r="C190" i="76"/>
  <c r="D190" i="76"/>
  <c r="G190" i="76"/>
  <c r="J190" i="76"/>
  <c r="K190" i="76"/>
  <c r="L190" i="76"/>
  <c r="M190" i="76"/>
  <c r="O190" i="76"/>
  <c r="P190" i="76"/>
  <c r="Q190" i="76"/>
  <c r="S190" i="76"/>
  <c r="Y190" i="76"/>
  <c r="Z190" i="76"/>
  <c r="AA190" i="76"/>
  <c r="AB190" i="76"/>
  <c r="AC190" i="76"/>
  <c r="AF190" i="76"/>
  <c r="AG190" i="76"/>
  <c r="C191" i="76"/>
  <c r="D191" i="76"/>
  <c r="G191" i="76"/>
  <c r="J191" i="76"/>
  <c r="K191" i="76"/>
  <c r="L191" i="76"/>
  <c r="M191" i="76"/>
  <c r="O191" i="76"/>
  <c r="P191" i="76"/>
  <c r="S191" i="76"/>
  <c r="Y191" i="76"/>
  <c r="Z191" i="76"/>
  <c r="AA191" i="76"/>
  <c r="AB191" i="76"/>
  <c r="AC191" i="76"/>
  <c r="AF191" i="76"/>
  <c r="AG191" i="76"/>
  <c r="C192" i="76"/>
  <c r="D192" i="76"/>
  <c r="G192" i="76"/>
  <c r="J192" i="76"/>
  <c r="K192" i="76"/>
  <c r="L192" i="76"/>
  <c r="M192" i="76"/>
  <c r="O192" i="76"/>
  <c r="P192" i="76"/>
  <c r="Q192" i="76"/>
  <c r="S192" i="76"/>
  <c r="Y192" i="76"/>
  <c r="Z192" i="76"/>
  <c r="AA192" i="76"/>
  <c r="AB192" i="76"/>
  <c r="AC192" i="76"/>
  <c r="AF192" i="76"/>
  <c r="AG192" i="76"/>
  <c r="C193" i="76"/>
  <c r="D193" i="76"/>
  <c r="G193" i="76"/>
  <c r="J193" i="76"/>
  <c r="K193" i="76"/>
  <c r="L193" i="76"/>
  <c r="M193" i="76"/>
  <c r="O193" i="76"/>
  <c r="P193" i="76"/>
  <c r="S193" i="76"/>
  <c r="Y193" i="76"/>
  <c r="Z193" i="76"/>
  <c r="AA193" i="76"/>
  <c r="AB193" i="76"/>
  <c r="AC193" i="76"/>
  <c r="AF193" i="76"/>
  <c r="AG193" i="76"/>
  <c r="C194" i="76"/>
  <c r="D194" i="76"/>
  <c r="G194" i="76"/>
  <c r="J194" i="76"/>
  <c r="K194" i="76"/>
  <c r="L194" i="76"/>
  <c r="M194" i="76"/>
  <c r="O194" i="76"/>
  <c r="P194" i="76"/>
  <c r="Q194" i="76"/>
  <c r="S194" i="76"/>
  <c r="Y194" i="76"/>
  <c r="Z194" i="76"/>
  <c r="AA194" i="76"/>
  <c r="AB194" i="76"/>
  <c r="AC194" i="76"/>
  <c r="AF194" i="76"/>
  <c r="AG194" i="76"/>
  <c r="C195" i="76"/>
  <c r="D195" i="76"/>
  <c r="G195" i="76"/>
  <c r="J195" i="76"/>
  <c r="K195" i="76"/>
  <c r="L195" i="76"/>
  <c r="M195" i="76"/>
  <c r="O195" i="76"/>
  <c r="P195" i="76"/>
  <c r="R195" i="76"/>
  <c r="S195" i="76"/>
  <c r="Y195" i="76"/>
  <c r="Z195" i="76"/>
  <c r="AA195" i="76"/>
  <c r="AB195" i="76"/>
  <c r="AC195" i="76"/>
  <c r="AF195" i="76"/>
  <c r="AG195" i="76"/>
  <c r="C196" i="76"/>
  <c r="D196" i="76"/>
  <c r="G196" i="76"/>
  <c r="J196" i="76"/>
  <c r="K196" i="76"/>
  <c r="L196" i="76"/>
  <c r="M196" i="76"/>
  <c r="O196" i="76"/>
  <c r="P196" i="76"/>
  <c r="Q196" i="76"/>
  <c r="R196" i="76"/>
  <c r="S196" i="76"/>
  <c r="Y196" i="76"/>
  <c r="Z196" i="76"/>
  <c r="AA196" i="76"/>
  <c r="AB196" i="76"/>
  <c r="AC196" i="76"/>
  <c r="AF196" i="76"/>
  <c r="AG196" i="76"/>
  <c r="C197" i="76"/>
  <c r="D197" i="76"/>
  <c r="G197" i="76"/>
  <c r="J197" i="76"/>
  <c r="K197" i="76"/>
  <c r="L197" i="76"/>
  <c r="M197" i="76"/>
  <c r="O197" i="76"/>
  <c r="P197" i="76"/>
  <c r="S197" i="76"/>
  <c r="Y197" i="76"/>
  <c r="Z197" i="76"/>
  <c r="AA197" i="76"/>
  <c r="AB197" i="76"/>
  <c r="AC197" i="76"/>
  <c r="AF197" i="76"/>
  <c r="AG197" i="76"/>
  <c r="C198" i="76"/>
  <c r="D198" i="76"/>
  <c r="G198" i="76"/>
  <c r="J198" i="76"/>
  <c r="K198" i="76"/>
  <c r="L198" i="76"/>
  <c r="M198" i="76"/>
  <c r="O198" i="76"/>
  <c r="P198" i="76"/>
  <c r="Q198" i="76"/>
  <c r="S198" i="76"/>
  <c r="Y198" i="76"/>
  <c r="Z198" i="76"/>
  <c r="AA198" i="76"/>
  <c r="AB198" i="76"/>
  <c r="AC198" i="76"/>
  <c r="AF198" i="76"/>
  <c r="AG198" i="76"/>
  <c r="C199" i="76"/>
  <c r="D199" i="76"/>
  <c r="G199" i="76"/>
  <c r="J199" i="76"/>
  <c r="K199" i="76"/>
  <c r="L199" i="76"/>
  <c r="M199" i="76"/>
  <c r="O199" i="76"/>
  <c r="P199" i="76"/>
  <c r="S199" i="76"/>
  <c r="Y199" i="76"/>
  <c r="Z199" i="76"/>
  <c r="AA199" i="76"/>
  <c r="AB199" i="76"/>
  <c r="AC199" i="76"/>
  <c r="AF199" i="76"/>
  <c r="AG199" i="76"/>
  <c r="C200" i="76"/>
  <c r="D200" i="76"/>
  <c r="G200" i="76"/>
  <c r="J200" i="76"/>
  <c r="K200" i="76"/>
  <c r="L200" i="76"/>
  <c r="M200" i="76"/>
  <c r="O200" i="76"/>
  <c r="P200" i="76"/>
  <c r="Q200" i="76"/>
  <c r="S200" i="76"/>
  <c r="Y200" i="76"/>
  <c r="Z200" i="76"/>
  <c r="AA200" i="76"/>
  <c r="AB200" i="76"/>
  <c r="AC200" i="76"/>
  <c r="AF200" i="76"/>
  <c r="AG200" i="76"/>
  <c r="C201" i="76"/>
  <c r="D201" i="76"/>
  <c r="G201" i="76"/>
  <c r="J201" i="76"/>
  <c r="K201" i="76"/>
  <c r="L201" i="76"/>
  <c r="M201" i="76"/>
  <c r="O201" i="76"/>
  <c r="P201" i="76"/>
  <c r="S201" i="76"/>
  <c r="Y201" i="76"/>
  <c r="Z201" i="76"/>
  <c r="AA201" i="76"/>
  <c r="AB201" i="76"/>
  <c r="AC201" i="76"/>
  <c r="AF201" i="76"/>
  <c r="AG201" i="76"/>
  <c r="C202" i="76"/>
  <c r="D202" i="76"/>
  <c r="G202" i="76"/>
  <c r="J202" i="76"/>
  <c r="K202" i="76"/>
  <c r="L202" i="76"/>
  <c r="M202" i="76"/>
  <c r="O202" i="76"/>
  <c r="P202" i="76"/>
  <c r="Q202" i="76"/>
  <c r="S202" i="76"/>
  <c r="Y202" i="76"/>
  <c r="Z202" i="76"/>
  <c r="AA202" i="76"/>
  <c r="AB202" i="76"/>
  <c r="AC202" i="76"/>
  <c r="AF202" i="76"/>
  <c r="AG202" i="76"/>
  <c r="C203" i="76"/>
  <c r="D203" i="76"/>
  <c r="G203" i="76"/>
  <c r="J203" i="76"/>
  <c r="K203" i="76"/>
  <c r="L203" i="76"/>
  <c r="M203" i="76"/>
  <c r="O203" i="76"/>
  <c r="P203" i="76"/>
  <c r="S203" i="76"/>
  <c r="Y203" i="76"/>
  <c r="Z203" i="76"/>
  <c r="AA203" i="76"/>
  <c r="AB203" i="76"/>
  <c r="AC203" i="76"/>
  <c r="AF203" i="76"/>
  <c r="AG203" i="76"/>
  <c r="C204" i="76"/>
  <c r="D204" i="76"/>
  <c r="G204" i="76"/>
  <c r="J204" i="76"/>
  <c r="K204" i="76"/>
  <c r="L204" i="76"/>
  <c r="M204" i="76"/>
  <c r="O204" i="76"/>
  <c r="P204" i="76"/>
  <c r="Q204" i="76"/>
  <c r="S204" i="76"/>
  <c r="Y204" i="76"/>
  <c r="Z204" i="76"/>
  <c r="AA204" i="76"/>
  <c r="AB204" i="76"/>
  <c r="AC204" i="76"/>
  <c r="AF204" i="76"/>
  <c r="AG204" i="76"/>
  <c r="C205" i="76"/>
  <c r="D205" i="76"/>
  <c r="G205" i="76"/>
  <c r="J205" i="76"/>
  <c r="K205" i="76"/>
  <c r="L205" i="76"/>
  <c r="M205" i="76"/>
  <c r="O205" i="76"/>
  <c r="P205" i="76"/>
  <c r="S205" i="76"/>
  <c r="Y205" i="76"/>
  <c r="Z205" i="76"/>
  <c r="AA205" i="76"/>
  <c r="AB205" i="76"/>
  <c r="AC205" i="76"/>
  <c r="AF205" i="76"/>
  <c r="AG205" i="76"/>
  <c r="C206" i="76"/>
  <c r="D206" i="76"/>
  <c r="G206" i="76"/>
  <c r="J206" i="76"/>
  <c r="K206" i="76"/>
  <c r="L206" i="76"/>
  <c r="M206" i="76"/>
  <c r="O206" i="76"/>
  <c r="P206" i="76"/>
  <c r="Q206" i="76"/>
  <c r="S206" i="76"/>
  <c r="Y206" i="76"/>
  <c r="Z206" i="76"/>
  <c r="AA206" i="76"/>
  <c r="AB206" i="76"/>
  <c r="AC206" i="76"/>
  <c r="AF206" i="76"/>
  <c r="AG206" i="76"/>
  <c r="C207" i="76"/>
  <c r="D207" i="76"/>
  <c r="G207" i="76"/>
  <c r="J207" i="76"/>
  <c r="K207" i="76"/>
  <c r="L207" i="76"/>
  <c r="M207" i="76"/>
  <c r="O207" i="76"/>
  <c r="P207" i="76"/>
  <c r="S207" i="76"/>
  <c r="Y207" i="76"/>
  <c r="Z207" i="76"/>
  <c r="AA207" i="76"/>
  <c r="AB207" i="76"/>
  <c r="AC207" i="76"/>
  <c r="AF207" i="76"/>
  <c r="AG207" i="76"/>
  <c r="C208" i="76"/>
  <c r="D208" i="76"/>
  <c r="G208" i="76"/>
  <c r="J208" i="76"/>
  <c r="K208" i="76"/>
  <c r="L208" i="76"/>
  <c r="M208" i="76"/>
  <c r="O208" i="76"/>
  <c r="P208" i="76"/>
  <c r="Q208" i="76"/>
  <c r="S208" i="76"/>
  <c r="Y208" i="76"/>
  <c r="Z208" i="76"/>
  <c r="AA208" i="76"/>
  <c r="AB208" i="76"/>
  <c r="AC208" i="76"/>
  <c r="AF208" i="76"/>
  <c r="AG208" i="76"/>
  <c r="C209" i="76"/>
  <c r="D209" i="76"/>
  <c r="G209" i="76"/>
  <c r="J209" i="76"/>
  <c r="K209" i="76"/>
  <c r="L209" i="76"/>
  <c r="M209" i="76"/>
  <c r="O209" i="76"/>
  <c r="P209" i="76"/>
  <c r="S209" i="76"/>
  <c r="Y209" i="76"/>
  <c r="Z209" i="76"/>
  <c r="AA209" i="76"/>
  <c r="AB209" i="76"/>
  <c r="AC209" i="76"/>
  <c r="AF209" i="76"/>
  <c r="AG209" i="76"/>
  <c r="C210" i="76"/>
  <c r="D210" i="76"/>
  <c r="G210" i="76"/>
  <c r="J210" i="76"/>
  <c r="K210" i="76"/>
  <c r="L210" i="76"/>
  <c r="M210" i="76"/>
  <c r="O210" i="76"/>
  <c r="P210" i="76"/>
  <c r="Q210" i="76"/>
  <c r="S210" i="76"/>
  <c r="Y210" i="76"/>
  <c r="Z210" i="76"/>
  <c r="AA210" i="76"/>
  <c r="AB210" i="76"/>
  <c r="AC210" i="76"/>
  <c r="AF210" i="76"/>
  <c r="AG210" i="76"/>
  <c r="C211" i="76"/>
  <c r="D211" i="76"/>
  <c r="G211" i="76"/>
  <c r="J211" i="76"/>
  <c r="K211" i="76"/>
  <c r="L211" i="76"/>
  <c r="M211" i="76"/>
  <c r="O211" i="76"/>
  <c r="P211" i="76"/>
  <c r="S211" i="76"/>
  <c r="Y211" i="76"/>
  <c r="Z211" i="76"/>
  <c r="AA211" i="76"/>
  <c r="AB211" i="76"/>
  <c r="AC211" i="76"/>
  <c r="AF211" i="76"/>
  <c r="AG211" i="76"/>
  <c r="C212" i="76"/>
  <c r="D212" i="76"/>
  <c r="G212" i="76"/>
  <c r="J212" i="76"/>
  <c r="K212" i="76"/>
  <c r="L212" i="76"/>
  <c r="M212" i="76"/>
  <c r="O212" i="76"/>
  <c r="P212" i="76"/>
  <c r="Q212" i="76"/>
  <c r="S212" i="76"/>
  <c r="Y212" i="76"/>
  <c r="Z212" i="76"/>
  <c r="AA212" i="76"/>
  <c r="AB212" i="76"/>
  <c r="AC212" i="76"/>
  <c r="AF212" i="76"/>
  <c r="AG212" i="76"/>
  <c r="C213" i="76"/>
  <c r="D213" i="76"/>
  <c r="G213" i="76"/>
  <c r="J213" i="76"/>
  <c r="K213" i="76"/>
  <c r="L213" i="76"/>
  <c r="M213" i="76"/>
  <c r="O213" i="76"/>
  <c r="P213" i="76"/>
  <c r="S213" i="76"/>
  <c r="Y213" i="76"/>
  <c r="Z213" i="76"/>
  <c r="AA213" i="76"/>
  <c r="AB213" i="76"/>
  <c r="AC213" i="76"/>
  <c r="AF213" i="76"/>
  <c r="AG213" i="76"/>
  <c r="C214" i="76"/>
  <c r="D214" i="76"/>
  <c r="G214" i="76"/>
  <c r="J214" i="76"/>
  <c r="K214" i="76"/>
  <c r="L214" i="76"/>
  <c r="M214" i="76"/>
  <c r="O214" i="76"/>
  <c r="P214" i="76"/>
  <c r="Q214" i="76"/>
  <c r="S214" i="76"/>
  <c r="Y214" i="76"/>
  <c r="Z214" i="76"/>
  <c r="AA214" i="76"/>
  <c r="AB214" i="76"/>
  <c r="AC214" i="76"/>
  <c r="AF214" i="76"/>
  <c r="AG214" i="76"/>
  <c r="C215" i="76"/>
  <c r="D215" i="76"/>
  <c r="G215" i="76"/>
  <c r="J215" i="76"/>
  <c r="K215" i="76"/>
  <c r="L215" i="76"/>
  <c r="M215" i="76"/>
  <c r="O215" i="76"/>
  <c r="P215" i="76"/>
  <c r="S215" i="76"/>
  <c r="Y215" i="76"/>
  <c r="Z215" i="76"/>
  <c r="AA215" i="76"/>
  <c r="AB215" i="76"/>
  <c r="AC215" i="76"/>
  <c r="AF215" i="76"/>
  <c r="AG215" i="76"/>
  <c r="C216" i="76"/>
  <c r="D216" i="76"/>
  <c r="G216" i="76"/>
  <c r="J216" i="76"/>
  <c r="K216" i="76"/>
  <c r="L216" i="76"/>
  <c r="M216" i="76"/>
  <c r="O216" i="76"/>
  <c r="P216" i="76"/>
  <c r="Q216" i="76"/>
  <c r="S216" i="76"/>
  <c r="Y216" i="76"/>
  <c r="Z216" i="76"/>
  <c r="AA216" i="76"/>
  <c r="AB216" i="76"/>
  <c r="AC216" i="76"/>
  <c r="AF216" i="76"/>
  <c r="AG216" i="76"/>
  <c r="C217" i="76"/>
  <c r="D217" i="76"/>
  <c r="G217" i="76"/>
  <c r="J217" i="76"/>
  <c r="K217" i="76"/>
  <c r="L217" i="76"/>
  <c r="M217" i="76"/>
  <c r="O217" i="76"/>
  <c r="P217" i="76"/>
  <c r="S217" i="76"/>
  <c r="Y217" i="76"/>
  <c r="Z217" i="76"/>
  <c r="AA217" i="76"/>
  <c r="AB217" i="76"/>
  <c r="AC217" i="76"/>
  <c r="AF217" i="76"/>
  <c r="AG217" i="76"/>
  <c r="C218" i="76"/>
  <c r="D218" i="76"/>
  <c r="G218" i="76"/>
  <c r="J218" i="76"/>
  <c r="K218" i="76"/>
  <c r="L218" i="76"/>
  <c r="M218" i="76"/>
  <c r="O218" i="76"/>
  <c r="P218" i="76"/>
  <c r="Q218" i="76"/>
  <c r="S218" i="76"/>
  <c r="Y218" i="76"/>
  <c r="Z218" i="76"/>
  <c r="AA218" i="76"/>
  <c r="AB218" i="76"/>
  <c r="AC218" i="76"/>
  <c r="AF218" i="76"/>
  <c r="AG218" i="76"/>
  <c r="C219" i="76"/>
  <c r="D219" i="76"/>
  <c r="G219" i="76"/>
  <c r="J219" i="76"/>
  <c r="K219" i="76"/>
  <c r="L219" i="76"/>
  <c r="M219" i="76"/>
  <c r="O219" i="76"/>
  <c r="P219" i="76"/>
  <c r="S219" i="76"/>
  <c r="Y219" i="76"/>
  <c r="Z219" i="76"/>
  <c r="AA219" i="76"/>
  <c r="AB219" i="76"/>
  <c r="AC219" i="76"/>
  <c r="AF219" i="76"/>
  <c r="AG219" i="76"/>
  <c r="C220" i="76"/>
  <c r="D220" i="76"/>
  <c r="G220" i="76"/>
  <c r="J220" i="76"/>
  <c r="K220" i="76"/>
  <c r="L220" i="76"/>
  <c r="M220" i="76"/>
  <c r="O220" i="76"/>
  <c r="P220" i="76"/>
  <c r="Q220" i="76"/>
  <c r="S220" i="76"/>
  <c r="Y220" i="76"/>
  <c r="Z220" i="76"/>
  <c r="AA220" i="76"/>
  <c r="AB220" i="76"/>
  <c r="AC220" i="76"/>
  <c r="AF220" i="76"/>
  <c r="AG220" i="76"/>
  <c r="C221" i="76"/>
  <c r="D221" i="76"/>
  <c r="G221" i="76"/>
  <c r="J221" i="76"/>
  <c r="K221" i="76"/>
  <c r="L221" i="76"/>
  <c r="M221" i="76"/>
  <c r="O221" i="76"/>
  <c r="P221" i="76"/>
  <c r="S221" i="76"/>
  <c r="Y221" i="76"/>
  <c r="Z221" i="76"/>
  <c r="AA221" i="76"/>
  <c r="AB221" i="76"/>
  <c r="AC221" i="76"/>
  <c r="AF221" i="76"/>
  <c r="AG221" i="76"/>
  <c r="C222" i="76"/>
  <c r="D222" i="76"/>
  <c r="G222" i="76"/>
  <c r="J222" i="76"/>
  <c r="K222" i="76"/>
  <c r="L222" i="76"/>
  <c r="M222" i="76"/>
  <c r="O222" i="76"/>
  <c r="P222" i="76"/>
  <c r="Q222" i="76"/>
  <c r="S222" i="76"/>
  <c r="Y222" i="76"/>
  <c r="Z222" i="76"/>
  <c r="AA222" i="76"/>
  <c r="AB222" i="76"/>
  <c r="AC222" i="76"/>
  <c r="AF222" i="76"/>
  <c r="AG222" i="76"/>
  <c r="C223" i="76"/>
  <c r="D223" i="76"/>
  <c r="G223" i="76"/>
  <c r="J223" i="76"/>
  <c r="K223" i="76"/>
  <c r="L223" i="76"/>
  <c r="M223" i="76"/>
  <c r="O223" i="76"/>
  <c r="P223" i="76"/>
  <c r="S223" i="76"/>
  <c r="Y223" i="76"/>
  <c r="Z223" i="76"/>
  <c r="AA223" i="76"/>
  <c r="AB223" i="76"/>
  <c r="AC223" i="76"/>
  <c r="AF223" i="76"/>
  <c r="AG223" i="76"/>
  <c r="C224" i="76"/>
  <c r="D224" i="76"/>
  <c r="G224" i="76"/>
  <c r="J224" i="76"/>
  <c r="K224" i="76"/>
  <c r="L224" i="76"/>
  <c r="M224" i="76"/>
  <c r="O224" i="76"/>
  <c r="P224" i="76"/>
  <c r="Q224" i="76"/>
  <c r="S224" i="76"/>
  <c r="Y224" i="76"/>
  <c r="Z224" i="76"/>
  <c r="AA224" i="76"/>
  <c r="AB224" i="76"/>
  <c r="AC224" i="76"/>
  <c r="AF224" i="76"/>
  <c r="AG224" i="76"/>
  <c r="C225" i="76"/>
  <c r="D225" i="76"/>
  <c r="G225" i="76"/>
  <c r="J225" i="76"/>
  <c r="K225" i="76"/>
  <c r="L225" i="76"/>
  <c r="M225" i="76"/>
  <c r="O225" i="76"/>
  <c r="P225" i="76"/>
  <c r="S225" i="76"/>
  <c r="Y225" i="76"/>
  <c r="Z225" i="76"/>
  <c r="AA225" i="76"/>
  <c r="AB225" i="76"/>
  <c r="AC225" i="76"/>
  <c r="AF225" i="76"/>
  <c r="AG225" i="76"/>
  <c r="C226" i="76"/>
  <c r="D226" i="76"/>
  <c r="G226" i="76"/>
  <c r="J226" i="76"/>
  <c r="K226" i="76"/>
  <c r="L226" i="76"/>
  <c r="M226" i="76"/>
  <c r="O226" i="76"/>
  <c r="P226" i="76"/>
  <c r="Q226" i="76"/>
  <c r="S226" i="76"/>
  <c r="Y226" i="76"/>
  <c r="Z226" i="76"/>
  <c r="AA226" i="76"/>
  <c r="AB226" i="76"/>
  <c r="AC226" i="76"/>
  <c r="AF226" i="76"/>
  <c r="AG226" i="76"/>
  <c r="C227" i="76"/>
  <c r="D227" i="76"/>
  <c r="G227" i="76"/>
  <c r="J227" i="76"/>
  <c r="K227" i="76"/>
  <c r="L227" i="76"/>
  <c r="M227" i="76"/>
  <c r="O227" i="76"/>
  <c r="P227" i="76"/>
  <c r="S227" i="76"/>
  <c r="Y227" i="76"/>
  <c r="Z227" i="76"/>
  <c r="AA227" i="76"/>
  <c r="AB227" i="76"/>
  <c r="AC227" i="76"/>
  <c r="AF227" i="76"/>
  <c r="AG227" i="76"/>
  <c r="C228" i="76"/>
  <c r="D228" i="76"/>
  <c r="G228" i="76"/>
  <c r="J228" i="76"/>
  <c r="K228" i="76"/>
  <c r="L228" i="76"/>
  <c r="M228" i="76"/>
  <c r="O228" i="76"/>
  <c r="P228" i="76"/>
  <c r="Q228" i="76"/>
  <c r="S228" i="76"/>
  <c r="Y228" i="76"/>
  <c r="Z228" i="76"/>
  <c r="AA228" i="76"/>
  <c r="AB228" i="76"/>
  <c r="AC228" i="76"/>
  <c r="AF228" i="76"/>
  <c r="AG228" i="76"/>
  <c r="C229" i="76"/>
  <c r="D229" i="76"/>
  <c r="G229" i="76"/>
  <c r="J229" i="76"/>
  <c r="K229" i="76"/>
  <c r="L229" i="76"/>
  <c r="M229" i="76"/>
  <c r="O229" i="76"/>
  <c r="P229" i="76"/>
  <c r="S229" i="76"/>
  <c r="Y229" i="76"/>
  <c r="Z229" i="76"/>
  <c r="AA229" i="76"/>
  <c r="AB229" i="76"/>
  <c r="AC229" i="76"/>
  <c r="AF229" i="76"/>
  <c r="AG229" i="76"/>
  <c r="C230" i="76"/>
  <c r="D230" i="76"/>
  <c r="G230" i="76"/>
  <c r="J230" i="76"/>
  <c r="K230" i="76"/>
  <c r="L230" i="76"/>
  <c r="M230" i="76"/>
  <c r="O230" i="76"/>
  <c r="P230" i="76"/>
  <c r="Q230" i="76"/>
  <c r="S230" i="76"/>
  <c r="Y230" i="76"/>
  <c r="Z230" i="76"/>
  <c r="AA230" i="76"/>
  <c r="AB230" i="76"/>
  <c r="AC230" i="76"/>
  <c r="AF230" i="76"/>
  <c r="AG230" i="76"/>
  <c r="C232" i="76"/>
  <c r="D232" i="76"/>
  <c r="G232" i="76"/>
  <c r="J232" i="76"/>
  <c r="K232" i="76"/>
  <c r="L232" i="76"/>
  <c r="M232" i="76"/>
  <c r="O232" i="76"/>
  <c r="P232" i="76"/>
  <c r="S232" i="76"/>
  <c r="Y232" i="76"/>
  <c r="Z232" i="76"/>
  <c r="AA232" i="76"/>
  <c r="AB232" i="76"/>
  <c r="AC232" i="76"/>
  <c r="AF232" i="76"/>
  <c r="AG232" i="76"/>
  <c r="C233" i="76"/>
  <c r="D233" i="76"/>
  <c r="G233" i="76"/>
  <c r="J233" i="76"/>
  <c r="K233" i="76"/>
  <c r="L233" i="76"/>
  <c r="M233" i="76"/>
  <c r="O233" i="76"/>
  <c r="P233" i="76"/>
  <c r="S233" i="76"/>
  <c r="Y233" i="76"/>
  <c r="Z233" i="76"/>
  <c r="AA233" i="76"/>
  <c r="AB233" i="76"/>
  <c r="AC233" i="76"/>
  <c r="AF233" i="76"/>
  <c r="AG233" i="76"/>
  <c r="C234" i="76"/>
  <c r="D234" i="76"/>
  <c r="G234" i="76"/>
  <c r="J234" i="76"/>
  <c r="K234" i="76"/>
  <c r="L234" i="76"/>
  <c r="M234" i="76"/>
  <c r="O234" i="76"/>
  <c r="S234" i="76"/>
  <c r="Y234" i="76"/>
  <c r="Z234" i="76"/>
  <c r="AA234" i="76"/>
  <c r="AB234" i="76"/>
  <c r="AC234" i="76"/>
  <c r="AF234" i="76"/>
  <c r="AG234" i="76"/>
  <c r="C235" i="76"/>
  <c r="D235" i="76"/>
  <c r="G235" i="76"/>
  <c r="J235" i="76"/>
  <c r="K235" i="76"/>
  <c r="L235" i="76"/>
  <c r="M235" i="76"/>
  <c r="O235" i="76"/>
  <c r="P235" i="76"/>
  <c r="S235" i="76"/>
  <c r="Y235" i="76"/>
  <c r="Z235" i="76"/>
  <c r="AA235" i="76"/>
  <c r="AB235" i="76"/>
  <c r="AC235" i="76"/>
  <c r="AF235" i="76"/>
  <c r="AG235" i="76"/>
  <c r="C236" i="76"/>
  <c r="D236" i="76"/>
  <c r="G236" i="76"/>
  <c r="J236" i="76"/>
  <c r="K236" i="76"/>
  <c r="L236" i="76"/>
  <c r="M236" i="76"/>
  <c r="O236" i="76"/>
  <c r="S236" i="76"/>
  <c r="Y236" i="76"/>
  <c r="Z236" i="76"/>
  <c r="AA236" i="76"/>
  <c r="AB236" i="76"/>
  <c r="AC236" i="76"/>
  <c r="AF236" i="76"/>
  <c r="AG236" i="76"/>
  <c r="C238" i="76"/>
  <c r="D238" i="76"/>
  <c r="G238" i="76"/>
  <c r="J238" i="76"/>
  <c r="K238" i="76"/>
  <c r="L238" i="76"/>
  <c r="M238" i="76"/>
  <c r="Q238" i="76"/>
  <c r="R238" i="76"/>
  <c r="S238" i="76"/>
  <c r="Y238" i="76"/>
  <c r="Z238" i="76"/>
  <c r="AA238" i="76"/>
  <c r="AB238" i="76"/>
  <c r="AC238" i="76"/>
  <c r="AF238" i="76"/>
  <c r="AG238" i="76"/>
  <c r="C239" i="76"/>
  <c r="D239" i="76"/>
  <c r="G239" i="76"/>
  <c r="J239" i="76"/>
  <c r="K239" i="76"/>
  <c r="L239" i="76"/>
  <c r="M239" i="76"/>
  <c r="O239" i="76"/>
  <c r="P239" i="76"/>
  <c r="R239" i="76"/>
  <c r="S239" i="76"/>
  <c r="Y239" i="76"/>
  <c r="Z239" i="76"/>
  <c r="AA239" i="76"/>
  <c r="AB239" i="76"/>
  <c r="AC239" i="76"/>
  <c r="AF239" i="76"/>
  <c r="AG239" i="76"/>
  <c r="C240" i="76"/>
  <c r="D240" i="76"/>
  <c r="G240" i="76"/>
  <c r="J240" i="76"/>
  <c r="K240" i="76"/>
  <c r="L240" i="76"/>
  <c r="M240" i="76"/>
  <c r="O240" i="76"/>
  <c r="P240" i="76"/>
  <c r="Q240" i="76"/>
  <c r="R240" i="76"/>
  <c r="S240" i="76"/>
  <c r="Y240" i="76"/>
  <c r="Z240" i="76"/>
  <c r="AA240" i="76"/>
  <c r="AB240" i="76"/>
  <c r="AC240" i="76"/>
  <c r="AF240" i="76"/>
  <c r="AG240" i="76"/>
  <c r="C241" i="76"/>
  <c r="D241" i="76"/>
  <c r="G241" i="76"/>
  <c r="J241" i="76"/>
  <c r="K241" i="76"/>
  <c r="L241" i="76"/>
  <c r="M241" i="76"/>
  <c r="O241" i="76"/>
  <c r="P241" i="76"/>
  <c r="S241" i="76"/>
  <c r="Y241" i="76"/>
  <c r="Z241" i="76"/>
  <c r="AA241" i="76"/>
  <c r="AB241" i="76"/>
  <c r="AC241" i="76"/>
  <c r="AF241" i="76"/>
  <c r="AG241" i="76"/>
  <c r="C242" i="76"/>
  <c r="D242" i="76"/>
  <c r="G242" i="76"/>
  <c r="J242" i="76"/>
  <c r="K242" i="76"/>
  <c r="L242" i="76"/>
  <c r="M242" i="76"/>
  <c r="O242" i="76"/>
  <c r="P242" i="76"/>
  <c r="Q242" i="76"/>
  <c r="R242" i="76"/>
  <c r="S242" i="76"/>
  <c r="Y242" i="76"/>
  <c r="Z242" i="76"/>
  <c r="AA242" i="76"/>
  <c r="AB242" i="76"/>
  <c r="AC242" i="76"/>
  <c r="AF242" i="76"/>
  <c r="AG242" i="76"/>
  <c r="C243" i="76"/>
  <c r="D243" i="76"/>
  <c r="G243" i="76"/>
  <c r="J243" i="76"/>
  <c r="K243" i="76"/>
  <c r="L243" i="76"/>
  <c r="M243" i="76"/>
  <c r="O243" i="76"/>
  <c r="P243" i="76"/>
  <c r="S243" i="76"/>
  <c r="Y243" i="76"/>
  <c r="Z243" i="76"/>
  <c r="AA243" i="76"/>
  <c r="AB243" i="76"/>
  <c r="AC243" i="76"/>
  <c r="AF243" i="76"/>
  <c r="AG243" i="76"/>
  <c r="C244" i="76"/>
  <c r="D244" i="76"/>
  <c r="G244" i="76"/>
  <c r="J244" i="76"/>
  <c r="K244" i="76"/>
  <c r="L244" i="76"/>
  <c r="M244" i="76"/>
  <c r="O244" i="76"/>
  <c r="P244" i="76"/>
  <c r="Q244" i="76"/>
  <c r="R244" i="76"/>
  <c r="S244" i="76"/>
  <c r="Y244" i="76"/>
  <c r="Z244" i="76"/>
  <c r="AA244" i="76"/>
  <c r="AB244" i="76"/>
  <c r="AC244" i="76"/>
  <c r="AF244" i="76"/>
  <c r="AG244" i="76"/>
  <c r="C245" i="76"/>
  <c r="D245" i="76"/>
  <c r="G245" i="76"/>
  <c r="J245" i="76"/>
  <c r="K245" i="76"/>
  <c r="L245" i="76"/>
  <c r="M245" i="76"/>
  <c r="O245" i="76"/>
  <c r="P245" i="76"/>
  <c r="Q245" i="76"/>
  <c r="S245" i="76"/>
  <c r="Y245" i="76"/>
  <c r="Z245" i="76"/>
  <c r="AA245" i="76"/>
  <c r="AB245" i="76"/>
  <c r="AC245" i="76"/>
  <c r="AF245" i="76"/>
  <c r="AG245" i="76"/>
  <c r="C246" i="76"/>
  <c r="D246" i="76"/>
  <c r="G246" i="76"/>
  <c r="J246" i="76"/>
  <c r="K246" i="76"/>
  <c r="L246" i="76"/>
  <c r="M246" i="76"/>
  <c r="O246" i="76"/>
  <c r="P246" i="76"/>
  <c r="Q246" i="76"/>
  <c r="R246" i="76"/>
  <c r="S246" i="76"/>
  <c r="Y246" i="76"/>
  <c r="Z246" i="76"/>
  <c r="AA246" i="76"/>
  <c r="AB246" i="76"/>
  <c r="AC246" i="76"/>
  <c r="AF246" i="76"/>
  <c r="AG246" i="76"/>
  <c r="C247" i="76"/>
  <c r="D247" i="76"/>
  <c r="G247" i="76"/>
  <c r="J247" i="76"/>
  <c r="K247" i="76"/>
  <c r="L247" i="76"/>
  <c r="M247" i="76"/>
  <c r="O247" i="76"/>
  <c r="P247" i="76"/>
  <c r="S247" i="76"/>
  <c r="Y247" i="76"/>
  <c r="Z247" i="76"/>
  <c r="AA247" i="76"/>
  <c r="AB247" i="76"/>
  <c r="AC247" i="76"/>
  <c r="AF247" i="76"/>
  <c r="AG247" i="76"/>
  <c r="C248" i="76"/>
  <c r="D248" i="76"/>
  <c r="G248" i="76"/>
  <c r="J248" i="76"/>
  <c r="K248" i="76"/>
  <c r="L248" i="76"/>
  <c r="M248" i="76"/>
  <c r="O248" i="76"/>
  <c r="P248" i="76"/>
  <c r="Q248" i="76"/>
  <c r="R248" i="76"/>
  <c r="S248" i="76"/>
  <c r="Y248" i="76"/>
  <c r="Z248" i="76"/>
  <c r="AA248" i="76"/>
  <c r="AB248" i="76"/>
  <c r="AC248" i="76"/>
  <c r="AF248" i="76"/>
  <c r="AG248" i="76"/>
  <c r="C249" i="76"/>
  <c r="D249" i="76"/>
  <c r="G249" i="76"/>
  <c r="J249" i="76"/>
  <c r="K249" i="76"/>
  <c r="L249" i="76"/>
  <c r="M249" i="76"/>
  <c r="O249" i="76"/>
  <c r="P249" i="76"/>
  <c r="S249" i="76"/>
  <c r="Y249" i="76"/>
  <c r="Z249" i="76"/>
  <c r="AA249" i="76"/>
  <c r="AB249" i="76"/>
  <c r="AC249" i="76"/>
  <c r="AF249" i="76"/>
  <c r="AG249" i="76"/>
  <c r="C250" i="76"/>
  <c r="D250" i="76"/>
  <c r="G250" i="76"/>
  <c r="J250" i="76"/>
  <c r="K250" i="76"/>
  <c r="L250" i="76"/>
  <c r="M250" i="76"/>
  <c r="O250" i="76"/>
  <c r="P250" i="76"/>
  <c r="Q250" i="76"/>
  <c r="R250" i="76"/>
  <c r="S250" i="76"/>
  <c r="Y250" i="76"/>
  <c r="Z250" i="76"/>
  <c r="AA250" i="76"/>
  <c r="AB250" i="76"/>
  <c r="AC250" i="76"/>
  <c r="AF250" i="76"/>
  <c r="AG250" i="76"/>
  <c r="C251" i="76"/>
  <c r="D251" i="76"/>
  <c r="G251" i="76"/>
  <c r="J251" i="76"/>
  <c r="K251" i="76"/>
  <c r="L251" i="76"/>
  <c r="M251" i="76"/>
  <c r="O251" i="76"/>
  <c r="P251" i="76"/>
  <c r="S251" i="76"/>
  <c r="Y251" i="76"/>
  <c r="Z251" i="76"/>
  <c r="AA251" i="76"/>
  <c r="AB251" i="76"/>
  <c r="AC251" i="76"/>
  <c r="AF251" i="76"/>
  <c r="AG251" i="76"/>
  <c r="C252" i="76"/>
  <c r="D252" i="76"/>
  <c r="G252" i="76"/>
  <c r="J252" i="76"/>
  <c r="K252" i="76"/>
  <c r="L252" i="76"/>
  <c r="M252" i="76"/>
  <c r="O252" i="76"/>
  <c r="Q252" i="76"/>
  <c r="R252" i="76"/>
  <c r="S252" i="76"/>
  <c r="Y252" i="76"/>
  <c r="Z252" i="76"/>
  <c r="AA252" i="76"/>
  <c r="AB252" i="76"/>
  <c r="AC252" i="76"/>
  <c r="AF252" i="76"/>
  <c r="AG252" i="76"/>
  <c r="C253" i="76"/>
  <c r="D253" i="76"/>
  <c r="G253" i="76"/>
  <c r="J253" i="76"/>
  <c r="K253" i="76"/>
  <c r="L253" i="76"/>
  <c r="M253" i="76"/>
  <c r="O253" i="76"/>
  <c r="P253" i="76"/>
  <c r="Q253" i="76"/>
  <c r="S253" i="76"/>
  <c r="Y253" i="76"/>
  <c r="Z253" i="76"/>
  <c r="AA253" i="76"/>
  <c r="AB253" i="76"/>
  <c r="AC253" i="76"/>
  <c r="AF253" i="76"/>
  <c r="AG253" i="76"/>
  <c r="C254" i="76"/>
  <c r="D254" i="76"/>
  <c r="G254" i="76"/>
  <c r="J254" i="76"/>
  <c r="K254" i="76"/>
  <c r="L254" i="76"/>
  <c r="M254" i="76"/>
  <c r="O254" i="76"/>
  <c r="Q254" i="76"/>
  <c r="R254" i="76"/>
  <c r="S254" i="76"/>
  <c r="Y254" i="76"/>
  <c r="Z254" i="76"/>
  <c r="AA254" i="76"/>
  <c r="AB254" i="76"/>
  <c r="AC254" i="76"/>
  <c r="AF254" i="76"/>
  <c r="AG254" i="76"/>
  <c r="C255" i="76"/>
  <c r="D255" i="76"/>
  <c r="G255" i="76"/>
  <c r="J255" i="76"/>
  <c r="K255" i="76"/>
  <c r="L255" i="76"/>
  <c r="M255" i="76"/>
  <c r="O255" i="76"/>
  <c r="P255" i="76"/>
  <c r="S255" i="76"/>
  <c r="Y255" i="76"/>
  <c r="Z255" i="76"/>
  <c r="AA255" i="76"/>
  <c r="AB255" i="76"/>
  <c r="AC255" i="76"/>
  <c r="AF255" i="76"/>
  <c r="AG255" i="76"/>
  <c r="C256" i="76"/>
  <c r="D256" i="76"/>
  <c r="G256" i="76"/>
  <c r="J256" i="76"/>
  <c r="K256" i="76"/>
  <c r="L256" i="76"/>
  <c r="M256" i="76"/>
  <c r="O256" i="76"/>
  <c r="Q256" i="76"/>
  <c r="R256" i="76"/>
  <c r="S256" i="76"/>
  <c r="Y256" i="76"/>
  <c r="Z256" i="76"/>
  <c r="AA256" i="76"/>
  <c r="AB256" i="76"/>
  <c r="AC256" i="76"/>
  <c r="AF256" i="76"/>
  <c r="AG256" i="76"/>
  <c r="C257" i="76"/>
  <c r="D257" i="76"/>
  <c r="G257" i="76"/>
  <c r="J257" i="76"/>
  <c r="K257" i="76"/>
  <c r="L257" i="76"/>
  <c r="M257" i="76"/>
  <c r="O257" i="76"/>
  <c r="P257" i="76"/>
  <c r="S257" i="76"/>
  <c r="Y257" i="76"/>
  <c r="Z257" i="76"/>
  <c r="AA257" i="76"/>
  <c r="AB257" i="76"/>
  <c r="AC257" i="76"/>
  <c r="AF257" i="76"/>
  <c r="AG257" i="76"/>
  <c r="C258" i="76"/>
  <c r="D258" i="76"/>
  <c r="G258" i="76"/>
  <c r="J258" i="76"/>
  <c r="K258" i="76"/>
  <c r="L258" i="76"/>
  <c r="M258" i="76"/>
  <c r="O258" i="76"/>
  <c r="Q258" i="76"/>
  <c r="R258" i="76"/>
  <c r="S258" i="76"/>
  <c r="Y258" i="76"/>
  <c r="Z258" i="76"/>
  <c r="AA258" i="76"/>
  <c r="AB258" i="76"/>
  <c r="AC258" i="76"/>
  <c r="AF258" i="76"/>
  <c r="AG258" i="76"/>
  <c r="C259" i="76"/>
  <c r="D259" i="76"/>
  <c r="G259" i="76"/>
  <c r="J259" i="76"/>
  <c r="K259" i="76"/>
  <c r="L259" i="76"/>
  <c r="M259" i="76"/>
  <c r="O259" i="76"/>
  <c r="P259" i="76"/>
  <c r="S259" i="76"/>
  <c r="Y259" i="76"/>
  <c r="Z259" i="76"/>
  <c r="AA259" i="76"/>
  <c r="AB259" i="76"/>
  <c r="AC259" i="76"/>
  <c r="AF259" i="76"/>
  <c r="AG259" i="76"/>
  <c r="C260" i="76"/>
  <c r="D260" i="76"/>
  <c r="G260" i="76"/>
  <c r="J260" i="76"/>
  <c r="K260" i="76"/>
  <c r="L260" i="76"/>
  <c r="M260" i="76"/>
  <c r="O260" i="76"/>
  <c r="Q260" i="76"/>
  <c r="R260" i="76"/>
  <c r="S260" i="76"/>
  <c r="Y260" i="76"/>
  <c r="Z260" i="76"/>
  <c r="AA260" i="76"/>
  <c r="AB260" i="76"/>
  <c r="AC260" i="76"/>
  <c r="AF260" i="76"/>
  <c r="AG260" i="76"/>
  <c r="C261" i="76"/>
  <c r="D261" i="76"/>
  <c r="G261" i="76"/>
  <c r="J261" i="76"/>
  <c r="K261" i="76"/>
  <c r="L261" i="76"/>
  <c r="M261" i="76"/>
  <c r="O261" i="76"/>
  <c r="P261" i="76"/>
  <c r="Q261" i="76"/>
  <c r="S261" i="76"/>
  <c r="Y261" i="76"/>
  <c r="Z261" i="76"/>
  <c r="AA261" i="76"/>
  <c r="AB261" i="76"/>
  <c r="AC261" i="76"/>
  <c r="AF261" i="76"/>
  <c r="AG261" i="76"/>
  <c r="C262" i="76"/>
  <c r="D262" i="76"/>
  <c r="G262" i="76"/>
  <c r="J262" i="76"/>
  <c r="K262" i="76"/>
  <c r="L262" i="76"/>
  <c r="M262" i="76"/>
  <c r="O262" i="76"/>
  <c r="Q262" i="76"/>
  <c r="R262" i="76"/>
  <c r="S262" i="76"/>
  <c r="Y262" i="76"/>
  <c r="Z262" i="76"/>
  <c r="AA262" i="76"/>
  <c r="AB262" i="76"/>
  <c r="AC262" i="76"/>
  <c r="AF262" i="76"/>
  <c r="AG262" i="76"/>
  <c r="C263" i="76"/>
  <c r="D263" i="76"/>
  <c r="G263" i="76"/>
  <c r="J263" i="76"/>
  <c r="K263" i="76"/>
  <c r="L263" i="76"/>
  <c r="M263" i="76"/>
  <c r="O263" i="76"/>
  <c r="P263" i="76"/>
  <c r="S263" i="76"/>
  <c r="Y263" i="76"/>
  <c r="Z263" i="76"/>
  <c r="AA263" i="76"/>
  <c r="AB263" i="76"/>
  <c r="AC263" i="76"/>
  <c r="AF263" i="76"/>
  <c r="AG263" i="76"/>
  <c r="C264" i="76"/>
  <c r="D264" i="76"/>
  <c r="G264" i="76"/>
  <c r="J264" i="76"/>
  <c r="K264" i="76"/>
  <c r="L264" i="76"/>
  <c r="M264" i="76"/>
  <c r="O264" i="76"/>
  <c r="Q264" i="76"/>
  <c r="R264" i="76"/>
  <c r="S264" i="76"/>
  <c r="Y264" i="76"/>
  <c r="Z264" i="76"/>
  <c r="AA264" i="76"/>
  <c r="AB264" i="76"/>
  <c r="AC264" i="76"/>
  <c r="AF264" i="76"/>
  <c r="AG264" i="76"/>
  <c r="C265" i="76"/>
  <c r="D265" i="76"/>
  <c r="G265" i="76"/>
  <c r="J265" i="76"/>
  <c r="K265" i="76"/>
  <c r="L265" i="76"/>
  <c r="M265" i="76"/>
  <c r="O265" i="76"/>
  <c r="P265" i="76"/>
  <c r="S265" i="76"/>
  <c r="Y265" i="76"/>
  <c r="Z265" i="76"/>
  <c r="AA265" i="76"/>
  <c r="AB265" i="76"/>
  <c r="AC265" i="76"/>
  <c r="AF265" i="76"/>
  <c r="AG265" i="76"/>
  <c r="C266" i="76"/>
  <c r="D266" i="76"/>
  <c r="G266" i="76"/>
  <c r="J266" i="76"/>
  <c r="K266" i="76"/>
  <c r="L266" i="76"/>
  <c r="M266" i="76"/>
  <c r="O266" i="76"/>
  <c r="Q266" i="76"/>
  <c r="R266" i="76"/>
  <c r="S266" i="76"/>
  <c r="Y266" i="76"/>
  <c r="Z266" i="76"/>
  <c r="AA266" i="76"/>
  <c r="AB266" i="76"/>
  <c r="AC266" i="76"/>
  <c r="AF266" i="76"/>
  <c r="AG266" i="76"/>
  <c r="C267" i="76"/>
  <c r="D267" i="76"/>
  <c r="G267" i="76"/>
  <c r="J267" i="76"/>
  <c r="K267" i="76"/>
  <c r="L267" i="76"/>
  <c r="M267" i="76"/>
  <c r="O267" i="76"/>
  <c r="P267" i="76"/>
  <c r="S267" i="76"/>
  <c r="Y267" i="76"/>
  <c r="Z267" i="76"/>
  <c r="AA267" i="76"/>
  <c r="AB267" i="76"/>
  <c r="AC267" i="76"/>
  <c r="AF267" i="76"/>
  <c r="AG267" i="76"/>
  <c r="C268" i="76"/>
  <c r="D268" i="76"/>
  <c r="G268" i="76"/>
  <c r="J268" i="76"/>
  <c r="K268" i="76"/>
  <c r="L268" i="76"/>
  <c r="M268" i="76"/>
  <c r="O268" i="76"/>
  <c r="Q268" i="76"/>
  <c r="R268" i="76"/>
  <c r="S268" i="76"/>
  <c r="Y268" i="76"/>
  <c r="Z268" i="76"/>
  <c r="AA268" i="76"/>
  <c r="AB268" i="76"/>
  <c r="AC268" i="76"/>
  <c r="AF268" i="76"/>
  <c r="AG268" i="76"/>
  <c r="C269" i="76"/>
  <c r="D269" i="76"/>
  <c r="G269" i="76"/>
  <c r="J269" i="76"/>
  <c r="K269" i="76"/>
  <c r="L269" i="76"/>
  <c r="M269" i="76"/>
  <c r="O269" i="76"/>
  <c r="P269" i="76"/>
  <c r="Q269" i="76"/>
  <c r="S269" i="76"/>
  <c r="Y269" i="76"/>
  <c r="Z269" i="76"/>
  <c r="AA269" i="76"/>
  <c r="AB269" i="76"/>
  <c r="AC269" i="76"/>
  <c r="AF269" i="76"/>
  <c r="AG269" i="76"/>
  <c r="C270" i="76"/>
  <c r="D270" i="76"/>
  <c r="G270" i="76"/>
  <c r="J270" i="76"/>
  <c r="K270" i="76"/>
  <c r="L270" i="76"/>
  <c r="M270" i="76"/>
  <c r="O270" i="76"/>
  <c r="Q270" i="76"/>
  <c r="R270" i="76"/>
  <c r="S270" i="76"/>
  <c r="Y270" i="76"/>
  <c r="Z270" i="76"/>
  <c r="AA270" i="76"/>
  <c r="AB270" i="76"/>
  <c r="AC270" i="76"/>
  <c r="AF270" i="76"/>
  <c r="AG270" i="76"/>
  <c r="C271" i="76"/>
  <c r="D271" i="76"/>
  <c r="G271" i="76"/>
  <c r="J271" i="76"/>
  <c r="K271" i="76"/>
  <c r="L271" i="76"/>
  <c r="M271" i="76"/>
  <c r="O271" i="76"/>
  <c r="P271" i="76"/>
  <c r="S271" i="76"/>
  <c r="Y271" i="76"/>
  <c r="Z271" i="76"/>
  <c r="AA271" i="76"/>
  <c r="AB271" i="76"/>
  <c r="AC271" i="76"/>
  <c r="AF271" i="76"/>
  <c r="AG271" i="76"/>
  <c r="C272" i="76"/>
  <c r="D272" i="76"/>
  <c r="G272" i="76"/>
  <c r="J272" i="76"/>
  <c r="K272" i="76"/>
  <c r="L272" i="76"/>
  <c r="M272" i="76"/>
  <c r="O272" i="76"/>
  <c r="Q272" i="76"/>
  <c r="R272" i="76"/>
  <c r="S272" i="76"/>
  <c r="Y272" i="76"/>
  <c r="Z272" i="76"/>
  <c r="AA272" i="76"/>
  <c r="AB272" i="76"/>
  <c r="AC272" i="76"/>
  <c r="AF272" i="76"/>
  <c r="AG272" i="76"/>
  <c r="C273" i="76"/>
  <c r="D273" i="76"/>
  <c r="G273" i="76"/>
  <c r="J273" i="76"/>
  <c r="K273" i="76"/>
  <c r="L273" i="76"/>
  <c r="M273" i="76"/>
  <c r="O273" i="76"/>
  <c r="P273" i="76"/>
  <c r="R273" i="76"/>
  <c r="S273" i="76"/>
  <c r="Y273" i="76"/>
  <c r="Z273" i="76"/>
  <c r="AA273" i="76"/>
  <c r="AB273" i="76"/>
  <c r="AC273" i="76"/>
  <c r="AF273" i="76"/>
  <c r="AG273" i="76"/>
  <c r="C274" i="76"/>
  <c r="D274" i="76"/>
  <c r="G274" i="76"/>
  <c r="J274" i="76"/>
  <c r="K274" i="76"/>
  <c r="L274" i="76"/>
  <c r="M274" i="76"/>
  <c r="O274" i="76"/>
  <c r="Q274" i="76"/>
  <c r="R274" i="76"/>
  <c r="S274" i="76"/>
  <c r="Y274" i="76"/>
  <c r="Z274" i="76"/>
  <c r="AA274" i="76"/>
  <c r="AB274" i="76"/>
  <c r="AC274" i="76"/>
  <c r="AF274" i="76"/>
  <c r="AG274" i="76"/>
  <c r="C275" i="76"/>
  <c r="D275" i="76"/>
  <c r="G275" i="76"/>
  <c r="J275" i="76"/>
  <c r="K275" i="76"/>
  <c r="L275" i="76"/>
  <c r="M275" i="76"/>
  <c r="P275" i="76"/>
  <c r="S275" i="76"/>
  <c r="Y275" i="76"/>
  <c r="Z275" i="76"/>
  <c r="AA275" i="76"/>
  <c r="AB275" i="76"/>
  <c r="AC275" i="76"/>
  <c r="AF275" i="76"/>
  <c r="AG275" i="76"/>
  <c r="C276" i="76"/>
  <c r="D276" i="76"/>
  <c r="G276" i="76"/>
  <c r="J276" i="76"/>
  <c r="K276" i="76"/>
  <c r="L276" i="76"/>
  <c r="M276" i="76"/>
  <c r="O276" i="76"/>
  <c r="Q276" i="76"/>
  <c r="R276" i="76"/>
  <c r="S276" i="76"/>
  <c r="Y276" i="76"/>
  <c r="Z276" i="76"/>
  <c r="AA276" i="76"/>
  <c r="AB276" i="76"/>
  <c r="AC276" i="76"/>
  <c r="AF276" i="76"/>
  <c r="AG276" i="76"/>
  <c r="C277" i="76"/>
  <c r="D277" i="76"/>
  <c r="G277" i="76"/>
  <c r="J277" i="76"/>
  <c r="K277" i="76"/>
  <c r="L277" i="76"/>
  <c r="M277" i="76"/>
  <c r="O277" i="76"/>
  <c r="P277" i="76"/>
  <c r="Q277" i="76"/>
  <c r="S277" i="76"/>
  <c r="Y277" i="76"/>
  <c r="Z277" i="76"/>
  <c r="AA277" i="76"/>
  <c r="AB277" i="76"/>
  <c r="AC277" i="76"/>
  <c r="AF277" i="76"/>
  <c r="AG277" i="76"/>
  <c r="C278" i="76"/>
  <c r="D278" i="76"/>
  <c r="G278" i="76"/>
  <c r="J278" i="76"/>
  <c r="K278" i="76"/>
  <c r="L278" i="76"/>
  <c r="M278" i="76"/>
  <c r="O278" i="76"/>
  <c r="Q278" i="76"/>
  <c r="R278" i="76"/>
  <c r="S278" i="76"/>
  <c r="Y278" i="76"/>
  <c r="Z278" i="76"/>
  <c r="AA278" i="76"/>
  <c r="AB278" i="76"/>
  <c r="AC278" i="76"/>
  <c r="AF278" i="76"/>
  <c r="AG278" i="76"/>
  <c r="C279" i="76"/>
  <c r="D279" i="76"/>
  <c r="G279" i="76"/>
  <c r="J279" i="76"/>
  <c r="K279" i="76"/>
  <c r="L279" i="76"/>
  <c r="M279" i="76"/>
  <c r="O279" i="76"/>
  <c r="P279" i="76"/>
  <c r="S279" i="76"/>
  <c r="Y279" i="76"/>
  <c r="Z279" i="76"/>
  <c r="AA279" i="76"/>
  <c r="AB279" i="76"/>
  <c r="AC279" i="76"/>
  <c r="AF279" i="76"/>
  <c r="AG279" i="76"/>
  <c r="C280" i="76"/>
  <c r="D280" i="76"/>
  <c r="G280" i="76"/>
  <c r="J280" i="76"/>
  <c r="K280" i="76"/>
  <c r="L280" i="76"/>
  <c r="M280" i="76"/>
  <c r="O280" i="76"/>
  <c r="Q280" i="76"/>
  <c r="R280" i="76"/>
  <c r="S280" i="76"/>
  <c r="Y280" i="76"/>
  <c r="Z280" i="76"/>
  <c r="AA280" i="76"/>
  <c r="AB280" i="76"/>
  <c r="AC280" i="76"/>
  <c r="AF280" i="76"/>
  <c r="AG280" i="76"/>
  <c r="C281" i="76"/>
  <c r="D281" i="76"/>
  <c r="G281" i="76"/>
  <c r="J281" i="76"/>
  <c r="K281" i="76"/>
  <c r="L281" i="76"/>
  <c r="M281" i="76"/>
  <c r="O281" i="76"/>
  <c r="P281" i="76"/>
  <c r="S281" i="76"/>
  <c r="Y281" i="76"/>
  <c r="Z281" i="76"/>
  <c r="AA281" i="76"/>
  <c r="AB281" i="76"/>
  <c r="AC281" i="76"/>
  <c r="AF281" i="76"/>
  <c r="AG281" i="76"/>
  <c r="C282" i="76"/>
  <c r="D282" i="76"/>
  <c r="G282" i="76"/>
  <c r="J282" i="76"/>
  <c r="K282" i="76"/>
  <c r="L282" i="76"/>
  <c r="M282" i="76"/>
  <c r="O282" i="76"/>
  <c r="Q282" i="76"/>
  <c r="R282" i="76"/>
  <c r="S282" i="76"/>
  <c r="Y282" i="76"/>
  <c r="Z282" i="76"/>
  <c r="AA282" i="76"/>
  <c r="AB282" i="76"/>
  <c r="AC282" i="76"/>
  <c r="AF282" i="76"/>
  <c r="AG282" i="76"/>
  <c r="C283" i="76"/>
  <c r="D283" i="76"/>
  <c r="G283" i="76"/>
  <c r="J283" i="76"/>
  <c r="K283" i="76"/>
  <c r="L283" i="76"/>
  <c r="M283" i="76"/>
  <c r="O283" i="76"/>
  <c r="P283" i="76"/>
  <c r="S283" i="76"/>
  <c r="Y283" i="76"/>
  <c r="Z283" i="76"/>
  <c r="AA283" i="76"/>
  <c r="AB283" i="76"/>
  <c r="AC283" i="76"/>
  <c r="AF283" i="76"/>
  <c r="AG283" i="76"/>
  <c r="C284" i="76"/>
  <c r="D284" i="76"/>
  <c r="G284" i="76"/>
  <c r="J284" i="76"/>
  <c r="K284" i="76"/>
  <c r="L284" i="76"/>
  <c r="M284" i="76"/>
  <c r="O284" i="76"/>
  <c r="Q284" i="76"/>
  <c r="R284" i="76"/>
  <c r="S284" i="76"/>
  <c r="Y284" i="76"/>
  <c r="Z284" i="76"/>
  <c r="AA284" i="76"/>
  <c r="AB284" i="76"/>
  <c r="AC284" i="76"/>
  <c r="AF284" i="76"/>
  <c r="AG284" i="76"/>
  <c r="C285" i="76"/>
  <c r="D285" i="76"/>
  <c r="G285" i="76"/>
  <c r="J285" i="76"/>
  <c r="K285" i="76"/>
  <c r="L285" i="76"/>
  <c r="M285" i="76"/>
  <c r="O285" i="76"/>
  <c r="P285" i="76"/>
  <c r="Q285" i="76"/>
  <c r="S285" i="76"/>
  <c r="Y285" i="76"/>
  <c r="Z285" i="76"/>
  <c r="AA285" i="76"/>
  <c r="AB285" i="76"/>
  <c r="AC285" i="76"/>
  <c r="AF285" i="76"/>
  <c r="AG285" i="76"/>
  <c r="C286" i="76"/>
  <c r="D286" i="76"/>
  <c r="G286" i="76"/>
  <c r="J286" i="76"/>
  <c r="K286" i="76"/>
  <c r="L286" i="76"/>
  <c r="M286" i="76"/>
  <c r="O286" i="76"/>
  <c r="Q286" i="76"/>
  <c r="R286" i="76"/>
  <c r="S286" i="76"/>
  <c r="Y286" i="76"/>
  <c r="Z286" i="76"/>
  <c r="AA286" i="76"/>
  <c r="AB286" i="76"/>
  <c r="AC286" i="76"/>
  <c r="AF286" i="76"/>
  <c r="AG286" i="76"/>
  <c r="C287" i="76"/>
  <c r="D287" i="76"/>
  <c r="G287" i="76"/>
  <c r="J287" i="76"/>
  <c r="K287" i="76"/>
  <c r="L287" i="76"/>
  <c r="M287" i="76"/>
  <c r="O287" i="76"/>
  <c r="P287" i="76"/>
  <c r="S287" i="76"/>
  <c r="Y287" i="76"/>
  <c r="Z287" i="76"/>
  <c r="AA287" i="76"/>
  <c r="AB287" i="76"/>
  <c r="AC287" i="76"/>
  <c r="AF287" i="76"/>
  <c r="AG287" i="76"/>
  <c r="C288" i="76"/>
  <c r="D288" i="76"/>
  <c r="G288" i="76"/>
  <c r="J288" i="76"/>
  <c r="K288" i="76"/>
  <c r="L288" i="76"/>
  <c r="M288" i="76"/>
  <c r="O288" i="76"/>
  <c r="Q288" i="76"/>
  <c r="R288" i="76"/>
  <c r="S288" i="76"/>
  <c r="Y288" i="76"/>
  <c r="Z288" i="76"/>
  <c r="AA288" i="76"/>
  <c r="AB288" i="76"/>
  <c r="AC288" i="76"/>
  <c r="AF288" i="76"/>
  <c r="AG288" i="76"/>
  <c r="C289" i="76"/>
  <c r="D289" i="76"/>
  <c r="G289" i="76"/>
  <c r="J289" i="76"/>
  <c r="K289" i="76"/>
  <c r="L289" i="76"/>
  <c r="M289" i="76"/>
  <c r="P289" i="76"/>
  <c r="S289" i="76"/>
  <c r="Y289" i="76"/>
  <c r="Z289" i="76"/>
  <c r="AA289" i="76"/>
  <c r="AB289" i="76"/>
  <c r="AC289" i="76"/>
  <c r="AF289" i="76"/>
  <c r="AG289" i="76"/>
  <c r="C290" i="76"/>
  <c r="D290" i="76"/>
  <c r="G290" i="76"/>
  <c r="J290" i="76"/>
  <c r="K290" i="76"/>
  <c r="L290" i="76"/>
  <c r="M290" i="76"/>
  <c r="O290" i="76"/>
  <c r="Q290" i="76"/>
  <c r="R290" i="76"/>
  <c r="S290" i="76"/>
  <c r="Y290" i="76"/>
  <c r="Z290" i="76"/>
  <c r="AA290" i="76"/>
  <c r="AB290" i="76"/>
  <c r="AC290" i="76"/>
  <c r="AF290" i="76"/>
  <c r="AG290" i="76"/>
  <c r="C291" i="76"/>
  <c r="D291" i="76"/>
  <c r="G291" i="76"/>
  <c r="J291" i="76"/>
  <c r="K291" i="76"/>
  <c r="L291" i="76"/>
  <c r="M291" i="76"/>
  <c r="P291" i="76"/>
  <c r="S291" i="76"/>
  <c r="Y291" i="76"/>
  <c r="Z291" i="76"/>
  <c r="AA291" i="76"/>
  <c r="AB291" i="76"/>
  <c r="AC291" i="76"/>
  <c r="AF291" i="76"/>
  <c r="AG291" i="76"/>
  <c r="C292" i="76"/>
  <c r="D292" i="76"/>
  <c r="G292" i="76"/>
  <c r="J292" i="76"/>
  <c r="K292" i="76"/>
  <c r="L292" i="76"/>
  <c r="M292" i="76"/>
  <c r="O292" i="76"/>
  <c r="Q292" i="76"/>
  <c r="R292" i="76"/>
  <c r="S292" i="76"/>
  <c r="Y292" i="76"/>
  <c r="Z292" i="76"/>
  <c r="AA292" i="76"/>
  <c r="AB292" i="76"/>
  <c r="AC292" i="76"/>
  <c r="AF292" i="76"/>
  <c r="AG292" i="76"/>
  <c r="C293" i="76"/>
  <c r="D293" i="76"/>
  <c r="G293" i="76"/>
  <c r="J293" i="76"/>
  <c r="K293" i="76"/>
  <c r="L293" i="76"/>
  <c r="M293" i="76"/>
  <c r="P293" i="76"/>
  <c r="S293" i="76"/>
  <c r="Y293" i="76"/>
  <c r="Z293" i="76"/>
  <c r="AA293" i="76"/>
  <c r="AB293" i="76"/>
  <c r="AC293" i="76"/>
  <c r="AF293" i="76"/>
  <c r="AG293" i="76"/>
  <c r="C294" i="76"/>
  <c r="D294" i="76"/>
  <c r="G294" i="76"/>
  <c r="J294" i="76"/>
  <c r="K294" i="76"/>
  <c r="L294" i="76"/>
  <c r="M294" i="76"/>
  <c r="O294" i="76"/>
  <c r="Q294" i="76"/>
  <c r="S294" i="76"/>
  <c r="Y294" i="76"/>
  <c r="Z294" i="76"/>
  <c r="AA294" i="76"/>
  <c r="AB294" i="76"/>
  <c r="AC294" i="76"/>
  <c r="AF294" i="76"/>
  <c r="AG294" i="76"/>
  <c r="C295" i="76"/>
  <c r="D295" i="76"/>
  <c r="G295" i="76"/>
  <c r="J295" i="76"/>
  <c r="K295" i="76"/>
  <c r="L295" i="76"/>
  <c r="M295" i="76"/>
  <c r="P295" i="76"/>
  <c r="S295" i="76"/>
  <c r="Y295" i="76"/>
  <c r="Z295" i="76"/>
  <c r="AA295" i="76"/>
  <c r="AB295" i="76"/>
  <c r="AC295" i="76"/>
  <c r="AF295" i="76"/>
  <c r="AG295" i="76"/>
  <c r="C296" i="76"/>
  <c r="D296" i="76"/>
  <c r="G296" i="76"/>
  <c r="J296" i="76"/>
  <c r="K296" i="76"/>
  <c r="L296" i="76"/>
  <c r="M296" i="76"/>
  <c r="O296" i="76"/>
  <c r="Q296" i="76"/>
  <c r="S296" i="76"/>
  <c r="Y296" i="76"/>
  <c r="Z296" i="76"/>
  <c r="AA296" i="76"/>
  <c r="AB296" i="76"/>
  <c r="AC296" i="76"/>
  <c r="AF296" i="76"/>
  <c r="AG296" i="76"/>
  <c r="C297" i="76"/>
  <c r="D297" i="76"/>
  <c r="G297" i="76"/>
  <c r="J297" i="76"/>
  <c r="K297" i="76"/>
  <c r="L297" i="76"/>
  <c r="M297" i="76"/>
  <c r="P297" i="76"/>
  <c r="S297" i="76"/>
  <c r="Y297" i="76"/>
  <c r="Z297" i="76"/>
  <c r="AA297" i="76"/>
  <c r="AB297" i="76"/>
  <c r="AC297" i="76"/>
  <c r="AF297" i="76"/>
  <c r="AG297" i="76"/>
  <c r="C298" i="76"/>
  <c r="D298" i="76"/>
  <c r="G298" i="76"/>
  <c r="J298" i="76"/>
  <c r="K298" i="76"/>
  <c r="L298" i="76"/>
  <c r="M298" i="76"/>
  <c r="O298" i="76"/>
  <c r="Q298" i="76"/>
  <c r="S298" i="76"/>
  <c r="Y298" i="76"/>
  <c r="Z298" i="76"/>
  <c r="AA298" i="76"/>
  <c r="AB298" i="76"/>
  <c r="AC298" i="76"/>
  <c r="AF298" i="76"/>
  <c r="AG298" i="76"/>
  <c r="C299" i="76"/>
  <c r="D299" i="76"/>
  <c r="G299" i="76"/>
  <c r="J299" i="76"/>
  <c r="K299" i="76"/>
  <c r="L299" i="76"/>
  <c r="M299" i="76"/>
  <c r="P299" i="76"/>
  <c r="S299" i="76"/>
  <c r="Y299" i="76"/>
  <c r="Z299" i="76"/>
  <c r="AA299" i="76"/>
  <c r="AB299" i="76"/>
  <c r="AC299" i="76"/>
  <c r="AF299" i="76"/>
  <c r="AG299" i="76"/>
  <c r="C300" i="76"/>
  <c r="D300" i="76"/>
  <c r="G300" i="76"/>
  <c r="J300" i="76"/>
  <c r="K300" i="76"/>
  <c r="L300" i="76"/>
  <c r="M300" i="76"/>
  <c r="O300" i="76"/>
  <c r="Q300" i="76"/>
  <c r="S300" i="76"/>
  <c r="Y300" i="76"/>
  <c r="Z300" i="76"/>
  <c r="AA300" i="76"/>
  <c r="AB300" i="76"/>
  <c r="AC300" i="76"/>
  <c r="AF300" i="76"/>
  <c r="AG300" i="76"/>
  <c r="C301" i="76"/>
  <c r="D301" i="76"/>
  <c r="G301" i="76"/>
  <c r="J301" i="76"/>
  <c r="K301" i="76"/>
  <c r="L301" i="76"/>
  <c r="M301" i="76"/>
  <c r="P301" i="76"/>
  <c r="S301" i="76"/>
  <c r="Y301" i="76"/>
  <c r="Z301" i="76"/>
  <c r="AA301" i="76"/>
  <c r="AB301" i="76"/>
  <c r="AC301" i="76"/>
  <c r="AF301" i="76"/>
  <c r="AG301" i="76"/>
  <c r="C302" i="76"/>
  <c r="D302" i="76"/>
  <c r="G302" i="76"/>
  <c r="J302" i="76"/>
  <c r="K302" i="76"/>
  <c r="L302" i="76"/>
  <c r="M302" i="76"/>
  <c r="O302" i="76"/>
  <c r="Q302" i="76"/>
  <c r="S302" i="76"/>
  <c r="Y302" i="76"/>
  <c r="Z302" i="76"/>
  <c r="AA302" i="76"/>
  <c r="AB302" i="76"/>
  <c r="AC302" i="76"/>
  <c r="AF302" i="76"/>
  <c r="AG302" i="76"/>
  <c r="C303" i="76"/>
  <c r="D303" i="76"/>
  <c r="G303" i="76"/>
  <c r="J303" i="76"/>
  <c r="K303" i="76"/>
  <c r="L303" i="76"/>
  <c r="M303" i="76"/>
  <c r="P303" i="76"/>
  <c r="S303" i="76"/>
  <c r="Y303" i="76"/>
  <c r="Z303" i="76"/>
  <c r="AA303" i="76"/>
  <c r="AB303" i="76"/>
  <c r="AC303" i="76"/>
  <c r="AF303" i="76"/>
  <c r="AG303" i="76"/>
  <c r="C70" i="76"/>
  <c r="D70" i="76"/>
  <c r="G70" i="76"/>
  <c r="J70" i="76"/>
  <c r="K70" i="76"/>
  <c r="L70" i="76"/>
  <c r="M70" i="76"/>
  <c r="S70" i="76"/>
  <c r="Y70" i="76"/>
  <c r="Z70" i="76"/>
  <c r="AA70" i="76"/>
  <c r="AB70" i="76"/>
  <c r="AC70" i="76"/>
  <c r="AF70" i="76"/>
  <c r="AG70" i="76"/>
  <c r="C71" i="76"/>
  <c r="D71" i="76"/>
  <c r="G71" i="76"/>
  <c r="J71" i="76"/>
  <c r="K71" i="76"/>
  <c r="L71" i="76"/>
  <c r="M71" i="76"/>
  <c r="S71" i="76"/>
  <c r="Y71" i="76"/>
  <c r="Z71" i="76"/>
  <c r="AA71" i="76"/>
  <c r="AB71" i="76"/>
  <c r="AC71" i="76"/>
  <c r="AF71" i="76"/>
  <c r="AG71" i="76"/>
  <c r="C72" i="76"/>
  <c r="D72" i="76"/>
  <c r="G72" i="76"/>
  <c r="J72" i="76"/>
  <c r="K72" i="76"/>
  <c r="L72" i="76"/>
  <c r="M72" i="76"/>
  <c r="S72" i="76"/>
  <c r="Y72" i="76"/>
  <c r="Z72" i="76"/>
  <c r="AA72" i="76"/>
  <c r="AB72" i="76"/>
  <c r="AC72" i="76"/>
  <c r="AF72" i="76"/>
  <c r="AG72" i="76"/>
  <c r="C73" i="76"/>
  <c r="D73" i="76"/>
  <c r="G73" i="76"/>
  <c r="J73" i="76"/>
  <c r="K73" i="76"/>
  <c r="L73" i="76"/>
  <c r="M73" i="76"/>
  <c r="S73" i="76"/>
  <c r="Y73" i="76"/>
  <c r="Z73" i="76"/>
  <c r="AA73" i="76"/>
  <c r="AB73" i="76"/>
  <c r="AC73" i="76"/>
  <c r="AF73" i="76"/>
  <c r="AG73" i="76"/>
  <c r="C74" i="76"/>
  <c r="D74" i="76"/>
  <c r="G74" i="76"/>
  <c r="J74" i="76"/>
  <c r="K74" i="76"/>
  <c r="L74" i="76"/>
  <c r="M74" i="76"/>
  <c r="S74" i="76"/>
  <c r="Y74" i="76"/>
  <c r="Z74" i="76"/>
  <c r="AA74" i="76"/>
  <c r="AB74" i="76"/>
  <c r="AC74" i="76"/>
  <c r="AF74" i="76"/>
  <c r="AG74" i="76"/>
  <c r="C75" i="76"/>
  <c r="D75" i="76"/>
  <c r="G75" i="76"/>
  <c r="J75" i="76"/>
  <c r="K75" i="76"/>
  <c r="L75" i="76"/>
  <c r="M75" i="76"/>
  <c r="S75" i="76"/>
  <c r="Y75" i="76"/>
  <c r="Z75" i="76"/>
  <c r="AA75" i="76"/>
  <c r="AB75" i="76"/>
  <c r="AC75" i="76"/>
  <c r="AF75" i="76"/>
  <c r="AG75" i="76"/>
  <c r="C76" i="76"/>
  <c r="D76" i="76"/>
  <c r="G76" i="76"/>
  <c r="J76" i="76"/>
  <c r="K76" i="76"/>
  <c r="L76" i="76"/>
  <c r="M76" i="76"/>
  <c r="S76" i="76"/>
  <c r="Y76" i="76"/>
  <c r="Z76" i="76"/>
  <c r="AA76" i="76"/>
  <c r="AB76" i="76"/>
  <c r="AC76" i="76"/>
  <c r="AF76" i="76"/>
  <c r="AG76" i="76"/>
  <c r="C77" i="76"/>
  <c r="D77" i="76"/>
  <c r="G77" i="76"/>
  <c r="J77" i="76"/>
  <c r="K77" i="76"/>
  <c r="L77" i="76"/>
  <c r="M77" i="76"/>
  <c r="S77" i="76"/>
  <c r="Y77" i="76"/>
  <c r="Z77" i="76"/>
  <c r="AA77" i="76"/>
  <c r="AB77" i="76"/>
  <c r="AC77" i="76"/>
  <c r="AF77" i="76"/>
  <c r="AG77" i="76"/>
  <c r="C78" i="76"/>
  <c r="D78" i="76"/>
  <c r="G78" i="76"/>
  <c r="J78" i="76"/>
  <c r="K78" i="76"/>
  <c r="L78" i="76"/>
  <c r="M78" i="76"/>
  <c r="S78" i="76"/>
  <c r="Y78" i="76"/>
  <c r="Z78" i="76"/>
  <c r="AA78" i="76"/>
  <c r="AB78" i="76"/>
  <c r="AC78" i="76"/>
  <c r="AF78" i="76"/>
  <c r="AG78" i="76"/>
  <c r="C79" i="76"/>
  <c r="D79" i="76"/>
  <c r="G79" i="76"/>
  <c r="J79" i="76"/>
  <c r="K79" i="76"/>
  <c r="L79" i="76"/>
  <c r="M79" i="76"/>
  <c r="S79" i="76"/>
  <c r="Y79" i="76"/>
  <c r="Z79" i="76"/>
  <c r="AA79" i="76"/>
  <c r="AB79" i="76"/>
  <c r="AC79" i="76"/>
  <c r="AF79" i="76"/>
  <c r="AG79" i="76"/>
  <c r="C80" i="76"/>
  <c r="D80" i="76"/>
  <c r="G80" i="76"/>
  <c r="J80" i="76"/>
  <c r="K80" i="76"/>
  <c r="L80" i="76"/>
  <c r="M80" i="76"/>
  <c r="S80" i="76"/>
  <c r="Y80" i="76"/>
  <c r="Z80" i="76"/>
  <c r="AA80" i="76"/>
  <c r="AB80" i="76"/>
  <c r="AC80" i="76"/>
  <c r="AF80" i="76"/>
  <c r="AG80" i="76"/>
  <c r="C81" i="76"/>
  <c r="D81" i="76"/>
  <c r="G81" i="76"/>
  <c r="J81" i="76"/>
  <c r="K81" i="76"/>
  <c r="L81" i="76"/>
  <c r="M81" i="76"/>
  <c r="S81" i="76"/>
  <c r="Y81" i="76"/>
  <c r="Z81" i="76"/>
  <c r="AA81" i="76"/>
  <c r="AB81" i="76"/>
  <c r="AC81" i="76"/>
  <c r="AF81" i="76"/>
  <c r="AG81" i="76"/>
  <c r="C82" i="76"/>
  <c r="D82" i="76"/>
  <c r="G82" i="76"/>
  <c r="J82" i="76"/>
  <c r="K82" i="76"/>
  <c r="L82" i="76"/>
  <c r="M82" i="76"/>
  <c r="S82" i="76"/>
  <c r="Y82" i="76"/>
  <c r="Z82" i="76"/>
  <c r="AA82" i="76"/>
  <c r="AB82" i="76"/>
  <c r="AC82" i="76"/>
  <c r="AF82" i="76"/>
  <c r="AG82" i="76"/>
  <c r="C84" i="76"/>
  <c r="D84" i="76"/>
  <c r="G84" i="76"/>
  <c r="J84" i="76"/>
  <c r="K84" i="76"/>
  <c r="L84" i="76"/>
  <c r="M84" i="76"/>
  <c r="O84" i="76"/>
  <c r="P84" i="76"/>
  <c r="S84" i="76"/>
  <c r="Y84" i="76"/>
  <c r="Z84" i="76"/>
  <c r="AA84" i="76"/>
  <c r="AB84" i="76"/>
  <c r="AC84" i="76"/>
  <c r="AF84" i="76"/>
  <c r="AG84" i="76"/>
  <c r="C85" i="76"/>
  <c r="D85" i="76"/>
  <c r="G85" i="76"/>
  <c r="J85" i="76"/>
  <c r="K85" i="76"/>
  <c r="L85" i="76"/>
  <c r="M85" i="76"/>
  <c r="O85" i="76"/>
  <c r="P85" i="76"/>
  <c r="S85" i="76"/>
  <c r="Y85" i="76"/>
  <c r="Z85" i="76"/>
  <c r="AA85" i="76"/>
  <c r="AB85" i="76"/>
  <c r="AC85" i="76"/>
  <c r="AF85" i="76"/>
  <c r="AG85" i="76"/>
  <c r="C86" i="76"/>
  <c r="D86" i="76"/>
  <c r="G86" i="76"/>
  <c r="J86" i="76"/>
  <c r="K86" i="76"/>
  <c r="L86" i="76"/>
  <c r="M86" i="76"/>
  <c r="O86" i="76"/>
  <c r="P86" i="76"/>
  <c r="S86" i="76"/>
  <c r="Y86" i="76"/>
  <c r="Z86" i="76"/>
  <c r="AA86" i="76"/>
  <c r="AB86" i="76"/>
  <c r="AC86" i="76"/>
  <c r="AF86" i="76"/>
  <c r="AG86" i="76"/>
  <c r="C87" i="76"/>
  <c r="D87" i="76"/>
  <c r="G87" i="76"/>
  <c r="J87" i="76"/>
  <c r="K87" i="76"/>
  <c r="L87" i="76"/>
  <c r="M87" i="76"/>
  <c r="O87" i="76"/>
  <c r="P87" i="76"/>
  <c r="Q87" i="76"/>
  <c r="S87" i="76"/>
  <c r="Y87" i="76"/>
  <c r="Z87" i="76"/>
  <c r="AA87" i="76"/>
  <c r="AB87" i="76"/>
  <c r="AC87" i="76"/>
  <c r="AF87" i="76"/>
  <c r="AG87" i="76"/>
  <c r="C88" i="76"/>
  <c r="D88" i="76"/>
  <c r="G88" i="76"/>
  <c r="J88" i="76"/>
  <c r="K88" i="76"/>
  <c r="L88" i="76"/>
  <c r="M88" i="76"/>
  <c r="O88" i="76"/>
  <c r="P88" i="76"/>
  <c r="S88" i="76"/>
  <c r="Y88" i="76"/>
  <c r="Z88" i="76"/>
  <c r="AA88" i="76"/>
  <c r="AB88" i="76"/>
  <c r="AC88" i="76"/>
  <c r="AF88" i="76"/>
  <c r="AG88" i="76"/>
  <c r="C90" i="76"/>
  <c r="D90" i="76"/>
  <c r="G90" i="76"/>
  <c r="J90" i="76"/>
  <c r="K90" i="76"/>
  <c r="L90" i="76"/>
  <c r="M90" i="76"/>
  <c r="Q90" i="76"/>
  <c r="R90" i="76"/>
  <c r="S90" i="76"/>
  <c r="Y90" i="76"/>
  <c r="Z90" i="76"/>
  <c r="AA90" i="76"/>
  <c r="AB90" i="76"/>
  <c r="AC90" i="76"/>
  <c r="AF90" i="76"/>
  <c r="AG90" i="76"/>
  <c r="C91" i="76"/>
  <c r="D91" i="76"/>
  <c r="G91" i="76"/>
  <c r="J91" i="76"/>
  <c r="K91" i="76"/>
  <c r="L91" i="76"/>
  <c r="M91" i="76"/>
  <c r="O91" i="76"/>
  <c r="P91" i="76"/>
  <c r="Q91" i="76"/>
  <c r="R91" i="76"/>
  <c r="S91" i="76"/>
  <c r="Y91" i="76"/>
  <c r="Z91" i="76"/>
  <c r="AA91" i="76"/>
  <c r="AB91" i="76"/>
  <c r="AC91" i="76"/>
  <c r="AF91" i="76"/>
  <c r="AG91" i="76"/>
  <c r="C92" i="76"/>
  <c r="D92" i="76"/>
  <c r="G92" i="76"/>
  <c r="J92" i="76"/>
  <c r="K92" i="76"/>
  <c r="L92" i="76"/>
  <c r="M92" i="76"/>
  <c r="O92" i="76"/>
  <c r="P92" i="76"/>
  <c r="Q92" i="76"/>
  <c r="S92" i="76"/>
  <c r="Y92" i="76"/>
  <c r="Z92" i="76"/>
  <c r="AA92" i="76"/>
  <c r="AB92" i="76"/>
  <c r="AC92" i="76"/>
  <c r="AF92" i="76"/>
  <c r="AG92" i="76"/>
  <c r="C93" i="76"/>
  <c r="D93" i="76"/>
  <c r="G93" i="76"/>
  <c r="J93" i="76"/>
  <c r="K93" i="76"/>
  <c r="L93" i="76"/>
  <c r="M93" i="76"/>
  <c r="O93" i="76"/>
  <c r="P93" i="76"/>
  <c r="S93" i="76"/>
  <c r="Y93" i="76"/>
  <c r="Z93" i="76"/>
  <c r="AA93" i="76"/>
  <c r="AB93" i="76"/>
  <c r="AC93" i="76"/>
  <c r="AF93" i="76"/>
  <c r="AG93" i="76"/>
  <c r="N236" i="76" l="1"/>
  <c r="N234" i="76"/>
  <c r="N285" i="76"/>
  <c r="N280" i="76"/>
  <c r="N270" i="76"/>
  <c r="N265" i="76"/>
  <c r="N255" i="76"/>
  <c r="N243" i="76"/>
  <c r="N229" i="76"/>
  <c r="N224" i="76"/>
  <c r="N213" i="76"/>
  <c r="N208" i="76"/>
  <c r="N197" i="76"/>
  <c r="N193" i="76"/>
  <c r="N183" i="76"/>
  <c r="N174" i="76"/>
  <c r="N170" i="76"/>
  <c r="N166" i="76"/>
  <c r="N149" i="76"/>
  <c r="N139" i="76"/>
  <c r="N129" i="76"/>
  <c r="N124" i="76"/>
  <c r="N114" i="76"/>
  <c r="N103" i="76"/>
  <c r="N98" i="76"/>
  <c r="O79" i="76"/>
  <c r="N159" i="76"/>
  <c r="N87" i="76"/>
  <c r="X42" i="101"/>
  <c r="N88" i="76"/>
  <c r="N281" i="76"/>
  <c r="N271" i="76"/>
  <c r="N225" i="76"/>
  <c r="N209" i="76"/>
  <c r="N175" i="76"/>
  <c r="N115" i="76"/>
  <c r="N99" i="76"/>
  <c r="O71" i="76"/>
  <c r="N189" i="76"/>
  <c r="N125" i="76"/>
  <c r="N296" i="76"/>
  <c r="N287" i="76"/>
  <c r="N241" i="76"/>
  <c r="N233" i="76"/>
  <c r="N221" i="76"/>
  <c r="N205" i="76"/>
  <c r="N158" i="76"/>
  <c r="N121" i="76"/>
  <c r="N111" i="76"/>
  <c r="N95" i="76"/>
  <c r="N85" i="76"/>
  <c r="N300" i="76"/>
  <c r="N259" i="76"/>
  <c r="N161" i="76"/>
  <c r="N153" i="76"/>
  <c r="N133" i="76"/>
  <c r="N220" i="76"/>
  <c r="N217" i="76"/>
  <c r="N201" i="76"/>
  <c r="N187" i="76"/>
  <c r="N143" i="76"/>
  <c r="N107" i="76"/>
  <c r="N286" i="76"/>
  <c r="N252" i="76"/>
  <c r="N248" i="76"/>
  <c r="N204" i="76"/>
  <c r="N180" i="76"/>
  <c r="N156" i="76"/>
  <c r="N146" i="76"/>
  <c r="N120" i="76"/>
  <c r="N110" i="76"/>
  <c r="N94" i="76"/>
  <c r="N269" i="76"/>
  <c r="N264" i="76"/>
  <c r="N254" i="76"/>
  <c r="N228" i="76"/>
  <c r="N212" i="76"/>
  <c r="N182" i="76"/>
  <c r="N178" i="76"/>
  <c r="N148" i="76"/>
  <c r="N138" i="76"/>
  <c r="N128" i="76"/>
  <c r="N102" i="76"/>
  <c r="N284" i="76"/>
  <c r="N250" i="76"/>
  <c r="N246" i="76"/>
  <c r="N192" i="76"/>
  <c r="N90" i="76"/>
  <c r="N84" i="76"/>
  <c r="N298" i="76"/>
  <c r="N288" i="76"/>
  <c r="N283" i="76"/>
  <c r="N278" i="76"/>
  <c r="N273" i="76"/>
  <c r="N263" i="76"/>
  <c r="N249" i="76"/>
  <c r="N242" i="76"/>
  <c r="N235" i="76"/>
  <c r="N227" i="76"/>
  <c r="N222" i="76"/>
  <c r="N211" i="76"/>
  <c r="N206" i="76"/>
  <c r="N196" i="76"/>
  <c r="N191" i="76"/>
  <c r="N181" i="76"/>
  <c r="N177" i="76"/>
  <c r="N160" i="76"/>
  <c r="N137" i="76"/>
  <c r="N127" i="76"/>
  <c r="N122" i="76"/>
  <c r="N117" i="76"/>
  <c r="N112" i="76"/>
  <c r="N101" i="76"/>
  <c r="N96" i="76"/>
  <c r="N297" i="76"/>
  <c r="N303" i="76"/>
  <c r="N91" i="76"/>
  <c r="N268" i="76"/>
  <c r="N258" i="76"/>
  <c r="N253" i="76"/>
  <c r="N245" i="76"/>
  <c r="N216" i="76"/>
  <c r="N200" i="76"/>
  <c r="N186" i="76"/>
  <c r="N172" i="76"/>
  <c r="N168" i="76"/>
  <c r="N152" i="76"/>
  <c r="N147" i="76"/>
  <c r="N142" i="76"/>
  <c r="N132" i="76"/>
  <c r="N106" i="76"/>
  <c r="N294" i="76"/>
  <c r="N282" i="76"/>
  <c r="N277" i="76"/>
  <c r="N272" i="76"/>
  <c r="N267" i="76"/>
  <c r="N262" i="76"/>
  <c r="N257" i="76"/>
  <c r="N232" i="76"/>
  <c r="N226" i="76"/>
  <c r="N215" i="76"/>
  <c r="N210" i="76"/>
  <c r="N199" i="76"/>
  <c r="N195" i="76"/>
  <c r="N190" i="76"/>
  <c r="N185" i="76"/>
  <c r="N176" i="76"/>
  <c r="N171" i="76"/>
  <c r="N167" i="76"/>
  <c r="N151" i="76"/>
  <c r="N141" i="76"/>
  <c r="N136" i="76"/>
  <c r="N131" i="76"/>
  <c r="N126" i="76"/>
  <c r="N116" i="76"/>
  <c r="N105" i="76"/>
  <c r="N100" i="76"/>
  <c r="M341" i="101"/>
  <c r="N164" i="76"/>
  <c r="N293" i="76"/>
  <c r="N289" i="76"/>
  <c r="N341" i="101"/>
  <c r="N299" i="76"/>
  <c r="N93" i="76"/>
  <c r="N292" i="76"/>
  <c r="N276" i="76"/>
  <c r="N266" i="76"/>
  <c r="N261" i="76"/>
  <c r="N256" i="76"/>
  <c r="N251" i="76"/>
  <c r="N247" i="76"/>
  <c r="N244" i="76"/>
  <c r="N240" i="76"/>
  <c r="N230" i="76"/>
  <c r="N219" i="76"/>
  <c r="N214" i="76"/>
  <c r="N203" i="76"/>
  <c r="N198" i="76"/>
  <c r="N194" i="76"/>
  <c r="N184" i="76"/>
  <c r="N179" i="76"/>
  <c r="N155" i="76"/>
  <c r="N150" i="76"/>
  <c r="N145" i="76"/>
  <c r="N140" i="76"/>
  <c r="N135" i="76"/>
  <c r="N130" i="76"/>
  <c r="N119" i="76"/>
  <c r="N109" i="76"/>
  <c r="N104" i="76"/>
  <c r="O341" i="101"/>
  <c r="N238" i="76"/>
  <c r="P341" i="101"/>
  <c r="N165" i="76"/>
  <c r="N295" i="76"/>
  <c r="N92" i="76"/>
  <c r="N86" i="76"/>
  <c r="N302" i="76"/>
  <c r="N290" i="76"/>
  <c r="N279" i="76"/>
  <c r="N274" i="76"/>
  <c r="N260" i="76"/>
  <c r="N239" i="76"/>
  <c r="N223" i="76"/>
  <c r="N218" i="76"/>
  <c r="N207" i="76"/>
  <c r="N202" i="76"/>
  <c r="N188" i="76"/>
  <c r="N173" i="76"/>
  <c r="N169" i="76"/>
  <c r="N162" i="76"/>
  <c r="N154" i="76"/>
  <c r="N144" i="76"/>
  <c r="N134" i="76"/>
  <c r="N123" i="76"/>
  <c r="N118" i="76"/>
  <c r="N113" i="76"/>
  <c r="N108" i="76"/>
  <c r="N97" i="76"/>
  <c r="N301" i="76"/>
  <c r="N291" i="76"/>
  <c r="N275" i="76"/>
  <c r="X24" i="101"/>
  <c r="P81" i="76"/>
  <c r="D77" i="91"/>
  <c r="F38" i="85"/>
  <c r="O70" i="76"/>
  <c r="E93" i="85"/>
  <c r="G95" i="85"/>
  <c r="G55" i="85"/>
  <c r="E53" i="85"/>
  <c r="E38" i="85"/>
  <c r="W33" i="101"/>
  <c r="E75" i="85" s="1"/>
  <c r="X33" i="101"/>
  <c r="E39" i="85"/>
  <c r="E36" i="85"/>
  <c r="F39" i="85"/>
  <c r="F40" i="85"/>
  <c r="E40" i="85"/>
  <c r="F36" i="85"/>
  <c r="F35" i="85"/>
  <c r="F34" i="85"/>
  <c r="L19" i="101"/>
  <c r="L60" i="101"/>
  <c r="L82" i="101"/>
  <c r="Y13" i="101" s="1"/>
  <c r="L10" i="101"/>
  <c r="L84" i="101"/>
  <c r="L80" i="101"/>
  <c r="L69" i="101"/>
  <c r="L67" i="101"/>
  <c r="L65" i="101"/>
  <c r="L63" i="101"/>
  <c r="L61" i="101"/>
  <c r="L59" i="101"/>
  <c r="L57" i="101"/>
  <c r="L55" i="101"/>
  <c r="L53" i="101"/>
  <c r="L51" i="101"/>
  <c r="L49" i="101"/>
  <c r="L47" i="101"/>
  <c r="L45" i="101"/>
  <c r="L43" i="101"/>
  <c r="L41" i="101"/>
  <c r="L39" i="101"/>
  <c r="L37" i="101"/>
  <c r="L35" i="101"/>
  <c r="L33" i="101"/>
  <c r="L31" i="101"/>
  <c r="L29" i="101"/>
  <c r="L27" i="101"/>
  <c r="L25" i="101"/>
  <c r="L23" i="101"/>
  <c r="L15" i="101"/>
  <c r="L13" i="101"/>
  <c r="L11" i="101"/>
  <c r="L36" i="101"/>
  <c r="L17" i="101"/>
  <c r="L9" i="101"/>
  <c r="L83" i="101"/>
  <c r="L81" i="101"/>
  <c r="Y12" i="101" s="1"/>
  <c r="L79" i="101"/>
  <c r="L68" i="101"/>
  <c r="L66" i="101"/>
  <c r="L64" i="101"/>
  <c r="L62" i="101"/>
  <c r="L58" i="101"/>
  <c r="L56" i="101"/>
  <c r="L54" i="101"/>
  <c r="L52" i="101"/>
  <c r="L50" i="101"/>
  <c r="L48" i="101"/>
  <c r="L46" i="101"/>
  <c r="L44" i="101"/>
  <c r="L42" i="101"/>
  <c r="L40" i="101"/>
  <c r="L38" i="101"/>
  <c r="L34" i="101"/>
  <c r="L32" i="101"/>
  <c r="L30" i="101"/>
  <c r="L28" i="101"/>
  <c r="L26" i="101"/>
  <c r="L24" i="101"/>
  <c r="L21" i="101"/>
  <c r="L14" i="101"/>
  <c r="L12" i="101"/>
  <c r="Q70" i="76"/>
  <c r="P82" i="76"/>
  <c r="P76" i="76"/>
  <c r="P72" i="76"/>
  <c r="Q82" i="76"/>
  <c r="Q78" i="76"/>
  <c r="P80" i="76"/>
  <c r="P78" i="76"/>
  <c r="P74" i="76"/>
  <c r="P70" i="76"/>
  <c r="O82" i="76"/>
  <c r="O80" i="76"/>
  <c r="O78" i="76"/>
  <c r="O76" i="76"/>
  <c r="O74" i="76"/>
  <c r="O72" i="76"/>
  <c r="Q76" i="76"/>
  <c r="R81" i="76"/>
  <c r="R79" i="76"/>
  <c r="R73" i="76"/>
  <c r="R71" i="76"/>
  <c r="Q74" i="76"/>
  <c r="R77" i="76"/>
  <c r="Q81" i="76"/>
  <c r="Q79" i="76"/>
  <c r="Q77" i="76"/>
  <c r="Q75" i="76"/>
  <c r="Q73" i="76"/>
  <c r="Q71" i="76"/>
  <c r="Q80" i="76"/>
  <c r="R75" i="76"/>
  <c r="P79" i="76"/>
  <c r="P77" i="76"/>
  <c r="P75" i="76"/>
  <c r="P73" i="76"/>
  <c r="P71" i="76"/>
  <c r="O81" i="76"/>
  <c r="O77" i="76"/>
  <c r="O75" i="76"/>
  <c r="O73" i="76"/>
  <c r="Q72" i="76"/>
  <c r="R82" i="76"/>
  <c r="R80" i="76"/>
  <c r="R78" i="76"/>
  <c r="R76" i="76"/>
  <c r="R74" i="76"/>
  <c r="R72" i="76"/>
  <c r="R70" i="76"/>
  <c r="N74" i="76" l="1"/>
  <c r="N71" i="76"/>
  <c r="N79" i="76"/>
  <c r="N75" i="76"/>
  <c r="N77" i="76"/>
  <c r="N76" i="76"/>
  <c r="N81" i="76"/>
  <c r="N78" i="76"/>
  <c r="L341" i="101"/>
  <c r="N80" i="76"/>
  <c r="N82" i="76"/>
  <c r="N70" i="76"/>
  <c r="N73" i="76"/>
  <c r="N72" i="76"/>
  <c r="D75" i="91"/>
  <c r="D76" i="91"/>
  <c r="D84" i="91" s="1"/>
  <c r="S11" i="101"/>
  <c r="S14" i="101"/>
  <c r="Y14" i="101"/>
  <c r="T14" i="101" s="1"/>
  <c r="G75" i="85"/>
  <c r="E73" i="85"/>
  <c r="T13" i="101"/>
  <c r="U13" i="101" s="1"/>
  <c r="W13" i="101" s="1"/>
  <c r="T12" i="101"/>
  <c r="S12" i="101"/>
  <c r="Y11" i="101"/>
  <c r="U14" i="101" l="1"/>
  <c r="W14" i="101" s="1"/>
  <c r="D83" i="91"/>
  <c r="U12" i="101"/>
  <c r="W12" i="101" s="1"/>
  <c r="T11" i="101"/>
  <c r="Y15" i="101"/>
  <c r="X13" i="101"/>
  <c r="S15" i="101"/>
  <c r="N18" i="66"/>
  <c r="AL18" i="66" s="1"/>
  <c r="N19" i="66"/>
  <c r="AL19" i="66" s="1"/>
  <c r="N17" i="66"/>
  <c r="AL17" i="66" s="1"/>
  <c r="P18" i="66"/>
  <c r="P19" i="66"/>
  <c r="P17" i="66"/>
  <c r="O18" i="66"/>
  <c r="O19" i="66"/>
  <c r="O17" i="66"/>
  <c r="M18" i="66"/>
  <c r="M19" i="66"/>
  <c r="M17" i="66"/>
  <c r="D14" i="91" l="1"/>
  <c r="X14" i="101"/>
  <c r="X12" i="101"/>
  <c r="T15" i="101"/>
  <c r="U11" i="101"/>
  <c r="T13" i="66"/>
  <c r="T14" i="66"/>
  <c r="T15" i="66"/>
  <c r="T16" i="66"/>
  <c r="T17" i="66"/>
  <c r="T18" i="66"/>
  <c r="T19" i="66"/>
  <c r="T20" i="66"/>
  <c r="T21" i="66"/>
  <c r="T22" i="66"/>
  <c r="T23" i="66"/>
  <c r="T24" i="66"/>
  <c r="T25" i="66"/>
  <c r="T26" i="66"/>
  <c r="T27" i="66"/>
  <c r="T28" i="66"/>
  <c r="T29" i="66"/>
  <c r="T30" i="66"/>
  <c r="T12" i="66"/>
  <c r="S13" i="66"/>
  <c r="S14" i="66"/>
  <c r="S15" i="66"/>
  <c r="S16" i="66"/>
  <c r="S17" i="66"/>
  <c r="S18" i="66"/>
  <c r="S19" i="66"/>
  <c r="S20" i="66"/>
  <c r="S21" i="66"/>
  <c r="S22" i="66"/>
  <c r="S23" i="66"/>
  <c r="S24" i="66"/>
  <c r="S25" i="66"/>
  <c r="S26" i="66"/>
  <c r="S27" i="66"/>
  <c r="S28" i="66"/>
  <c r="S29" i="66"/>
  <c r="S30" i="66"/>
  <c r="S12" i="66"/>
  <c r="R22" i="66"/>
  <c r="R23" i="66"/>
  <c r="I31" i="66"/>
  <c r="J31" i="66"/>
  <c r="K31" i="66"/>
  <c r="H31" i="66"/>
  <c r="U31" i="66"/>
  <c r="W31" i="66"/>
  <c r="X31" i="66"/>
  <c r="Y31" i="66"/>
  <c r="AA31" i="66"/>
  <c r="AB31" i="66"/>
  <c r="AC31" i="66"/>
  <c r="AE31" i="66"/>
  <c r="AF31" i="66"/>
  <c r="AG31" i="66"/>
  <c r="AI31" i="66"/>
  <c r="AJ31" i="66"/>
  <c r="M22" i="66"/>
  <c r="N22" i="66"/>
  <c r="AL22" i="66" s="1"/>
  <c r="O22" i="66"/>
  <c r="P22" i="66"/>
  <c r="M23" i="66"/>
  <c r="N23" i="66"/>
  <c r="AL23" i="66" s="1"/>
  <c r="O23" i="66"/>
  <c r="P23" i="66"/>
  <c r="P13" i="66"/>
  <c r="P14" i="66"/>
  <c r="P15" i="66"/>
  <c r="P16" i="66"/>
  <c r="P20" i="66"/>
  <c r="P21" i="66"/>
  <c r="P24" i="66"/>
  <c r="P25" i="66"/>
  <c r="P26" i="66"/>
  <c r="P27" i="66"/>
  <c r="P28" i="66"/>
  <c r="P29" i="66"/>
  <c r="P30" i="66"/>
  <c r="O13" i="66"/>
  <c r="O14" i="66"/>
  <c r="O15" i="66"/>
  <c r="O16" i="66"/>
  <c r="O20" i="66"/>
  <c r="O21" i="66"/>
  <c r="O24" i="66"/>
  <c r="O25" i="66"/>
  <c r="O26" i="66"/>
  <c r="O27" i="66"/>
  <c r="O28" i="66"/>
  <c r="O29" i="66"/>
  <c r="O30" i="66"/>
  <c r="N13" i="66"/>
  <c r="AL13" i="66" s="1"/>
  <c r="N14" i="66"/>
  <c r="AL14" i="66" s="1"/>
  <c r="N15" i="66"/>
  <c r="AL15" i="66" s="1"/>
  <c r="N16" i="66"/>
  <c r="AL16" i="66" s="1"/>
  <c r="N20" i="66"/>
  <c r="AL20" i="66" s="1"/>
  <c r="N21" i="66"/>
  <c r="AL21" i="66" s="1"/>
  <c r="N24" i="66"/>
  <c r="AL24" i="66" s="1"/>
  <c r="N25" i="66"/>
  <c r="AL25" i="66" s="1"/>
  <c r="N26" i="66"/>
  <c r="AL26" i="66" s="1"/>
  <c r="N27" i="66"/>
  <c r="AL27" i="66" s="1"/>
  <c r="N28" i="66"/>
  <c r="AL28" i="66" s="1"/>
  <c r="N29" i="66"/>
  <c r="AL29" i="66" s="1"/>
  <c r="N30" i="66"/>
  <c r="AL30" i="66" s="1"/>
  <c r="M13" i="66"/>
  <c r="M14" i="66"/>
  <c r="M15" i="66"/>
  <c r="M16" i="66"/>
  <c r="M20" i="66"/>
  <c r="M21" i="66"/>
  <c r="M24" i="66"/>
  <c r="M25" i="66"/>
  <c r="M26" i="66"/>
  <c r="M27" i="66"/>
  <c r="M28" i="66"/>
  <c r="M29" i="66"/>
  <c r="M30" i="66"/>
  <c r="AL31" i="66" l="1"/>
  <c r="T31" i="66"/>
  <c r="U15" i="101"/>
  <c r="W11" i="101"/>
  <c r="W15" i="101" s="1"/>
  <c r="E35" i="85" s="1"/>
  <c r="X11" i="101"/>
  <c r="X15" i="101" s="1"/>
  <c r="Q31" i="66"/>
  <c r="S31" i="66"/>
  <c r="G35" i="85" l="1"/>
  <c r="E33" i="85"/>
  <c r="H18" i="95"/>
  <c r="H20" i="95"/>
  <c r="H21" i="95"/>
  <c r="H19" i="95"/>
  <c r="G21" i="95"/>
  <c r="G20" i="95"/>
  <c r="G19" i="95"/>
  <c r="G18" i="95"/>
  <c r="I21" i="95"/>
  <c r="I20" i="95"/>
  <c r="I19" i="95"/>
  <c r="I18" i="95"/>
  <c r="D18" i="95"/>
  <c r="D20" i="95"/>
  <c r="D19" i="95"/>
  <c r="D21" i="95"/>
  <c r="D46" i="91" l="1"/>
  <c r="H17" i="88" l="1"/>
  <c r="F45" i="63" l="1"/>
  <c r="F66" i="63"/>
  <c r="F87" i="63"/>
  <c r="F96" i="63"/>
  <c r="F54" i="63"/>
  <c r="F75" i="63"/>
  <c r="F39" i="63"/>
  <c r="F81" i="63"/>
  <c r="F60" i="63"/>
  <c r="F47" i="63"/>
  <c r="F89" i="63"/>
  <c r="F68" i="63"/>
  <c r="F98" i="63"/>
  <c r="F100" i="63"/>
  <c r="F99" i="63"/>
  <c r="F53" i="63"/>
  <c r="F74" i="63"/>
  <c r="F95" i="63"/>
  <c r="F88" i="63"/>
  <c r="F67" i="63"/>
  <c r="F46" i="63"/>
  <c r="F105" i="63"/>
  <c r="F107" i="63"/>
  <c r="F62" i="63"/>
  <c r="F41" i="63"/>
  <c r="F83" i="63"/>
  <c r="F55" i="63"/>
  <c r="F76" i="63"/>
  <c r="F34" i="63"/>
  <c r="F63" i="63"/>
  <c r="F84" i="63"/>
  <c r="F42" i="63"/>
  <c r="F71" i="63"/>
  <c r="F50" i="63"/>
  <c r="F92" i="63"/>
  <c r="F37" i="63"/>
  <c r="F79" i="63"/>
  <c r="F58" i="63"/>
  <c r="F80" i="63"/>
  <c r="F59" i="63"/>
  <c r="F38" i="63"/>
  <c r="F40" i="63"/>
  <c r="F61" i="63"/>
  <c r="F82" i="63"/>
  <c r="F64" i="63"/>
  <c r="F43" i="63"/>
  <c r="F85" i="63"/>
  <c r="F48" i="63"/>
  <c r="F69" i="63"/>
  <c r="F90" i="63"/>
  <c r="F70" i="63"/>
  <c r="F49" i="63"/>
  <c r="F91" i="63"/>
  <c r="F56" i="63"/>
  <c r="F35" i="63"/>
  <c r="F77" i="63"/>
  <c r="F51" i="63"/>
  <c r="F93" i="63"/>
  <c r="F72" i="63"/>
  <c r="F57" i="63"/>
  <c r="F36" i="63"/>
  <c r="F78" i="63"/>
  <c r="F65" i="63"/>
  <c r="F44" i="63"/>
  <c r="F86" i="63"/>
  <c r="F73" i="63"/>
  <c r="F94" i="63"/>
  <c r="F52" i="63"/>
  <c r="E18" i="88"/>
  <c r="E51" i="88"/>
  <c r="D51" i="88"/>
  <c r="E50" i="88"/>
  <c r="D50" i="88"/>
  <c r="E49" i="88"/>
  <c r="D49" i="88"/>
  <c r="E48" i="88"/>
  <c r="D48" i="88"/>
  <c r="E46" i="88"/>
  <c r="D46" i="88"/>
  <c r="E45" i="88"/>
  <c r="D45" i="88"/>
  <c r="E44" i="88"/>
  <c r="D44" i="88"/>
  <c r="E43" i="88"/>
  <c r="D43" i="88"/>
  <c r="E41" i="88"/>
  <c r="D41" i="88"/>
  <c r="E40" i="88"/>
  <c r="D40" i="88"/>
  <c r="E39" i="88"/>
  <c r="D39" i="88"/>
  <c r="E38" i="88"/>
  <c r="D38" i="88"/>
  <c r="E36" i="88"/>
  <c r="D36" i="88"/>
  <c r="E35" i="88"/>
  <c r="D35" i="88"/>
  <c r="E34" i="88"/>
  <c r="D34" i="88"/>
  <c r="E33" i="88"/>
  <c r="D33" i="88"/>
  <c r="E31" i="88"/>
  <c r="D31" i="88"/>
  <c r="E30" i="88"/>
  <c r="D30" i="88"/>
  <c r="E29" i="88"/>
  <c r="D29" i="88"/>
  <c r="E28" i="88"/>
  <c r="D28" i="88"/>
  <c r="E26" i="88"/>
  <c r="D26" i="88"/>
  <c r="E25" i="88"/>
  <c r="D25" i="88"/>
  <c r="E24" i="88"/>
  <c r="D24" i="88"/>
  <c r="E23" i="88"/>
  <c r="D23" i="88"/>
  <c r="D19" i="88"/>
  <c r="E19" i="88"/>
  <c r="D20" i="88"/>
  <c r="E20" i="88"/>
  <c r="E21" i="88"/>
  <c r="C6" i="88"/>
  <c r="D12" i="88"/>
  <c r="I12" i="88" s="1"/>
  <c r="E12" i="88"/>
  <c r="D15" i="91" l="1"/>
  <c r="D16" i="91"/>
  <c r="D17" i="91"/>
  <c r="BC18" i="70"/>
  <c r="BD18" i="70"/>
  <c r="BE18" i="70"/>
  <c r="BF18" i="70"/>
  <c r="BG18" i="70"/>
  <c r="BC19" i="70"/>
  <c r="BD19" i="70"/>
  <c r="BE19" i="70"/>
  <c r="BF19" i="70"/>
  <c r="BG19" i="70"/>
  <c r="BA19" i="70" s="1"/>
  <c r="BC20" i="70"/>
  <c r="BD20" i="70"/>
  <c r="BE20" i="70"/>
  <c r="BF20" i="70"/>
  <c r="BG20" i="70"/>
  <c r="BC21" i="70"/>
  <c r="BD21" i="70"/>
  <c r="BE21" i="70"/>
  <c r="BF21" i="70"/>
  <c r="BG21" i="70"/>
  <c r="BC22" i="70"/>
  <c r="BD22" i="70"/>
  <c r="BE22" i="70"/>
  <c r="BF22" i="70"/>
  <c r="BG22" i="70"/>
  <c r="BC23" i="70"/>
  <c r="BD23" i="70"/>
  <c r="BE23" i="70"/>
  <c r="BF23" i="70"/>
  <c r="BG23" i="70"/>
  <c r="BC24" i="70"/>
  <c r="BD24" i="70"/>
  <c r="BE24" i="70"/>
  <c r="BF24" i="70"/>
  <c r="BG24" i="70"/>
  <c r="BC25" i="70"/>
  <c r="BD25" i="70"/>
  <c r="BE25" i="70"/>
  <c r="BF25" i="70"/>
  <c r="BG25" i="70"/>
  <c r="BC26" i="70"/>
  <c r="BD26" i="70"/>
  <c r="BE26" i="70"/>
  <c r="BF26" i="70"/>
  <c r="BG26" i="70"/>
  <c r="BC27" i="70"/>
  <c r="BD27" i="70"/>
  <c r="BE27" i="70"/>
  <c r="BF27" i="70"/>
  <c r="BG27" i="70"/>
  <c r="BC28" i="70"/>
  <c r="BD28" i="70"/>
  <c r="BE28" i="70"/>
  <c r="BF28" i="70"/>
  <c r="BG28" i="70"/>
  <c r="BC29" i="70"/>
  <c r="BD29" i="70"/>
  <c r="BE29" i="70"/>
  <c r="BF29" i="70"/>
  <c r="BG29" i="70"/>
  <c r="BC30" i="70"/>
  <c r="BD30" i="70"/>
  <c r="BE30" i="70"/>
  <c r="BF30" i="70"/>
  <c r="BG30" i="70"/>
  <c r="BC31" i="70"/>
  <c r="BD31" i="70"/>
  <c r="BE31" i="70"/>
  <c r="BF31" i="70"/>
  <c r="BG31" i="70"/>
  <c r="BC32" i="70"/>
  <c r="BD32" i="70"/>
  <c r="BE32" i="70"/>
  <c r="BF32" i="70"/>
  <c r="BG32" i="70"/>
  <c r="BC33" i="70"/>
  <c r="BD33" i="70"/>
  <c r="BE33" i="70"/>
  <c r="BF33" i="70"/>
  <c r="BG33" i="70"/>
  <c r="BC34" i="70"/>
  <c r="BD34" i="70"/>
  <c r="BE34" i="70"/>
  <c r="BF34" i="70"/>
  <c r="BG34" i="70"/>
  <c r="BC35" i="70"/>
  <c r="BD35" i="70"/>
  <c r="BE35" i="70"/>
  <c r="BF35" i="70"/>
  <c r="BG35" i="70"/>
  <c r="BC36" i="70"/>
  <c r="BD36" i="70"/>
  <c r="BE36" i="70"/>
  <c r="BF36" i="70"/>
  <c r="BG36" i="70"/>
  <c r="BC37" i="70"/>
  <c r="BD37" i="70"/>
  <c r="BE37" i="70"/>
  <c r="BF37" i="70"/>
  <c r="BG37" i="70"/>
  <c r="BC38" i="70"/>
  <c r="BD38" i="70"/>
  <c r="BE38" i="70"/>
  <c r="BF38" i="70"/>
  <c r="BG38" i="70"/>
  <c r="BC39" i="70"/>
  <c r="BD39" i="70"/>
  <c r="BE39" i="70"/>
  <c r="BF39" i="70"/>
  <c r="BG39" i="70"/>
  <c r="BC40" i="70"/>
  <c r="BD40" i="70"/>
  <c r="BE40" i="70"/>
  <c r="BF40" i="70"/>
  <c r="BG40" i="70"/>
  <c r="BC41" i="70"/>
  <c r="BD41" i="70"/>
  <c r="BE41" i="70"/>
  <c r="BF41" i="70"/>
  <c r="BG41" i="70"/>
  <c r="BC42" i="70"/>
  <c r="BD42" i="70"/>
  <c r="BE42" i="70"/>
  <c r="BF42" i="70"/>
  <c r="BG42" i="70"/>
  <c r="BC43" i="70"/>
  <c r="BD43" i="70"/>
  <c r="BE43" i="70"/>
  <c r="BF43" i="70"/>
  <c r="BG43" i="70"/>
  <c r="BC44" i="70"/>
  <c r="BD44" i="70"/>
  <c r="BE44" i="70"/>
  <c r="BF44" i="70"/>
  <c r="BG44" i="70"/>
  <c r="BC45" i="70"/>
  <c r="BD45" i="70"/>
  <c r="BE45" i="70"/>
  <c r="BF45" i="70"/>
  <c r="BG45" i="70"/>
  <c r="BC46" i="70"/>
  <c r="BD46" i="70"/>
  <c r="BE46" i="70"/>
  <c r="BF46" i="70"/>
  <c r="BG46" i="70"/>
  <c r="BC47" i="70"/>
  <c r="BD47" i="70"/>
  <c r="BE47" i="70"/>
  <c r="BF47" i="70"/>
  <c r="BG47" i="70"/>
  <c r="BC48" i="70"/>
  <c r="BD48" i="70"/>
  <c r="BE48" i="70"/>
  <c r="BF48" i="70"/>
  <c r="BG48" i="70"/>
  <c r="BC49" i="70"/>
  <c r="BD49" i="70"/>
  <c r="BE49" i="70"/>
  <c r="BF49" i="70"/>
  <c r="BG49" i="70"/>
  <c r="BC50" i="70"/>
  <c r="BD50" i="70"/>
  <c r="BE50" i="70"/>
  <c r="BF50" i="70"/>
  <c r="BG50" i="70"/>
  <c r="BC51" i="70"/>
  <c r="BD51" i="70"/>
  <c r="BE51" i="70"/>
  <c r="BF51" i="70"/>
  <c r="BG51" i="70"/>
  <c r="BC52" i="70"/>
  <c r="BD52" i="70"/>
  <c r="BE52" i="70"/>
  <c r="BF52" i="70"/>
  <c r="BG52" i="70"/>
  <c r="BC53" i="70"/>
  <c r="BD53" i="70"/>
  <c r="BE53" i="70"/>
  <c r="BF53" i="70"/>
  <c r="BG53" i="70"/>
  <c r="BC54" i="70"/>
  <c r="BD54" i="70"/>
  <c r="BE54" i="70"/>
  <c r="BF54" i="70"/>
  <c r="BG54" i="70"/>
  <c r="BC55" i="70"/>
  <c r="BD55" i="70"/>
  <c r="BE55" i="70"/>
  <c r="BF55" i="70"/>
  <c r="BG55" i="70"/>
  <c r="BC56" i="70"/>
  <c r="BD56" i="70"/>
  <c r="BE56" i="70"/>
  <c r="BF56" i="70"/>
  <c r="BG56" i="70"/>
  <c r="BC57" i="70"/>
  <c r="BD57" i="70"/>
  <c r="BE57" i="70"/>
  <c r="BF57" i="70"/>
  <c r="BG57" i="70"/>
  <c r="BC58" i="70"/>
  <c r="BD58" i="70"/>
  <c r="BE58" i="70"/>
  <c r="BF58" i="70"/>
  <c r="BG58" i="70"/>
  <c r="BC59" i="70"/>
  <c r="BD59" i="70"/>
  <c r="BE59" i="70"/>
  <c r="BF59" i="70"/>
  <c r="BG59" i="70"/>
  <c r="BC60" i="70"/>
  <c r="BD60" i="70"/>
  <c r="BE60" i="70"/>
  <c r="BF60" i="70"/>
  <c r="BG60" i="70"/>
  <c r="BC61" i="70"/>
  <c r="BD61" i="70"/>
  <c r="BE61" i="70"/>
  <c r="BF61" i="70"/>
  <c r="BG61" i="70"/>
  <c r="BC62" i="70"/>
  <c r="BD62" i="70"/>
  <c r="BE62" i="70"/>
  <c r="BF62" i="70"/>
  <c r="BG62" i="70"/>
  <c r="BC63" i="70"/>
  <c r="BD63" i="70"/>
  <c r="BE63" i="70"/>
  <c r="BF63" i="70"/>
  <c r="BG63" i="70"/>
  <c r="BC64" i="70"/>
  <c r="BD64" i="70"/>
  <c r="BE64" i="70"/>
  <c r="BF64" i="70"/>
  <c r="BG64" i="70"/>
  <c r="BC65" i="70"/>
  <c r="BD65" i="70"/>
  <c r="BE65" i="70"/>
  <c r="BF65" i="70"/>
  <c r="BG65" i="70"/>
  <c r="BC66" i="70"/>
  <c r="BD66" i="70"/>
  <c r="BE66" i="70"/>
  <c r="BF66" i="70"/>
  <c r="BG66" i="70"/>
  <c r="BC67" i="70"/>
  <c r="BD67" i="70"/>
  <c r="BE67" i="70"/>
  <c r="BF67" i="70"/>
  <c r="BG67" i="70"/>
  <c r="BC68" i="70"/>
  <c r="BD68" i="70"/>
  <c r="BE68" i="70"/>
  <c r="BF68" i="70"/>
  <c r="BG68" i="70"/>
  <c r="BC69" i="70"/>
  <c r="BD69" i="70"/>
  <c r="BE69" i="70"/>
  <c r="BF69" i="70"/>
  <c r="BG69" i="70"/>
  <c r="BC70" i="70"/>
  <c r="BD70" i="70"/>
  <c r="BE70" i="70"/>
  <c r="BF70" i="70"/>
  <c r="BG70" i="70"/>
  <c r="BC71" i="70"/>
  <c r="BD71" i="70"/>
  <c r="BE71" i="70"/>
  <c r="BF71" i="70"/>
  <c r="BC72" i="70"/>
  <c r="BD72" i="70"/>
  <c r="BE72" i="70"/>
  <c r="BF72" i="70"/>
  <c r="BG72" i="70"/>
  <c r="BC73" i="70"/>
  <c r="BD73" i="70"/>
  <c r="BE73" i="70"/>
  <c r="BF73" i="70"/>
  <c r="BG73" i="70"/>
  <c r="BC74" i="70"/>
  <c r="BD74" i="70"/>
  <c r="BE74" i="70"/>
  <c r="BF74" i="70"/>
  <c r="BG74" i="70"/>
  <c r="BC75" i="70"/>
  <c r="BD75" i="70"/>
  <c r="BE75" i="70"/>
  <c r="BF75" i="70"/>
  <c r="BG75" i="70"/>
  <c r="BC76" i="70"/>
  <c r="BD76" i="70"/>
  <c r="BE76" i="70"/>
  <c r="BF76" i="70"/>
  <c r="BG76" i="70"/>
  <c r="BC78" i="70"/>
  <c r="BD78" i="70"/>
  <c r="BE78" i="70"/>
  <c r="BF78" i="70"/>
  <c r="BG78" i="70"/>
  <c r="BC79" i="70"/>
  <c r="BD79" i="70"/>
  <c r="BE79" i="70"/>
  <c r="BF79" i="70"/>
  <c r="BG79" i="70"/>
  <c r="BC80" i="70"/>
  <c r="BD80" i="70"/>
  <c r="BE80" i="70"/>
  <c r="BF80" i="70"/>
  <c r="BG80" i="70"/>
  <c r="BC81" i="70"/>
  <c r="BD81" i="70"/>
  <c r="BE81" i="70"/>
  <c r="BF81" i="70"/>
  <c r="BG81" i="70"/>
  <c r="BC82" i="70"/>
  <c r="BD82" i="70"/>
  <c r="BE82" i="70"/>
  <c r="BF82" i="70"/>
  <c r="BG82" i="70"/>
  <c r="BC84" i="70"/>
  <c r="BD84" i="70"/>
  <c r="BE84" i="70"/>
  <c r="BF84" i="70"/>
  <c r="BG84" i="70"/>
  <c r="BC85" i="70"/>
  <c r="BD85" i="70"/>
  <c r="BE85" i="70"/>
  <c r="BF85" i="70"/>
  <c r="BG85" i="70"/>
  <c r="BC86" i="70"/>
  <c r="BD86" i="70"/>
  <c r="BE86" i="70"/>
  <c r="BF86" i="70"/>
  <c r="BG86" i="70"/>
  <c r="BC87" i="70"/>
  <c r="BD87" i="70"/>
  <c r="BE87" i="70"/>
  <c r="BF87" i="70"/>
  <c r="BG87" i="70"/>
  <c r="BC88" i="70"/>
  <c r="BD88" i="70"/>
  <c r="BE88" i="70"/>
  <c r="BF88" i="70"/>
  <c r="BG88" i="70"/>
  <c r="BC89" i="70"/>
  <c r="BD89" i="70"/>
  <c r="BE89" i="70"/>
  <c r="BF89" i="70"/>
  <c r="BG89" i="70"/>
  <c r="BC90" i="70"/>
  <c r="BD90" i="70"/>
  <c r="BE90" i="70"/>
  <c r="BF90" i="70"/>
  <c r="BG90" i="70"/>
  <c r="BC91" i="70"/>
  <c r="BD91" i="70"/>
  <c r="BE91" i="70"/>
  <c r="BF91" i="70"/>
  <c r="BG91" i="70"/>
  <c r="BC92" i="70"/>
  <c r="BD92" i="70"/>
  <c r="BE92" i="70"/>
  <c r="BF92" i="70"/>
  <c r="BG92" i="70"/>
  <c r="BC93" i="70"/>
  <c r="BD93" i="70"/>
  <c r="BE93" i="70"/>
  <c r="BF93" i="70"/>
  <c r="BG93" i="70"/>
  <c r="BC94" i="70"/>
  <c r="BD94" i="70"/>
  <c r="BE94" i="70"/>
  <c r="BF94" i="70"/>
  <c r="BG94" i="70"/>
  <c r="BC95" i="70"/>
  <c r="BD95" i="70"/>
  <c r="BE95" i="70"/>
  <c r="BF95" i="70"/>
  <c r="BG95" i="70"/>
  <c r="BC96" i="70"/>
  <c r="BD96" i="70"/>
  <c r="BE96" i="70"/>
  <c r="BF96" i="70"/>
  <c r="BG96" i="70"/>
  <c r="BC97" i="70"/>
  <c r="BD97" i="70"/>
  <c r="BE97" i="70"/>
  <c r="BF97" i="70"/>
  <c r="BG97" i="70"/>
  <c r="BC98" i="70"/>
  <c r="BD98" i="70"/>
  <c r="BE98" i="70"/>
  <c r="BF98" i="70"/>
  <c r="BG98" i="70"/>
  <c r="BC99" i="70"/>
  <c r="BD99" i="70"/>
  <c r="BE99" i="70"/>
  <c r="BF99" i="70"/>
  <c r="BG99" i="70"/>
  <c r="BC100" i="70"/>
  <c r="BD100" i="70"/>
  <c r="BE100" i="70"/>
  <c r="BF100" i="70"/>
  <c r="BG100" i="70"/>
  <c r="BC101" i="70"/>
  <c r="BD101" i="70"/>
  <c r="BE101" i="70"/>
  <c r="BF101" i="70"/>
  <c r="BG101" i="70"/>
  <c r="BC102" i="70"/>
  <c r="BD102" i="70"/>
  <c r="BE102" i="70"/>
  <c r="BF102" i="70"/>
  <c r="BG102" i="70"/>
  <c r="BC103" i="70"/>
  <c r="BD103" i="70"/>
  <c r="BE103" i="70"/>
  <c r="BF103" i="70"/>
  <c r="BG103" i="70"/>
  <c r="BC104" i="70"/>
  <c r="BD104" i="70"/>
  <c r="BE104" i="70"/>
  <c r="BF104" i="70"/>
  <c r="BG104" i="70"/>
  <c r="BC105" i="70"/>
  <c r="BD105" i="70"/>
  <c r="BE105" i="70"/>
  <c r="BF105" i="70"/>
  <c r="BG105" i="70"/>
  <c r="BC106" i="70"/>
  <c r="BD106" i="70"/>
  <c r="BE106" i="70"/>
  <c r="BF106" i="70"/>
  <c r="BG106" i="70"/>
  <c r="BC107" i="70"/>
  <c r="BD107" i="70"/>
  <c r="BE107" i="70"/>
  <c r="BF107" i="70"/>
  <c r="BG107" i="70"/>
  <c r="BC108" i="70"/>
  <c r="BD108" i="70"/>
  <c r="BE108" i="70"/>
  <c r="BF108" i="70"/>
  <c r="BG108" i="70"/>
  <c r="BC109" i="70"/>
  <c r="BD109" i="70"/>
  <c r="BE109" i="70"/>
  <c r="BF109" i="70"/>
  <c r="BG109" i="70"/>
  <c r="BC110" i="70"/>
  <c r="BD110" i="70"/>
  <c r="BE110" i="70"/>
  <c r="BF110" i="70"/>
  <c r="BG110" i="70"/>
  <c r="BC111" i="70"/>
  <c r="BD111" i="70"/>
  <c r="BE111" i="70"/>
  <c r="BF111" i="70"/>
  <c r="BG111" i="70"/>
  <c r="BC112" i="70"/>
  <c r="BD112" i="70"/>
  <c r="BE112" i="70"/>
  <c r="BF112" i="70"/>
  <c r="BG112" i="70"/>
  <c r="BC113" i="70"/>
  <c r="BD113" i="70"/>
  <c r="BE113" i="70"/>
  <c r="BF113" i="70"/>
  <c r="BG113" i="70"/>
  <c r="BC114" i="70"/>
  <c r="BD114" i="70"/>
  <c r="BE114" i="70"/>
  <c r="BF114" i="70"/>
  <c r="BG114" i="70"/>
  <c r="BC115" i="70"/>
  <c r="BD115" i="70"/>
  <c r="BE115" i="70"/>
  <c r="BF115" i="70"/>
  <c r="BG115" i="70"/>
  <c r="BC116" i="70"/>
  <c r="BD116" i="70"/>
  <c r="BE116" i="70"/>
  <c r="BF116" i="70"/>
  <c r="BG116" i="70"/>
  <c r="BC117" i="70"/>
  <c r="BD117" i="70"/>
  <c r="BE117" i="70"/>
  <c r="BF117" i="70"/>
  <c r="BG117" i="70"/>
  <c r="BC118" i="70"/>
  <c r="BD118" i="70"/>
  <c r="BE118" i="70"/>
  <c r="BF118" i="70"/>
  <c r="BG118" i="70"/>
  <c r="BC119" i="70"/>
  <c r="BD119" i="70"/>
  <c r="BE119" i="70"/>
  <c r="BF119" i="70"/>
  <c r="BG119" i="70"/>
  <c r="BC120" i="70"/>
  <c r="BD120" i="70"/>
  <c r="BE120" i="70"/>
  <c r="BF120" i="70"/>
  <c r="BG120" i="70"/>
  <c r="BC121" i="70"/>
  <c r="BD121" i="70"/>
  <c r="BE121" i="70"/>
  <c r="BF121" i="70"/>
  <c r="BG121" i="70"/>
  <c r="BC122" i="70"/>
  <c r="BD122" i="70"/>
  <c r="BE122" i="70"/>
  <c r="BF122" i="70"/>
  <c r="BG122" i="70"/>
  <c r="BC123" i="70"/>
  <c r="BD123" i="70"/>
  <c r="BE123" i="70"/>
  <c r="BF123" i="70"/>
  <c r="BG123" i="70"/>
  <c r="BC124" i="70"/>
  <c r="BD124" i="70"/>
  <c r="BE124" i="70"/>
  <c r="BF124" i="70"/>
  <c r="BG124" i="70"/>
  <c r="BC125" i="70"/>
  <c r="BD125" i="70"/>
  <c r="BE125" i="70"/>
  <c r="BF125" i="70"/>
  <c r="BG125" i="70"/>
  <c r="BC126" i="70"/>
  <c r="BD126" i="70"/>
  <c r="BE126" i="70"/>
  <c r="BF126" i="70"/>
  <c r="BG126" i="70"/>
  <c r="BC127" i="70"/>
  <c r="BD127" i="70"/>
  <c r="BE127" i="70"/>
  <c r="BF127" i="70"/>
  <c r="BG127" i="70"/>
  <c r="BC128" i="70"/>
  <c r="BD128" i="70"/>
  <c r="BE128" i="70"/>
  <c r="BF128" i="70"/>
  <c r="BG128" i="70"/>
  <c r="BC129" i="70"/>
  <c r="BD129" i="70"/>
  <c r="BE129" i="70"/>
  <c r="BF129" i="70"/>
  <c r="BG129" i="70"/>
  <c r="BC130" i="70"/>
  <c r="BD130" i="70"/>
  <c r="BE130" i="70"/>
  <c r="BF130" i="70"/>
  <c r="BG130" i="70"/>
  <c r="BC131" i="70"/>
  <c r="BD131" i="70"/>
  <c r="BE131" i="70"/>
  <c r="BF131" i="70"/>
  <c r="BG131" i="70"/>
  <c r="BC132" i="70"/>
  <c r="BD132" i="70"/>
  <c r="BE132" i="70"/>
  <c r="BF132" i="70"/>
  <c r="BG132" i="70"/>
  <c r="BC133" i="70"/>
  <c r="BD133" i="70"/>
  <c r="BE133" i="70"/>
  <c r="BF133" i="70"/>
  <c r="BG133" i="70"/>
  <c r="BC134" i="70"/>
  <c r="BD134" i="70"/>
  <c r="BE134" i="70"/>
  <c r="BF134" i="70"/>
  <c r="BG134" i="70"/>
  <c r="BC135" i="70"/>
  <c r="BD135" i="70"/>
  <c r="BE135" i="70"/>
  <c r="BF135" i="70"/>
  <c r="BG135" i="70"/>
  <c r="BC136" i="70"/>
  <c r="BD136" i="70"/>
  <c r="BE136" i="70"/>
  <c r="BF136" i="70"/>
  <c r="BG136" i="70"/>
  <c r="BC137" i="70"/>
  <c r="BD137" i="70"/>
  <c r="BE137" i="70"/>
  <c r="BF137" i="70"/>
  <c r="BG137" i="70"/>
  <c r="BC138" i="70"/>
  <c r="BD138" i="70"/>
  <c r="BE138" i="70"/>
  <c r="BF138" i="70"/>
  <c r="BG138" i="70"/>
  <c r="BC139" i="70"/>
  <c r="BD139" i="70"/>
  <c r="BE139" i="70"/>
  <c r="BF139" i="70"/>
  <c r="BG139" i="70"/>
  <c r="BC140" i="70"/>
  <c r="BD140" i="70"/>
  <c r="BE140" i="70"/>
  <c r="BF140" i="70"/>
  <c r="BG140" i="70"/>
  <c r="BC141" i="70"/>
  <c r="BD141" i="70"/>
  <c r="BE141" i="70"/>
  <c r="BF141" i="70"/>
  <c r="BG141" i="70"/>
  <c r="BC142" i="70"/>
  <c r="BD142" i="70"/>
  <c r="BE142" i="70"/>
  <c r="BF142" i="70"/>
  <c r="BG142" i="70"/>
  <c r="BC143" i="70"/>
  <c r="BD143" i="70"/>
  <c r="BE143" i="70"/>
  <c r="BF143" i="70"/>
  <c r="BG143" i="70"/>
  <c r="BC144" i="70"/>
  <c r="BD144" i="70"/>
  <c r="BE144" i="70"/>
  <c r="BF144" i="70"/>
  <c r="BG144" i="70"/>
  <c r="BC145" i="70"/>
  <c r="BD145" i="70"/>
  <c r="BE145" i="70"/>
  <c r="BF145" i="70"/>
  <c r="BG145" i="70"/>
  <c r="BC146" i="70"/>
  <c r="BD146" i="70"/>
  <c r="BE146" i="70"/>
  <c r="BF146" i="70"/>
  <c r="BG146" i="70"/>
  <c r="BC147" i="70"/>
  <c r="BD147" i="70"/>
  <c r="BE147" i="70"/>
  <c r="BF147" i="70"/>
  <c r="BG147" i="70"/>
  <c r="BC148" i="70"/>
  <c r="BD148" i="70"/>
  <c r="BE148" i="70"/>
  <c r="BF148" i="70"/>
  <c r="BG148" i="70"/>
  <c r="BC149" i="70"/>
  <c r="BD149" i="70"/>
  <c r="BE149" i="70"/>
  <c r="BF149" i="70"/>
  <c r="BG149" i="70"/>
  <c r="BC150" i="70"/>
  <c r="BD150" i="70"/>
  <c r="BE150" i="70"/>
  <c r="BF150" i="70"/>
  <c r="BG150" i="70"/>
  <c r="BC152" i="70"/>
  <c r="BD152" i="70"/>
  <c r="BE152" i="70"/>
  <c r="BF152" i="70"/>
  <c r="BG152" i="70"/>
  <c r="BC153" i="70"/>
  <c r="BD153" i="70"/>
  <c r="BE153" i="70"/>
  <c r="BF153" i="70"/>
  <c r="BG153" i="70"/>
  <c r="BC154" i="70"/>
  <c r="BD154" i="70"/>
  <c r="BE154" i="70"/>
  <c r="BF154" i="70"/>
  <c r="BG154" i="70"/>
  <c r="BC155" i="70"/>
  <c r="BD155" i="70"/>
  <c r="BE155" i="70"/>
  <c r="BF155" i="70"/>
  <c r="BG155" i="70"/>
  <c r="BC156" i="70"/>
  <c r="BD156" i="70"/>
  <c r="BE156" i="70"/>
  <c r="BF156" i="70"/>
  <c r="BG156" i="70"/>
  <c r="BC158" i="70"/>
  <c r="BD158" i="70"/>
  <c r="BE158" i="70"/>
  <c r="BF158" i="70"/>
  <c r="BG158" i="70"/>
  <c r="BC159" i="70"/>
  <c r="BD159" i="70"/>
  <c r="BE159" i="70"/>
  <c r="BF159" i="70"/>
  <c r="BG159" i="70"/>
  <c r="BC160" i="70"/>
  <c r="BD160" i="70"/>
  <c r="BE160" i="70"/>
  <c r="BF160" i="70"/>
  <c r="BG160" i="70"/>
  <c r="BC161" i="70"/>
  <c r="BD161" i="70"/>
  <c r="BE161" i="70"/>
  <c r="BF161" i="70"/>
  <c r="BG161" i="70"/>
  <c r="BC162" i="70"/>
  <c r="BD162" i="70"/>
  <c r="BE162" i="70"/>
  <c r="BF162" i="70"/>
  <c r="BG162" i="70"/>
  <c r="BC163" i="70"/>
  <c r="BD163" i="70"/>
  <c r="BE163" i="70"/>
  <c r="BF163" i="70"/>
  <c r="BG163" i="70"/>
  <c r="BC164" i="70"/>
  <c r="BD164" i="70"/>
  <c r="BE164" i="70"/>
  <c r="BF164" i="70"/>
  <c r="BG164" i="70"/>
  <c r="BC165" i="70"/>
  <c r="BD165" i="70"/>
  <c r="BE165" i="70"/>
  <c r="BF165" i="70"/>
  <c r="BG165" i="70"/>
  <c r="BC166" i="70"/>
  <c r="BD166" i="70"/>
  <c r="BE166" i="70"/>
  <c r="BF166" i="70"/>
  <c r="BG166" i="70"/>
  <c r="BC167" i="70"/>
  <c r="BD167" i="70"/>
  <c r="BE167" i="70"/>
  <c r="BF167" i="70"/>
  <c r="BG167" i="70"/>
  <c r="BC168" i="70"/>
  <c r="BD168" i="70"/>
  <c r="BE168" i="70"/>
  <c r="BF168" i="70"/>
  <c r="BG168" i="70"/>
  <c r="BC169" i="70"/>
  <c r="BD169" i="70"/>
  <c r="BE169" i="70"/>
  <c r="BF169" i="70"/>
  <c r="BG169" i="70"/>
  <c r="BC170" i="70"/>
  <c r="BD170" i="70"/>
  <c r="BE170" i="70"/>
  <c r="BF170" i="70"/>
  <c r="BG170" i="70"/>
  <c r="BC171" i="70"/>
  <c r="BD171" i="70"/>
  <c r="BE171" i="70"/>
  <c r="BF171" i="70"/>
  <c r="BG171" i="70"/>
  <c r="BC172" i="70"/>
  <c r="BD172" i="70"/>
  <c r="BE172" i="70"/>
  <c r="BF172" i="70"/>
  <c r="BG172" i="70"/>
  <c r="BC173" i="70"/>
  <c r="BD173" i="70"/>
  <c r="BE173" i="70"/>
  <c r="BF173" i="70"/>
  <c r="BG173" i="70"/>
  <c r="BC174" i="70"/>
  <c r="BD174" i="70"/>
  <c r="BE174" i="70"/>
  <c r="BF174" i="70"/>
  <c r="BG174" i="70"/>
  <c r="BC175" i="70"/>
  <c r="BD175" i="70"/>
  <c r="BE175" i="70"/>
  <c r="BF175" i="70"/>
  <c r="BG175" i="70"/>
  <c r="BC176" i="70"/>
  <c r="BD176" i="70"/>
  <c r="BE176" i="70"/>
  <c r="BF176" i="70"/>
  <c r="BG176" i="70"/>
  <c r="BC177" i="70"/>
  <c r="BD177" i="70"/>
  <c r="BE177" i="70"/>
  <c r="BF177" i="70"/>
  <c r="BG177" i="70"/>
  <c r="BC178" i="70"/>
  <c r="BD178" i="70"/>
  <c r="BE178" i="70"/>
  <c r="BF178" i="70"/>
  <c r="BG178" i="70"/>
  <c r="BC179" i="70"/>
  <c r="BD179" i="70"/>
  <c r="BE179" i="70"/>
  <c r="BF179" i="70"/>
  <c r="BG179" i="70"/>
  <c r="BC180" i="70"/>
  <c r="BD180" i="70"/>
  <c r="BE180" i="70"/>
  <c r="BF180" i="70"/>
  <c r="BG180" i="70"/>
  <c r="BC181" i="70"/>
  <c r="BD181" i="70"/>
  <c r="BE181" i="70"/>
  <c r="BF181" i="70"/>
  <c r="BG181" i="70"/>
  <c r="BC182" i="70"/>
  <c r="BD182" i="70"/>
  <c r="BE182" i="70"/>
  <c r="BF182" i="70"/>
  <c r="BG182" i="70"/>
  <c r="BC183" i="70"/>
  <c r="BD183" i="70"/>
  <c r="BE183" i="70"/>
  <c r="BF183" i="70"/>
  <c r="BG183" i="70"/>
  <c r="BC184" i="70"/>
  <c r="BD184" i="70"/>
  <c r="BE184" i="70"/>
  <c r="BF184" i="70"/>
  <c r="BG184" i="70"/>
  <c r="BC185" i="70"/>
  <c r="BD185" i="70"/>
  <c r="BE185" i="70"/>
  <c r="BF185" i="70"/>
  <c r="BG185" i="70"/>
  <c r="BC186" i="70"/>
  <c r="BD186" i="70"/>
  <c r="BE186" i="70"/>
  <c r="BF186" i="70"/>
  <c r="BG186" i="70"/>
  <c r="BC187" i="70"/>
  <c r="BD187" i="70"/>
  <c r="BE187" i="70"/>
  <c r="BF187" i="70"/>
  <c r="BG187" i="70"/>
  <c r="BC188" i="70"/>
  <c r="BD188" i="70"/>
  <c r="BE188" i="70"/>
  <c r="BF188" i="70"/>
  <c r="BG188" i="70"/>
  <c r="BC189" i="70"/>
  <c r="BD189" i="70"/>
  <c r="BE189" i="70"/>
  <c r="BF189" i="70"/>
  <c r="BG189" i="70"/>
  <c r="BC190" i="70"/>
  <c r="BD190" i="70"/>
  <c r="BE190" i="70"/>
  <c r="BF190" i="70"/>
  <c r="BG190" i="70"/>
  <c r="BC191" i="70"/>
  <c r="BD191" i="70"/>
  <c r="BE191" i="70"/>
  <c r="BF191" i="70"/>
  <c r="BG191" i="70"/>
  <c r="BC192" i="70"/>
  <c r="BD192" i="70"/>
  <c r="BE192" i="70"/>
  <c r="BF192" i="70"/>
  <c r="BG192" i="70"/>
  <c r="BC193" i="70"/>
  <c r="BD193" i="70"/>
  <c r="BE193" i="70"/>
  <c r="BF193" i="70"/>
  <c r="BG193" i="70"/>
  <c r="BC194" i="70"/>
  <c r="BD194" i="70"/>
  <c r="BE194" i="70"/>
  <c r="BF194" i="70"/>
  <c r="BG194" i="70"/>
  <c r="BC195" i="70"/>
  <c r="BD195" i="70"/>
  <c r="BE195" i="70"/>
  <c r="BF195" i="70"/>
  <c r="BG195" i="70"/>
  <c r="BC196" i="70"/>
  <c r="BD196" i="70"/>
  <c r="BE196" i="70"/>
  <c r="BF196" i="70"/>
  <c r="BG196" i="70"/>
  <c r="BC197" i="70"/>
  <c r="BD197" i="70"/>
  <c r="BE197" i="70"/>
  <c r="BF197" i="70"/>
  <c r="BG197" i="70"/>
  <c r="BC198" i="70"/>
  <c r="BD198" i="70"/>
  <c r="BE198" i="70"/>
  <c r="BF198" i="70"/>
  <c r="BG198" i="70"/>
  <c r="BC199" i="70"/>
  <c r="BD199" i="70"/>
  <c r="BE199" i="70"/>
  <c r="BF199" i="70"/>
  <c r="BG199" i="70"/>
  <c r="BC200" i="70"/>
  <c r="BD200" i="70"/>
  <c r="BE200" i="70"/>
  <c r="BF200" i="70"/>
  <c r="BG200" i="70"/>
  <c r="BC201" i="70"/>
  <c r="BD201" i="70"/>
  <c r="BE201" i="70"/>
  <c r="BF201" i="70"/>
  <c r="BG201" i="70"/>
  <c r="BC202" i="70"/>
  <c r="BD202" i="70"/>
  <c r="BE202" i="70"/>
  <c r="BF202" i="70"/>
  <c r="BG202" i="70"/>
  <c r="BC203" i="70"/>
  <c r="BD203" i="70"/>
  <c r="BE203" i="70"/>
  <c r="BF203" i="70"/>
  <c r="BG203" i="70"/>
  <c r="BC204" i="70"/>
  <c r="BD204" i="70"/>
  <c r="BE204" i="70"/>
  <c r="BF204" i="70"/>
  <c r="BG204" i="70"/>
  <c r="BC205" i="70"/>
  <c r="BD205" i="70"/>
  <c r="BE205" i="70"/>
  <c r="BF205" i="70"/>
  <c r="BG205" i="70"/>
  <c r="BC206" i="70"/>
  <c r="BD206" i="70"/>
  <c r="BE206" i="70"/>
  <c r="BF206" i="70"/>
  <c r="BG206" i="70"/>
  <c r="BC207" i="70"/>
  <c r="BD207" i="70"/>
  <c r="BE207" i="70"/>
  <c r="BF207" i="70"/>
  <c r="BG207" i="70"/>
  <c r="BC208" i="70"/>
  <c r="BD208" i="70"/>
  <c r="BE208" i="70"/>
  <c r="BF208" i="70"/>
  <c r="BG208" i="70"/>
  <c r="BC209" i="70"/>
  <c r="BD209" i="70"/>
  <c r="BE209" i="70"/>
  <c r="BF209" i="70"/>
  <c r="BG209" i="70"/>
  <c r="BC210" i="70"/>
  <c r="BD210" i="70"/>
  <c r="BE210" i="70"/>
  <c r="BF210" i="70"/>
  <c r="BG210" i="70"/>
  <c r="BC211" i="70"/>
  <c r="BD211" i="70"/>
  <c r="BE211" i="70"/>
  <c r="BF211" i="70"/>
  <c r="BG211" i="70"/>
  <c r="BC212" i="70"/>
  <c r="BD212" i="70"/>
  <c r="BE212" i="70"/>
  <c r="BF212" i="70"/>
  <c r="BG212" i="70"/>
  <c r="BC213" i="70"/>
  <c r="BD213" i="70"/>
  <c r="BE213" i="70"/>
  <c r="BF213" i="70"/>
  <c r="BG213" i="70"/>
  <c r="BC214" i="70"/>
  <c r="BD214" i="70"/>
  <c r="BE214" i="70"/>
  <c r="BF214" i="70"/>
  <c r="BG214" i="70"/>
  <c r="BC215" i="70"/>
  <c r="BD215" i="70"/>
  <c r="BE215" i="70"/>
  <c r="BF215" i="70"/>
  <c r="BG215" i="70"/>
  <c r="BC216" i="70"/>
  <c r="BD216" i="70"/>
  <c r="BE216" i="70"/>
  <c r="BF216" i="70"/>
  <c r="BG216" i="70"/>
  <c r="BC217" i="70"/>
  <c r="BD217" i="70"/>
  <c r="BE217" i="70"/>
  <c r="BF217" i="70"/>
  <c r="BG217" i="70"/>
  <c r="BC218" i="70"/>
  <c r="BD218" i="70"/>
  <c r="BE218" i="70"/>
  <c r="BF218" i="70"/>
  <c r="BG218" i="70"/>
  <c r="BC219" i="70"/>
  <c r="BD219" i="70"/>
  <c r="BE219" i="70"/>
  <c r="BF219" i="70"/>
  <c r="BG219" i="70"/>
  <c r="BC220" i="70"/>
  <c r="BD220" i="70"/>
  <c r="BE220" i="70"/>
  <c r="BF220" i="70"/>
  <c r="BG220" i="70"/>
  <c r="BC221" i="70"/>
  <c r="BD221" i="70"/>
  <c r="BE221" i="70"/>
  <c r="BF221" i="70"/>
  <c r="BG221" i="70"/>
  <c r="BC222" i="70"/>
  <c r="BD222" i="70"/>
  <c r="BE222" i="70"/>
  <c r="BF222" i="70"/>
  <c r="BG222" i="70"/>
  <c r="BC223" i="70"/>
  <c r="BD223" i="70"/>
  <c r="BE223" i="70"/>
  <c r="BF223" i="70"/>
  <c r="BG223" i="70"/>
  <c r="BC224" i="70"/>
  <c r="BD224" i="70"/>
  <c r="BE224" i="70"/>
  <c r="BF224" i="70"/>
  <c r="BG224" i="70"/>
  <c r="BC226" i="70"/>
  <c r="BD226" i="70"/>
  <c r="BE226" i="70"/>
  <c r="BF226" i="70"/>
  <c r="BG226" i="70"/>
  <c r="BC227" i="70"/>
  <c r="BD227" i="70"/>
  <c r="BE227" i="70"/>
  <c r="BF227" i="70"/>
  <c r="BG227" i="70"/>
  <c r="BC228" i="70"/>
  <c r="BD228" i="70"/>
  <c r="BE228" i="70"/>
  <c r="BF228" i="70"/>
  <c r="BG228" i="70"/>
  <c r="BC229" i="70"/>
  <c r="BD229" i="70"/>
  <c r="BE229" i="70"/>
  <c r="BF229" i="70"/>
  <c r="BG229" i="70"/>
  <c r="BC230" i="70"/>
  <c r="BD230" i="70"/>
  <c r="BE230" i="70"/>
  <c r="BF230" i="70"/>
  <c r="BG230" i="70"/>
  <c r="BC232" i="70"/>
  <c r="BD232" i="70"/>
  <c r="BE232" i="70"/>
  <c r="BF232" i="70"/>
  <c r="BG232" i="70"/>
  <c r="BC233" i="70"/>
  <c r="BD233" i="70"/>
  <c r="BE233" i="70"/>
  <c r="BF233" i="70"/>
  <c r="BG233" i="70"/>
  <c r="BC234" i="70"/>
  <c r="BD234" i="70"/>
  <c r="BE234" i="70"/>
  <c r="BF234" i="70"/>
  <c r="BG234" i="70"/>
  <c r="BC235" i="70"/>
  <c r="BD235" i="70"/>
  <c r="BE235" i="70"/>
  <c r="BF235" i="70"/>
  <c r="BG235" i="70"/>
  <c r="BC236" i="70"/>
  <c r="BD236" i="70"/>
  <c r="BE236" i="70"/>
  <c r="BF236" i="70"/>
  <c r="BG236" i="70"/>
  <c r="BC237" i="70"/>
  <c r="BD237" i="70"/>
  <c r="BE237" i="70"/>
  <c r="BF237" i="70"/>
  <c r="BG237" i="70"/>
  <c r="BC238" i="70"/>
  <c r="BD238" i="70"/>
  <c r="BE238" i="70"/>
  <c r="BF238" i="70"/>
  <c r="BG238" i="70"/>
  <c r="BC239" i="70"/>
  <c r="BD239" i="70"/>
  <c r="BE239" i="70"/>
  <c r="BF239" i="70"/>
  <c r="BG239" i="70"/>
  <c r="BC240" i="70"/>
  <c r="BD240" i="70"/>
  <c r="BE240" i="70"/>
  <c r="BF240" i="70"/>
  <c r="BG240" i="70"/>
  <c r="BC241" i="70"/>
  <c r="BD241" i="70"/>
  <c r="BE241" i="70"/>
  <c r="BF241" i="70"/>
  <c r="BG241" i="70"/>
  <c r="BC242" i="70"/>
  <c r="BD242" i="70"/>
  <c r="BE242" i="70"/>
  <c r="BF242" i="70"/>
  <c r="BG242" i="70"/>
  <c r="BC243" i="70"/>
  <c r="BD243" i="70"/>
  <c r="BE243" i="70"/>
  <c r="BF243" i="70"/>
  <c r="BG243" i="70"/>
  <c r="BC244" i="70"/>
  <c r="BD244" i="70"/>
  <c r="BE244" i="70"/>
  <c r="BF244" i="70"/>
  <c r="BG244" i="70"/>
  <c r="BC245" i="70"/>
  <c r="BD245" i="70"/>
  <c r="BE245" i="70"/>
  <c r="BF245" i="70"/>
  <c r="BG245" i="70"/>
  <c r="BC246" i="70"/>
  <c r="BD246" i="70"/>
  <c r="BE246" i="70"/>
  <c r="BF246" i="70"/>
  <c r="BG246" i="70"/>
  <c r="BC247" i="70"/>
  <c r="BD247" i="70"/>
  <c r="BE247" i="70"/>
  <c r="BF247" i="70"/>
  <c r="BG247" i="70"/>
  <c r="BC248" i="70"/>
  <c r="BD248" i="70"/>
  <c r="BE248" i="70"/>
  <c r="BF248" i="70"/>
  <c r="BG248" i="70"/>
  <c r="BC249" i="70"/>
  <c r="BD249" i="70"/>
  <c r="BE249" i="70"/>
  <c r="BF249" i="70"/>
  <c r="BG249" i="70"/>
  <c r="BC250" i="70"/>
  <c r="BD250" i="70"/>
  <c r="BE250" i="70"/>
  <c r="BF250" i="70"/>
  <c r="BG250" i="70"/>
  <c r="BC251" i="70"/>
  <c r="BD251" i="70"/>
  <c r="BE251" i="70"/>
  <c r="BF251" i="70"/>
  <c r="BG251" i="70"/>
  <c r="BC252" i="70"/>
  <c r="BD252" i="70"/>
  <c r="BE252" i="70"/>
  <c r="BF252" i="70"/>
  <c r="BG252" i="70"/>
  <c r="BC253" i="70"/>
  <c r="BD253" i="70"/>
  <c r="BE253" i="70"/>
  <c r="BF253" i="70"/>
  <c r="BG253" i="70"/>
  <c r="BC254" i="70"/>
  <c r="BD254" i="70"/>
  <c r="BE254" i="70"/>
  <c r="BF254" i="70"/>
  <c r="BG254" i="70"/>
  <c r="BC255" i="70"/>
  <c r="BD255" i="70"/>
  <c r="BE255" i="70"/>
  <c r="BF255" i="70"/>
  <c r="BG255" i="70"/>
  <c r="BC256" i="70"/>
  <c r="BD256" i="70"/>
  <c r="BE256" i="70"/>
  <c r="BF256" i="70"/>
  <c r="BG256" i="70"/>
  <c r="BC257" i="70"/>
  <c r="BD257" i="70"/>
  <c r="BE257" i="70"/>
  <c r="BF257" i="70"/>
  <c r="BG257" i="70"/>
  <c r="BC258" i="70"/>
  <c r="BD258" i="70"/>
  <c r="BE258" i="70"/>
  <c r="BF258" i="70"/>
  <c r="BG258" i="70"/>
  <c r="BC259" i="70"/>
  <c r="BD259" i="70"/>
  <c r="BE259" i="70"/>
  <c r="BF259" i="70"/>
  <c r="BG259" i="70"/>
  <c r="BC260" i="70"/>
  <c r="BD260" i="70"/>
  <c r="BE260" i="70"/>
  <c r="BF260" i="70"/>
  <c r="BG260" i="70"/>
  <c r="BC261" i="70"/>
  <c r="BD261" i="70"/>
  <c r="BE261" i="70"/>
  <c r="BF261" i="70"/>
  <c r="BG261" i="70"/>
  <c r="BC262" i="70"/>
  <c r="BD262" i="70"/>
  <c r="BE262" i="70"/>
  <c r="BF262" i="70"/>
  <c r="BG262" i="70"/>
  <c r="BC263" i="70"/>
  <c r="BD263" i="70"/>
  <c r="BE263" i="70"/>
  <c r="BF263" i="70"/>
  <c r="BG263" i="70"/>
  <c r="BC264" i="70"/>
  <c r="BD264" i="70"/>
  <c r="BE264" i="70"/>
  <c r="BF264" i="70"/>
  <c r="BG264" i="70"/>
  <c r="BC265" i="70"/>
  <c r="BD265" i="70"/>
  <c r="BE265" i="70"/>
  <c r="BF265" i="70"/>
  <c r="BG265" i="70"/>
  <c r="BC266" i="70"/>
  <c r="BD266" i="70"/>
  <c r="BE266" i="70"/>
  <c r="BF266" i="70"/>
  <c r="BG266" i="70"/>
  <c r="BC267" i="70"/>
  <c r="BD267" i="70"/>
  <c r="BE267" i="70"/>
  <c r="BF267" i="70"/>
  <c r="BG267" i="70"/>
  <c r="BC268" i="70"/>
  <c r="BD268" i="70"/>
  <c r="BE268" i="70"/>
  <c r="BF268" i="70"/>
  <c r="BG268" i="70"/>
  <c r="BC269" i="70"/>
  <c r="BD269" i="70"/>
  <c r="BE269" i="70"/>
  <c r="BF269" i="70"/>
  <c r="BG269" i="70"/>
  <c r="BC270" i="70"/>
  <c r="BD270" i="70"/>
  <c r="BE270" i="70"/>
  <c r="BF270" i="70"/>
  <c r="BG270" i="70"/>
  <c r="BC271" i="70"/>
  <c r="BD271" i="70"/>
  <c r="BE271" i="70"/>
  <c r="BF271" i="70"/>
  <c r="BG271" i="70"/>
  <c r="BC272" i="70"/>
  <c r="BD272" i="70"/>
  <c r="BE272" i="70"/>
  <c r="BF272" i="70"/>
  <c r="BG272" i="70"/>
  <c r="BC273" i="70"/>
  <c r="BD273" i="70"/>
  <c r="BE273" i="70"/>
  <c r="BF273" i="70"/>
  <c r="BG273" i="70"/>
  <c r="BC274" i="70"/>
  <c r="BD274" i="70"/>
  <c r="BE274" i="70"/>
  <c r="BF274" i="70"/>
  <c r="BG274" i="70"/>
  <c r="BC275" i="70"/>
  <c r="BD275" i="70"/>
  <c r="BE275" i="70"/>
  <c r="BF275" i="70"/>
  <c r="BG275" i="70"/>
  <c r="BC276" i="70"/>
  <c r="BD276" i="70"/>
  <c r="BE276" i="70"/>
  <c r="BF276" i="70"/>
  <c r="BG276" i="70"/>
  <c r="BC277" i="70"/>
  <c r="BD277" i="70"/>
  <c r="BE277" i="70"/>
  <c r="BF277" i="70"/>
  <c r="BG277" i="70"/>
  <c r="BC278" i="70"/>
  <c r="BD278" i="70"/>
  <c r="BE278" i="70"/>
  <c r="BF278" i="70"/>
  <c r="BG278" i="70"/>
  <c r="BC279" i="70"/>
  <c r="BD279" i="70"/>
  <c r="BE279" i="70"/>
  <c r="BF279" i="70"/>
  <c r="BG279" i="70"/>
  <c r="BC280" i="70"/>
  <c r="BD280" i="70"/>
  <c r="BE280" i="70"/>
  <c r="BF280" i="70"/>
  <c r="BG280" i="70"/>
  <c r="BC281" i="70"/>
  <c r="BD281" i="70"/>
  <c r="BE281" i="70"/>
  <c r="BF281" i="70"/>
  <c r="BG281" i="70"/>
  <c r="BC282" i="70"/>
  <c r="BD282" i="70"/>
  <c r="BE282" i="70"/>
  <c r="BF282" i="70"/>
  <c r="BG282" i="70"/>
  <c r="BC283" i="70"/>
  <c r="BD283" i="70"/>
  <c r="BE283" i="70"/>
  <c r="BF283" i="70"/>
  <c r="BG283" i="70"/>
  <c r="BC284" i="70"/>
  <c r="BD284" i="70"/>
  <c r="BE284" i="70"/>
  <c r="BF284" i="70"/>
  <c r="BG284" i="70"/>
  <c r="BC285" i="70"/>
  <c r="BD285" i="70"/>
  <c r="BE285" i="70"/>
  <c r="BF285" i="70"/>
  <c r="BG285" i="70"/>
  <c r="BC286" i="70"/>
  <c r="BD286" i="70"/>
  <c r="BE286" i="70"/>
  <c r="BF286" i="70"/>
  <c r="BG286" i="70"/>
  <c r="BC287" i="70"/>
  <c r="BD287" i="70"/>
  <c r="BE287" i="70"/>
  <c r="BF287" i="70"/>
  <c r="BG287" i="70"/>
  <c r="BC288" i="70"/>
  <c r="BD288" i="70"/>
  <c r="BE288" i="70"/>
  <c r="BF288" i="70"/>
  <c r="BG288" i="70"/>
  <c r="BC289" i="70"/>
  <c r="BD289" i="70"/>
  <c r="BE289" i="70"/>
  <c r="BF289" i="70"/>
  <c r="BG289" i="70"/>
  <c r="BC290" i="70"/>
  <c r="BD290" i="70"/>
  <c r="BE290" i="70"/>
  <c r="BF290" i="70"/>
  <c r="BG290" i="70"/>
  <c r="BC291" i="70"/>
  <c r="BD291" i="70"/>
  <c r="BE291" i="70"/>
  <c r="BF291" i="70"/>
  <c r="BG291" i="70"/>
  <c r="BC292" i="70"/>
  <c r="BD292" i="70"/>
  <c r="BE292" i="70"/>
  <c r="BF292" i="70"/>
  <c r="BG292" i="70"/>
  <c r="BC293" i="70"/>
  <c r="BD293" i="70"/>
  <c r="BE293" i="70"/>
  <c r="BF293" i="70"/>
  <c r="BG293" i="70"/>
  <c r="BC294" i="70"/>
  <c r="BD294" i="70"/>
  <c r="BE294" i="70"/>
  <c r="BF294" i="70"/>
  <c r="BG294" i="70"/>
  <c r="BC295" i="70"/>
  <c r="BD295" i="70"/>
  <c r="BE295" i="70"/>
  <c r="BF295" i="70"/>
  <c r="BG295" i="70"/>
  <c r="BC296" i="70"/>
  <c r="BD296" i="70"/>
  <c r="BE296" i="70"/>
  <c r="BF296" i="70"/>
  <c r="BG296" i="70"/>
  <c r="BC297" i="70"/>
  <c r="BD297" i="70"/>
  <c r="BE297" i="70"/>
  <c r="BF297" i="70"/>
  <c r="BG297" i="70"/>
  <c r="BG17" i="70"/>
  <c r="BG16" i="70"/>
  <c r="BA16" i="70" s="1"/>
  <c r="BG15" i="70"/>
  <c r="BG14" i="70"/>
  <c r="BG13" i="70"/>
  <c r="BG12" i="70"/>
  <c r="BG11" i="70"/>
  <c r="BF14" i="70"/>
  <c r="BF17" i="70"/>
  <c r="BF16" i="70"/>
  <c r="BF15" i="70"/>
  <c r="BF13" i="70"/>
  <c r="BF12" i="70"/>
  <c r="BF11" i="70"/>
  <c r="BE17" i="70"/>
  <c r="BE16" i="70"/>
  <c r="BE15" i="70"/>
  <c r="BE14" i="70"/>
  <c r="BE13" i="70"/>
  <c r="BE12" i="70"/>
  <c r="BE11" i="70"/>
  <c r="BC17" i="70"/>
  <c r="BC16" i="70"/>
  <c r="BC15" i="70"/>
  <c r="BC14" i="70"/>
  <c r="BC13" i="70"/>
  <c r="BC12" i="70"/>
  <c r="BC11" i="70"/>
  <c r="BD11" i="70"/>
  <c r="BD17" i="70"/>
  <c r="BD16" i="70"/>
  <c r="BD15" i="70"/>
  <c r="BD14" i="70"/>
  <c r="BD13" i="70"/>
  <c r="BD12" i="70"/>
  <c r="E12" i="92"/>
  <c r="F12" i="92"/>
  <c r="H12" i="92" s="1"/>
  <c r="L12" i="92" s="1"/>
  <c r="G12" i="92"/>
  <c r="I47" i="92"/>
  <c r="M47" i="92" s="1"/>
  <c r="H47" i="92"/>
  <c r="L47" i="92" s="1"/>
  <c r="I42" i="92"/>
  <c r="M42" i="92" s="1"/>
  <c r="H42" i="92"/>
  <c r="L42" i="92" s="1"/>
  <c r="I37" i="92"/>
  <c r="M37" i="92" s="1"/>
  <c r="H37" i="92"/>
  <c r="L37" i="92" s="1"/>
  <c r="I32" i="92"/>
  <c r="M32" i="92" s="1"/>
  <c r="H32" i="92"/>
  <c r="L32" i="92" s="1"/>
  <c r="I27" i="92"/>
  <c r="M27" i="92" s="1"/>
  <c r="H27" i="92"/>
  <c r="L27" i="92" s="1"/>
  <c r="I22" i="92"/>
  <c r="M22" i="92" s="1"/>
  <c r="H22" i="92"/>
  <c r="L22" i="92" s="1"/>
  <c r="L17" i="92"/>
  <c r="M17" i="92"/>
  <c r="C17" i="76"/>
  <c r="D17" i="76"/>
  <c r="C18" i="76"/>
  <c r="D18" i="76"/>
  <c r="C19" i="76"/>
  <c r="D19" i="76"/>
  <c r="C20" i="76"/>
  <c r="D20" i="76"/>
  <c r="C21" i="76"/>
  <c r="D21" i="76"/>
  <c r="C22" i="76"/>
  <c r="D22" i="76"/>
  <c r="C23" i="76"/>
  <c r="D23" i="76"/>
  <c r="C24" i="76"/>
  <c r="D24" i="76"/>
  <c r="C25" i="76"/>
  <c r="D25" i="76"/>
  <c r="C26" i="76"/>
  <c r="D26" i="76"/>
  <c r="C27" i="76"/>
  <c r="D27" i="76"/>
  <c r="C28" i="76"/>
  <c r="D28" i="76"/>
  <c r="C29" i="76"/>
  <c r="D29" i="76"/>
  <c r="C30" i="76"/>
  <c r="D30" i="76"/>
  <c r="C31" i="76"/>
  <c r="D31" i="76"/>
  <c r="C32" i="76"/>
  <c r="D32" i="76"/>
  <c r="C33" i="76"/>
  <c r="D33" i="76"/>
  <c r="C34" i="76"/>
  <c r="D34" i="76"/>
  <c r="C35" i="76"/>
  <c r="D35" i="76"/>
  <c r="C36" i="76"/>
  <c r="D36" i="76"/>
  <c r="C37" i="76"/>
  <c r="D37" i="76"/>
  <c r="C38" i="76"/>
  <c r="D38" i="76"/>
  <c r="C39" i="76"/>
  <c r="D39" i="76"/>
  <c r="C40" i="76"/>
  <c r="D40" i="76"/>
  <c r="C41" i="76"/>
  <c r="D41" i="76"/>
  <c r="C42" i="76"/>
  <c r="D42" i="76"/>
  <c r="C43" i="76"/>
  <c r="D43" i="76"/>
  <c r="C44" i="76"/>
  <c r="D44" i="76"/>
  <c r="C45" i="76"/>
  <c r="D45" i="76"/>
  <c r="C46" i="76"/>
  <c r="D46" i="76"/>
  <c r="C47" i="76"/>
  <c r="D47" i="76"/>
  <c r="C48" i="76"/>
  <c r="D48" i="76"/>
  <c r="C49" i="76"/>
  <c r="D49" i="76"/>
  <c r="C50" i="76"/>
  <c r="D50" i="76"/>
  <c r="C51" i="76"/>
  <c r="D51" i="76"/>
  <c r="C52" i="76"/>
  <c r="D52" i="76"/>
  <c r="C53" i="76"/>
  <c r="D53" i="76"/>
  <c r="C54" i="76"/>
  <c r="D54" i="76"/>
  <c r="C55" i="76"/>
  <c r="D55" i="76"/>
  <c r="C56" i="76"/>
  <c r="D56" i="76"/>
  <c r="C57" i="76"/>
  <c r="D57" i="76"/>
  <c r="C58" i="76"/>
  <c r="D58" i="76"/>
  <c r="C59" i="76"/>
  <c r="D59" i="76"/>
  <c r="C60" i="76"/>
  <c r="D60" i="76"/>
  <c r="C61" i="76"/>
  <c r="D61" i="76"/>
  <c r="C62" i="76"/>
  <c r="D62" i="76"/>
  <c r="C63" i="76"/>
  <c r="D63" i="76"/>
  <c r="C64" i="76"/>
  <c r="D64" i="76"/>
  <c r="C65" i="76"/>
  <c r="D65" i="76"/>
  <c r="C66" i="76"/>
  <c r="D66" i="76"/>
  <c r="C67" i="76"/>
  <c r="D67" i="76"/>
  <c r="C68" i="76"/>
  <c r="D68" i="76"/>
  <c r="C69" i="76"/>
  <c r="D69" i="76"/>
  <c r="G17" i="76"/>
  <c r="J17" i="76"/>
  <c r="K17" i="76"/>
  <c r="L17" i="76"/>
  <c r="M17" i="76"/>
  <c r="G18" i="76"/>
  <c r="J18" i="76"/>
  <c r="K18" i="76"/>
  <c r="L18" i="76"/>
  <c r="M18" i="76"/>
  <c r="G19" i="76"/>
  <c r="J19" i="76"/>
  <c r="K19" i="76"/>
  <c r="L19" i="76"/>
  <c r="M19" i="76"/>
  <c r="G20" i="76"/>
  <c r="J20" i="76"/>
  <c r="K20" i="76"/>
  <c r="L20" i="76"/>
  <c r="M20" i="76"/>
  <c r="G21" i="76"/>
  <c r="J21" i="76"/>
  <c r="K21" i="76"/>
  <c r="L21" i="76"/>
  <c r="M21" i="76"/>
  <c r="G22" i="76"/>
  <c r="J22" i="76"/>
  <c r="K22" i="76"/>
  <c r="L22" i="76"/>
  <c r="M22" i="76"/>
  <c r="G23" i="76"/>
  <c r="J23" i="76"/>
  <c r="K23" i="76"/>
  <c r="L23" i="76"/>
  <c r="M23" i="76"/>
  <c r="G24" i="76"/>
  <c r="J24" i="76"/>
  <c r="K24" i="76"/>
  <c r="L24" i="76"/>
  <c r="M24" i="76"/>
  <c r="G25" i="76"/>
  <c r="J25" i="76"/>
  <c r="K25" i="76"/>
  <c r="L25" i="76"/>
  <c r="M25" i="76"/>
  <c r="G26" i="76"/>
  <c r="J26" i="76"/>
  <c r="K26" i="76"/>
  <c r="L26" i="76"/>
  <c r="M26" i="76"/>
  <c r="G27" i="76"/>
  <c r="J27" i="76"/>
  <c r="K27" i="76"/>
  <c r="L27" i="76"/>
  <c r="M27" i="76"/>
  <c r="G28" i="76"/>
  <c r="J28" i="76"/>
  <c r="K28" i="76"/>
  <c r="L28" i="76"/>
  <c r="M28" i="76"/>
  <c r="G29" i="76"/>
  <c r="J29" i="76"/>
  <c r="K29" i="76"/>
  <c r="L29" i="76"/>
  <c r="M29" i="76"/>
  <c r="G30" i="76"/>
  <c r="J30" i="76"/>
  <c r="K30" i="76"/>
  <c r="L30" i="76"/>
  <c r="M30" i="76"/>
  <c r="G31" i="76"/>
  <c r="J31" i="76"/>
  <c r="K31" i="76"/>
  <c r="L31" i="76"/>
  <c r="M31" i="76"/>
  <c r="G32" i="76"/>
  <c r="J32" i="76"/>
  <c r="K32" i="76"/>
  <c r="L32" i="76"/>
  <c r="M32" i="76"/>
  <c r="G33" i="76"/>
  <c r="J33" i="76"/>
  <c r="K33" i="76"/>
  <c r="L33" i="76"/>
  <c r="M33" i="76"/>
  <c r="G34" i="76"/>
  <c r="J34" i="76"/>
  <c r="K34" i="76"/>
  <c r="L34" i="76"/>
  <c r="M34" i="76"/>
  <c r="G35" i="76"/>
  <c r="J35" i="76"/>
  <c r="K35" i="76"/>
  <c r="L35" i="76"/>
  <c r="M35" i="76"/>
  <c r="G36" i="76"/>
  <c r="J36" i="76"/>
  <c r="K36" i="76"/>
  <c r="L36" i="76"/>
  <c r="M36" i="76"/>
  <c r="G37" i="76"/>
  <c r="J37" i="76"/>
  <c r="K37" i="76"/>
  <c r="L37" i="76"/>
  <c r="M37" i="76"/>
  <c r="G38" i="76"/>
  <c r="J38" i="76"/>
  <c r="K38" i="76"/>
  <c r="L38" i="76"/>
  <c r="M38" i="76"/>
  <c r="G39" i="76"/>
  <c r="J39" i="76"/>
  <c r="K39" i="76"/>
  <c r="L39" i="76"/>
  <c r="M39" i="76"/>
  <c r="G40" i="76"/>
  <c r="J40" i="76"/>
  <c r="K40" i="76"/>
  <c r="L40" i="76"/>
  <c r="M40" i="76"/>
  <c r="G41" i="76"/>
  <c r="J41" i="76"/>
  <c r="K41" i="76"/>
  <c r="L41" i="76"/>
  <c r="M41" i="76"/>
  <c r="G42" i="76"/>
  <c r="J42" i="76"/>
  <c r="K42" i="76"/>
  <c r="L42" i="76"/>
  <c r="M42" i="76"/>
  <c r="G43" i="76"/>
  <c r="J43" i="76"/>
  <c r="K43" i="76"/>
  <c r="L43" i="76"/>
  <c r="M43" i="76"/>
  <c r="G44" i="76"/>
  <c r="J44" i="76"/>
  <c r="K44" i="76"/>
  <c r="L44" i="76"/>
  <c r="M44" i="76"/>
  <c r="G45" i="76"/>
  <c r="J45" i="76"/>
  <c r="K45" i="76"/>
  <c r="L45" i="76"/>
  <c r="M45" i="76"/>
  <c r="G46" i="76"/>
  <c r="J46" i="76"/>
  <c r="K46" i="76"/>
  <c r="L46" i="76"/>
  <c r="M46" i="76"/>
  <c r="G47" i="76"/>
  <c r="J47" i="76"/>
  <c r="K47" i="76"/>
  <c r="L47" i="76"/>
  <c r="M47" i="76"/>
  <c r="G48" i="76"/>
  <c r="J48" i="76"/>
  <c r="K48" i="76"/>
  <c r="L48" i="76"/>
  <c r="M48" i="76"/>
  <c r="G49" i="76"/>
  <c r="J49" i="76"/>
  <c r="K49" i="76"/>
  <c r="L49" i="76"/>
  <c r="M49" i="76"/>
  <c r="G50" i="76"/>
  <c r="J50" i="76"/>
  <c r="K50" i="76"/>
  <c r="L50" i="76"/>
  <c r="M50" i="76"/>
  <c r="G51" i="76"/>
  <c r="J51" i="76"/>
  <c r="K51" i="76"/>
  <c r="L51" i="76"/>
  <c r="M51" i="76"/>
  <c r="G52" i="76"/>
  <c r="J52" i="76"/>
  <c r="K52" i="76"/>
  <c r="L52" i="76"/>
  <c r="M52" i="76"/>
  <c r="G53" i="76"/>
  <c r="J53" i="76"/>
  <c r="K53" i="76"/>
  <c r="L53" i="76"/>
  <c r="M53" i="76"/>
  <c r="G54" i="76"/>
  <c r="J54" i="76"/>
  <c r="K54" i="76"/>
  <c r="L54" i="76"/>
  <c r="M54" i="76"/>
  <c r="G55" i="76"/>
  <c r="J55" i="76"/>
  <c r="K55" i="76"/>
  <c r="L55" i="76"/>
  <c r="M55" i="76"/>
  <c r="G56" i="76"/>
  <c r="J56" i="76"/>
  <c r="K56" i="76"/>
  <c r="L56" i="76"/>
  <c r="M56" i="76"/>
  <c r="G57" i="76"/>
  <c r="J57" i="76"/>
  <c r="K57" i="76"/>
  <c r="L57" i="76"/>
  <c r="M57" i="76"/>
  <c r="G58" i="76"/>
  <c r="J58" i="76"/>
  <c r="K58" i="76"/>
  <c r="L58" i="76"/>
  <c r="M58" i="76"/>
  <c r="G59" i="76"/>
  <c r="J59" i="76"/>
  <c r="K59" i="76"/>
  <c r="L59" i="76"/>
  <c r="M59" i="76"/>
  <c r="G60" i="76"/>
  <c r="J60" i="76"/>
  <c r="K60" i="76"/>
  <c r="L60" i="76"/>
  <c r="M60" i="76"/>
  <c r="G61" i="76"/>
  <c r="J61" i="76"/>
  <c r="K61" i="76"/>
  <c r="L61" i="76"/>
  <c r="M61" i="76"/>
  <c r="G62" i="76"/>
  <c r="J62" i="76"/>
  <c r="K62" i="76"/>
  <c r="L62" i="76"/>
  <c r="M62" i="76"/>
  <c r="G63" i="76"/>
  <c r="J63" i="76"/>
  <c r="K63" i="76"/>
  <c r="L63" i="76"/>
  <c r="M63" i="76"/>
  <c r="G64" i="76"/>
  <c r="J64" i="76"/>
  <c r="K64" i="76"/>
  <c r="L64" i="76"/>
  <c r="M64" i="76"/>
  <c r="G65" i="76"/>
  <c r="J65" i="76"/>
  <c r="K65" i="76"/>
  <c r="L65" i="76"/>
  <c r="M65" i="76"/>
  <c r="G66" i="76"/>
  <c r="J66" i="76"/>
  <c r="K66" i="76"/>
  <c r="L66" i="76"/>
  <c r="M66" i="76"/>
  <c r="G67" i="76"/>
  <c r="J67" i="76"/>
  <c r="K67" i="76"/>
  <c r="L67" i="76"/>
  <c r="M67" i="76"/>
  <c r="G68" i="76"/>
  <c r="J68" i="76"/>
  <c r="K68" i="76"/>
  <c r="L68" i="76"/>
  <c r="M68" i="76"/>
  <c r="G69" i="76"/>
  <c r="J69" i="76"/>
  <c r="K69" i="76"/>
  <c r="L69" i="76"/>
  <c r="M69" i="76"/>
  <c r="O17" i="76"/>
  <c r="P17" i="76"/>
  <c r="Q17" i="76"/>
  <c r="R17" i="76"/>
  <c r="S17" i="76"/>
  <c r="Y17" i="76"/>
  <c r="Z17" i="76"/>
  <c r="AA17" i="76"/>
  <c r="AB17" i="76"/>
  <c r="AC17" i="76"/>
  <c r="AF17" i="76"/>
  <c r="AG17" i="76"/>
  <c r="O18" i="76"/>
  <c r="P18" i="76"/>
  <c r="Q18" i="76"/>
  <c r="R18" i="76"/>
  <c r="S18" i="76"/>
  <c r="Y18" i="76"/>
  <c r="Z18" i="76"/>
  <c r="AA18" i="76"/>
  <c r="AB18" i="76"/>
  <c r="AC18" i="76"/>
  <c r="AF18" i="76"/>
  <c r="AG18" i="76"/>
  <c r="O19" i="76"/>
  <c r="P19" i="76"/>
  <c r="Q19" i="76"/>
  <c r="R19" i="76"/>
  <c r="S19" i="76"/>
  <c r="Y19" i="76"/>
  <c r="Z19" i="76"/>
  <c r="AA19" i="76"/>
  <c r="AB19" i="76"/>
  <c r="AC19" i="76"/>
  <c r="AF19" i="76"/>
  <c r="AG19" i="76"/>
  <c r="O20" i="76"/>
  <c r="P20" i="76"/>
  <c r="Q20" i="76"/>
  <c r="R20" i="76"/>
  <c r="S20" i="76"/>
  <c r="Y20" i="76"/>
  <c r="Z20" i="76"/>
  <c r="AA20" i="76"/>
  <c r="AB20" i="76"/>
  <c r="AC20" i="76"/>
  <c r="AF20" i="76"/>
  <c r="AG20" i="76"/>
  <c r="O21" i="76"/>
  <c r="P21" i="76"/>
  <c r="Q21" i="76"/>
  <c r="R21" i="76"/>
  <c r="S21" i="76"/>
  <c r="Y21" i="76"/>
  <c r="Z21" i="76"/>
  <c r="AA21" i="76"/>
  <c r="AB21" i="76"/>
  <c r="AC21" i="76"/>
  <c r="AF21" i="76"/>
  <c r="AG21" i="76"/>
  <c r="O22" i="76"/>
  <c r="P22" i="76"/>
  <c r="Q22" i="76"/>
  <c r="R22" i="76"/>
  <c r="S22" i="76"/>
  <c r="Y22" i="76"/>
  <c r="Z22" i="76"/>
  <c r="AA22" i="76"/>
  <c r="AB22" i="76"/>
  <c r="AC22" i="76"/>
  <c r="AF22" i="76"/>
  <c r="AG22" i="76"/>
  <c r="O23" i="76"/>
  <c r="P23" i="76"/>
  <c r="Q23" i="76"/>
  <c r="R23" i="76"/>
  <c r="S23" i="76"/>
  <c r="Y23" i="76"/>
  <c r="Z23" i="76"/>
  <c r="AA23" i="76"/>
  <c r="AB23" i="76"/>
  <c r="AC23" i="76"/>
  <c r="AF23" i="76"/>
  <c r="AG23" i="76"/>
  <c r="O24" i="76"/>
  <c r="P24" i="76"/>
  <c r="Q24" i="76"/>
  <c r="R24" i="76"/>
  <c r="S24" i="76"/>
  <c r="Y24" i="76"/>
  <c r="Z24" i="76"/>
  <c r="AA24" i="76"/>
  <c r="AB24" i="76"/>
  <c r="AC24" i="76"/>
  <c r="AF24" i="76"/>
  <c r="AG24" i="76"/>
  <c r="O25" i="76"/>
  <c r="P25" i="76"/>
  <c r="Q25" i="76"/>
  <c r="R25" i="76"/>
  <c r="S25" i="76"/>
  <c r="Y25" i="76"/>
  <c r="Z25" i="76"/>
  <c r="AA25" i="76"/>
  <c r="AB25" i="76"/>
  <c r="AC25" i="76"/>
  <c r="AF25" i="76"/>
  <c r="AG25" i="76"/>
  <c r="O26" i="76"/>
  <c r="P26" i="76"/>
  <c r="Q26" i="76"/>
  <c r="R26" i="76"/>
  <c r="S26" i="76"/>
  <c r="Y26" i="76"/>
  <c r="Z26" i="76"/>
  <c r="AA26" i="76"/>
  <c r="AB26" i="76"/>
  <c r="AC26" i="76"/>
  <c r="AF26" i="76"/>
  <c r="AG26" i="76"/>
  <c r="O27" i="76"/>
  <c r="P27" i="76"/>
  <c r="Q27" i="76"/>
  <c r="R27" i="76"/>
  <c r="S27" i="76"/>
  <c r="Y27" i="76"/>
  <c r="Z27" i="76"/>
  <c r="AA27" i="76"/>
  <c r="AB27" i="76"/>
  <c r="AC27" i="76"/>
  <c r="AF27" i="76"/>
  <c r="AG27" i="76"/>
  <c r="O28" i="76"/>
  <c r="P28" i="76"/>
  <c r="Q28" i="76"/>
  <c r="R28" i="76"/>
  <c r="S28" i="76"/>
  <c r="Y28" i="76"/>
  <c r="Z28" i="76"/>
  <c r="AA28" i="76"/>
  <c r="AB28" i="76"/>
  <c r="AC28" i="76"/>
  <c r="AF28" i="76"/>
  <c r="AG28" i="76"/>
  <c r="O29" i="76"/>
  <c r="P29" i="76"/>
  <c r="Q29" i="76"/>
  <c r="R29" i="76"/>
  <c r="S29" i="76"/>
  <c r="Y29" i="76"/>
  <c r="Z29" i="76"/>
  <c r="AA29" i="76"/>
  <c r="AB29" i="76"/>
  <c r="AC29" i="76"/>
  <c r="AF29" i="76"/>
  <c r="AG29" i="76"/>
  <c r="O30" i="76"/>
  <c r="P30" i="76"/>
  <c r="Q30" i="76"/>
  <c r="R30" i="76"/>
  <c r="S30" i="76"/>
  <c r="Y30" i="76"/>
  <c r="Z30" i="76"/>
  <c r="AA30" i="76"/>
  <c r="AB30" i="76"/>
  <c r="AC30" i="76"/>
  <c r="AF30" i="76"/>
  <c r="AG30" i="76"/>
  <c r="O31" i="76"/>
  <c r="P31" i="76"/>
  <c r="Q31" i="76"/>
  <c r="R31" i="76"/>
  <c r="S31" i="76"/>
  <c r="Y31" i="76"/>
  <c r="Z31" i="76"/>
  <c r="AA31" i="76"/>
  <c r="AB31" i="76"/>
  <c r="AC31" i="76"/>
  <c r="AF31" i="76"/>
  <c r="AG31" i="76"/>
  <c r="O32" i="76"/>
  <c r="P32" i="76"/>
  <c r="Q32" i="76"/>
  <c r="R32" i="76"/>
  <c r="S32" i="76"/>
  <c r="Y32" i="76"/>
  <c r="Z32" i="76"/>
  <c r="AA32" i="76"/>
  <c r="AB32" i="76"/>
  <c r="AC32" i="76"/>
  <c r="AF32" i="76"/>
  <c r="AG32" i="76"/>
  <c r="O33" i="76"/>
  <c r="P33" i="76"/>
  <c r="Q33" i="76"/>
  <c r="R33" i="76"/>
  <c r="S33" i="76"/>
  <c r="Y33" i="76"/>
  <c r="Z33" i="76"/>
  <c r="AA33" i="76"/>
  <c r="AB33" i="76"/>
  <c r="AC33" i="76"/>
  <c r="AF33" i="76"/>
  <c r="AG33" i="76"/>
  <c r="O34" i="76"/>
  <c r="P34" i="76"/>
  <c r="Q34" i="76"/>
  <c r="R34" i="76"/>
  <c r="S34" i="76"/>
  <c r="Y34" i="76"/>
  <c r="Z34" i="76"/>
  <c r="AA34" i="76"/>
  <c r="AB34" i="76"/>
  <c r="AC34" i="76"/>
  <c r="AF34" i="76"/>
  <c r="AG34" i="76"/>
  <c r="O35" i="76"/>
  <c r="P35" i="76"/>
  <c r="Q35" i="76"/>
  <c r="R35" i="76"/>
  <c r="S35" i="76"/>
  <c r="Y35" i="76"/>
  <c r="Z35" i="76"/>
  <c r="AA35" i="76"/>
  <c r="AB35" i="76"/>
  <c r="AC35" i="76"/>
  <c r="AF35" i="76"/>
  <c r="AG35" i="76"/>
  <c r="O36" i="76"/>
  <c r="P36" i="76"/>
  <c r="Q36" i="76"/>
  <c r="R36" i="76"/>
  <c r="S36" i="76"/>
  <c r="Y36" i="76"/>
  <c r="Z36" i="76"/>
  <c r="AA36" i="76"/>
  <c r="AB36" i="76"/>
  <c r="AC36" i="76"/>
  <c r="AF36" i="76"/>
  <c r="AG36" i="76"/>
  <c r="O37" i="76"/>
  <c r="P37" i="76"/>
  <c r="Q37" i="76"/>
  <c r="R37" i="76"/>
  <c r="S37" i="76"/>
  <c r="Y37" i="76"/>
  <c r="Z37" i="76"/>
  <c r="AA37" i="76"/>
  <c r="AB37" i="76"/>
  <c r="AC37" i="76"/>
  <c r="AF37" i="76"/>
  <c r="AG37" i="76"/>
  <c r="O38" i="76"/>
  <c r="P38" i="76"/>
  <c r="Q38" i="76"/>
  <c r="R38" i="76"/>
  <c r="S38" i="76"/>
  <c r="Y38" i="76"/>
  <c r="Z38" i="76"/>
  <c r="AA38" i="76"/>
  <c r="AB38" i="76"/>
  <c r="AC38" i="76"/>
  <c r="AF38" i="76"/>
  <c r="AG38" i="76"/>
  <c r="O39" i="76"/>
  <c r="P39" i="76"/>
  <c r="Q39" i="76"/>
  <c r="R39" i="76"/>
  <c r="S39" i="76"/>
  <c r="Y39" i="76"/>
  <c r="Z39" i="76"/>
  <c r="AA39" i="76"/>
  <c r="AB39" i="76"/>
  <c r="AC39" i="76"/>
  <c r="AF39" i="76"/>
  <c r="AG39" i="76"/>
  <c r="O40" i="76"/>
  <c r="P40" i="76"/>
  <c r="Q40" i="76"/>
  <c r="R40" i="76"/>
  <c r="S40" i="76"/>
  <c r="Y40" i="76"/>
  <c r="Z40" i="76"/>
  <c r="AA40" i="76"/>
  <c r="AB40" i="76"/>
  <c r="AC40" i="76"/>
  <c r="AF40" i="76"/>
  <c r="AG40" i="76"/>
  <c r="O41" i="76"/>
  <c r="P41" i="76"/>
  <c r="Q41" i="76"/>
  <c r="R41" i="76"/>
  <c r="S41" i="76"/>
  <c r="Y41" i="76"/>
  <c r="Z41" i="76"/>
  <c r="AA41" i="76"/>
  <c r="AB41" i="76"/>
  <c r="AC41" i="76"/>
  <c r="AF41" i="76"/>
  <c r="AG41" i="76"/>
  <c r="O42" i="76"/>
  <c r="P42" i="76"/>
  <c r="Q42" i="76"/>
  <c r="R42" i="76"/>
  <c r="S42" i="76"/>
  <c r="Y42" i="76"/>
  <c r="Z42" i="76"/>
  <c r="AA42" i="76"/>
  <c r="AB42" i="76"/>
  <c r="AC42" i="76"/>
  <c r="AF42" i="76"/>
  <c r="AG42" i="76"/>
  <c r="O43" i="76"/>
  <c r="P43" i="76"/>
  <c r="Q43" i="76"/>
  <c r="R43" i="76"/>
  <c r="S43" i="76"/>
  <c r="Y43" i="76"/>
  <c r="Z43" i="76"/>
  <c r="AA43" i="76"/>
  <c r="AB43" i="76"/>
  <c r="AC43" i="76"/>
  <c r="AF43" i="76"/>
  <c r="AG43" i="76"/>
  <c r="O44" i="76"/>
  <c r="P44" i="76"/>
  <c r="Q44" i="76"/>
  <c r="R44" i="76"/>
  <c r="S44" i="76"/>
  <c r="Y44" i="76"/>
  <c r="Z44" i="76"/>
  <c r="AA44" i="76"/>
  <c r="AB44" i="76"/>
  <c r="AC44" i="76"/>
  <c r="AF44" i="76"/>
  <c r="AG44" i="76"/>
  <c r="O45" i="76"/>
  <c r="P45" i="76"/>
  <c r="Q45" i="76"/>
  <c r="R45" i="76"/>
  <c r="S45" i="76"/>
  <c r="Y45" i="76"/>
  <c r="Z45" i="76"/>
  <c r="AA45" i="76"/>
  <c r="AB45" i="76"/>
  <c r="AC45" i="76"/>
  <c r="AF45" i="76"/>
  <c r="AG45" i="76"/>
  <c r="O46" i="76"/>
  <c r="P46" i="76"/>
  <c r="Q46" i="76"/>
  <c r="R46" i="76"/>
  <c r="S46" i="76"/>
  <c r="Y46" i="76"/>
  <c r="Z46" i="76"/>
  <c r="AA46" i="76"/>
  <c r="AB46" i="76"/>
  <c r="AC46" i="76"/>
  <c r="AF46" i="76"/>
  <c r="AG46" i="76"/>
  <c r="O47" i="76"/>
  <c r="P47" i="76"/>
  <c r="Q47" i="76"/>
  <c r="R47" i="76"/>
  <c r="S47" i="76"/>
  <c r="Y47" i="76"/>
  <c r="Z47" i="76"/>
  <c r="AA47" i="76"/>
  <c r="AB47" i="76"/>
  <c r="AC47" i="76"/>
  <c r="AF47" i="76"/>
  <c r="AG47" i="76"/>
  <c r="O48" i="76"/>
  <c r="P48" i="76"/>
  <c r="Q48" i="76"/>
  <c r="R48" i="76"/>
  <c r="S48" i="76"/>
  <c r="Y48" i="76"/>
  <c r="Z48" i="76"/>
  <c r="AA48" i="76"/>
  <c r="AB48" i="76"/>
  <c r="AC48" i="76"/>
  <c r="AF48" i="76"/>
  <c r="AG48" i="76"/>
  <c r="O49" i="76"/>
  <c r="P49" i="76"/>
  <c r="Q49" i="76"/>
  <c r="R49" i="76"/>
  <c r="S49" i="76"/>
  <c r="Y49" i="76"/>
  <c r="Z49" i="76"/>
  <c r="AA49" i="76"/>
  <c r="AB49" i="76"/>
  <c r="AC49" i="76"/>
  <c r="AF49" i="76"/>
  <c r="AG49" i="76"/>
  <c r="O50" i="76"/>
  <c r="P50" i="76"/>
  <c r="Q50" i="76"/>
  <c r="R50" i="76"/>
  <c r="S50" i="76"/>
  <c r="Y50" i="76"/>
  <c r="Z50" i="76"/>
  <c r="AA50" i="76"/>
  <c r="AB50" i="76"/>
  <c r="AC50" i="76"/>
  <c r="AF50" i="76"/>
  <c r="AG50" i="76"/>
  <c r="O51" i="76"/>
  <c r="P51" i="76"/>
  <c r="Q51" i="76"/>
  <c r="R51" i="76"/>
  <c r="S51" i="76"/>
  <c r="Y51" i="76"/>
  <c r="Z51" i="76"/>
  <c r="AA51" i="76"/>
  <c r="AB51" i="76"/>
  <c r="AC51" i="76"/>
  <c r="AF51" i="76"/>
  <c r="AG51" i="76"/>
  <c r="O52" i="76"/>
  <c r="P52" i="76"/>
  <c r="Q52" i="76"/>
  <c r="R52" i="76"/>
  <c r="S52" i="76"/>
  <c r="Y52" i="76"/>
  <c r="Z52" i="76"/>
  <c r="AA52" i="76"/>
  <c r="AB52" i="76"/>
  <c r="AC52" i="76"/>
  <c r="AF52" i="76"/>
  <c r="AG52" i="76"/>
  <c r="O53" i="76"/>
  <c r="P53" i="76"/>
  <c r="Q53" i="76"/>
  <c r="R53" i="76"/>
  <c r="S53" i="76"/>
  <c r="Y53" i="76"/>
  <c r="Z53" i="76"/>
  <c r="AA53" i="76"/>
  <c r="AB53" i="76"/>
  <c r="AC53" i="76"/>
  <c r="AF53" i="76"/>
  <c r="AG53" i="76"/>
  <c r="O54" i="76"/>
  <c r="P54" i="76"/>
  <c r="Q54" i="76"/>
  <c r="R54" i="76"/>
  <c r="S54" i="76"/>
  <c r="Y54" i="76"/>
  <c r="Z54" i="76"/>
  <c r="AA54" i="76"/>
  <c r="AB54" i="76"/>
  <c r="AC54" i="76"/>
  <c r="AF54" i="76"/>
  <c r="AG54" i="76"/>
  <c r="O55" i="76"/>
  <c r="P55" i="76"/>
  <c r="Q55" i="76"/>
  <c r="R55" i="76"/>
  <c r="S55" i="76"/>
  <c r="Y55" i="76"/>
  <c r="Z55" i="76"/>
  <c r="AA55" i="76"/>
  <c r="AB55" i="76"/>
  <c r="AC55" i="76"/>
  <c r="AF55" i="76"/>
  <c r="AG55" i="76"/>
  <c r="O56" i="76"/>
  <c r="P56" i="76"/>
  <c r="Q56" i="76"/>
  <c r="R56" i="76"/>
  <c r="S56" i="76"/>
  <c r="Y56" i="76"/>
  <c r="Z56" i="76"/>
  <c r="AA56" i="76"/>
  <c r="AB56" i="76"/>
  <c r="AC56" i="76"/>
  <c r="AF56" i="76"/>
  <c r="AG56" i="76"/>
  <c r="O57" i="76"/>
  <c r="P57" i="76"/>
  <c r="Q57" i="76"/>
  <c r="R57" i="76"/>
  <c r="S57" i="76"/>
  <c r="Y57" i="76"/>
  <c r="Z57" i="76"/>
  <c r="AA57" i="76"/>
  <c r="AB57" i="76"/>
  <c r="AC57" i="76"/>
  <c r="AF57" i="76"/>
  <c r="AG57" i="76"/>
  <c r="O58" i="76"/>
  <c r="P58" i="76"/>
  <c r="Q58" i="76"/>
  <c r="R58" i="76"/>
  <c r="S58" i="76"/>
  <c r="Y58" i="76"/>
  <c r="Z58" i="76"/>
  <c r="AA58" i="76"/>
  <c r="AB58" i="76"/>
  <c r="AC58" i="76"/>
  <c r="AF58" i="76"/>
  <c r="AG58" i="76"/>
  <c r="O59" i="76"/>
  <c r="P59" i="76"/>
  <c r="Q59" i="76"/>
  <c r="R59" i="76"/>
  <c r="S59" i="76"/>
  <c r="Y59" i="76"/>
  <c r="Z59" i="76"/>
  <c r="AA59" i="76"/>
  <c r="AB59" i="76"/>
  <c r="AC59" i="76"/>
  <c r="AF59" i="76"/>
  <c r="AG59" i="76"/>
  <c r="O60" i="76"/>
  <c r="P60" i="76"/>
  <c r="Q60" i="76"/>
  <c r="R60" i="76"/>
  <c r="S60" i="76"/>
  <c r="Y60" i="76"/>
  <c r="Z60" i="76"/>
  <c r="AA60" i="76"/>
  <c r="AB60" i="76"/>
  <c r="AC60" i="76"/>
  <c r="AF60" i="76"/>
  <c r="AG60" i="76"/>
  <c r="O61" i="76"/>
  <c r="P61" i="76"/>
  <c r="Q61" i="76"/>
  <c r="R61" i="76"/>
  <c r="S61" i="76"/>
  <c r="Y61" i="76"/>
  <c r="Z61" i="76"/>
  <c r="AA61" i="76"/>
  <c r="AB61" i="76"/>
  <c r="AC61" i="76"/>
  <c r="AF61" i="76"/>
  <c r="AG61" i="76"/>
  <c r="O62" i="76"/>
  <c r="P62" i="76"/>
  <c r="Q62" i="76"/>
  <c r="R62" i="76"/>
  <c r="S62" i="76"/>
  <c r="Y62" i="76"/>
  <c r="Z62" i="76"/>
  <c r="AA62" i="76"/>
  <c r="AB62" i="76"/>
  <c r="AC62" i="76"/>
  <c r="AF62" i="76"/>
  <c r="AG62" i="76"/>
  <c r="O63" i="76"/>
  <c r="P63" i="76"/>
  <c r="Q63" i="76"/>
  <c r="R63" i="76"/>
  <c r="S63" i="76"/>
  <c r="Y63" i="76"/>
  <c r="Z63" i="76"/>
  <c r="AA63" i="76"/>
  <c r="AB63" i="76"/>
  <c r="AC63" i="76"/>
  <c r="AF63" i="76"/>
  <c r="AG63" i="76"/>
  <c r="O64" i="76"/>
  <c r="P64" i="76"/>
  <c r="Q64" i="76"/>
  <c r="R64" i="76"/>
  <c r="S64" i="76"/>
  <c r="Y64" i="76"/>
  <c r="Z64" i="76"/>
  <c r="AA64" i="76"/>
  <c r="AB64" i="76"/>
  <c r="AC64" i="76"/>
  <c r="AF64" i="76"/>
  <c r="AG64" i="76"/>
  <c r="O65" i="76"/>
  <c r="P65" i="76"/>
  <c r="Q65" i="76"/>
  <c r="R65" i="76"/>
  <c r="S65" i="76"/>
  <c r="Y65" i="76"/>
  <c r="Z65" i="76"/>
  <c r="AA65" i="76"/>
  <c r="AB65" i="76"/>
  <c r="AC65" i="76"/>
  <c r="AF65" i="76"/>
  <c r="AG65" i="76"/>
  <c r="O66" i="76"/>
  <c r="P66" i="76"/>
  <c r="Q66" i="76"/>
  <c r="R66" i="76"/>
  <c r="S66" i="76"/>
  <c r="Y66" i="76"/>
  <c r="Z66" i="76"/>
  <c r="AA66" i="76"/>
  <c r="AB66" i="76"/>
  <c r="AC66" i="76"/>
  <c r="AF66" i="76"/>
  <c r="AG66" i="76"/>
  <c r="O67" i="76"/>
  <c r="P67" i="76"/>
  <c r="Q67" i="76"/>
  <c r="R67" i="76"/>
  <c r="S67" i="76"/>
  <c r="Y67" i="76"/>
  <c r="Z67" i="76"/>
  <c r="AA67" i="76"/>
  <c r="AB67" i="76"/>
  <c r="AC67" i="76"/>
  <c r="AF67" i="76"/>
  <c r="AG67" i="76"/>
  <c r="O68" i="76"/>
  <c r="P68" i="76"/>
  <c r="Q68" i="76"/>
  <c r="R68" i="76"/>
  <c r="S68" i="76"/>
  <c r="Y68" i="76"/>
  <c r="Z68" i="76"/>
  <c r="AA68" i="76"/>
  <c r="AB68" i="76"/>
  <c r="AC68" i="76"/>
  <c r="AF68" i="76"/>
  <c r="AG68" i="76"/>
  <c r="O69" i="76"/>
  <c r="P69" i="76"/>
  <c r="Q69" i="76"/>
  <c r="R69" i="76"/>
  <c r="S69" i="76"/>
  <c r="Y69" i="76"/>
  <c r="Z69" i="76"/>
  <c r="AA69" i="76"/>
  <c r="AB69" i="76"/>
  <c r="AC69" i="76"/>
  <c r="AF69" i="76"/>
  <c r="AG69" i="76"/>
  <c r="AG16" i="76"/>
  <c r="AF16" i="76"/>
  <c r="AC16" i="76"/>
  <c r="AB16" i="76"/>
  <c r="Z16" i="76"/>
  <c r="AA16" i="76"/>
  <c r="Y16" i="76"/>
  <c r="BK17" i="70" l="1"/>
  <c r="BJ17" i="70"/>
  <c r="BH221" i="70"/>
  <c r="BH213" i="70"/>
  <c r="BH139" i="70"/>
  <c r="BH68" i="70"/>
  <c r="BH60" i="70"/>
  <c r="BH52" i="70"/>
  <c r="BH44" i="70"/>
  <c r="BH20" i="70"/>
  <c r="BJ221" i="70"/>
  <c r="BJ139" i="70"/>
  <c r="BJ60" i="70"/>
  <c r="BJ44" i="70"/>
  <c r="BK16" i="70"/>
  <c r="BJ295" i="70"/>
  <c r="BJ213" i="70"/>
  <c r="BJ91" i="70"/>
  <c r="BJ68" i="70"/>
  <c r="BJ52" i="70"/>
  <c r="BJ28" i="70"/>
  <c r="BH295" i="70"/>
  <c r="BI284" i="70"/>
  <c r="BK282" i="70"/>
  <c r="BI276" i="70"/>
  <c r="BK274" i="70"/>
  <c r="BI268" i="70"/>
  <c r="BK266" i="70"/>
  <c r="BI260" i="70"/>
  <c r="BK250" i="70"/>
  <c r="BI236" i="70"/>
  <c r="BK234" i="70"/>
  <c r="BH233" i="70"/>
  <c r="BH223" i="70"/>
  <c r="BI210" i="70"/>
  <c r="BK208" i="70"/>
  <c r="BI202" i="70"/>
  <c r="BK200" i="70"/>
  <c r="BI194" i="70"/>
  <c r="BK192" i="70"/>
  <c r="BI178" i="70"/>
  <c r="BK176" i="70"/>
  <c r="BK168" i="70"/>
  <c r="BI162" i="70"/>
  <c r="BK160" i="70"/>
  <c r="BK150" i="70"/>
  <c r="BH149" i="70"/>
  <c r="BH141" i="70"/>
  <c r="BI136" i="70"/>
  <c r="BK134" i="70"/>
  <c r="BI128" i="70"/>
  <c r="BK126" i="70"/>
  <c r="BI120" i="70"/>
  <c r="BK118" i="70"/>
  <c r="BI104" i="70"/>
  <c r="BK102" i="70"/>
  <c r="BI96" i="70"/>
  <c r="BK94" i="70"/>
  <c r="BI88" i="70"/>
  <c r="BI79" i="70"/>
  <c r="BH62" i="70"/>
  <c r="BH54" i="70"/>
  <c r="BH46" i="70"/>
  <c r="BH30" i="70"/>
  <c r="BH22" i="70"/>
  <c r="BJ20" i="70"/>
  <c r="BI282" i="70"/>
  <c r="BI274" i="70"/>
  <c r="BI250" i="70"/>
  <c r="BI208" i="70"/>
  <c r="BI192" i="70"/>
  <c r="BI176" i="70"/>
  <c r="BI168" i="70"/>
  <c r="BI160" i="70"/>
  <c r="BI150" i="70"/>
  <c r="BI134" i="70"/>
  <c r="BI126" i="70"/>
  <c r="BI118" i="70"/>
  <c r="BI94" i="70"/>
  <c r="BH91" i="70"/>
  <c r="BH28" i="70"/>
  <c r="BI17" i="70"/>
  <c r="BH17" i="70"/>
  <c r="BI244" i="70"/>
  <c r="BI234" i="70"/>
  <c r="BK244" i="70"/>
  <c r="BK210" i="70"/>
  <c r="BK202" i="70"/>
  <c r="BK194" i="70"/>
  <c r="BK178" i="70"/>
  <c r="BK162" i="70"/>
  <c r="BK136" i="70"/>
  <c r="BK128" i="70"/>
  <c r="BK104" i="70"/>
  <c r="BK96" i="70"/>
  <c r="BK88" i="70"/>
  <c r="BI295" i="70"/>
  <c r="BH284" i="70"/>
  <c r="BJ282" i="70"/>
  <c r="BH276" i="70"/>
  <c r="BJ274" i="70"/>
  <c r="BH268" i="70"/>
  <c r="BJ266" i="70"/>
  <c r="BH260" i="70"/>
  <c r="BJ250" i="70"/>
  <c r="BH244" i="70"/>
  <c r="BH236" i="70"/>
  <c r="BJ234" i="70"/>
  <c r="BI221" i="70"/>
  <c r="BI213" i="70"/>
  <c r="BH210" i="70"/>
  <c r="BJ208" i="70"/>
  <c r="BH202" i="70"/>
  <c r="BJ200" i="70"/>
  <c r="BH194" i="70"/>
  <c r="BJ192" i="70"/>
  <c r="BH178" i="70"/>
  <c r="BJ176" i="70"/>
  <c r="BJ168" i="70"/>
  <c r="BH162" i="70"/>
  <c r="BJ160" i="70"/>
  <c r="BJ150" i="70"/>
  <c r="BI139" i="70"/>
  <c r="BH136" i="70"/>
  <c r="BJ134" i="70"/>
  <c r="BH128" i="70"/>
  <c r="BJ126" i="70"/>
  <c r="BH120" i="70"/>
  <c r="BJ118" i="70"/>
  <c r="BH104" i="70"/>
  <c r="BJ102" i="70"/>
  <c r="BH96" i="70"/>
  <c r="BJ94" i="70"/>
  <c r="BI91" i="70"/>
  <c r="BH88" i="70"/>
  <c r="BH79" i="70"/>
  <c r="BI68" i="70"/>
  <c r="BI60" i="70"/>
  <c r="BI52" i="70"/>
  <c r="BI44" i="70"/>
  <c r="BI28" i="70"/>
  <c r="BI20" i="70"/>
  <c r="BI266" i="70"/>
  <c r="BI200" i="70"/>
  <c r="BI102" i="70"/>
  <c r="BH282" i="70"/>
  <c r="BH274" i="70"/>
  <c r="BH266" i="70"/>
  <c r="BH250" i="70"/>
  <c r="BH234" i="70"/>
  <c r="BH208" i="70"/>
  <c r="BH200" i="70"/>
  <c r="BH192" i="70"/>
  <c r="BH176" i="70"/>
  <c r="BH168" i="70"/>
  <c r="BH160" i="70"/>
  <c r="BH150" i="70"/>
  <c r="BH134" i="70"/>
  <c r="BH126" i="70"/>
  <c r="BH118" i="70"/>
  <c r="BH102" i="70"/>
  <c r="BH94" i="70"/>
  <c r="BK236" i="70"/>
  <c r="BK120" i="70"/>
  <c r="BK78" i="70"/>
  <c r="BK64" i="70"/>
  <c r="BK56" i="70"/>
  <c r="BK48" i="70"/>
  <c r="BK32" i="70"/>
  <c r="BK24" i="70"/>
  <c r="BJ16" i="70"/>
  <c r="BI16" i="70"/>
  <c r="BH16" i="70"/>
  <c r="BJ294" i="70"/>
  <c r="BI283" i="70"/>
  <c r="BJ270" i="70"/>
  <c r="BJ262" i="70"/>
  <c r="BJ246" i="70"/>
  <c r="BK79" i="70"/>
  <c r="BJ244" i="70"/>
  <c r="BJ120" i="70"/>
  <c r="BJ104" i="70"/>
  <c r="BJ96" i="70"/>
  <c r="BH14" i="70"/>
  <c r="BJ14" i="70"/>
  <c r="BK14" i="70"/>
  <c r="BI14" i="70"/>
  <c r="BI277" i="70"/>
  <c r="BK277" i="70"/>
  <c r="BH277" i="70"/>
  <c r="BJ277" i="70"/>
  <c r="BI187" i="70"/>
  <c r="BK187" i="70"/>
  <c r="BJ187" i="70"/>
  <c r="BH187" i="70"/>
  <c r="BI154" i="70"/>
  <c r="BK154" i="70"/>
  <c r="BH154" i="70"/>
  <c r="BJ154" i="70"/>
  <c r="BI145" i="70"/>
  <c r="BK145" i="70"/>
  <c r="BH145" i="70"/>
  <c r="BJ145" i="70"/>
  <c r="BI137" i="70"/>
  <c r="BK137" i="70"/>
  <c r="BJ137" i="70"/>
  <c r="BH137" i="70"/>
  <c r="BI129" i="70"/>
  <c r="BK129" i="70"/>
  <c r="BJ129" i="70"/>
  <c r="BH129" i="70"/>
  <c r="BI121" i="70"/>
  <c r="BK121" i="70"/>
  <c r="BJ121" i="70"/>
  <c r="BH121" i="70"/>
  <c r="BI113" i="70"/>
  <c r="BK113" i="70"/>
  <c r="BH113" i="70"/>
  <c r="BJ113" i="70"/>
  <c r="BI105" i="70"/>
  <c r="BK105" i="70"/>
  <c r="BH105" i="70"/>
  <c r="BJ105" i="70"/>
  <c r="BI97" i="70"/>
  <c r="BK97" i="70"/>
  <c r="BH97" i="70"/>
  <c r="BJ97" i="70"/>
  <c r="BI80" i="70"/>
  <c r="BK80" i="70"/>
  <c r="BH80" i="70"/>
  <c r="BJ80" i="70"/>
  <c r="BH42" i="70"/>
  <c r="BI42" i="70"/>
  <c r="BJ42" i="70"/>
  <c r="BK42" i="70"/>
  <c r="BH26" i="70"/>
  <c r="BI26" i="70"/>
  <c r="BJ26" i="70"/>
  <c r="BK26" i="70"/>
  <c r="BI269" i="70"/>
  <c r="BK269" i="70"/>
  <c r="BJ269" i="70"/>
  <c r="BH269" i="70"/>
  <c r="BI261" i="70"/>
  <c r="BK261" i="70"/>
  <c r="BH261" i="70"/>
  <c r="BJ261" i="70"/>
  <c r="BH15" i="70"/>
  <c r="BI15" i="70"/>
  <c r="BJ15" i="70"/>
  <c r="BK15" i="70"/>
  <c r="BI296" i="70"/>
  <c r="BK296" i="70"/>
  <c r="BH296" i="70"/>
  <c r="BJ296" i="70"/>
  <c r="BK293" i="70"/>
  <c r="BI288" i="70"/>
  <c r="BK288" i="70"/>
  <c r="BJ288" i="70"/>
  <c r="BH288" i="70"/>
  <c r="BK285" i="70"/>
  <c r="BI256" i="70"/>
  <c r="BK256" i="70"/>
  <c r="BH256" i="70"/>
  <c r="BJ256" i="70"/>
  <c r="BI214" i="70"/>
  <c r="BK214" i="70"/>
  <c r="BH214" i="70"/>
  <c r="BJ214" i="70"/>
  <c r="BK211" i="70"/>
  <c r="BI182" i="70"/>
  <c r="BK182" i="70"/>
  <c r="BH182" i="70"/>
  <c r="BJ182" i="70"/>
  <c r="BK163" i="70"/>
  <c r="BI158" i="70"/>
  <c r="BK158" i="70"/>
  <c r="BH158" i="70"/>
  <c r="BJ158" i="70"/>
  <c r="BI148" i="70"/>
  <c r="BK148" i="70"/>
  <c r="BH148" i="70"/>
  <c r="BJ148" i="70"/>
  <c r="BI108" i="70"/>
  <c r="BK108" i="70"/>
  <c r="BH108" i="70"/>
  <c r="BJ108" i="70"/>
  <c r="BK89" i="70"/>
  <c r="BI84" i="70"/>
  <c r="BK84" i="70"/>
  <c r="BH84" i="70"/>
  <c r="BJ84" i="70"/>
  <c r="BI74" i="70"/>
  <c r="BK74" i="70"/>
  <c r="BJ74" i="70"/>
  <c r="BH74" i="70"/>
  <c r="BK66" i="70"/>
  <c r="BH61" i="70"/>
  <c r="BI61" i="70"/>
  <c r="BJ61" i="70"/>
  <c r="BK61" i="70"/>
  <c r="BK58" i="70"/>
  <c r="BH53" i="70"/>
  <c r="BI53" i="70"/>
  <c r="BJ53" i="70"/>
  <c r="BK53" i="70"/>
  <c r="BK50" i="70"/>
  <c r="BH45" i="70"/>
  <c r="BI45" i="70"/>
  <c r="BJ45" i="70"/>
  <c r="BK45" i="70"/>
  <c r="BH37" i="70"/>
  <c r="BJ37" i="70"/>
  <c r="BK37" i="70"/>
  <c r="BI37" i="70"/>
  <c r="BK34" i="70"/>
  <c r="BH29" i="70"/>
  <c r="BI29" i="70"/>
  <c r="BJ29" i="70"/>
  <c r="BK29" i="70"/>
  <c r="BH21" i="70"/>
  <c r="BJ21" i="70"/>
  <c r="BK21" i="70"/>
  <c r="BI21" i="70"/>
  <c r="BK18" i="70"/>
  <c r="BI228" i="70"/>
  <c r="BK228" i="70"/>
  <c r="BH228" i="70"/>
  <c r="BJ228" i="70"/>
  <c r="BI203" i="70"/>
  <c r="BK203" i="70"/>
  <c r="BJ203" i="70"/>
  <c r="BH203" i="70"/>
  <c r="BI195" i="70"/>
  <c r="BK195" i="70"/>
  <c r="BH195" i="70"/>
  <c r="BJ195" i="70"/>
  <c r="BI179" i="70"/>
  <c r="BK179" i="70"/>
  <c r="BH179" i="70"/>
  <c r="BJ179" i="70"/>
  <c r="BJ293" i="70"/>
  <c r="BI291" i="70"/>
  <c r="BK291" i="70"/>
  <c r="BH291" i="70"/>
  <c r="BJ291" i="70"/>
  <c r="BJ285" i="70"/>
  <c r="BK280" i="70"/>
  <c r="BI275" i="70"/>
  <c r="BK275" i="70"/>
  <c r="BH275" i="70"/>
  <c r="BJ275" i="70"/>
  <c r="BK272" i="70"/>
  <c r="BI267" i="70"/>
  <c r="BK267" i="70"/>
  <c r="BH267" i="70"/>
  <c r="BJ267" i="70"/>
  <c r="BK264" i="70"/>
  <c r="BI259" i="70"/>
  <c r="BK259" i="70"/>
  <c r="BH259" i="70"/>
  <c r="BJ259" i="70"/>
  <c r="BI251" i="70"/>
  <c r="BK251" i="70"/>
  <c r="BH251" i="70"/>
  <c r="BJ251" i="70"/>
  <c r="BK248" i="70"/>
  <c r="BI243" i="70"/>
  <c r="BK243" i="70"/>
  <c r="BH243" i="70"/>
  <c r="BJ243" i="70"/>
  <c r="BK240" i="70"/>
  <c r="BK232" i="70"/>
  <c r="BI226" i="70"/>
  <c r="BK226" i="70"/>
  <c r="BH226" i="70"/>
  <c r="BJ226" i="70"/>
  <c r="BK222" i="70"/>
  <c r="BI217" i="70"/>
  <c r="BK217" i="70"/>
  <c r="BH217" i="70"/>
  <c r="BJ217" i="70"/>
  <c r="BJ211" i="70"/>
  <c r="BI209" i="70"/>
  <c r="BK209" i="70"/>
  <c r="BH209" i="70"/>
  <c r="BJ209" i="70"/>
  <c r="BK206" i="70"/>
  <c r="BI201" i="70"/>
  <c r="BK201" i="70"/>
  <c r="BH201" i="70"/>
  <c r="BJ201" i="70"/>
  <c r="BK198" i="70"/>
  <c r="BI193" i="70"/>
  <c r="BK193" i="70"/>
  <c r="BH193" i="70"/>
  <c r="BJ193" i="70"/>
  <c r="BK190" i="70"/>
  <c r="BI185" i="70"/>
  <c r="BK185" i="70"/>
  <c r="BH185" i="70"/>
  <c r="BJ185" i="70"/>
  <c r="BI177" i="70"/>
  <c r="BK177" i="70"/>
  <c r="BH177" i="70"/>
  <c r="BJ177" i="70"/>
  <c r="BK174" i="70"/>
  <c r="BI169" i="70"/>
  <c r="BK169" i="70"/>
  <c r="BH169" i="70"/>
  <c r="BJ169" i="70"/>
  <c r="BK166" i="70"/>
  <c r="BJ163" i="70"/>
  <c r="BI152" i="70"/>
  <c r="BK152" i="70"/>
  <c r="BJ152" i="70"/>
  <c r="BH152" i="70"/>
  <c r="BI143" i="70"/>
  <c r="BK143" i="70"/>
  <c r="BH143" i="70"/>
  <c r="BJ143" i="70"/>
  <c r="BK140" i="70"/>
  <c r="BI135" i="70"/>
  <c r="BK135" i="70"/>
  <c r="BH135" i="70"/>
  <c r="BJ135" i="70"/>
  <c r="BK132" i="70"/>
  <c r="BI127" i="70"/>
  <c r="BK127" i="70"/>
  <c r="BH127" i="70"/>
  <c r="BJ127" i="70"/>
  <c r="BK124" i="70"/>
  <c r="BI119" i="70"/>
  <c r="BK119" i="70"/>
  <c r="BH119" i="70"/>
  <c r="BJ119" i="70"/>
  <c r="BK116" i="70"/>
  <c r="BI111" i="70"/>
  <c r="BK111" i="70"/>
  <c r="BH111" i="70"/>
  <c r="BJ111" i="70"/>
  <c r="BI103" i="70"/>
  <c r="BK103" i="70"/>
  <c r="BH103" i="70"/>
  <c r="BJ103" i="70"/>
  <c r="BK100" i="70"/>
  <c r="BI95" i="70"/>
  <c r="BK95" i="70"/>
  <c r="BH95" i="70"/>
  <c r="BJ95" i="70"/>
  <c r="BK92" i="70"/>
  <c r="BJ89" i="70"/>
  <c r="BI87" i="70"/>
  <c r="BK87" i="70"/>
  <c r="BH87" i="70"/>
  <c r="BJ87" i="70"/>
  <c r="BK69" i="70"/>
  <c r="BJ66" i="70"/>
  <c r="BJ58" i="70"/>
  <c r="BJ50" i="70"/>
  <c r="BH40" i="70"/>
  <c r="BI40" i="70"/>
  <c r="BJ40" i="70"/>
  <c r="BK40" i="70"/>
  <c r="BJ34" i="70"/>
  <c r="BJ18" i="70"/>
  <c r="BI293" i="70"/>
  <c r="BI286" i="70"/>
  <c r="BK286" i="70"/>
  <c r="BJ286" i="70"/>
  <c r="BH286" i="70"/>
  <c r="BI285" i="70"/>
  <c r="BK283" i="70"/>
  <c r="BJ280" i="70"/>
  <c r="BI278" i="70"/>
  <c r="BK278" i="70"/>
  <c r="BH278" i="70"/>
  <c r="BJ278" i="70"/>
  <c r="BJ272" i="70"/>
  <c r="BJ264" i="70"/>
  <c r="BI254" i="70"/>
  <c r="BK254" i="70"/>
  <c r="BH254" i="70"/>
  <c r="BJ254" i="70"/>
  <c r="BJ248" i="70"/>
  <c r="BJ240" i="70"/>
  <c r="BK235" i="70"/>
  <c r="BJ232" i="70"/>
  <c r="BI229" i="70"/>
  <c r="BK229" i="70"/>
  <c r="BJ229" i="70"/>
  <c r="BH229" i="70"/>
  <c r="BJ222" i="70"/>
  <c r="BI220" i="70"/>
  <c r="BK220" i="70"/>
  <c r="BH220" i="70"/>
  <c r="BJ220" i="70"/>
  <c r="BI211" i="70"/>
  <c r="BJ206" i="70"/>
  <c r="BJ198" i="70"/>
  <c r="BJ190" i="70"/>
  <c r="BI180" i="70"/>
  <c r="BK180" i="70"/>
  <c r="BH180" i="70"/>
  <c r="BJ180" i="70"/>
  <c r="BJ174" i="70"/>
  <c r="BJ166" i="70"/>
  <c r="BI163" i="70"/>
  <c r="BK161" i="70"/>
  <c r="BI155" i="70"/>
  <c r="BK155" i="70"/>
  <c r="BH155" i="70"/>
  <c r="BJ155" i="70"/>
  <c r="BI146" i="70"/>
  <c r="BK146" i="70"/>
  <c r="BH146" i="70"/>
  <c r="BJ146" i="70"/>
  <c r="BJ140" i="70"/>
  <c r="BJ132" i="70"/>
  <c r="BJ124" i="70"/>
  <c r="BJ116" i="70"/>
  <c r="BI114" i="70"/>
  <c r="BK114" i="70"/>
  <c r="BH114" i="70"/>
  <c r="BJ114" i="70"/>
  <c r="BJ100" i="70"/>
  <c r="BI98" i="70"/>
  <c r="BK98" i="70"/>
  <c r="BJ98" i="70"/>
  <c r="BH98" i="70"/>
  <c r="BJ92" i="70"/>
  <c r="BI89" i="70"/>
  <c r="BI81" i="70"/>
  <c r="BK81" i="70"/>
  <c r="BH81" i="70"/>
  <c r="BJ81" i="70"/>
  <c r="BJ72" i="70"/>
  <c r="BH72" i="70"/>
  <c r="BK72" i="70"/>
  <c r="BI72" i="70"/>
  <c r="BJ69" i="70"/>
  <c r="BI66" i="70"/>
  <c r="BH59" i="70"/>
  <c r="BJ59" i="70"/>
  <c r="BK59" i="70"/>
  <c r="BI59" i="70"/>
  <c r="BI58" i="70"/>
  <c r="BH51" i="70"/>
  <c r="BJ51" i="70"/>
  <c r="BK51" i="70"/>
  <c r="BI51" i="70"/>
  <c r="BI50" i="70"/>
  <c r="BH43" i="70"/>
  <c r="BJ43" i="70"/>
  <c r="BK43" i="70"/>
  <c r="BI43" i="70"/>
  <c r="BH35" i="70"/>
  <c r="BJ35" i="70"/>
  <c r="BK35" i="70"/>
  <c r="BI35" i="70"/>
  <c r="BI34" i="70"/>
  <c r="BH27" i="70"/>
  <c r="BJ27" i="70"/>
  <c r="BK27" i="70"/>
  <c r="BI27" i="70"/>
  <c r="BI18" i="70"/>
  <c r="BI253" i="70"/>
  <c r="BK253" i="70"/>
  <c r="BH253" i="70"/>
  <c r="BJ253" i="70"/>
  <c r="BI245" i="70"/>
  <c r="BK245" i="70"/>
  <c r="BJ245" i="70"/>
  <c r="BH245" i="70"/>
  <c r="BI237" i="70"/>
  <c r="BK237" i="70"/>
  <c r="BH237" i="70"/>
  <c r="BJ237" i="70"/>
  <c r="BI219" i="70"/>
  <c r="BK219" i="70"/>
  <c r="BH219" i="70"/>
  <c r="BJ219" i="70"/>
  <c r="BI171" i="70"/>
  <c r="BK171" i="70"/>
  <c r="BH171" i="70"/>
  <c r="BJ171" i="70"/>
  <c r="BI297" i="70"/>
  <c r="BJ297" i="70"/>
  <c r="BK297" i="70"/>
  <c r="BH297" i="70"/>
  <c r="BK294" i="70"/>
  <c r="BH293" i="70"/>
  <c r="BI289" i="70"/>
  <c r="BK289" i="70"/>
  <c r="BH289" i="70"/>
  <c r="BJ289" i="70"/>
  <c r="BH285" i="70"/>
  <c r="BJ283" i="70"/>
  <c r="BI281" i="70"/>
  <c r="BK281" i="70"/>
  <c r="BH281" i="70"/>
  <c r="BJ281" i="70"/>
  <c r="BI280" i="70"/>
  <c r="BI273" i="70"/>
  <c r="BK273" i="70"/>
  <c r="BH273" i="70"/>
  <c r="BJ273" i="70"/>
  <c r="BI272" i="70"/>
  <c r="BK270" i="70"/>
  <c r="BI265" i="70"/>
  <c r="BK265" i="70"/>
  <c r="BH265" i="70"/>
  <c r="BJ265" i="70"/>
  <c r="BI264" i="70"/>
  <c r="BK262" i="70"/>
  <c r="BI257" i="70"/>
  <c r="BK257" i="70"/>
  <c r="BH257" i="70"/>
  <c r="BJ257" i="70"/>
  <c r="BI249" i="70"/>
  <c r="BK249" i="70"/>
  <c r="BH249" i="70"/>
  <c r="BJ249" i="70"/>
  <c r="BI248" i="70"/>
  <c r="BK246" i="70"/>
  <c r="BI241" i="70"/>
  <c r="BK241" i="70"/>
  <c r="BH241" i="70"/>
  <c r="BJ241" i="70"/>
  <c r="BI240" i="70"/>
  <c r="BK238" i="70"/>
  <c r="BJ235" i="70"/>
  <c r="BI232" i="70"/>
  <c r="BI222" i="70"/>
  <c r="BI215" i="70"/>
  <c r="BK215" i="70"/>
  <c r="BH215" i="70"/>
  <c r="BJ215" i="70"/>
  <c r="BK212" i="70"/>
  <c r="BH211" i="70"/>
  <c r="BI207" i="70"/>
  <c r="BK207" i="70"/>
  <c r="BH207" i="70"/>
  <c r="BJ207" i="70"/>
  <c r="BI206" i="70"/>
  <c r="BK204" i="70"/>
  <c r="BI199" i="70"/>
  <c r="BK199" i="70"/>
  <c r="BH199" i="70"/>
  <c r="BJ199" i="70"/>
  <c r="BI198" i="70"/>
  <c r="BK196" i="70"/>
  <c r="BI191" i="70"/>
  <c r="BK191" i="70"/>
  <c r="BH191" i="70"/>
  <c r="BJ191" i="70"/>
  <c r="BI190" i="70"/>
  <c r="BK188" i="70"/>
  <c r="BI183" i="70"/>
  <c r="BK183" i="70"/>
  <c r="BH183" i="70"/>
  <c r="BJ183" i="70"/>
  <c r="BI175" i="70"/>
  <c r="BK175" i="70"/>
  <c r="BH175" i="70"/>
  <c r="BJ175" i="70"/>
  <c r="BI174" i="70"/>
  <c r="BK172" i="70"/>
  <c r="BI167" i="70"/>
  <c r="BK167" i="70"/>
  <c r="BH167" i="70"/>
  <c r="BJ167" i="70"/>
  <c r="BI166" i="70"/>
  <c r="BK164" i="70"/>
  <c r="BH163" i="70"/>
  <c r="BJ161" i="70"/>
  <c r="BI159" i="70"/>
  <c r="BK159" i="70"/>
  <c r="BH159" i="70"/>
  <c r="BJ159" i="70"/>
  <c r="BI140" i="70"/>
  <c r="BK138" i="70"/>
  <c r="BI133" i="70"/>
  <c r="BK133" i="70"/>
  <c r="BH133" i="70"/>
  <c r="BJ133" i="70"/>
  <c r="BI132" i="70"/>
  <c r="BK130" i="70"/>
  <c r="BI125" i="70"/>
  <c r="BK125" i="70"/>
  <c r="BJ125" i="70"/>
  <c r="BH125" i="70"/>
  <c r="BI124" i="70"/>
  <c r="BK122" i="70"/>
  <c r="BI117" i="70"/>
  <c r="BK117" i="70"/>
  <c r="BH117" i="70"/>
  <c r="BJ117" i="70"/>
  <c r="BI116" i="70"/>
  <c r="BI109" i="70"/>
  <c r="BK109" i="70"/>
  <c r="BH109" i="70"/>
  <c r="BJ109" i="70"/>
  <c r="BK106" i="70"/>
  <c r="BI101" i="70"/>
  <c r="BK101" i="70"/>
  <c r="BJ101" i="70"/>
  <c r="BH101" i="70"/>
  <c r="BI100" i="70"/>
  <c r="BI93" i="70"/>
  <c r="BK93" i="70"/>
  <c r="BH93" i="70"/>
  <c r="BJ93" i="70"/>
  <c r="BI92" i="70"/>
  <c r="BK90" i="70"/>
  <c r="BH89" i="70"/>
  <c r="BI85" i="70"/>
  <c r="BK85" i="70"/>
  <c r="BH85" i="70"/>
  <c r="BJ85" i="70"/>
  <c r="BJ78" i="70"/>
  <c r="BI75" i="70"/>
  <c r="BK75" i="70"/>
  <c r="BH75" i="70"/>
  <c r="BJ75" i="70"/>
  <c r="BH70" i="70"/>
  <c r="BJ70" i="70"/>
  <c r="BK70" i="70"/>
  <c r="BI70" i="70"/>
  <c r="BI69" i="70"/>
  <c r="BK67" i="70"/>
  <c r="BH66" i="70"/>
  <c r="BJ64" i="70"/>
  <c r="BH58" i="70"/>
  <c r="BJ56" i="70"/>
  <c r="BH50" i="70"/>
  <c r="BJ48" i="70"/>
  <c r="BH38" i="70"/>
  <c r="BI38" i="70"/>
  <c r="BJ38" i="70"/>
  <c r="BK38" i="70"/>
  <c r="BH34" i="70"/>
  <c r="BJ32" i="70"/>
  <c r="BJ24" i="70"/>
  <c r="BK19" i="70"/>
  <c r="BH18" i="70"/>
  <c r="BH11" i="70"/>
  <c r="BI11" i="70"/>
  <c r="BJ11" i="70"/>
  <c r="BK11" i="70"/>
  <c r="BI292" i="70"/>
  <c r="BK292" i="70"/>
  <c r="BH292" i="70"/>
  <c r="BJ292" i="70"/>
  <c r="BH280" i="70"/>
  <c r="BH272" i="70"/>
  <c r="BH264" i="70"/>
  <c r="BI252" i="70"/>
  <c r="BK252" i="70"/>
  <c r="BH252" i="70"/>
  <c r="BJ252" i="70"/>
  <c r="BH248" i="70"/>
  <c r="BH240" i="70"/>
  <c r="BJ238" i="70"/>
  <c r="BI235" i="70"/>
  <c r="BK233" i="70"/>
  <c r="BH232" i="70"/>
  <c r="BI227" i="70"/>
  <c r="BK227" i="70"/>
  <c r="BH227" i="70"/>
  <c r="BJ227" i="70"/>
  <c r="BK223" i="70"/>
  <c r="BH222" i="70"/>
  <c r="BI218" i="70"/>
  <c r="BK218" i="70"/>
  <c r="BJ218" i="70"/>
  <c r="BH218" i="70"/>
  <c r="BJ212" i="70"/>
  <c r="BH206" i="70"/>
  <c r="BJ204" i="70"/>
  <c r="BH198" i="70"/>
  <c r="BJ196" i="70"/>
  <c r="BH190" i="70"/>
  <c r="BJ188" i="70"/>
  <c r="BI186" i="70"/>
  <c r="BK186" i="70"/>
  <c r="BH186" i="70"/>
  <c r="BJ186" i="70"/>
  <c r="BH174" i="70"/>
  <c r="BJ172" i="70"/>
  <c r="BI170" i="70"/>
  <c r="BK170" i="70"/>
  <c r="BH170" i="70"/>
  <c r="BJ170" i="70"/>
  <c r="BH166" i="70"/>
  <c r="BJ164" i="70"/>
  <c r="BI161" i="70"/>
  <c r="BI153" i="70"/>
  <c r="BK153" i="70"/>
  <c r="BH153" i="70"/>
  <c r="BJ153" i="70"/>
  <c r="BK149" i="70"/>
  <c r="BI144" i="70"/>
  <c r="BK144" i="70"/>
  <c r="BH144" i="70"/>
  <c r="BJ144" i="70"/>
  <c r="BK141" i="70"/>
  <c r="BH140" i="70"/>
  <c r="BJ138" i="70"/>
  <c r="BH132" i="70"/>
  <c r="BJ130" i="70"/>
  <c r="BH124" i="70"/>
  <c r="BJ122" i="70"/>
  <c r="BH116" i="70"/>
  <c r="BI112" i="70"/>
  <c r="BK112" i="70"/>
  <c r="BH112" i="70"/>
  <c r="BJ112" i="70"/>
  <c r="BJ106" i="70"/>
  <c r="BH100" i="70"/>
  <c r="BH92" i="70"/>
  <c r="BJ90" i="70"/>
  <c r="BI78" i="70"/>
  <c r="BH69" i="70"/>
  <c r="BJ67" i="70"/>
  <c r="BH65" i="70"/>
  <c r="BI65" i="70"/>
  <c r="BJ65" i="70"/>
  <c r="BK65" i="70"/>
  <c r="BI64" i="70"/>
  <c r="BK62" i="70"/>
  <c r="BH57" i="70"/>
  <c r="BI57" i="70"/>
  <c r="BJ57" i="70"/>
  <c r="BK57" i="70"/>
  <c r="BI56" i="70"/>
  <c r="BK54" i="70"/>
  <c r="BH49" i="70"/>
  <c r="BI49" i="70"/>
  <c r="BJ49" i="70"/>
  <c r="BK49" i="70"/>
  <c r="BI48" i="70"/>
  <c r="BK46" i="70"/>
  <c r="BH41" i="70"/>
  <c r="BJ41" i="70"/>
  <c r="BK41" i="70"/>
  <c r="BI41" i="70"/>
  <c r="BH33" i="70"/>
  <c r="BI33" i="70"/>
  <c r="BJ33" i="70"/>
  <c r="BK33" i="70"/>
  <c r="BI32" i="70"/>
  <c r="BK30" i="70"/>
  <c r="BH25" i="70"/>
  <c r="BJ25" i="70"/>
  <c r="BK25" i="70"/>
  <c r="BI25" i="70"/>
  <c r="BI24" i="70"/>
  <c r="BK22" i="70"/>
  <c r="BJ19" i="70"/>
  <c r="BH12" i="70"/>
  <c r="BJ12" i="70"/>
  <c r="BK12" i="70"/>
  <c r="BI12" i="70"/>
  <c r="BI294" i="70"/>
  <c r="BI287" i="70"/>
  <c r="BK287" i="70"/>
  <c r="BH287" i="70"/>
  <c r="BJ287" i="70"/>
  <c r="BK284" i="70"/>
  <c r="BH283" i="70"/>
  <c r="BI279" i="70"/>
  <c r="BK279" i="70"/>
  <c r="BH279" i="70"/>
  <c r="BJ279" i="70"/>
  <c r="BK276" i="70"/>
  <c r="BI271" i="70"/>
  <c r="BK271" i="70"/>
  <c r="BH271" i="70"/>
  <c r="BJ271" i="70"/>
  <c r="BI270" i="70"/>
  <c r="BK268" i="70"/>
  <c r="BI263" i="70"/>
  <c r="BK263" i="70"/>
  <c r="BH263" i="70"/>
  <c r="BJ263" i="70"/>
  <c r="BI262" i="70"/>
  <c r="BK260" i="70"/>
  <c r="BI255" i="70"/>
  <c r="BK255" i="70"/>
  <c r="BH255" i="70"/>
  <c r="BJ255" i="70"/>
  <c r="BI247" i="70"/>
  <c r="BK247" i="70"/>
  <c r="BH247" i="70"/>
  <c r="BJ247" i="70"/>
  <c r="BI246" i="70"/>
  <c r="BI239" i="70"/>
  <c r="BK239" i="70"/>
  <c r="BH239" i="70"/>
  <c r="BJ239" i="70"/>
  <c r="BI238" i="70"/>
  <c r="BH235" i="70"/>
  <c r="BJ233" i="70"/>
  <c r="BI230" i="70"/>
  <c r="BK230" i="70"/>
  <c r="BH230" i="70"/>
  <c r="BJ230" i="70"/>
  <c r="BJ223" i="70"/>
  <c r="BI212" i="70"/>
  <c r="BI205" i="70"/>
  <c r="BK205" i="70"/>
  <c r="BH205" i="70"/>
  <c r="BJ205" i="70"/>
  <c r="BI204" i="70"/>
  <c r="BI197" i="70"/>
  <c r="BK197" i="70"/>
  <c r="BH197" i="70"/>
  <c r="BJ197" i="70"/>
  <c r="BI196" i="70"/>
  <c r="BI189" i="70"/>
  <c r="BK189" i="70"/>
  <c r="BH189" i="70"/>
  <c r="BJ189" i="70"/>
  <c r="BI188" i="70"/>
  <c r="BI181" i="70"/>
  <c r="BK181" i="70"/>
  <c r="BJ181" i="70"/>
  <c r="BH181" i="70"/>
  <c r="BI173" i="70"/>
  <c r="BK173" i="70"/>
  <c r="BH173" i="70"/>
  <c r="BJ173" i="70"/>
  <c r="BI172" i="70"/>
  <c r="BI165" i="70"/>
  <c r="BK165" i="70"/>
  <c r="BJ165" i="70"/>
  <c r="BH165" i="70"/>
  <c r="BI164" i="70"/>
  <c r="BH161" i="70"/>
  <c r="BI156" i="70"/>
  <c r="BK156" i="70"/>
  <c r="BH156" i="70"/>
  <c r="BJ156" i="70"/>
  <c r="BJ149" i="70"/>
  <c r="BI147" i="70"/>
  <c r="BK147" i="70"/>
  <c r="BH147" i="70"/>
  <c r="BJ147" i="70"/>
  <c r="BJ141" i="70"/>
  <c r="BI138" i="70"/>
  <c r="BI131" i="70"/>
  <c r="BK131" i="70"/>
  <c r="BH131" i="70"/>
  <c r="BJ131" i="70"/>
  <c r="BI130" i="70"/>
  <c r="BI123" i="70"/>
  <c r="BK123" i="70"/>
  <c r="BH123" i="70"/>
  <c r="BJ123" i="70"/>
  <c r="BI122" i="70"/>
  <c r="BI115" i="70"/>
  <c r="BK115" i="70"/>
  <c r="BH115" i="70"/>
  <c r="BJ115" i="70"/>
  <c r="BI107" i="70"/>
  <c r="BK107" i="70"/>
  <c r="BH107" i="70"/>
  <c r="BJ107" i="70"/>
  <c r="BI106" i="70"/>
  <c r="BI99" i="70"/>
  <c r="BK99" i="70"/>
  <c r="BH99" i="70"/>
  <c r="BJ99" i="70"/>
  <c r="BI90" i="70"/>
  <c r="BI82" i="70"/>
  <c r="BK82" i="70"/>
  <c r="BH82" i="70"/>
  <c r="BJ82" i="70"/>
  <c r="BH78" i="70"/>
  <c r="BI73" i="70"/>
  <c r="BK73" i="70"/>
  <c r="BH73" i="70"/>
  <c r="BJ73" i="70"/>
  <c r="BI67" i="70"/>
  <c r="BH64" i="70"/>
  <c r="BJ62" i="70"/>
  <c r="BH56" i="70"/>
  <c r="BJ54" i="70"/>
  <c r="BH48" i="70"/>
  <c r="BJ46" i="70"/>
  <c r="BH36" i="70"/>
  <c r="BI36" i="70"/>
  <c r="BJ36" i="70"/>
  <c r="BK36" i="70"/>
  <c r="BH32" i="70"/>
  <c r="BJ30" i="70"/>
  <c r="BH24" i="70"/>
  <c r="BJ22" i="70"/>
  <c r="BI19" i="70"/>
  <c r="BH13" i="70"/>
  <c r="BI13" i="70"/>
  <c r="BJ13" i="70"/>
  <c r="BK13" i="70"/>
  <c r="BK295" i="70"/>
  <c r="BH294" i="70"/>
  <c r="BI290" i="70"/>
  <c r="BK290" i="70"/>
  <c r="BJ290" i="70"/>
  <c r="BH290" i="70"/>
  <c r="BJ284" i="70"/>
  <c r="BJ276" i="70"/>
  <c r="BH270" i="70"/>
  <c r="BJ268" i="70"/>
  <c r="BH262" i="70"/>
  <c r="BJ260" i="70"/>
  <c r="BI258" i="70"/>
  <c r="BK258" i="70"/>
  <c r="BJ258" i="70"/>
  <c r="BH258" i="70"/>
  <c r="BH246" i="70"/>
  <c r="BI242" i="70"/>
  <c r="BK242" i="70"/>
  <c r="BH242" i="70"/>
  <c r="BJ242" i="70"/>
  <c r="BH238" i="70"/>
  <c r="BJ236" i="70"/>
  <c r="BI233" i="70"/>
  <c r="BI224" i="70"/>
  <c r="BK224" i="70"/>
  <c r="BH224" i="70"/>
  <c r="BJ224" i="70"/>
  <c r="BI223" i="70"/>
  <c r="BK221" i="70"/>
  <c r="BI216" i="70"/>
  <c r="BK216" i="70"/>
  <c r="BH216" i="70"/>
  <c r="BJ216" i="70"/>
  <c r="BK213" i="70"/>
  <c r="BH212" i="70"/>
  <c r="BJ210" i="70"/>
  <c r="BH204" i="70"/>
  <c r="BJ202" i="70"/>
  <c r="BH196" i="70"/>
  <c r="BJ194" i="70"/>
  <c r="BH188" i="70"/>
  <c r="BI184" i="70"/>
  <c r="BK184" i="70"/>
  <c r="BH184" i="70"/>
  <c r="BJ184" i="70"/>
  <c r="BJ178" i="70"/>
  <c r="BH172" i="70"/>
  <c r="BH164" i="70"/>
  <c r="BJ162" i="70"/>
  <c r="BI149" i="70"/>
  <c r="BI142" i="70"/>
  <c r="BK142" i="70"/>
  <c r="BH142" i="70"/>
  <c r="BJ142" i="70"/>
  <c r="BI141" i="70"/>
  <c r="BK139" i="70"/>
  <c r="BH138" i="70"/>
  <c r="BJ136" i="70"/>
  <c r="BH130" i="70"/>
  <c r="BJ128" i="70"/>
  <c r="BH122" i="70"/>
  <c r="BI110" i="70"/>
  <c r="BK110" i="70"/>
  <c r="BJ110" i="70"/>
  <c r="BH110" i="70"/>
  <c r="BH106" i="70"/>
  <c r="BK91" i="70"/>
  <c r="BH90" i="70"/>
  <c r="BJ88" i="70"/>
  <c r="BI86" i="70"/>
  <c r="BK86" i="70"/>
  <c r="BH86" i="70"/>
  <c r="BJ86" i="70"/>
  <c r="BJ79" i="70"/>
  <c r="BI76" i="70"/>
  <c r="BK76" i="70"/>
  <c r="BH76" i="70"/>
  <c r="BJ76" i="70"/>
  <c r="BK68" i="70"/>
  <c r="BH67" i="70"/>
  <c r="BH63" i="70"/>
  <c r="BJ63" i="70"/>
  <c r="BK63" i="70"/>
  <c r="BI63" i="70"/>
  <c r="BI62" i="70"/>
  <c r="BK60" i="70"/>
  <c r="BH55" i="70"/>
  <c r="BJ55" i="70"/>
  <c r="BK55" i="70"/>
  <c r="BI55" i="70"/>
  <c r="BI54" i="70"/>
  <c r="BK52" i="70"/>
  <c r="BH47" i="70"/>
  <c r="BJ47" i="70"/>
  <c r="BK47" i="70"/>
  <c r="BI47" i="70"/>
  <c r="BI46" i="70"/>
  <c r="BK44" i="70"/>
  <c r="BH39" i="70"/>
  <c r="BJ39" i="70"/>
  <c r="BK39" i="70"/>
  <c r="BI39" i="70"/>
  <c r="BH31" i="70"/>
  <c r="BJ31" i="70"/>
  <c r="BK31" i="70"/>
  <c r="BI31" i="70"/>
  <c r="BI30" i="70"/>
  <c r="BK28" i="70"/>
  <c r="BH23" i="70"/>
  <c r="BI23" i="70"/>
  <c r="BJ23" i="70"/>
  <c r="BK23" i="70"/>
  <c r="BI22" i="70"/>
  <c r="BK20" i="70"/>
  <c r="BH19" i="70"/>
  <c r="Z304" i="76"/>
  <c r="AF304" i="76"/>
  <c r="AB304" i="76"/>
  <c r="AC304" i="76"/>
  <c r="AG304" i="76"/>
  <c r="Y304" i="76"/>
  <c r="AA304" i="76"/>
  <c r="N54" i="76"/>
  <c r="N52" i="76"/>
  <c r="N48" i="76"/>
  <c r="N46" i="76"/>
  <c r="N44" i="76"/>
  <c r="N42" i="76"/>
  <c r="N40" i="76"/>
  <c r="N38" i="76"/>
  <c r="N36" i="76"/>
  <c r="N34" i="76"/>
  <c r="N32" i="76"/>
  <c r="N30" i="76"/>
  <c r="N28" i="76"/>
  <c r="N26" i="76"/>
  <c r="N24" i="76"/>
  <c r="N22" i="76"/>
  <c r="N20" i="76"/>
  <c r="N18" i="76"/>
  <c r="N68" i="76"/>
  <c r="N64" i="76"/>
  <c r="N58" i="76"/>
  <c r="N66" i="76"/>
  <c r="N62" i="76"/>
  <c r="N60" i="76"/>
  <c r="N56" i="76"/>
  <c r="N50" i="76"/>
  <c r="N69" i="76"/>
  <c r="N67" i="76"/>
  <c r="N65" i="76"/>
  <c r="N63" i="76"/>
  <c r="N61" i="76"/>
  <c r="N59" i="76"/>
  <c r="N57" i="76"/>
  <c r="N55" i="76"/>
  <c r="N53" i="76"/>
  <c r="N51" i="76"/>
  <c r="N49" i="76"/>
  <c r="N47" i="76"/>
  <c r="N45" i="76"/>
  <c r="N43" i="76"/>
  <c r="N41" i="76"/>
  <c r="N39" i="76"/>
  <c r="N37" i="76"/>
  <c r="N35" i="76"/>
  <c r="N33" i="76"/>
  <c r="N31" i="76"/>
  <c r="N29" i="76"/>
  <c r="N27" i="76"/>
  <c r="N25" i="76"/>
  <c r="N23" i="76"/>
  <c r="N21" i="76"/>
  <c r="N19" i="76"/>
  <c r="N17" i="76"/>
  <c r="BA13" i="70"/>
  <c r="BB13" i="70"/>
  <c r="BA294" i="70"/>
  <c r="BB294" i="70"/>
  <c r="BB286" i="70"/>
  <c r="BA286" i="70"/>
  <c r="BB278" i="70"/>
  <c r="BA278" i="70"/>
  <c r="BB270" i="70"/>
  <c r="BA270" i="70"/>
  <c r="BB262" i="70"/>
  <c r="BA262" i="70"/>
  <c r="BB254" i="70"/>
  <c r="BA254" i="70"/>
  <c r="BA246" i="70"/>
  <c r="BB246" i="70"/>
  <c r="BB238" i="70"/>
  <c r="BA238" i="70"/>
  <c r="BA229" i="70"/>
  <c r="BB229" i="70"/>
  <c r="BB220" i="70"/>
  <c r="BA220" i="70"/>
  <c r="BA212" i="70"/>
  <c r="BB212" i="70"/>
  <c r="BB204" i="70"/>
  <c r="BA204" i="70"/>
  <c r="BB196" i="70"/>
  <c r="BA196" i="70"/>
  <c r="BA188" i="70"/>
  <c r="BB188" i="70"/>
  <c r="BB180" i="70"/>
  <c r="BA180" i="70"/>
  <c r="BA172" i="70"/>
  <c r="BB172" i="70"/>
  <c r="BB164" i="70"/>
  <c r="BA164" i="70"/>
  <c r="BB155" i="70"/>
  <c r="BA155" i="70"/>
  <c r="BB146" i="70"/>
  <c r="BA146" i="70"/>
  <c r="BA138" i="70"/>
  <c r="BB138" i="70"/>
  <c r="BB130" i="70"/>
  <c r="BA130" i="70"/>
  <c r="BB122" i="70"/>
  <c r="BA122" i="70"/>
  <c r="BB114" i="70"/>
  <c r="BA114" i="70"/>
  <c r="BA106" i="70"/>
  <c r="BB106" i="70"/>
  <c r="BA98" i="70"/>
  <c r="BB98" i="70"/>
  <c r="BA90" i="70"/>
  <c r="BB90" i="70"/>
  <c r="BA81" i="70"/>
  <c r="BB81" i="70"/>
  <c r="BA72" i="70"/>
  <c r="BB72" i="70"/>
  <c r="BB64" i="70"/>
  <c r="BA64" i="70"/>
  <c r="BA56" i="70"/>
  <c r="BB56" i="70"/>
  <c r="BB48" i="70"/>
  <c r="BA48" i="70"/>
  <c r="BB40" i="70"/>
  <c r="BA40" i="70"/>
  <c r="BA32" i="70"/>
  <c r="BB32" i="70"/>
  <c r="BA24" i="70"/>
  <c r="BB24" i="70"/>
  <c r="BA14" i="70"/>
  <c r="BB14" i="70"/>
  <c r="BA297" i="70"/>
  <c r="BB297" i="70"/>
  <c r="BA289" i="70"/>
  <c r="BB289" i="70"/>
  <c r="BA281" i="70"/>
  <c r="BB281" i="70"/>
  <c r="BA273" i="70"/>
  <c r="BB273" i="70"/>
  <c r="BA265" i="70"/>
  <c r="BB265" i="70"/>
  <c r="BA257" i="70"/>
  <c r="BB257" i="70"/>
  <c r="BA249" i="70"/>
  <c r="BB249" i="70"/>
  <c r="BA241" i="70"/>
  <c r="BB241" i="70"/>
  <c r="BA233" i="70"/>
  <c r="BB233" i="70"/>
  <c r="BB223" i="70"/>
  <c r="BA223" i="70"/>
  <c r="BB215" i="70"/>
  <c r="BA215" i="70"/>
  <c r="BA207" i="70"/>
  <c r="BB207" i="70"/>
  <c r="BB199" i="70"/>
  <c r="BA199" i="70"/>
  <c r="BB191" i="70"/>
  <c r="BA191" i="70"/>
  <c r="BB183" i="70"/>
  <c r="BA183" i="70"/>
  <c r="BA175" i="70"/>
  <c r="BB175" i="70"/>
  <c r="BB167" i="70"/>
  <c r="BA167" i="70"/>
  <c r="BB159" i="70"/>
  <c r="BA159" i="70"/>
  <c r="BA149" i="70"/>
  <c r="BB149" i="70"/>
  <c r="BA141" i="70"/>
  <c r="BB141" i="70"/>
  <c r="BB133" i="70"/>
  <c r="BA133" i="70"/>
  <c r="BA125" i="70"/>
  <c r="BB125" i="70"/>
  <c r="BA117" i="70"/>
  <c r="BB117" i="70"/>
  <c r="BA109" i="70"/>
  <c r="BB109" i="70"/>
  <c r="BB101" i="70"/>
  <c r="BA101" i="70"/>
  <c r="BA93" i="70"/>
  <c r="BB93" i="70"/>
  <c r="BA85" i="70"/>
  <c r="BB85" i="70"/>
  <c r="BB75" i="70"/>
  <c r="BA75" i="70"/>
  <c r="BB67" i="70"/>
  <c r="BA67" i="70"/>
  <c r="BB59" i="70"/>
  <c r="BA59" i="70"/>
  <c r="BA51" i="70"/>
  <c r="BB51" i="70"/>
  <c r="BB43" i="70"/>
  <c r="BA43" i="70"/>
  <c r="BB35" i="70"/>
  <c r="BA35" i="70"/>
  <c r="BB27" i="70"/>
  <c r="BA27" i="70"/>
  <c r="BB19" i="70"/>
  <c r="BB15" i="70"/>
  <c r="BA15" i="70"/>
  <c r="BB292" i="70"/>
  <c r="BA292" i="70"/>
  <c r="BB284" i="70"/>
  <c r="BA284" i="70"/>
  <c r="BA276" i="70"/>
  <c r="BB276" i="70"/>
  <c r="BB268" i="70"/>
  <c r="BA268" i="70"/>
  <c r="BA260" i="70"/>
  <c r="BB260" i="70"/>
  <c r="BB252" i="70"/>
  <c r="BA252" i="70"/>
  <c r="BB244" i="70"/>
  <c r="BA244" i="70"/>
  <c r="BA236" i="70"/>
  <c r="BB236" i="70"/>
  <c r="BB227" i="70"/>
  <c r="BA227" i="70"/>
  <c r="BA218" i="70"/>
  <c r="BB218" i="70"/>
  <c r="BA210" i="70"/>
  <c r="BB210" i="70"/>
  <c r="BA202" i="70"/>
  <c r="BB202" i="70"/>
  <c r="BA194" i="70"/>
  <c r="BB194" i="70"/>
  <c r="BA186" i="70"/>
  <c r="BB186" i="70"/>
  <c r="BA178" i="70"/>
  <c r="BB178" i="70"/>
  <c r="BA170" i="70"/>
  <c r="BB170" i="70"/>
  <c r="BA162" i="70"/>
  <c r="BB162" i="70"/>
  <c r="BA153" i="70"/>
  <c r="BB153" i="70"/>
  <c r="BB144" i="70"/>
  <c r="BA144" i="70"/>
  <c r="BA136" i="70"/>
  <c r="BB136" i="70"/>
  <c r="BB128" i="70"/>
  <c r="BA128" i="70"/>
  <c r="BB120" i="70"/>
  <c r="BA120" i="70"/>
  <c r="BA112" i="70"/>
  <c r="BB112" i="70"/>
  <c r="BA104" i="70"/>
  <c r="BB104" i="70"/>
  <c r="BA96" i="70"/>
  <c r="BB96" i="70"/>
  <c r="BB88" i="70"/>
  <c r="BA88" i="70"/>
  <c r="BB79" i="70"/>
  <c r="BA79" i="70"/>
  <c r="BA70" i="70"/>
  <c r="BB70" i="70"/>
  <c r="BA62" i="70"/>
  <c r="BB62" i="70"/>
  <c r="BB54" i="70"/>
  <c r="BA54" i="70"/>
  <c r="BB46" i="70"/>
  <c r="BA46" i="70"/>
  <c r="BA38" i="70"/>
  <c r="BB38" i="70"/>
  <c r="BA30" i="70"/>
  <c r="BB30" i="70"/>
  <c r="BA22" i="70"/>
  <c r="BB22" i="70"/>
  <c r="BB16" i="70"/>
  <c r="BA295" i="70"/>
  <c r="BB295" i="70"/>
  <c r="BB287" i="70"/>
  <c r="BA287" i="70"/>
  <c r="BB279" i="70"/>
  <c r="BA279" i="70"/>
  <c r="BA271" i="70"/>
  <c r="BB271" i="70"/>
  <c r="BA263" i="70"/>
  <c r="BB263" i="70"/>
  <c r="BB255" i="70"/>
  <c r="BA255" i="70"/>
  <c r="BB247" i="70"/>
  <c r="BA247" i="70"/>
  <c r="BA239" i="70"/>
  <c r="BB239" i="70"/>
  <c r="BA230" i="70"/>
  <c r="BB230" i="70"/>
  <c r="BB221" i="70"/>
  <c r="BA221" i="70"/>
  <c r="BA213" i="70"/>
  <c r="BB213" i="70"/>
  <c r="BA205" i="70"/>
  <c r="BB205" i="70"/>
  <c r="BA197" i="70"/>
  <c r="BB197" i="70"/>
  <c r="BB189" i="70"/>
  <c r="BA189" i="70"/>
  <c r="BA181" i="70"/>
  <c r="BB181" i="70"/>
  <c r="BA173" i="70"/>
  <c r="BB173" i="70"/>
  <c r="BA165" i="70"/>
  <c r="BB165" i="70"/>
  <c r="BA156" i="70"/>
  <c r="BB156" i="70"/>
  <c r="BA147" i="70"/>
  <c r="BB147" i="70"/>
  <c r="BB139" i="70"/>
  <c r="BA139" i="70"/>
  <c r="BB131" i="70"/>
  <c r="BA131" i="70"/>
  <c r="BB123" i="70"/>
  <c r="BA123" i="70"/>
  <c r="BA115" i="70"/>
  <c r="BB115" i="70"/>
  <c r="BB107" i="70"/>
  <c r="BA107" i="70"/>
  <c r="BB99" i="70"/>
  <c r="BA99" i="70"/>
  <c r="BB91" i="70"/>
  <c r="BA91" i="70"/>
  <c r="BA82" i="70"/>
  <c r="BB82" i="70"/>
  <c r="BB73" i="70"/>
  <c r="BA73" i="70"/>
  <c r="BA65" i="70"/>
  <c r="BB65" i="70"/>
  <c r="BA57" i="70"/>
  <c r="BB57" i="70"/>
  <c r="BA49" i="70"/>
  <c r="BB49" i="70"/>
  <c r="BB41" i="70"/>
  <c r="BA41" i="70"/>
  <c r="BA33" i="70"/>
  <c r="BB33" i="70"/>
  <c r="BA25" i="70"/>
  <c r="BB25" i="70"/>
  <c r="BA17" i="70"/>
  <c r="BB17" i="70"/>
  <c r="BA290" i="70"/>
  <c r="BB290" i="70"/>
  <c r="BA282" i="70"/>
  <c r="BB282" i="70"/>
  <c r="BB274" i="70"/>
  <c r="BA274" i="70"/>
  <c r="BA266" i="70"/>
  <c r="BB266" i="70"/>
  <c r="BB258" i="70"/>
  <c r="BA258" i="70"/>
  <c r="BB250" i="70"/>
  <c r="BA250" i="70"/>
  <c r="BB242" i="70"/>
  <c r="BA242" i="70"/>
  <c r="BB234" i="70"/>
  <c r="BA234" i="70"/>
  <c r="BA224" i="70"/>
  <c r="BB224" i="70"/>
  <c r="BA216" i="70"/>
  <c r="BB216" i="70"/>
  <c r="BA208" i="70"/>
  <c r="BB208" i="70"/>
  <c r="BA200" i="70"/>
  <c r="BB200" i="70"/>
  <c r="BB192" i="70"/>
  <c r="BA192" i="70"/>
  <c r="BA184" i="70"/>
  <c r="BB184" i="70"/>
  <c r="BB176" i="70"/>
  <c r="BA176" i="70"/>
  <c r="BB168" i="70"/>
  <c r="BA168" i="70"/>
  <c r="BB160" i="70"/>
  <c r="BA160" i="70"/>
  <c r="BA150" i="70"/>
  <c r="BB150" i="70"/>
  <c r="BB142" i="70"/>
  <c r="BA142" i="70"/>
  <c r="BB134" i="70"/>
  <c r="BA134" i="70"/>
  <c r="BB126" i="70"/>
  <c r="BA126" i="70"/>
  <c r="BB118" i="70"/>
  <c r="BA118" i="70"/>
  <c r="BB110" i="70"/>
  <c r="BA110" i="70"/>
  <c r="BA102" i="70"/>
  <c r="BB102" i="70"/>
  <c r="BB94" i="70"/>
  <c r="BA94" i="70"/>
  <c r="BA86" i="70"/>
  <c r="BB86" i="70"/>
  <c r="BA76" i="70"/>
  <c r="BB76" i="70"/>
  <c r="BB68" i="70"/>
  <c r="BA68" i="70"/>
  <c r="BB60" i="70"/>
  <c r="BA60" i="70"/>
  <c r="BB52" i="70"/>
  <c r="BA52" i="70"/>
  <c r="BA44" i="70"/>
  <c r="BB44" i="70"/>
  <c r="BA36" i="70"/>
  <c r="BB36" i="70"/>
  <c r="BA28" i="70"/>
  <c r="BB28" i="70"/>
  <c r="BB20" i="70"/>
  <c r="BA20" i="70"/>
  <c r="BB293" i="70"/>
  <c r="BA293" i="70"/>
  <c r="BB285" i="70"/>
  <c r="BA285" i="70"/>
  <c r="BA277" i="70"/>
  <c r="BB277" i="70"/>
  <c r="BA269" i="70"/>
  <c r="BB269" i="70"/>
  <c r="BA261" i="70"/>
  <c r="BB261" i="70"/>
  <c r="BB253" i="70"/>
  <c r="BA253" i="70"/>
  <c r="BA245" i="70"/>
  <c r="BB245" i="70"/>
  <c r="BA237" i="70"/>
  <c r="BB237" i="70"/>
  <c r="BB228" i="70"/>
  <c r="BA228" i="70"/>
  <c r="BB219" i="70"/>
  <c r="BA219" i="70"/>
  <c r="BB211" i="70"/>
  <c r="BA211" i="70"/>
  <c r="BA203" i="70"/>
  <c r="BB203" i="70"/>
  <c r="BB195" i="70"/>
  <c r="BA195" i="70"/>
  <c r="BB187" i="70"/>
  <c r="BA187" i="70"/>
  <c r="BB179" i="70"/>
  <c r="BA179" i="70"/>
  <c r="BA171" i="70"/>
  <c r="BB171" i="70"/>
  <c r="BB163" i="70"/>
  <c r="BA163" i="70"/>
  <c r="BA154" i="70"/>
  <c r="BB154" i="70"/>
  <c r="BA145" i="70"/>
  <c r="BB145" i="70"/>
  <c r="BA137" i="70"/>
  <c r="BB137" i="70"/>
  <c r="BB129" i="70"/>
  <c r="BA129" i="70"/>
  <c r="BA121" i="70"/>
  <c r="BB121" i="70"/>
  <c r="BA113" i="70"/>
  <c r="BB113" i="70"/>
  <c r="BA105" i="70"/>
  <c r="BB105" i="70"/>
  <c r="BB97" i="70"/>
  <c r="BA97" i="70"/>
  <c r="BA89" i="70"/>
  <c r="BB89" i="70"/>
  <c r="BA80" i="70"/>
  <c r="BB80" i="70"/>
  <c r="BB71" i="70"/>
  <c r="BA71" i="70"/>
  <c r="BB63" i="70"/>
  <c r="BA63" i="70"/>
  <c r="BB55" i="70"/>
  <c r="BA55" i="70"/>
  <c r="BB47" i="70"/>
  <c r="BA47" i="70"/>
  <c r="BB39" i="70"/>
  <c r="BA39" i="70"/>
  <c r="BB31" i="70"/>
  <c r="BA31" i="70"/>
  <c r="BB23" i="70"/>
  <c r="BA23" i="70"/>
  <c r="BB11" i="70"/>
  <c r="BA11" i="70"/>
  <c r="BB296" i="70"/>
  <c r="BA296" i="70"/>
  <c r="BB288" i="70"/>
  <c r="BA288" i="70"/>
  <c r="BA280" i="70"/>
  <c r="BB280" i="70"/>
  <c r="BA272" i="70"/>
  <c r="BB272" i="70"/>
  <c r="BA264" i="70"/>
  <c r="BB264" i="70"/>
  <c r="BA256" i="70"/>
  <c r="BB256" i="70"/>
  <c r="BA248" i="70"/>
  <c r="BB248" i="70"/>
  <c r="BB240" i="70"/>
  <c r="BA240" i="70"/>
  <c r="BA232" i="70"/>
  <c r="BB232" i="70"/>
  <c r="BA222" i="70"/>
  <c r="BB222" i="70"/>
  <c r="BA214" i="70"/>
  <c r="BB214" i="70"/>
  <c r="BA206" i="70"/>
  <c r="BB206" i="70"/>
  <c r="BB198" i="70"/>
  <c r="BA198" i="70"/>
  <c r="BA190" i="70"/>
  <c r="BB190" i="70"/>
  <c r="BB182" i="70"/>
  <c r="BA182" i="70"/>
  <c r="BA174" i="70"/>
  <c r="BB174" i="70"/>
  <c r="BA166" i="70"/>
  <c r="BB166" i="70"/>
  <c r="BB158" i="70"/>
  <c r="BA158" i="70"/>
  <c r="BB148" i="70"/>
  <c r="BA148" i="70"/>
  <c r="BB140" i="70"/>
  <c r="BA140" i="70"/>
  <c r="BA132" i="70"/>
  <c r="BB132" i="70"/>
  <c r="BA124" i="70"/>
  <c r="BB124" i="70"/>
  <c r="BB116" i="70"/>
  <c r="BA116" i="70"/>
  <c r="BB108" i="70"/>
  <c r="BA108" i="70"/>
  <c r="BB100" i="70"/>
  <c r="BA100" i="70"/>
  <c r="BA92" i="70"/>
  <c r="BB92" i="70"/>
  <c r="BB84" i="70"/>
  <c r="BA84" i="70"/>
  <c r="BB74" i="70"/>
  <c r="BA74" i="70"/>
  <c r="BA66" i="70"/>
  <c r="BB66" i="70"/>
  <c r="BB58" i="70"/>
  <c r="BA58" i="70"/>
  <c r="BA50" i="70"/>
  <c r="BB50" i="70"/>
  <c r="BB42" i="70"/>
  <c r="BA42" i="70"/>
  <c r="BB34" i="70"/>
  <c r="BA34" i="70"/>
  <c r="BB26" i="70"/>
  <c r="BA26" i="70"/>
  <c r="BA18" i="70"/>
  <c r="BB18" i="70"/>
  <c r="BB12" i="70"/>
  <c r="BA12" i="70"/>
  <c r="BB291" i="70"/>
  <c r="BA291" i="70"/>
  <c r="BB283" i="70"/>
  <c r="BA283" i="70"/>
  <c r="BB275" i="70"/>
  <c r="BA275" i="70"/>
  <c r="BA267" i="70"/>
  <c r="BB267" i="70"/>
  <c r="BB259" i="70"/>
  <c r="BA259" i="70"/>
  <c r="BB251" i="70"/>
  <c r="BA251" i="70"/>
  <c r="BB243" i="70"/>
  <c r="BA243" i="70"/>
  <c r="BA235" i="70"/>
  <c r="BB235" i="70"/>
  <c r="BB226" i="70"/>
  <c r="BA226" i="70"/>
  <c r="BA217" i="70"/>
  <c r="BB217" i="70"/>
  <c r="BA209" i="70"/>
  <c r="BB209" i="70"/>
  <c r="BA201" i="70"/>
  <c r="BB201" i="70"/>
  <c r="BB193" i="70"/>
  <c r="BA193" i="70"/>
  <c r="BA185" i="70"/>
  <c r="BB185" i="70"/>
  <c r="BA177" i="70"/>
  <c r="BB177" i="70"/>
  <c r="BA169" i="70"/>
  <c r="BB169" i="70"/>
  <c r="BB161" i="70"/>
  <c r="BA161" i="70"/>
  <c r="BB152" i="70"/>
  <c r="BA152" i="70"/>
  <c r="BA143" i="70"/>
  <c r="BB143" i="70"/>
  <c r="BB135" i="70"/>
  <c r="BA135" i="70"/>
  <c r="BB127" i="70"/>
  <c r="BA127" i="70"/>
  <c r="BB119" i="70"/>
  <c r="BA119" i="70"/>
  <c r="BA111" i="70"/>
  <c r="BB111" i="70"/>
  <c r="BB103" i="70"/>
  <c r="BA103" i="70"/>
  <c r="BB95" i="70"/>
  <c r="BA95" i="70"/>
  <c r="BB87" i="70"/>
  <c r="BA87" i="70"/>
  <c r="BB78" i="70"/>
  <c r="BA78" i="70"/>
  <c r="BB69" i="70"/>
  <c r="BA69" i="70"/>
  <c r="BA61" i="70"/>
  <c r="BB61" i="70"/>
  <c r="BA53" i="70"/>
  <c r="BB53" i="70"/>
  <c r="BA45" i="70"/>
  <c r="BB45" i="70"/>
  <c r="BB37" i="70"/>
  <c r="BA37" i="70"/>
  <c r="BA29" i="70"/>
  <c r="BB29" i="70"/>
  <c r="BA21" i="70"/>
  <c r="BB21" i="70"/>
  <c r="Q90" i="63"/>
  <c r="Q70" i="63"/>
  <c r="Q72" i="63"/>
  <c r="Q79" i="63"/>
  <c r="Q80" i="63"/>
  <c r="Q66" i="63"/>
  <c r="Q45" i="63"/>
  <c r="O30" i="59"/>
  <c r="Q92" i="63"/>
  <c r="Q94" i="63"/>
  <c r="Q65" i="63"/>
  <c r="Q63" i="63"/>
  <c r="Q58" i="63"/>
  <c r="Q108" i="63"/>
  <c r="Q102" i="63"/>
  <c r="Q104" i="63"/>
  <c r="Q106" i="63"/>
  <c r="Q36" i="63"/>
  <c r="Q44" i="63"/>
  <c r="Q35" i="63"/>
  <c r="Q47" i="63"/>
  <c r="Q75" i="63"/>
  <c r="Q49" i="63"/>
  <c r="Q51" i="63"/>
  <c r="Q82" i="63"/>
  <c r="Q57" i="63"/>
  <c r="Q61" i="63"/>
  <c r="Q85" i="63"/>
  <c r="Q37" i="63"/>
  <c r="Q54" i="63"/>
  <c r="Q68" i="63"/>
  <c r="Q43" i="63"/>
  <c r="Q69" i="63"/>
  <c r="Q71" i="63"/>
  <c r="Q73" i="63"/>
  <c r="Q40" i="63"/>
  <c r="Q62" i="63"/>
  <c r="Q96" i="63"/>
  <c r="Q42" i="63"/>
  <c r="Q56" i="63"/>
  <c r="Q34" i="63"/>
  <c r="Q77" i="63"/>
  <c r="Q91" i="63"/>
  <c r="Q93" i="63"/>
  <c r="Q78" i="63"/>
  <c r="Q76" i="63"/>
  <c r="Q41" i="63"/>
  <c r="Q59" i="63"/>
  <c r="Q84" i="63"/>
  <c r="Q64" i="63"/>
  <c r="Q48" i="63"/>
  <c r="Q50" i="63"/>
  <c r="Q52" i="63"/>
  <c r="Q55" i="63"/>
  <c r="Q86" i="63"/>
  <c r="Q83" i="63"/>
  <c r="Q89" i="63"/>
  <c r="Q38" i="63"/>
  <c r="Q87" i="63"/>
  <c r="O32" i="59"/>
  <c r="O31" i="59"/>
  <c r="O33" i="59"/>
  <c r="L30" i="59"/>
  <c r="J31" i="59"/>
  <c r="E33" i="59"/>
  <c r="P32" i="59"/>
  <c r="K32" i="59"/>
  <c r="H31" i="59"/>
  <c r="J33" i="59"/>
  <c r="F33" i="59"/>
  <c r="K31" i="59"/>
  <c r="E32" i="59"/>
  <c r="F32" i="59"/>
  <c r="L33" i="59"/>
  <c r="L32" i="59"/>
  <c r="G33" i="59"/>
  <c r="P31" i="59"/>
  <c r="H33" i="59"/>
  <c r="M33" i="59"/>
  <c r="I33" i="59"/>
  <c r="I31" i="59"/>
  <c r="J30" i="59"/>
  <c r="G32" i="59"/>
  <c r="M31" i="59"/>
  <c r="J32" i="59"/>
  <c r="K33" i="59"/>
  <c r="K30" i="59"/>
  <c r="H32" i="59"/>
  <c r="M30" i="59"/>
  <c r="L31" i="59"/>
  <c r="P33" i="59"/>
  <c r="P30" i="59"/>
  <c r="E31" i="59"/>
  <c r="G31" i="59"/>
  <c r="M32" i="59"/>
  <c r="F31" i="59"/>
  <c r="I32" i="59"/>
  <c r="I37" i="88"/>
  <c r="I17" i="88"/>
  <c r="J37" i="88"/>
  <c r="J17" i="88"/>
  <c r="I12" i="92"/>
  <c r="M12" i="92" s="1"/>
  <c r="D34" i="92" l="1"/>
  <c r="E35" i="92"/>
  <c r="D31" i="92"/>
  <c r="E28" i="92"/>
  <c r="D28" i="92"/>
  <c r="F34" i="92"/>
  <c r="E30" i="92"/>
  <c r="G30" i="92"/>
  <c r="G31" i="92"/>
  <c r="D33" i="92"/>
  <c r="D29" i="92"/>
  <c r="F26" i="92"/>
  <c r="G36" i="92"/>
  <c r="E34" i="92"/>
  <c r="D21" i="92"/>
  <c r="E31" i="92"/>
  <c r="E29" i="92"/>
  <c r="D44" i="92"/>
  <c r="G23" i="92"/>
  <c r="F39" i="92"/>
  <c r="D38" i="92"/>
  <c r="F29" i="92"/>
  <c r="F18" i="92"/>
  <c r="G41" i="92"/>
  <c r="F19" i="92"/>
  <c r="E45" i="92"/>
  <c r="F41" i="92"/>
  <c r="G29" i="92"/>
  <c r="F30" i="92"/>
  <c r="G21" i="92"/>
  <c r="G38" i="92"/>
  <c r="D23" i="92"/>
  <c r="E36" i="92"/>
  <c r="F23" i="92"/>
  <c r="D18" i="92"/>
  <c r="D26" i="92"/>
  <c r="H26" i="92" s="1"/>
  <c r="L26" i="92" s="1"/>
  <c r="E44" i="92"/>
  <c r="G39" i="92"/>
  <c r="G45" i="92"/>
  <c r="F40" i="92"/>
  <c r="G26" i="92"/>
  <c r="F28" i="92"/>
  <c r="E39" i="92"/>
  <c r="D24" i="92"/>
  <c r="E20" i="92"/>
  <c r="D39" i="92"/>
  <c r="F20" i="92"/>
  <c r="E40" i="92"/>
  <c r="D41" i="92"/>
  <c r="G43" i="92"/>
  <c r="F24" i="92"/>
  <c r="G24" i="92"/>
  <c r="G34" i="92"/>
  <c r="F45" i="92"/>
  <c r="G40" i="92"/>
  <c r="E26" i="92"/>
  <c r="E21" i="92"/>
  <c r="G46" i="92"/>
  <c r="E23" i="92"/>
  <c r="I23" i="92" s="1"/>
  <c r="M23" i="92" s="1"/>
  <c r="F21" i="92"/>
  <c r="F31" i="92"/>
  <c r="F44" i="92"/>
  <c r="H44" i="92" s="1"/>
  <c r="L44" i="92" s="1"/>
  <c r="D40" i="92"/>
  <c r="G19" i="92"/>
  <c r="D43" i="92"/>
  <c r="D30" i="92"/>
  <c r="D36" i="92"/>
  <c r="G25" i="92"/>
  <c r="E51" i="92"/>
  <c r="D20" i="92"/>
  <c r="F25" i="92"/>
  <c r="G44" i="92"/>
  <c r="E38" i="92"/>
  <c r="D25" i="92"/>
  <c r="F36" i="92"/>
  <c r="H36" i="92" s="1"/>
  <c r="L36" i="92" s="1"/>
  <c r="G28" i="92"/>
  <c r="I28" i="92" s="1"/>
  <c r="M28" i="92" s="1"/>
  <c r="D19" i="92"/>
  <c r="E25" i="92"/>
  <c r="F33" i="92"/>
  <c r="H33" i="92" s="1"/>
  <c r="L33" i="92" s="1"/>
  <c r="F38" i="92"/>
  <c r="F43" i="92"/>
  <c r="H43" i="92" s="1"/>
  <c r="L43" i="92" s="1"/>
  <c r="E46" i="92"/>
  <c r="E43" i="92"/>
  <c r="E24" i="92"/>
  <c r="I24" i="92" s="1"/>
  <c r="M24" i="92" s="1"/>
  <c r="G20" i="92"/>
  <c r="I20" i="92" s="1"/>
  <c r="M20" i="92" s="1"/>
  <c r="E33" i="92"/>
  <c r="E19" i="92"/>
  <c r="D46" i="92"/>
  <c r="E41" i="92"/>
  <c r="E18" i="92"/>
  <c r="G18" i="92"/>
  <c r="D35" i="92"/>
  <c r="D45" i="92"/>
  <c r="F51" i="92"/>
  <c r="F48" i="92"/>
  <c r="D51" i="92"/>
  <c r="F46" i="92"/>
  <c r="G51" i="92"/>
  <c r="F50" i="92"/>
  <c r="D50" i="92"/>
  <c r="G50" i="92"/>
  <c r="F49" i="92"/>
  <c r="E50" i="92"/>
  <c r="E48" i="92"/>
  <c r="D49" i="92"/>
  <c r="G33" i="92"/>
  <c r="F35" i="92"/>
  <c r="G35" i="92"/>
  <c r="I35" i="92" s="1"/>
  <c r="M35" i="92" s="1"/>
  <c r="G48" i="92"/>
  <c r="G49" i="92"/>
  <c r="D48" i="92"/>
  <c r="E49" i="92"/>
  <c r="F23" i="88"/>
  <c r="G38" i="88"/>
  <c r="G50" i="88"/>
  <c r="J50" i="88" s="1"/>
  <c r="F50" i="88"/>
  <c r="I50" i="88" s="1"/>
  <c r="F33" i="88"/>
  <c r="G31" i="88"/>
  <c r="F28" i="88"/>
  <c r="I28" i="88" s="1"/>
  <c r="F36" i="88"/>
  <c r="F34" i="88"/>
  <c r="G51" i="88"/>
  <c r="J51" i="88" s="1"/>
  <c r="G25" i="88"/>
  <c r="G36" i="88"/>
  <c r="J36" i="88" s="1"/>
  <c r="F18" i="88"/>
  <c r="I18" i="88" s="1"/>
  <c r="G33" i="88"/>
  <c r="J33" i="88" s="1"/>
  <c r="G41" i="88"/>
  <c r="F49" i="88"/>
  <c r="I49" i="88" s="1"/>
  <c r="G46" i="88"/>
  <c r="F39" i="88"/>
  <c r="G34" i="88"/>
  <c r="J34" i="88" s="1"/>
  <c r="G35" i="88"/>
  <c r="J35" i="88" s="1"/>
  <c r="F20" i="88"/>
  <c r="F46" i="88"/>
  <c r="F30" i="88"/>
  <c r="G21" i="88"/>
  <c r="F44" i="88"/>
  <c r="F38" i="88"/>
  <c r="F25" i="88"/>
  <c r="F24" i="88"/>
  <c r="G28" i="88"/>
  <c r="G45" i="88"/>
  <c r="F41" i="88"/>
  <c r="F45" i="88"/>
  <c r="G48" i="88"/>
  <c r="J48" i="88" s="1"/>
  <c r="G44" i="88"/>
  <c r="F26" i="88"/>
  <c r="I26" i="88" s="1"/>
  <c r="G40" i="88"/>
  <c r="G49" i="88"/>
  <c r="J49" i="88" s="1"/>
  <c r="G23" i="88"/>
  <c r="F48" i="88"/>
  <c r="I48" i="88" s="1"/>
  <c r="G43" i="88"/>
  <c r="F43" i="88"/>
  <c r="G18" i="88"/>
  <c r="G20" i="88"/>
  <c r="G19" i="88"/>
  <c r="G30" i="88"/>
  <c r="G24" i="88"/>
  <c r="F19" i="88"/>
  <c r="F31" i="88"/>
  <c r="F40" i="88"/>
  <c r="F29" i="88"/>
  <c r="G39" i="88"/>
  <c r="G26" i="88"/>
  <c r="F51" i="88"/>
  <c r="I51" i="88" s="1"/>
  <c r="F21" i="88"/>
  <c r="F35" i="88"/>
  <c r="G29" i="88"/>
  <c r="G12" i="88"/>
  <c r="J12" i="88" s="1"/>
  <c r="H27" i="88"/>
  <c r="H42" i="88"/>
  <c r="H32" i="88"/>
  <c r="H22" i="88"/>
  <c r="H37" i="88"/>
  <c r="H47" i="88"/>
  <c r="I29" i="92" l="1"/>
  <c r="M29" i="92" s="1"/>
  <c r="I31" i="92"/>
  <c r="M31" i="92" s="1"/>
  <c r="H19" i="92"/>
  <c r="L19" i="92" s="1"/>
  <c r="H34" i="92"/>
  <c r="L34" i="92" s="1"/>
  <c r="H39" i="92"/>
  <c r="L39" i="92" s="1"/>
  <c r="H29" i="92"/>
  <c r="L29" i="92" s="1"/>
  <c r="H31" i="92"/>
  <c r="L31" i="92" s="1"/>
  <c r="H28" i="92"/>
  <c r="L28" i="92" s="1"/>
  <c r="I30" i="92"/>
  <c r="M30" i="92" s="1"/>
  <c r="I43" i="92"/>
  <c r="M43" i="92" s="1"/>
  <c r="I45" i="92"/>
  <c r="M45" i="92" s="1"/>
  <c r="I38" i="92"/>
  <c r="M38" i="92" s="1"/>
  <c r="I21" i="92"/>
  <c r="M21" i="92" s="1"/>
  <c r="H45" i="92"/>
  <c r="L45" i="92" s="1"/>
  <c r="I34" i="92"/>
  <c r="M34" i="92" s="1"/>
  <c r="I39" i="92"/>
  <c r="M39" i="92" s="1"/>
  <c r="H21" i="92"/>
  <c r="L21" i="92" s="1"/>
  <c r="I36" i="92"/>
  <c r="M36" i="92" s="1"/>
  <c r="H30" i="92"/>
  <c r="L30" i="92" s="1"/>
  <c r="H38" i="92"/>
  <c r="L38" i="92" s="1"/>
  <c r="I19" i="92"/>
  <c r="M19" i="92" s="1"/>
  <c r="H40" i="92"/>
  <c r="L40" i="92" s="1"/>
  <c r="I25" i="92"/>
  <c r="M25" i="92" s="1"/>
  <c r="H20" i="92"/>
  <c r="L20" i="92" s="1"/>
  <c r="I26" i="92"/>
  <c r="M26" i="92" s="1"/>
  <c r="H23" i="92"/>
  <c r="L23" i="92" s="1"/>
  <c r="H18" i="92"/>
  <c r="I40" i="92"/>
  <c r="M40" i="92" s="1"/>
  <c r="I41" i="92"/>
  <c r="M41" i="92" s="1"/>
  <c r="H41" i="92"/>
  <c r="L41" i="92" s="1"/>
  <c r="H25" i="92"/>
  <c r="L25" i="92" s="1"/>
  <c r="H46" i="92"/>
  <c r="L46" i="92" s="1"/>
  <c r="D14" i="92"/>
  <c r="I44" i="92"/>
  <c r="M44" i="92" s="1"/>
  <c r="H24" i="92"/>
  <c r="L24" i="92" s="1"/>
  <c r="H41" i="88"/>
  <c r="D16" i="92"/>
  <c r="I51" i="92"/>
  <c r="M51" i="92" s="1"/>
  <c r="E15" i="92"/>
  <c r="H49" i="92"/>
  <c r="L49" i="92" s="1"/>
  <c r="H51" i="92"/>
  <c r="L51" i="92" s="1"/>
  <c r="I48" i="92"/>
  <c r="M48" i="92" s="1"/>
  <c r="H50" i="92"/>
  <c r="L50" i="92" s="1"/>
  <c r="E16" i="92"/>
  <c r="I33" i="92"/>
  <c r="M33" i="92" s="1"/>
  <c r="I46" i="92"/>
  <c r="M46" i="92" s="1"/>
  <c r="D15" i="92"/>
  <c r="H35" i="92"/>
  <c r="L35" i="92" s="1"/>
  <c r="H48" i="92"/>
  <c r="L48" i="92" s="1"/>
  <c r="D13" i="92"/>
  <c r="I49" i="92"/>
  <c r="M49" i="92" s="1"/>
  <c r="I50" i="92"/>
  <c r="M50" i="92" s="1"/>
  <c r="E14" i="92"/>
  <c r="H21" i="88"/>
  <c r="H38" i="88"/>
  <c r="I38" i="88"/>
  <c r="H36" i="88"/>
  <c r="H50" i="88"/>
  <c r="H39" i="88"/>
  <c r="H28" i="88"/>
  <c r="H33" i="88"/>
  <c r="H34" i="88"/>
  <c r="H49" i="88"/>
  <c r="H51" i="88"/>
  <c r="H24" i="88"/>
  <c r="H25" i="88"/>
  <c r="H31" i="88"/>
  <c r="H20" i="88"/>
  <c r="H23" i="88"/>
  <c r="H48" i="88"/>
  <c r="H43" i="88"/>
  <c r="H44" i="88"/>
  <c r="H46" i="88"/>
  <c r="H18" i="88"/>
  <c r="G16" i="88"/>
  <c r="H45" i="88"/>
  <c r="H40" i="88"/>
  <c r="F13" i="88"/>
  <c r="G13" i="88"/>
  <c r="H30" i="88"/>
  <c r="H19" i="88"/>
  <c r="G15" i="88"/>
  <c r="F15" i="88"/>
  <c r="G14" i="88"/>
  <c r="F14" i="88"/>
  <c r="H26" i="88"/>
  <c r="G15" i="92"/>
  <c r="I15" i="92" s="1"/>
  <c r="F16" i="88"/>
  <c r="F14" i="92"/>
  <c r="H14" i="92" s="1"/>
  <c r="L14" i="92" s="1"/>
  <c r="F16" i="92"/>
  <c r="H35" i="88"/>
  <c r="F15" i="92"/>
  <c r="H29" i="88"/>
  <c r="G14" i="92"/>
  <c r="H12" i="88"/>
  <c r="G16" i="92"/>
  <c r="S16" i="76"/>
  <c r="P16" i="76"/>
  <c r="Q16" i="76"/>
  <c r="R16" i="76"/>
  <c r="O16" i="76"/>
  <c r="M16" i="76"/>
  <c r="L16" i="76"/>
  <c r="K16" i="76"/>
  <c r="G16" i="76"/>
  <c r="D16" i="76"/>
  <c r="C16" i="76"/>
  <c r="H16" i="92" l="1"/>
  <c r="H15" i="92"/>
  <c r="L15" i="92" s="1"/>
  <c r="I14" i="92"/>
  <c r="M14" i="92" s="1"/>
  <c r="S304" i="76"/>
  <c r="H13" i="88"/>
  <c r="H16" i="88"/>
  <c r="H15" i="88"/>
  <c r="R304" i="76"/>
  <c r="Q304" i="76"/>
  <c r="P304" i="76"/>
  <c r="D22" i="59"/>
  <c r="H14" i="88"/>
  <c r="Q18" i="63"/>
  <c r="Q88" i="63"/>
  <c r="Q67" i="63"/>
  <c r="Q100" i="63"/>
  <c r="Q98" i="63"/>
  <c r="Q81" i="63"/>
  <c r="Q39" i="63"/>
  <c r="Q74" i="63"/>
  <c r="Q53" i="63"/>
  <c r="Q99" i="63"/>
  <c r="Q101" i="63"/>
  <c r="Q105" i="63"/>
  <c r="Q107" i="63"/>
  <c r="Q97" i="63"/>
  <c r="Q95" i="63"/>
  <c r="Q103" i="63"/>
  <c r="Q46" i="63"/>
  <c r="Q60" i="63"/>
  <c r="D11" i="91"/>
  <c r="O304" i="76"/>
  <c r="G22" i="59"/>
  <c r="D12" i="91"/>
  <c r="F22" i="59"/>
  <c r="E22" i="59"/>
  <c r="D13" i="91"/>
  <c r="N32" i="59"/>
  <c r="N33" i="59"/>
  <c r="N31" i="59"/>
  <c r="N16" i="76"/>
  <c r="M15" i="92"/>
  <c r="L16" i="92"/>
  <c r="I41" i="88"/>
  <c r="I39" i="88"/>
  <c r="J46" i="88"/>
  <c r="J45" i="88"/>
  <c r="J43" i="88"/>
  <c r="I45" i="88"/>
  <c r="I43" i="88"/>
  <c r="J44" i="88"/>
  <c r="J40" i="88"/>
  <c r="J38" i="88"/>
  <c r="J41" i="88"/>
  <c r="I40" i="88"/>
  <c r="J39" i="88"/>
  <c r="I46" i="88"/>
  <c r="I44" i="88"/>
  <c r="I16" i="92"/>
  <c r="M16" i="92" s="1"/>
  <c r="AH304" i="76" l="1"/>
  <c r="E22" i="86"/>
  <c r="D74" i="91"/>
  <c r="E35" i="86"/>
  <c r="D10" i="91"/>
  <c r="D10" i="59" s="1"/>
  <c r="D11" i="59"/>
  <c r="F45" i="85"/>
  <c r="H30" i="59"/>
  <c r="F15" i="85"/>
  <c r="E15" i="85"/>
  <c r="G30" i="59"/>
  <c r="E30" i="59"/>
  <c r="F30" i="59"/>
  <c r="N304" i="76"/>
  <c r="N30" i="59"/>
  <c r="I30" i="59"/>
  <c r="E13" i="88"/>
  <c r="J13" i="88" s="1"/>
  <c r="J18" i="88"/>
  <c r="D13" i="88"/>
  <c r="I13" i="88" s="1"/>
  <c r="I36" i="88"/>
  <c r="I35" i="88"/>
  <c r="I34" i="88"/>
  <c r="I33" i="88"/>
  <c r="J32" i="88"/>
  <c r="J31" i="88"/>
  <c r="I31" i="88"/>
  <c r="J30" i="88"/>
  <c r="I30" i="88"/>
  <c r="J29" i="88"/>
  <c r="I29" i="88"/>
  <c r="J28" i="88"/>
  <c r="J27" i="88"/>
  <c r="I27" i="88"/>
  <c r="J22" i="88"/>
  <c r="J23" i="88"/>
  <c r="J24" i="88"/>
  <c r="J25" i="88"/>
  <c r="J26" i="88"/>
  <c r="I22" i="88"/>
  <c r="I23" i="88"/>
  <c r="I24" i="88"/>
  <c r="I25" i="88"/>
  <c r="D82" i="91" l="1"/>
  <c r="C6" i="92"/>
  <c r="C5" i="92"/>
  <c r="C5" i="88"/>
  <c r="D22" i="95"/>
  <c r="G22" i="95"/>
  <c r="H22" i="95"/>
  <c r="I22" i="95"/>
  <c r="G17" i="95"/>
  <c r="H17" i="95"/>
  <c r="I17" i="95"/>
  <c r="E9" i="86" l="1"/>
  <c r="H23" i="95"/>
  <c r="G23" i="95"/>
  <c r="I23" i="95"/>
  <c r="C5" i="95"/>
  <c r="E15" i="95" s="1" a="1"/>
  <c r="E15" i="95" s="1"/>
  <c r="C6" i="95"/>
  <c r="E16" i="95" l="1" a="1"/>
  <c r="E16" i="95" s="1"/>
  <c r="F16" i="95" s="1"/>
  <c r="F15" i="95"/>
  <c r="E14" i="95" a="1"/>
  <c r="E14" i="95" s="1"/>
  <c r="F14" i="95" s="1"/>
  <c r="E13" i="95" a="1"/>
  <c r="E13" i="95" s="1"/>
  <c r="K18" i="95" a="1"/>
  <c r="K18" i="95" s="1"/>
  <c r="N18" i="95" s="1"/>
  <c r="K13" i="95" a="1"/>
  <c r="K13" i="95" s="1"/>
  <c r="N13" i="95" s="1"/>
  <c r="J21" i="95" a="1"/>
  <c r="J21" i="95" s="1"/>
  <c r="M21" i="95" s="1"/>
  <c r="E19" i="95" a="1"/>
  <c r="E19" i="95" s="1"/>
  <c r="F19" i="95" s="1"/>
  <c r="L13" i="95" a="1"/>
  <c r="L13" i="95" s="1"/>
  <c r="O13" i="95" s="1"/>
  <c r="J20" i="95" a="1"/>
  <c r="J20" i="95" s="1"/>
  <c r="M20" i="95" s="1"/>
  <c r="E20" i="95" a="1"/>
  <c r="E20" i="95" s="1"/>
  <c r="F20" i="95" s="1"/>
  <c r="J14" i="95" a="1"/>
  <c r="J14" i="95" s="1"/>
  <c r="M14" i="95" s="1"/>
  <c r="J16" i="95" a="1"/>
  <c r="J16" i="95" s="1"/>
  <c r="M16" i="95" s="1"/>
  <c r="L18" i="95" a="1"/>
  <c r="L18" i="95" s="1"/>
  <c r="O18" i="95" s="1"/>
  <c r="J13" i="95" a="1"/>
  <c r="J13" i="95" s="1"/>
  <c r="M13" i="95" s="1"/>
  <c r="K19" i="95" a="1"/>
  <c r="K19" i="95" s="1"/>
  <c r="N19" i="95" s="1"/>
  <c r="K14" i="95" a="1"/>
  <c r="K14" i="95" s="1"/>
  <c r="N14" i="95" s="1"/>
  <c r="J19" i="95" a="1"/>
  <c r="J19" i="95" s="1"/>
  <c r="M19" i="95" s="1"/>
  <c r="E21" i="95" a="1"/>
  <c r="E21" i="95" s="1"/>
  <c r="F21" i="95" s="1"/>
  <c r="L14" i="95" a="1"/>
  <c r="L14" i="95" s="1"/>
  <c r="O14" i="95" s="1"/>
  <c r="J18" i="95" a="1"/>
  <c r="J18" i="95" s="1"/>
  <c r="M18" i="95" s="1"/>
  <c r="E18" i="95" a="1"/>
  <c r="E18" i="95" s="1"/>
  <c r="K15" i="95" a="1"/>
  <c r="K15" i="95" s="1"/>
  <c r="N15" i="95" s="1"/>
  <c r="L15" i="95" a="1"/>
  <c r="L15" i="95" s="1"/>
  <c r="O15" i="95" s="1"/>
  <c r="L19" i="95" a="1"/>
  <c r="L19" i="95" s="1"/>
  <c r="O19" i="95" s="1"/>
  <c r="K20" i="95" a="1"/>
  <c r="K20" i="95" s="1"/>
  <c r="N20" i="95" s="1"/>
  <c r="L16" i="95" a="1"/>
  <c r="L16" i="95" s="1"/>
  <c r="O16" i="95" s="1"/>
  <c r="L20" i="95" a="1"/>
  <c r="L20" i="95" s="1"/>
  <c r="O20" i="95" s="1"/>
  <c r="J15" i="95" a="1"/>
  <c r="J15" i="95" s="1"/>
  <c r="M15" i="95" s="1"/>
  <c r="K21" i="95" a="1"/>
  <c r="K21" i="95" s="1"/>
  <c r="N21" i="95" s="1"/>
  <c r="K16" i="95" a="1"/>
  <c r="K16" i="95" s="1"/>
  <c r="N16" i="95" s="1"/>
  <c r="L21" i="95" a="1"/>
  <c r="L21" i="95" s="1"/>
  <c r="O21" i="95" s="1"/>
  <c r="C14" i="63"/>
  <c r="Q14" i="63" s="1"/>
  <c r="C15" i="63"/>
  <c r="Q15" i="63" s="1"/>
  <c r="C16" i="63"/>
  <c r="Q16" i="63" s="1"/>
  <c r="C17" i="63"/>
  <c r="Q17" i="63" s="1"/>
  <c r="C25" i="63"/>
  <c r="Q25" i="63" s="1"/>
  <c r="C19" i="63"/>
  <c r="Q19" i="63" s="1"/>
  <c r="C13" i="63"/>
  <c r="D22" i="94"/>
  <c r="G22" i="94"/>
  <c r="H22" i="94"/>
  <c r="C22" i="94"/>
  <c r="C6" i="94"/>
  <c r="C5" i="94"/>
  <c r="S25" i="59"/>
  <c r="O25" i="59"/>
  <c r="K25" i="59"/>
  <c r="G25" i="59"/>
  <c r="G26" i="59" s="1"/>
  <c r="G66" i="85"/>
  <c r="E30" i="85"/>
  <c r="E26" i="85"/>
  <c r="G26" i="85" s="1"/>
  <c r="E108" i="85"/>
  <c r="G108" i="85" s="1"/>
  <c r="G106" i="85"/>
  <c r="E88" i="85"/>
  <c r="G88" i="85" s="1"/>
  <c r="G86" i="85"/>
  <c r="E83" i="85"/>
  <c r="G83" i="85" s="1"/>
  <c r="E82" i="85"/>
  <c r="G73" i="85"/>
  <c r="E68" i="85"/>
  <c r="G68" i="85" s="1"/>
  <c r="E63" i="85"/>
  <c r="G63" i="85" s="1"/>
  <c r="E62" i="85"/>
  <c r="G62" i="85" s="1"/>
  <c r="G54" i="85"/>
  <c r="C6" i="91"/>
  <c r="C5" i="91"/>
  <c r="Q13" i="63" l="1"/>
  <c r="G82" i="85"/>
  <c r="G81" i="85" s="1"/>
  <c r="E81" i="85"/>
  <c r="E84" i="85" s="1"/>
  <c r="E87" i="85" s="1"/>
  <c r="E91" i="85" s="1"/>
  <c r="E17" i="95"/>
  <c r="E28" i="85"/>
  <c r="C26" i="63"/>
  <c r="Q26" i="63" s="1"/>
  <c r="C24" i="63"/>
  <c r="Q24" i="63" s="1"/>
  <c r="C31" i="63"/>
  <c r="Q31" i="63" s="1"/>
  <c r="C23" i="63"/>
  <c r="Q23" i="63" s="1"/>
  <c r="C21" i="63"/>
  <c r="Q21" i="63" s="1"/>
  <c r="C27" i="63"/>
  <c r="Q27" i="63" s="1"/>
  <c r="C20" i="63"/>
  <c r="C22" i="63"/>
  <c r="Q22" i="63" s="1"/>
  <c r="L17" i="95"/>
  <c r="J17" i="95"/>
  <c r="M17" i="95" s="1"/>
  <c r="E22" i="95"/>
  <c r="F18" i="95"/>
  <c r="J22" i="95"/>
  <c r="L22" i="95"/>
  <c r="K17" i="95"/>
  <c r="K22" i="95"/>
  <c r="G60" i="85"/>
  <c r="G100" i="85"/>
  <c r="C32" i="63"/>
  <c r="Q32" i="63" s="1"/>
  <c r="C30" i="63"/>
  <c r="C29" i="63"/>
  <c r="Q29" i="63" s="1"/>
  <c r="C28" i="63"/>
  <c r="Q28" i="63" s="1"/>
  <c r="C33" i="63"/>
  <c r="Q33" i="63" s="1"/>
  <c r="G80" i="85"/>
  <c r="G99" i="85"/>
  <c r="G79" i="85"/>
  <c r="G76" i="85"/>
  <c r="G98" i="85"/>
  <c r="G96" i="85"/>
  <c r="F84" i="85"/>
  <c r="G78" i="85"/>
  <c r="F104" i="85"/>
  <c r="G93" i="85"/>
  <c r="G74" i="85"/>
  <c r="G61" i="85"/>
  <c r="E61" i="85"/>
  <c r="E64" i="85" s="1"/>
  <c r="E67" i="85" s="1"/>
  <c r="E71" i="85" s="1"/>
  <c r="G56" i="85"/>
  <c r="G58" i="85"/>
  <c r="G59" i="85"/>
  <c r="F64" i="85"/>
  <c r="G53" i="85"/>
  <c r="E20" i="85"/>
  <c r="G46" i="85"/>
  <c r="E18" i="85"/>
  <c r="E13" i="85"/>
  <c r="O36" i="59" l="1"/>
  <c r="O35" i="59"/>
  <c r="N34" i="59"/>
  <c r="Q20" i="63"/>
  <c r="O37" i="59"/>
  <c r="H34" i="59"/>
  <c r="Q30" i="63"/>
  <c r="O34" i="59"/>
  <c r="F107" i="85"/>
  <c r="F111" i="85" s="1"/>
  <c r="F67" i="85"/>
  <c r="F71" i="85" s="1"/>
  <c r="F87" i="85"/>
  <c r="F91" i="85" s="1"/>
  <c r="F35" i="59"/>
  <c r="E34" i="59"/>
  <c r="G34" i="59"/>
  <c r="F34" i="59"/>
  <c r="I34" i="59"/>
  <c r="L34" i="59"/>
  <c r="G37" i="59"/>
  <c r="K34" i="59"/>
  <c r="N37" i="59"/>
  <c r="K36" i="59"/>
  <c r="E37" i="59"/>
  <c r="I35" i="59"/>
  <c r="M35" i="59"/>
  <c r="L36" i="59"/>
  <c r="N35" i="59"/>
  <c r="K35" i="59"/>
  <c r="P35" i="59"/>
  <c r="M36" i="59"/>
  <c r="G36" i="59"/>
  <c r="M34" i="59"/>
  <c r="H36" i="59"/>
  <c r="E35" i="59"/>
  <c r="P34" i="59"/>
  <c r="N36" i="59"/>
  <c r="M37" i="59"/>
  <c r="E36" i="59"/>
  <c r="H35" i="59"/>
  <c r="P37" i="59"/>
  <c r="I36" i="59"/>
  <c r="F36" i="59"/>
  <c r="G35" i="59"/>
  <c r="P36" i="59"/>
  <c r="J34" i="59"/>
  <c r="I37" i="59"/>
  <c r="J36" i="59"/>
  <c r="K37" i="59"/>
  <c r="J37" i="59"/>
  <c r="L35" i="59"/>
  <c r="J35" i="59"/>
  <c r="H37" i="59"/>
  <c r="F37" i="59"/>
  <c r="L37" i="59"/>
  <c r="O17" i="95"/>
  <c r="N17" i="95"/>
  <c r="E23" i="95"/>
  <c r="F22" i="95"/>
  <c r="M22" i="95"/>
  <c r="J23" i="95"/>
  <c r="M23" i="95" s="1"/>
  <c r="K23" i="95"/>
  <c r="N22" i="95"/>
  <c r="O22" i="95"/>
  <c r="L23" i="95"/>
  <c r="J20" i="88"/>
  <c r="E15" i="88"/>
  <c r="J15" i="88" s="1"/>
  <c r="J19" i="88"/>
  <c r="E14" i="88"/>
  <c r="J14" i="88" s="1"/>
  <c r="I21" i="88"/>
  <c r="D16" i="88"/>
  <c r="I16" i="88" s="1"/>
  <c r="I19" i="88"/>
  <c r="D14" i="88"/>
  <c r="I14" i="88" s="1"/>
  <c r="I20" i="88"/>
  <c r="D15" i="88"/>
  <c r="I15" i="88" s="1"/>
  <c r="J21" i="88"/>
  <c r="E16" i="88"/>
  <c r="J16" i="88" s="1"/>
  <c r="E13" i="92"/>
  <c r="G84" i="85"/>
  <c r="G64" i="85"/>
  <c r="E43" i="85"/>
  <c r="E42" i="85"/>
  <c r="F20" i="85"/>
  <c r="G20" i="85" s="1"/>
  <c r="F19" i="85"/>
  <c r="F18" i="85"/>
  <c r="G18" i="85" s="1"/>
  <c r="F16" i="85"/>
  <c r="H65" i="85" l="1"/>
  <c r="H85" i="85"/>
  <c r="O23" i="95"/>
  <c r="N23" i="95"/>
  <c r="L18" i="92"/>
  <c r="F13" i="92"/>
  <c r="F14" i="85"/>
  <c r="F24" i="85" s="1"/>
  <c r="H53" i="85"/>
  <c r="G43" i="85"/>
  <c r="G42" i="85"/>
  <c r="E41" i="85"/>
  <c r="E44" i="85" s="1"/>
  <c r="E47" i="85" s="1"/>
  <c r="H79" i="85"/>
  <c r="H81" i="85"/>
  <c r="H76" i="85"/>
  <c r="G87" i="85"/>
  <c r="H73" i="85"/>
  <c r="H74" i="85"/>
  <c r="H59" i="85"/>
  <c r="H61" i="85"/>
  <c r="H56" i="85"/>
  <c r="G67" i="85"/>
  <c r="H54" i="85"/>
  <c r="E14" i="85"/>
  <c r="H35" i="86"/>
  <c r="G35" i="86"/>
  <c r="H22" i="86"/>
  <c r="H9" i="86"/>
  <c r="G22" i="86"/>
  <c r="D73" i="91"/>
  <c r="E73" i="91" s="1"/>
  <c r="E84" i="91"/>
  <c r="E83" i="91"/>
  <c r="E82" i="91"/>
  <c r="E76" i="91"/>
  <c r="E75" i="91"/>
  <c r="E74" i="91"/>
  <c r="G83" i="91"/>
  <c r="G84" i="91"/>
  <c r="G82" i="91"/>
  <c r="G76" i="91"/>
  <c r="G75" i="91"/>
  <c r="G74" i="91"/>
  <c r="G71" i="85" l="1"/>
  <c r="G91" i="85"/>
  <c r="G41" i="85"/>
  <c r="I18" i="92"/>
  <c r="M18" i="92" s="1"/>
  <c r="G13" i="92"/>
  <c r="H13" i="92"/>
  <c r="L13" i="92" s="1"/>
  <c r="G9" i="86"/>
  <c r="I13" i="92" l="1"/>
  <c r="M13" i="92" s="1"/>
  <c r="E19" i="85"/>
  <c r="G19" i="85" s="1"/>
  <c r="G33" i="85" l="1"/>
  <c r="E16" i="85"/>
  <c r="G16" i="85" s="1"/>
  <c r="E30" i="91"/>
  <c r="E31" i="91"/>
  <c r="G32" i="91"/>
  <c r="E33" i="91"/>
  <c r="D70" i="91"/>
  <c r="G70" i="91" s="1"/>
  <c r="D71" i="91"/>
  <c r="E71" i="91" s="1"/>
  <c r="D72" i="91"/>
  <c r="G72" i="91" s="1"/>
  <c r="G73" i="91"/>
  <c r="E18" i="91"/>
  <c r="E19" i="91"/>
  <c r="E20" i="91"/>
  <c r="E21" i="91"/>
  <c r="E22" i="91"/>
  <c r="E23" i="91"/>
  <c r="E24" i="91"/>
  <c r="E25" i="91"/>
  <c r="E50" i="91"/>
  <c r="E51" i="91"/>
  <c r="E52" i="91"/>
  <c r="E53" i="91"/>
  <c r="E54" i="91"/>
  <c r="E55" i="91"/>
  <c r="E56" i="91"/>
  <c r="E57" i="91"/>
  <c r="E58" i="91"/>
  <c r="E14" i="94" s="1"/>
  <c r="E59" i="91"/>
  <c r="E15" i="94" s="1"/>
  <c r="E60" i="91"/>
  <c r="E16" i="94" s="1"/>
  <c r="E61" i="91"/>
  <c r="E17" i="94" s="1"/>
  <c r="E62" i="91"/>
  <c r="E18" i="94" s="1"/>
  <c r="E63" i="91"/>
  <c r="E19" i="94" s="1"/>
  <c r="E64" i="91"/>
  <c r="E20" i="94" s="1"/>
  <c r="E65" i="91"/>
  <c r="E21" i="94" s="1"/>
  <c r="E15" i="91"/>
  <c r="G16" i="91"/>
  <c r="G17" i="91"/>
  <c r="E14" i="91"/>
  <c r="E13" i="91"/>
  <c r="G10" i="91"/>
  <c r="G18" i="91"/>
  <c r="G19" i="91"/>
  <c r="G20" i="91"/>
  <c r="G21" i="91"/>
  <c r="G22" i="91"/>
  <c r="G23" i="91"/>
  <c r="G24" i="91"/>
  <c r="G25" i="91"/>
  <c r="G50" i="91"/>
  <c r="G51" i="91"/>
  <c r="G52" i="91"/>
  <c r="G53" i="91"/>
  <c r="G54" i="91"/>
  <c r="G55" i="91"/>
  <c r="G56" i="91"/>
  <c r="G57" i="91"/>
  <c r="G58" i="91"/>
  <c r="F14" i="94" s="1"/>
  <c r="G59" i="91"/>
  <c r="F15" i="94" s="1"/>
  <c r="G60" i="91"/>
  <c r="F16" i="94" s="1"/>
  <c r="G61" i="91"/>
  <c r="F17" i="94" s="1"/>
  <c r="G62" i="91"/>
  <c r="F18" i="94" s="1"/>
  <c r="G63" i="91"/>
  <c r="F19" i="94" s="1"/>
  <c r="G64" i="91"/>
  <c r="F20" i="94" s="1"/>
  <c r="G65" i="91"/>
  <c r="F21" i="94" s="1"/>
  <c r="I17" i="94" l="1"/>
  <c r="I16" i="94"/>
  <c r="I15" i="94"/>
  <c r="F22" i="94"/>
  <c r="I18" i="94"/>
  <c r="I14" i="94"/>
  <c r="E22" i="94"/>
  <c r="I21" i="94"/>
  <c r="I20" i="94"/>
  <c r="I19" i="94"/>
  <c r="G12" i="91"/>
  <c r="G11" i="91"/>
  <c r="G30" i="91"/>
  <c r="E41" i="91"/>
  <c r="E40" i="91"/>
  <c r="G13" i="91"/>
  <c r="G14" i="91"/>
  <c r="G15" i="91"/>
  <c r="G31" i="91"/>
  <c r="E32" i="91"/>
  <c r="G33" i="91"/>
  <c r="G71" i="91"/>
  <c r="E72" i="91"/>
  <c r="E70" i="91"/>
  <c r="E12" i="91"/>
  <c r="E11" i="91"/>
  <c r="E17" i="91"/>
  <c r="E16" i="91"/>
  <c r="I22" i="94" l="1"/>
  <c r="E46" i="91"/>
  <c r="E39" i="91"/>
  <c r="D47" i="91"/>
  <c r="G39" i="91"/>
  <c r="G38" i="91"/>
  <c r="E38" i="91"/>
  <c r="G41" i="91"/>
  <c r="D48" i="91"/>
  <c r="D49" i="91"/>
  <c r="G40" i="91"/>
  <c r="G46" i="91"/>
  <c r="D94" i="91"/>
  <c r="H18" i="59" l="1"/>
  <c r="E49" i="91"/>
  <c r="D96" i="91"/>
  <c r="E47" i="91"/>
  <c r="D95" i="91"/>
  <c r="G47" i="91"/>
  <c r="D97" i="91"/>
  <c r="G49" i="91"/>
  <c r="G48" i="91"/>
  <c r="E48" i="91"/>
  <c r="G94" i="91"/>
  <c r="E94" i="91"/>
  <c r="G97" i="91" l="1"/>
  <c r="K18" i="59"/>
  <c r="E95" i="91"/>
  <c r="I18" i="59"/>
  <c r="G96" i="91"/>
  <c r="J18" i="59"/>
  <c r="E96" i="91"/>
  <c r="G95" i="91"/>
  <c r="E97" i="91"/>
  <c r="D4" i="86" l="1"/>
  <c r="D5" i="86"/>
  <c r="C6" i="75"/>
  <c r="C5" i="75"/>
  <c r="C6" i="85"/>
  <c r="C5" i="85"/>
  <c r="G14" i="85"/>
  <c r="G15" i="85"/>
  <c r="G34" i="85"/>
  <c r="D23" i="59" s="1"/>
  <c r="C5" i="25"/>
  <c r="C6" i="25"/>
  <c r="D9" i="86"/>
  <c r="D66" i="91" s="1"/>
  <c r="J36" i="86"/>
  <c r="J37" i="86"/>
  <c r="J38" i="86"/>
  <c r="J39" i="86"/>
  <c r="J40" i="86"/>
  <c r="J41" i="86"/>
  <c r="J42" i="86"/>
  <c r="E43" i="86"/>
  <c r="F43" i="86"/>
  <c r="G43" i="86"/>
  <c r="H43" i="86"/>
  <c r="I43" i="86"/>
  <c r="J44" i="86"/>
  <c r="J45" i="86"/>
  <c r="E46" i="86"/>
  <c r="F46" i="86"/>
  <c r="G46" i="86"/>
  <c r="H46" i="86"/>
  <c r="I46" i="86"/>
  <c r="J49" i="86"/>
  <c r="J50" i="86"/>
  <c r="J51" i="86"/>
  <c r="J52" i="86"/>
  <c r="J53" i="86"/>
  <c r="J54" i="86"/>
  <c r="J55" i="86"/>
  <c r="E56" i="86"/>
  <c r="F56" i="86"/>
  <c r="G56" i="86"/>
  <c r="H56" i="86"/>
  <c r="I56" i="86"/>
  <c r="J57" i="86"/>
  <c r="J58" i="86"/>
  <c r="E59" i="86"/>
  <c r="F59" i="86"/>
  <c r="G59" i="86"/>
  <c r="H59" i="86"/>
  <c r="I59" i="86"/>
  <c r="J23" i="86"/>
  <c r="J24" i="86"/>
  <c r="J25" i="86"/>
  <c r="J26" i="86"/>
  <c r="J27" i="86"/>
  <c r="J28" i="86"/>
  <c r="J29" i="86"/>
  <c r="E30" i="86"/>
  <c r="F30" i="86"/>
  <c r="G30" i="86"/>
  <c r="H30" i="86"/>
  <c r="I30" i="86"/>
  <c r="J31" i="86"/>
  <c r="J32" i="86"/>
  <c r="E33" i="86"/>
  <c r="F33" i="86"/>
  <c r="G33" i="86"/>
  <c r="H33" i="86"/>
  <c r="I33" i="86"/>
  <c r="E20" i="86"/>
  <c r="E21" i="86" s="1"/>
  <c r="F20" i="86"/>
  <c r="G20" i="86"/>
  <c r="G21" i="86" s="1"/>
  <c r="H20" i="86"/>
  <c r="H21" i="86" s="1"/>
  <c r="I20" i="86"/>
  <c r="J10" i="86"/>
  <c r="J11" i="86"/>
  <c r="J12" i="86"/>
  <c r="J13" i="86"/>
  <c r="J14" i="86"/>
  <c r="J15" i="86"/>
  <c r="J16" i="86"/>
  <c r="J18" i="86"/>
  <c r="J19" i="86"/>
  <c r="E6" i="66"/>
  <c r="E5" i="66"/>
  <c r="C6" i="63"/>
  <c r="C5" i="63"/>
  <c r="C6" i="76"/>
  <c r="C5" i="76"/>
  <c r="C6" i="59"/>
  <c r="C7" i="59"/>
  <c r="D17" i="59" s="1"/>
  <c r="E17" i="59" s="1"/>
  <c r="F17" i="59" s="1"/>
  <c r="G17" i="59" s="1"/>
  <c r="H17" i="59" s="1"/>
  <c r="I17" i="59" s="1"/>
  <c r="J17" i="59" s="1"/>
  <c r="K17" i="59" s="1"/>
  <c r="C7" i="24"/>
  <c r="C6" i="24"/>
  <c r="F51" i="25"/>
  <c r="G51" i="25"/>
  <c r="H51" i="25"/>
  <c r="E51" i="25"/>
  <c r="E21" i="25"/>
  <c r="H21" i="25"/>
  <c r="AI26" i="59"/>
  <c r="AI24" i="59"/>
  <c r="AH24" i="59"/>
  <c r="AG24" i="59"/>
  <c r="AF24" i="59"/>
  <c r="AE26" i="59"/>
  <c r="AE24" i="59"/>
  <c r="AD24" i="59"/>
  <c r="AC24" i="59"/>
  <c r="AB24" i="59"/>
  <c r="AA26" i="59"/>
  <c r="AA24" i="59"/>
  <c r="Z24" i="59"/>
  <c r="Y24" i="59"/>
  <c r="X24" i="59"/>
  <c r="T24" i="59"/>
  <c r="U24" i="59"/>
  <c r="V24" i="59"/>
  <c r="W24" i="59"/>
  <c r="W26" i="59"/>
  <c r="E9" i="59"/>
  <c r="H20" i="59"/>
  <c r="F21" i="25"/>
  <c r="G21" i="25"/>
  <c r="D34" i="91" l="1"/>
  <c r="D42" i="91" s="1"/>
  <c r="D90" i="91" s="1"/>
  <c r="J17" i="86"/>
  <c r="E11" i="59"/>
  <c r="E10" i="59"/>
  <c r="E13" i="59"/>
  <c r="H23" i="59"/>
  <c r="J23" i="59"/>
  <c r="J56" i="86"/>
  <c r="D24" i="59"/>
  <c r="J46" i="86"/>
  <c r="G47" i="86"/>
  <c r="H22" i="59"/>
  <c r="J22" i="59"/>
  <c r="K22" i="59"/>
  <c r="I22" i="59"/>
  <c r="F9" i="59"/>
  <c r="G9" i="59" s="1"/>
  <c r="I23" i="59"/>
  <c r="K23" i="59"/>
  <c r="L20" i="59"/>
  <c r="G13" i="85"/>
  <c r="D22" i="86"/>
  <c r="D35" i="91" s="1"/>
  <c r="D35" i="86"/>
  <c r="D36" i="91" s="1"/>
  <c r="D48" i="86"/>
  <c r="J59" i="86"/>
  <c r="G38" i="85"/>
  <c r="G23" i="59" s="1"/>
  <c r="G24" i="59" s="1"/>
  <c r="G36" i="85"/>
  <c r="E23" i="59" s="1"/>
  <c r="E24" i="59" s="1"/>
  <c r="G39" i="85"/>
  <c r="H34" i="86"/>
  <c r="J33" i="86"/>
  <c r="J30" i="86"/>
  <c r="J43" i="86"/>
  <c r="J20" i="86"/>
  <c r="E47" i="86"/>
  <c r="H47" i="86"/>
  <c r="E34" i="86"/>
  <c r="G34" i="86"/>
  <c r="D37" i="91" l="1"/>
  <c r="G11" i="59"/>
  <c r="G10" i="59"/>
  <c r="N23" i="59"/>
  <c r="L23" i="59"/>
  <c r="F11" i="59"/>
  <c r="F10" i="59"/>
  <c r="F13" i="59"/>
  <c r="O22" i="59"/>
  <c r="N22" i="59"/>
  <c r="M22" i="59"/>
  <c r="L22" i="59"/>
  <c r="J24" i="59"/>
  <c r="I24" i="59"/>
  <c r="H24" i="59"/>
  <c r="O23" i="59"/>
  <c r="M23" i="59"/>
  <c r="K24" i="59"/>
  <c r="P20" i="59"/>
  <c r="R23" i="59" s="1"/>
  <c r="K26" i="59"/>
  <c r="H9" i="59"/>
  <c r="I9" i="86"/>
  <c r="I21" i="86" s="1"/>
  <c r="G40" i="85"/>
  <c r="F23" i="59" s="1"/>
  <c r="F24" i="59" s="1"/>
  <c r="D69" i="91"/>
  <c r="I48" i="86" s="1"/>
  <c r="D68" i="91"/>
  <c r="I35" i="86" s="1"/>
  <c r="G66" i="91"/>
  <c r="E66" i="91"/>
  <c r="D67" i="91"/>
  <c r="I22" i="86" s="1"/>
  <c r="F44" i="85"/>
  <c r="H11" i="59" l="1"/>
  <c r="H10" i="59"/>
  <c r="F25" i="85"/>
  <c r="F47" i="85"/>
  <c r="P22" i="59"/>
  <c r="S22" i="59"/>
  <c r="R22" i="59"/>
  <c r="Q22" i="59"/>
  <c r="M24" i="59"/>
  <c r="Q23" i="59"/>
  <c r="S23" i="59"/>
  <c r="L24" i="59"/>
  <c r="N24" i="59"/>
  <c r="I9" i="59"/>
  <c r="O26" i="59"/>
  <c r="O24" i="59"/>
  <c r="T20" i="59"/>
  <c r="X20" i="59" s="1"/>
  <c r="AB20" i="59" s="1"/>
  <c r="AF20" i="59" s="1"/>
  <c r="I60" i="86"/>
  <c r="I47" i="86"/>
  <c r="I34" i="86"/>
  <c r="E68" i="91"/>
  <c r="G68" i="91"/>
  <c r="G69" i="91"/>
  <c r="E69" i="91"/>
  <c r="E67" i="91"/>
  <c r="G67" i="91"/>
  <c r="F51" i="85" l="1"/>
  <c r="F27" i="85"/>
  <c r="F31" i="85" s="1"/>
  <c r="I11" i="59"/>
  <c r="I10" i="59"/>
  <c r="H15" i="59"/>
  <c r="Q34" i="59"/>
  <c r="Q24" i="59"/>
  <c r="R24" i="59"/>
  <c r="S24" i="59"/>
  <c r="S26" i="59"/>
  <c r="J9" i="59"/>
  <c r="I15" i="59" l="1"/>
  <c r="Q35" i="59"/>
  <c r="J11" i="59"/>
  <c r="J10" i="59"/>
  <c r="K9" i="59"/>
  <c r="G44" i="85"/>
  <c r="H34" i="85" l="1"/>
  <c r="H33" i="85"/>
  <c r="K11" i="59"/>
  <c r="K10" i="59"/>
  <c r="Q36" i="59"/>
  <c r="J15" i="59"/>
  <c r="G47" i="85"/>
  <c r="G51" i="85" s="1"/>
  <c r="H45" i="85"/>
  <c r="H41" i="85"/>
  <c r="H36" i="85"/>
  <c r="H39" i="85"/>
  <c r="E10" i="91"/>
  <c r="E51" i="85"/>
  <c r="G26" i="91"/>
  <c r="E26" i="91"/>
  <c r="F9" i="86"/>
  <c r="J9" i="86" l="1"/>
  <c r="D12" i="59" s="1"/>
  <c r="F21" i="86"/>
  <c r="Q37" i="59"/>
  <c r="K15" i="59"/>
  <c r="D13" i="59"/>
  <c r="G28" i="85"/>
  <c r="E34" i="91"/>
  <c r="G34" i="91"/>
  <c r="E37" i="91"/>
  <c r="G35" i="91"/>
  <c r="G36" i="91"/>
  <c r="G29" i="91"/>
  <c r="E29" i="91"/>
  <c r="G27" i="91"/>
  <c r="E27" i="91"/>
  <c r="F22" i="86"/>
  <c r="F34" i="86" s="1"/>
  <c r="G28" i="91"/>
  <c r="F35" i="86"/>
  <c r="F47" i="86" s="1"/>
  <c r="E28" i="91"/>
  <c r="F48" i="86"/>
  <c r="F60" i="86" s="1"/>
  <c r="J21" i="86" l="1"/>
  <c r="J22" i="86"/>
  <c r="E12" i="59" s="1"/>
  <c r="E42" i="91"/>
  <c r="D45" i="91"/>
  <c r="G37" i="91"/>
  <c r="D44" i="91"/>
  <c r="E36" i="91"/>
  <c r="E35" i="91"/>
  <c r="J35" i="86"/>
  <c r="F12" i="59" s="1"/>
  <c r="D43" i="91"/>
  <c r="D18" i="59"/>
  <c r="G42" i="91"/>
  <c r="G45" i="91" l="1"/>
  <c r="J34" i="86"/>
  <c r="E45" i="91"/>
  <c r="D93" i="91"/>
  <c r="G90" i="91"/>
  <c r="E90" i="91"/>
  <c r="J47" i="86"/>
  <c r="D92" i="91"/>
  <c r="G44" i="91"/>
  <c r="E44" i="91"/>
  <c r="E43" i="91"/>
  <c r="D91" i="91"/>
  <c r="G43" i="91"/>
  <c r="D98" i="91" l="1"/>
  <c r="E18" i="59"/>
  <c r="F18" i="59"/>
  <c r="G18" i="59"/>
  <c r="G93" i="91"/>
  <c r="E93" i="91"/>
  <c r="E92" i="91"/>
  <c r="G92" i="91"/>
  <c r="G91" i="91"/>
  <c r="E91" i="91"/>
  <c r="G98" i="91" l="1"/>
  <c r="E98" i="91"/>
  <c r="F13" i="95" l="1"/>
  <c r="D17" i="95"/>
  <c r="F17" i="95" l="1"/>
  <c r="D23" i="95"/>
  <c r="F23" i="95" l="1"/>
  <c r="R16" i="66" l="1"/>
  <c r="R28" i="66"/>
  <c r="R29" i="66"/>
  <c r="R17" i="66"/>
  <c r="R21" i="66"/>
  <c r="R14" i="66"/>
  <c r="R20" i="66"/>
  <c r="R13" i="66"/>
  <c r="R25" i="66"/>
  <c r="R26" i="66"/>
  <c r="R18" i="66"/>
  <c r="R19" i="66"/>
  <c r="AH31" i="66"/>
  <c r="AD31" i="66"/>
  <c r="Z31" i="66"/>
  <c r="R12" i="66"/>
  <c r="V31" i="66"/>
  <c r="R30" i="66"/>
  <c r="R27" i="66"/>
  <c r="R24" i="66"/>
  <c r="R15" i="66"/>
  <c r="H33" i="25" l="1"/>
  <c r="G33" i="25"/>
  <c r="E33" i="25"/>
  <c r="F33" i="25"/>
  <c r="R31" i="66"/>
  <c r="F52" i="25" l="1"/>
  <c r="E14" i="59" s="1"/>
  <c r="E52" i="25"/>
  <c r="E54" i="25" s="1"/>
  <c r="G52" i="25"/>
  <c r="G54" i="25" s="1"/>
  <c r="H52" i="25"/>
  <c r="H54" i="25" s="1"/>
  <c r="G14" i="59" l="1"/>
  <c r="D14" i="59"/>
  <c r="Q30" i="59" s="1"/>
  <c r="F14" i="59"/>
  <c r="F15" i="59" s="1"/>
  <c r="F54" i="25"/>
  <c r="E15" i="59"/>
  <c r="Q31" i="59"/>
  <c r="D15" i="59" l="1"/>
  <c r="Q32" i="59"/>
  <c r="D78" i="91"/>
  <c r="D79" i="91"/>
  <c r="D80" i="91"/>
  <c r="D81" i="91"/>
  <c r="E102" i="85"/>
  <c r="E22" i="85" s="1"/>
  <c r="E77" i="91"/>
  <c r="G77" i="91"/>
  <c r="D85" i="91"/>
  <c r="G48" i="86"/>
  <c r="G60" i="86" s="1"/>
  <c r="E80" i="91" l="1"/>
  <c r="E81" i="91"/>
  <c r="E79" i="91"/>
  <c r="D87" i="91"/>
  <c r="E78" i="91"/>
  <c r="G79" i="91"/>
  <c r="G102" i="85"/>
  <c r="G80" i="91"/>
  <c r="E48" i="86"/>
  <c r="E60" i="86" s="1"/>
  <c r="G81" i="91"/>
  <c r="G78" i="91"/>
  <c r="D86" i="91"/>
  <c r="E85" i="91"/>
  <c r="G22" i="85"/>
  <c r="G85" i="91"/>
  <c r="D88" i="91"/>
  <c r="H48" i="86"/>
  <c r="H60" i="86" s="1"/>
  <c r="D89" i="91"/>
  <c r="E103" i="85"/>
  <c r="G87" i="91" l="1"/>
  <c r="E87" i="91"/>
  <c r="G86" i="91"/>
  <c r="E86" i="91"/>
  <c r="G103" i="85"/>
  <c r="G101" i="85" s="1"/>
  <c r="E23" i="85"/>
  <c r="E101" i="85"/>
  <c r="E104" i="85" s="1"/>
  <c r="E107" i="85" s="1"/>
  <c r="J48" i="86"/>
  <c r="G88" i="91"/>
  <c r="E88" i="91"/>
  <c r="E89" i="91"/>
  <c r="G89" i="91"/>
  <c r="J60" i="86" l="1"/>
  <c r="G12" i="59"/>
  <c r="E27" i="85"/>
  <c r="E111" i="85"/>
  <c r="G23" i="85"/>
  <c r="E21" i="85"/>
  <c r="G104" i="85"/>
  <c r="H101" i="85" s="1"/>
  <c r="P23" i="59"/>
  <c r="P24" i="59" s="1"/>
  <c r="E31" i="85" l="1"/>
  <c r="G27" i="85"/>
  <c r="G31" i="85" s="1"/>
  <c r="H93" i="85"/>
  <c r="H105" i="85"/>
  <c r="H96" i="85"/>
  <c r="H99" i="85"/>
  <c r="G107" i="85"/>
  <c r="G111" i="85" s="1"/>
  <c r="H94" i="85"/>
  <c r="E24" i="85"/>
  <c r="G24" i="85" s="1"/>
  <c r="H13" i="85" s="1"/>
  <c r="G21" i="85"/>
  <c r="U43" i="66" l="1"/>
  <c r="H25" i="85"/>
  <c r="H19" i="85"/>
  <c r="H21" i="85"/>
  <c r="G13" i="59"/>
  <c r="H14" i="85"/>
  <c r="G15" i="59" l="1"/>
  <c r="Q33" i="5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<sst xmlns="http://schemas.openxmlformats.org/spreadsheetml/2006/main" count="14405" uniqueCount="1797">
  <si>
    <t>California Public Utilities Commission</t>
  </si>
  <si>
    <t>Business Plan Application Template</t>
  </si>
  <si>
    <t>Updated:</t>
  </si>
  <si>
    <t>July, 2025</t>
  </si>
  <si>
    <t>WORKBOOK DROPDOWN MENU CONTROL</t>
  </si>
  <si>
    <t>General Instructions for Completing the Tables:</t>
  </si>
  <si>
    <t>Target Exempt</t>
  </si>
  <si>
    <t>PA</t>
  </si>
  <si>
    <t>Program Implementer</t>
  </si>
  <si>
    <t>Sector</t>
  </si>
  <si>
    <t>Program Category</t>
  </si>
  <si>
    <t>Program Segment</t>
  </si>
  <si>
    <t>Program Changes Reason</t>
  </si>
  <si>
    <t>SDG&amp;E</t>
  </si>
  <si>
    <t>Input your PA name here. This will appear on all tabs.</t>
  </si>
  <si>
    <t>Yes</t>
  </si>
  <si>
    <t>PG&amp;E</t>
  </si>
  <si>
    <t>IOU Core</t>
  </si>
  <si>
    <t>Residential</t>
  </si>
  <si>
    <t>Emerging Tech</t>
  </si>
  <si>
    <t>Resource Acquisition</t>
  </si>
  <si>
    <t>Programs to be closed with the disposition of 2028-2035 EE Application</t>
  </si>
  <si>
    <t>2028-2035</t>
  </si>
  <si>
    <t>Input your reference years here. This will appear on all tabs</t>
  </si>
  <si>
    <t>No</t>
  </si>
  <si>
    <t>SCE</t>
  </si>
  <si>
    <t>Third Party</t>
  </si>
  <si>
    <t>Commercial</t>
  </si>
  <si>
    <t>WE&amp;T</t>
  </si>
  <si>
    <t>Market Support</t>
  </si>
  <si>
    <t>Programs to be closed upon completion of commitments</t>
  </si>
  <si>
    <t>All currency will be reported to the dollar, i.e., $0.</t>
  </si>
  <si>
    <t>SoCalGas</t>
  </si>
  <si>
    <t>REN/CCA</t>
  </si>
  <si>
    <t>Industrial</t>
  </si>
  <si>
    <t>Financing</t>
  </si>
  <si>
    <t>Equity</t>
  </si>
  <si>
    <t>Programs with reduced budgets (&gt;40% budget decrease)</t>
  </si>
  <si>
    <t>Follow the legend to guide the input of various data requirements.</t>
  </si>
  <si>
    <t>Agricultural</t>
  </si>
  <si>
    <t>Market Transformation</t>
  </si>
  <si>
    <t>Codes &amp; Standards</t>
  </si>
  <si>
    <t>Programs with enhanced budgets (&gt;40% budget increase)</t>
  </si>
  <si>
    <t>When adding rows, ensure all formulas are copied.</t>
  </si>
  <si>
    <t>BayRen</t>
  </si>
  <si>
    <t>Public</t>
  </si>
  <si>
    <t>Other</t>
  </si>
  <si>
    <t>EM&amp;V</t>
  </si>
  <si>
    <t>Programs that are new in 2028 or beyond</t>
  </si>
  <si>
    <t>All tables totals should be recalculated to ensure footing/cross footing accuracy.</t>
  </si>
  <si>
    <t>Cross Cutting</t>
  </si>
  <si>
    <t>New Construction</t>
  </si>
  <si>
    <t>Programs with Third-Party Contracts that Sunset in 2028-2031</t>
  </si>
  <si>
    <t>Be mindful of print area to ensure footnotes are included when added.</t>
  </si>
  <si>
    <t>Portfolio Support</t>
  </si>
  <si>
    <t>Marketing Education &amp; Outreach</t>
  </si>
  <si>
    <t>Review the legend at the bottom of the the Read Me.</t>
  </si>
  <si>
    <t>Energy Savings Assistance</t>
  </si>
  <si>
    <t>Description</t>
  </si>
  <si>
    <t>This workbook supports the development and submission of CPUC Business Plan Application by providing a standardized template for organizing key programmatic, budgetary, and analytical information. Each Tab plans a specific role in collecting, processing, and summarizing relevant data to meet submission and regulatory requirements.</t>
  </si>
  <si>
    <t>Workbook Tab Definitions</t>
  </si>
  <si>
    <t>Function Definitions</t>
  </si>
  <si>
    <t>This tab provides a detailed breakdown of functional categories and definitions used to allocate and report energy efficiency program costs across planning, implementation, compliance, engineering, analytics, marketing, IT, and incentive functions.</t>
  </si>
  <si>
    <t>0 Validations</t>
  </si>
  <si>
    <t>Provides a summary of key budget, revenue requirement, and cost category comparisons across the workbook, highlighting differences to ensure consistency between spending requests, cost recovery, and functional allocations.</t>
  </si>
  <si>
    <t>1 Participant Bill Impacts</t>
  </si>
  <si>
    <t xml:space="preserve">Calculates estimated average annual and lifecycle bill savings for participating customers by applying electric and gas rates to forecasted program energy savings. </t>
  </si>
  <si>
    <t>2 Rate Impacts</t>
  </si>
  <si>
    <t>Presents the projected changes in electric and gas revenues, rates, and the energy efficiency portion of rates by customer class, illustrating the impact of proposed energy efficiency investments on utility bills.</t>
  </si>
  <si>
    <t>3.1 Funding Category</t>
  </si>
  <si>
    <t>Summarizes funding sources and budget allocations for electric and gas programs, including procurement and revenue requirements, across various program administrators and utilities.</t>
  </si>
  <si>
    <t>3.2 Funding - CCA_REN only</t>
  </si>
  <si>
    <t>Tracks annual electric and gas energy efficiency funds allocated by IOUs to RENs and CCAs from 2028–2035.</t>
  </si>
  <si>
    <t>4.1 Program Budget 2028-2031</t>
  </si>
  <si>
    <t>Outlines portfolio budget requests, spending, unspent and carryover balances, and cost components for your utility energy efficiency portfolio, including EM&amp;V, ME&amp;O, ESA, and financing pilots.</t>
  </si>
  <si>
    <t>4.2 Sector Seg Budget 2032-2035</t>
  </si>
  <si>
    <t>Details annual budget requests, energy savings, and emissions impacts by sector and program segment to support portfolio planning from 2028–2035.</t>
  </si>
  <si>
    <t>4.3 TSB and C&amp;S Budget 2032-2035</t>
  </si>
  <si>
    <t>Compares business plan forecasts to CPUC goals for 2028–2035, including Total System Benefit and energy savings metrics for incentive programs and codes &amp; standards.</t>
  </si>
  <si>
    <t>Budget Filing Data</t>
  </si>
  <si>
    <t>Contains raw budget filing data from CEDARS and CET grouped by Year, PA, Program ID, Program Name, Program Group, Primary Sector, Statewide Program, Program Category, Program Implementer, Filing Year Quarter, Program Segment and Program Status. Also includes calculations of interim steps related to cost-effectiveness metrics.</t>
  </si>
  <si>
    <t>6 Statewide Programs</t>
  </si>
  <si>
    <t>Outlines statewide energy efficiency programs, including total contract budgets, proportional funding contributions, and administrative costs allocated across IOUs based on electric and gas load shares.</t>
  </si>
  <si>
    <t>7 PA PY Budget</t>
  </si>
  <si>
    <t>Summarizes annual cost recovery requests (2028–2031) for IOUs, RENs, and CCAs, including EM&amp;V, oversight, and offsets from unspent funds.</t>
  </si>
  <si>
    <t>8 Cap &amp; Target</t>
  </si>
  <si>
    <t>Provides cumulative and annual projections of energy efficiency expenditures across key budget categories, comparing actual and planned spending against regulatory caps and performance targets.</t>
  </si>
  <si>
    <t>9 Portfolio FTE and Budget</t>
  </si>
  <si>
    <t>Details labor and non-labor staffing allocations by functional group and sector, including full-time equivalents (FTEs), budgeted roles, and contract support across program years.</t>
  </si>
  <si>
    <t>10 Indicators &amp; Metrics</t>
  </si>
  <si>
    <t>Tracks all indicators and metrics for energy efficiency programs, including historical achievements and future targets across various energy savings indicators, aligned with CPUC goals and reporting standards.</t>
  </si>
  <si>
    <t>11 Program Cards</t>
  </si>
  <si>
    <t>Flat file version of the program card tables in the narrative. Pas can use this template to populate the narrative.</t>
  </si>
  <si>
    <t>Legend</t>
  </si>
  <si>
    <t>Solid Gray, black font</t>
  </si>
  <si>
    <t xml:space="preserve">This cell style indicates a formula that should not be edited by the user. </t>
  </si>
  <si>
    <t>Solid Blue, blue font</t>
  </si>
  <si>
    <t>This cell style indicates a data input cell that should be edited by the user.</t>
  </si>
  <si>
    <t>Solid Gold, black font</t>
  </si>
  <si>
    <t>This cell style indicates the cell is a header/footer,  no data input cell.</t>
  </si>
  <si>
    <t>Solid Green, black font</t>
  </si>
  <si>
    <t>This cell style indicates the aggregated data could come from record level budget filing (posted in CEDARS) or from the aggregated data described in the "Raw Budget Filing Data" tab.</t>
  </si>
  <si>
    <t>Instructions</t>
  </si>
  <si>
    <t>Review table to familiarize yourself with functions definitions.</t>
  </si>
  <si>
    <t>PA Name:</t>
  </si>
  <si>
    <t>Budget Year:</t>
  </si>
  <si>
    <t>FUNCTION DEFINITIONS</t>
  </si>
  <si>
    <t>Aggregated Category</t>
  </si>
  <si>
    <t>Definition</t>
  </si>
  <si>
    <t>Functional Category</t>
  </si>
  <si>
    <t>Detailed Definition</t>
  </si>
  <si>
    <t>Policy, Strategy, and Regulatory Reporting Compliance</t>
  </si>
  <si>
    <r>
      <t>Includes</t>
    </r>
    <r>
      <rPr>
        <b/>
        <sz val="11"/>
        <color rgb="FF000000"/>
        <rFont val="Calibri"/>
        <family val="2"/>
        <scheme val="minor"/>
      </rPr>
      <t xml:space="preserve"> p</t>
    </r>
    <r>
      <rPr>
        <sz val="11"/>
        <color rgb="FF000000"/>
        <rFont val="Calibri"/>
        <family val="2"/>
        <scheme val="minor"/>
      </rPr>
      <t>olicy, strategy, compliance, audits and regulatory support</t>
    </r>
  </si>
  <si>
    <t>Planning &amp; Compliance</t>
  </si>
  <si>
    <t>DSM Goal Planning; lead legislative review/positioning; policy support on reg proceedings; portfolio optimization; end use-market strategy; DSM lead for PRP, DRP, ES; locational targeting; audit support; SOX certifications; developing control plans; developing action plans; continuous monitoring; inspections; program/product QA/QC; decision compliance oversight/tracking; data requests; policies &amp; procedures</t>
  </si>
  <si>
    <t>Company Regulatory Support</t>
  </si>
  <si>
    <t>Case management for EE proceedings</t>
  </si>
  <si>
    <t>Program management</t>
  </si>
  <si>
    <t>Includes labor, contracts, admin costs for program design, program implementation, product and channel management for all sectors</t>
  </si>
  <si>
    <t>Program Management &amp; Delivery</t>
  </si>
  <si>
    <t>Market Segment &amp; Locational Resource programs; Business Core &amp; Finance Programs; Large Power DR Programs; Non-Res HVAC &amp; Technical Services; Program Integration &amp; Optimization; Residential EE &amp; DR  Programs (incl. Res HVAC QI); IQP &amp; Economic Assistance Programs; Mass Market DR Programs; Education &amp; Information Products &amp; Services; Energy Leader Partnerships; Institutional &amp; Federal Partnerships; REN Coordination; Strategic Plan Support; Energy/Water Program Mgt; Service Level Agreement Tracking</t>
  </si>
  <si>
    <t>Product Management</t>
  </si>
  <si>
    <t>Manage end-to-end new products and services (P&amp;S) intake, evaluation, and launch process; develop and facilitate  P&amp;S governance teams, coordination of all sub-process owners, stakeholders, and technical resources required to evaluate and launch new products; evaluate and launch new services and OOR opportunities; develop external partnerships &amp; strategic alliances; work with various companies and associations to help advance standards, products, and tech.; work with external experts to help reduce SCE costs to deliver new prog. and products; develop and launch new customer technologies, products, services for residential and business customers; conduct customer pilots of new technologies and programs; lead customer field demonstrations of new technologies and products; align new P&amp;S to savings programs/incentives; develop new programs/incentives in support of savings goals</t>
  </si>
  <si>
    <t>Channel Management</t>
  </si>
  <si>
    <t>Contract Management</t>
  </si>
  <si>
    <t>Budget forecasting, spend tracking, invoice processing, and contract management with vendors and suppliers; Regulatory support for ME&amp;O activities</t>
  </si>
  <si>
    <t>Engineering Services</t>
  </si>
  <si>
    <t>Includes engineering, project management, and contracts associated with workpaper development and pre/post sales project technical reviews and design assistance</t>
  </si>
  <si>
    <t>Custom project support</t>
  </si>
  <si>
    <t>Management of Emerging Products projects; Customized reviews; LCR/RFO support; Ex-ante review management; Technical policy support; Technical assessments; Workpapers; Tool development; End use subject matter expertise</t>
  </si>
  <si>
    <t>Deemed workpapers</t>
  </si>
  <si>
    <t>Project management</t>
  </si>
  <si>
    <t>Customer Application/Rebate and Incentive Processing</t>
  </si>
  <si>
    <t>Costs associated with application management and rebate and incentive processing (deemed and custom)</t>
  </si>
  <si>
    <t>Rebate &amp; Application Processing</t>
  </si>
  <si>
    <t>Inspections</t>
  </si>
  <si>
    <t>Costs associated with project inspections</t>
  </si>
  <si>
    <t>Portfolio Analytics</t>
  </si>
  <si>
    <t>Includes  analytics support, including internal performance reporting and external reporting</t>
  </si>
  <si>
    <t>Data analytics</t>
  </si>
  <si>
    <t>Data development for programs, products and services; Standard and ad hoc data extracts for internal and external clients ; Database management; CPUC, CAISO reporting; Data reconciliation; E3 support ; Compliance filing support; Funding Oversight; ESPI support; Program Results Data &amp; Performance</t>
  </si>
  <si>
    <t>EM&amp;V expenditures</t>
  </si>
  <si>
    <t>EM&amp;V Studies</t>
  </si>
  <si>
    <t>Program and product review; manage evaluation studies</t>
  </si>
  <si>
    <t>EM&amp;V Forecasting</t>
  </si>
  <si>
    <t>EE lead for LTPP and IEPR; market potential study; integration w/ procurement planning; CPUC Demand Analysis Working Group</t>
  </si>
  <si>
    <t>ME&amp;O</t>
  </si>
  <si>
    <t>Costs associated with utility EE marketing; no statewide; focus on outsourced portion</t>
  </si>
  <si>
    <t>Marketing</t>
  </si>
  <si>
    <t>Customer Programs, Products, and Services Marketing; Digital Product Development; Digital Content &amp; Optimization</t>
  </si>
  <si>
    <t>Customer insights</t>
  </si>
  <si>
    <t>Voice of the Customer; Customer satisfaction study measurement and  analysis (JD Power, SDS); Customer testing/research</t>
  </si>
  <si>
    <t>Account Management / Sales</t>
  </si>
  <si>
    <t>Costs associated with account rep energy efficiency sales functions</t>
  </si>
  <si>
    <t>Account Management</t>
  </si>
  <si>
    <t>IT</t>
  </si>
  <si>
    <t>IT project specific costs and regular O&amp;M</t>
  </si>
  <si>
    <t>IT - project specific</t>
  </si>
  <si>
    <t>Projects and minor enhancements.  Includes project management/business integration ("PMO/BID").  Excluded: maintenance (which SCE defines as when something goes down, normal batch processing, verifying interfaces, etc.).</t>
  </si>
  <si>
    <t>IT - regular O&amp;M</t>
  </si>
  <si>
    <t>Call Center</t>
  </si>
  <si>
    <t>Costs associated with call center staff fielding EE program questions</t>
  </si>
  <si>
    <t>Incentives</t>
  </si>
  <si>
    <t>Costs of rebate and incentive payments to customers</t>
  </si>
  <si>
    <t>No entry required. Review summary tables after completing workbook.</t>
  </si>
  <si>
    <t>Spending Budget Comparison [1]</t>
  </si>
  <si>
    <t>Tab 3.1 - PA Spending Budget Request (PA Program and EM&amp;V)</t>
  </si>
  <si>
    <t>Tab 4.1 &amp; 4.2 - PA Spending Budget Request (PA Program and EM&amp;V)</t>
  </si>
  <si>
    <t>Tab 7 - PA Spending Budget Request (PA Program and EM&amp;V)</t>
  </si>
  <si>
    <t>Tab 8 - PA Spending Budget Request (PA Program and EM&amp;V)</t>
  </si>
  <si>
    <t>Tab 9 - PA Spending Budget Request (PA Program and EM&amp;V)</t>
  </si>
  <si>
    <t>Difference</t>
  </si>
  <si>
    <t>Revenue Requirement or Cost Recovery Comparison</t>
  </si>
  <si>
    <t>Tab 3.1 - PA Revenue Requirement Request (Cost Recovery)</t>
  </si>
  <si>
    <t>Program Budget by Cost Category  [1]</t>
  </si>
  <si>
    <t>Admin</t>
  </si>
  <si>
    <t>Mktg</t>
  </si>
  <si>
    <t>DINI</t>
  </si>
  <si>
    <t>DI Incentive</t>
  </si>
  <si>
    <t>Tab 4.1 - Program Budgets</t>
  </si>
  <si>
    <t>Tab 8 - Caps &amp; Targets</t>
  </si>
  <si>
    <t>Tab 9 - Incentives Column, EE Total</t>
  </si>
  <si>
    <t>Portfolio Budget Total by Sector Summary Total [1]</t>
  </si>
  <si>
    <t>[2]</t>
  </si>
  <si>
    <t>[3]</t>
  </si>
  <si>
    <t>Tab 4.1 &amp; 4.2 - PA Portfolio Budget by Function</t>
  </si>
  <si>
    <t>Year</t>
  </si>
  <si>
    <t>Finance</t>
  </si>
  <si>
    <t>OBF Loan Pool</t>
  </si>
  <si>
    <t>[1] SDG&amp;E has revised the formulas on this tab where needed to improve accuracy.</t>
  </si>
  <si>
    <t xml:space="preserve">[2] Emerging Tech, Codes &amp; Standards, WE&amp;T, and Finance are classified as program categories (not sectors) on the "Read Me" tab. Therefore, the budget for these categories is embedded within the various sectors. </t>
  </si>
  <si>
    <t>[3] SDG&amp;E added a column for the Portfolio Support sector to ensure its total budget request is accurately reflected.</t>
  </si>
  <si>
    <t xml:space="preserve">Calculates estimated average first year bill savings for participating customers by calculated the electric and gas savings with the forecasted program energy savings. </t>
  </si>
  <si>
    <t>2024 data is required for baseline.</t>
  </si>
  <si>
    <t>Note: Due to fuel substitution, participant first year savings and associated annual bill savings be negative</t>
  </si>
  <si>
    <t>Program Year</t>
  </si>
  <si>
    <r>
      <t xml:space="preserve"> Participant First Year Electric Net Savings (kWh)</t>
    </r>
    <r>
      <rPr>
        <b/>
        <vertAlign val="superscript"/>
        <sz val="11"/>
        <rFont val="Calibri"/>
        <family val="2"/>
        <scheme val="minor"/>
      </rPr>
      <t>1</t>
    </r>
  </si>
  <si>
    <r>
      <t xml:space="preserve"> Participant First Year Gas Net Savings (Therms)</t>
    </r>
    <r>
      <rPr>
        <b/>
        <vertAlign val="superscript"/>
        <sz val="11"/>
        <rFont val="Calibri"/>
        <family val="2"/>
        <scheme val="minor"/>
      </rPr>
      <t>1</t>
    </r>
  </si>
  <si>
    <r>
      <t>Total Average Annual Bill Savings  Electric ($)</t>
    </r>
    <r>
      <rPr>
        <b/>
        <vertAlign val="superscript"/>
        <sz val="11"/>
        <color theme="1"/>
        <rFont val="Calibri"/>
        <family val="2"/>
        <scheme val="minor"/>
      </rPr>
      <t>2</t>
    </r>
  </si>
  <si>
    <r>
      <t>Total Average Annual Bill Savings  Gas ($)</t>
    </r>
    <r>
      <rPr>
        <b/>
        <vertAlign val="superscript"/>
        <sz val="11"/>
        <color theme="1"/>
        <rFont val="Calibri"/>
        <family val="2"/>
        <scheme val="minor"/>
      </rPr>
      <t>2</t>
    </r>
  </si>
  <si>
    <r>
      <t>Total Bill Savings</t>
    </r>
    <r>
      <rPr>
        <b/>
        <vertAlign val="superscript"/>
        <sz val="11"/>
        <color rgb="FF000000"/>
        <rFont val="Calibri"/>
        <family val="2"/>
        <scheme val="minor"/>
      </rPr>
      <t>3</t>
    </r>
  </si>
  <si>
    <t>Calculated $/kWh</t>
  </si>
  <si>
    <t>Calculated $/Therms</t>
  </si>
  <si>
    <t>Reference: 2024</t>
  </si>
  <si>
    <t>Total</t>
  </si>
  <si>
    <r>
      <rPr>
        <vertAlign val="superscript"/>
        <sz val="11"/>
        <color theme="1"/>
        <rFont val="Calibri"/>
        <family val="2"/>
        <scheme val="minor"/>
      </rPr>
      <t>1</t>
    </r>
    <r>
      <rPr>
        <sz val="11"/>
        <color theme="1"/>
        <rFont val="Calibri"/>
        <family val="2"/>
        <scheme val="minor"/>
      </rPr>
      <t xml:space="preserve"> For Reference Year 2024, Participant First year Electric and Gas Net Savings are based on CEDARs claim data reported from SDG&amp;E's 2024 Annual Report</t>
    </r>
  </si>
  <si>
    <r>
      <rPr>
        <vertAlign val="superscript"/>
        <sz val="11"/>
        <rFont val="Calibri"/>
        <family val="2"/>
        <scheme val="minor"/>
      </rPr>
      <t>2</t>
    </r>
    <r>
      <rPr>
        <sz val="11"/>
        <rFont val="Calibri"/>
        <family val="2"/>
        <scheme val="minor"/>
      </rPr>
      <t xml:space="preserve"> For Reference Year 2024, the Total Average Bill Savings for Electric and Gas customers are sourced from SDG&amp;E’s 2024 Annual Report Appendix A Data Tables, specifically Table T‑5: Bill Impacts. The Total Average Annual Bill Savings for Electric and Gas were derived from the Estimated First Year Bill Savings for each applicable commodity and customer sector. This approach was implemented because the 2024 CEDARS claim data did not include the necessary fields to calculate the total average annual bill savings.</t>
    </r>
  </si>
  <si>
    <r>
      <rPr>
        <vertAlign val="superscript"/>
        <sz val="11"/>
        <rFont val="Calibri"/>
        <family val="2"/>
        <scheme val="minor"/>
      </rPr>
      <t>3</t>
    </r>
    <r>
      <rPr>
        <sz val="11"/>
        <rFont val="Calibri"/>
        <family val="2"/>
        <scheme val="minor"/>
      </rPr>
      <t xml:space="preserve"> For Reference Year 2024, Bill Savings values reflect undiscounted annual bill savings and do not apply net present value (NPV) treatment to future years. By contrast, the CET values (2028–2031) discount savings over each measure’s effective useful life (EUL). Accordingly, programs with short EULs  track more closely to the actual bill savings, while programs with longer EULs exhibit larger differences.</t>
    </r>
  </si>
  <si>
    <r>
      <rPr>
        <sz val="11"/>
        <color rgb="FF000000"/>
        <rFont val="Calibri"/>
        <family val="2"/>
        <scheme val="minor"/>
      </rPr>
      <t xml:space="preserve">Presents the projected changes in electric and gas revenues, rates, and the energy efficiency portion of rates by customer class, illustrating the impact of proposed energy efficiency investments on utility bills.
</t>
    </r>
    <r>
      <rPr>
        <b/>
        <i/>
        <sz val="11"/>
        <color rgb="FF000000"/>
        <rFont val="Calibri"/>
        <family val="2"/>
        <scheme val="minor"/>
      </rPr>
      <t>(This Table applies only to the IOU PAs.)</t>
    </r>
  </si>
  <si>
    <t>Populate only the blue highlighted cells.  Review and complete the table accordingly.</t>
  </si>
  <si>
    <t>Net Present Value of Lifecycle RIM Electric Benefits / Weighted EUL</t>
  </si>
  <si>
    <t>Net Present Value of Lifecycle RIM Gas Benefits / Weighted EUL</t>
  </si>
  <si>
    <t>Net Present Value of Lifecycle RIM Electric Costs / Weighted EUL</t>
  </si>
  <si>
    <t>Net Present Value of Lifecycle RIM Gas Costs / Weighted EUL</t>
  </si>
  <si>
    <t>RIM Electric Benefits - RIM Electric Costs</t>
  </si>
  <si>
    <t>Use either IEPR reported or GRC forecasted sales (sector-specific).  Provide link to the referenced source.</t>
  </si>
  <si>
    <t>Net Electric RIM Benefits/2024 Baseline Energy Electric Sales</t>
  </si>
  <si>
    <t>Net Gas RIM Benefits/2024 Baseline Energy Gas Sales</t>
  </si>
  <si>
    <r>
      <t>Sector</t>
    </r>
    <r>
      <rPr>
        <b/>
        <vertAlign val="superscript"/>
        <sz val="11"/>
        <color rgb="FF000000"/>
        <rFont val="Calibri"/>
        <family val="2"/>
        <scheme val="minor"/>
      </rPr>
      <t>3,5</t>
    </r>
  </si>
  <si>
    <t>Annualized RIM Electric Benefits</t>
  </si>
  <si>
    <t>Annualized RIM Gas Benefits</t>
  </si>
  <si>
    <t>Annualized RIM Electric Costs</t>
  </si>
  <si>
    <t>AnnualizedRIM Gas Costs</t>
  </si>
  <si>
    <t>Net Annualized Electric RIM Benefits</t>
  </si>
  <si>
    <t>Net Annualized Gas RIM Benefits</t>
  </si>
  <si>
    <r>
      <t>Forecast 2024 Electric Sales (kWh)</t>
    </r>
    <r>
      <rPr>
        <b/>
        <vertAlign val="superscript"/>
        <sz val="11"/>
        <color rgb="FF000000"/>
        <rFont val="Calibri"/>
        <family val="2"/>
        <scheme val="minor"/>
      </rPr>
      <t>2</t>
    </r>
  </si>
  <si>
    <r>
      <t>Forecast 2024 Gas Sales (Therms)</t>
    </r>
    <r>
      <rPr>
        <b/>
        <vertAlign val="superscript"/>
        <sz val="11"/>
        <color rgb="FF000000"/>
        <rFont val="Calibri"/>
        <family val="2"/>
        <scheme val="minor"/>
      </rPr>
      <t>4,6</t>
    </r>
  </si>
  <si>
    <t>$/kWh Impacts</t>
  </si>
  <si>
    <t>$/Therm Impacts</t>
  </si>
  <si>
    <r>
      <t>Reference: 2024</t>
    </r>
    <r>
      <rPr>
        <vertAlign val="superscript"/>
        <sz val="11"/>
        <rFont val="Calibri"/>
        <family val="2"/>
        <scheme val="minor"/>
      </rPr>
      <t>1</t>
    </r>
  </si>
  <si>
    <t>Cross-Cutting</t>
  </si>
  <si>
    <r>
      <rPr>
        <vertAlign val="superscript"/>
        <sz val="11"/>
        <rFont val="Calibri"/>
        <family val="2"/>
        <scheme val="minor"/>
      </rPr>
      <t>1</t>
    </r>
    <r>
      <rPr>
        <sz val="11"/>
        <rFont val="Calibri"/>
        <family val="2"/>
        <scheme val="minor"/>
      </rPr>
      <t xml:space="preserve"> Due to inaccuracies identified in the RIM calculations for PY 2024 within the CET, SDG&amp;E recalculated the associated values in a new tab, "Rates Rev - 2024", to support the 2024 reference year calculations.</t>
    </r>
  </si>
  <si>
    <r>
      <rPr>
        <vertAlign val="superscript"/>
        <sz val="11"/>
        <rFont val="Calibri"/>
        <family val="2"/>
        <scheme val="minor"/>
      </rPr>
      <t>2</t>
    </r>
    <r>
      <rPr>
        <sz val="11"/>
        <rFont val="Calibri"/>
        <family val="2"/>
        <scheme val="minor"/>
      </rPr>
      <t>The 2024 Forecasted Electric Sales (kWh) were sourced from the California Energy Commission’s 2024 Integrated Energy Policy Report (IEPR), Docket 24‑IEPR‑03. Specifically, the values were taken from the file titled i24_Baseline_and_Managed_Sales_by_Sector_and_Zone_Planning_Library, using the Case Type: Planning Scenario and the Managed Sales data. SDG&amp;E converted the data into kWh for the SDG&amp;E service territory for the year 2024. The file can be found here: https://efiling.energy.ca.gov/GetDocument.aspx?tn=262772&amp;DocumentContentId=99384</t>
    </r>
  </si>
  <si>
    <r>
      <rPr>
        <vertAlign val="superscript"/>
        <sz val="11"/>
        <color theme="1"/>
        <rFont val="Calibri"/>
        <family val="2"/>
        <scheme val="minor"/>
      </rPr>
      <t>3</t>
    </r>
    <r>
      <rPr>
        <sz val="11"/>
        <color theme="1"/>
        <rFont val="Calibri"/>
        <family val="2"/>
        <scheme val="minor"/>
      </rPr>
      <t>The sectors identified for SDG&amp;E in the California Energy Commission’s 2024 IEPR, Docket 24‑IEPR‑03, include Agriculture; Commercial; Industrial Manufacturing; Industrial Mining and Construction; Residential; Street Lighting; and Transportation, Communications, and Utilities. For reporting purposes, SDG&amp;E consolidated the Industrial Manufacturing and Industrial Mining and Construction sectors into the Industrial sector. Street Lighting and Transportation, Communications, and Utilities are grouped under the Public sector. Sectors showing a value of zero reflect instances where no corresponding sector was applicable in the 2024 IEPR.</t>
    </r>
  </si>
  <si>
    <r>
      <rPr>
        <vertAlign val="superscript"/>
        <sz val="11"/>
        <rFont val="Calibri"/>
        <family val="2"/>
        <scheme val="minor"/>
      </rPr>
      <t>4</t>
    </r>
    <r>
      <rPr>
        <sz val="11"/>
        <rFont val="Calibri"/>
        <family val="2"/>
        <scheme val="minor"/>
      </rPr>
      <t>The 2024 Forecasted Gas Sales (therms) were derived from the 2024 California Gas Report. Specifically, values were converted into therms and obtained from Table 51, Annual Gas Supply and Requirements, MMcf/d, line items 9 through 17 under Requirements Forecast by End-Use for 2024. The source table is located on page 197 of the report found here: https://www.sdge.com/sites/default/files/regulatory/2024%20California%20Gas%20Report%20Final_0.pdf</t>
    </r>
  </si>
  <si>
    <r>
      <rPr>
        <vertAlign val="superscript"/>
        <sz val="11"/>
        <rFont val="Calibri"/>
        <family val="2"/>
        <scheme val="minor"/>
      </rPr>
      <t>5</t>
    </r>
    <r>
      <rPr>
        <sz val="11"/>
        <rFont val="Calibri"/>
        <family val="2"/>
        <scheme val="minor"/>
      </rPr>
      <t>The sectors identified for SDG&amp;E in the California Gas Report include Core Residential; Commercial; Industrial; Natural Gas Vehicle; and Noncore Commercial, Industrial, and Electric Generation. For reporting purposes, SDG&amp;E consolidated the Core Commercial, Natural Gas Vehicle, and Noncore Commercial sectors into the Commercial sector. The Core Industrial and Noncore Industrial sectors were combined into the Industrial sector. Electric Generation was classified under the Public sector. Sectors showing a value of zero reflect instances where no corresponding sector was applicable in the 2024 California Gas Report.</t>
    </r>
  </si>
  <si>
    <r>
      <rPr>
        <vertAlign val="superscript"/>
        <sz val="11"/>
        <rFont val="Calibri"/>
        <family val="2"/>
        <scheme val="minor"/>
      </rPr>
      <t>6</t>
    </r>
    <r>
      <rPr>
        <sz val="11"/>
        <rFont val="Calibri"/>
        <family val="2"/>
        <scheme val="minor"/>
      </rPr>
      <t>The Forecast 2024 Gas Sales (Therms) excludes the ‘Lost and Unaccounted For’ (LUAF) line item.</t>
    </r>
  </si>
  <si>
    <t>Provides a comprehensive overview of budget requests, funding sources, cost recovery mechanisms, and unspent funds for energy efficiency and demand response programs, categorized by funding type, source, and portfolio administrator.</t>
  </si>
  <si>
    <t>Populate only the blue highlighted cells.  The blue cells are for the forecasted electric and gas portfolio allocation percentage; PA fuel substitution spending budget request; ED portfolio oversight; EM&amp;V PA; and EM&amp;V - ED amounts by year.</t>
  </si>
  <si>
    <t>[1]</t>
  </si>
  <si>
    <t>Budget &amp; Cost Recovery Category</t>
  </si>
  <si>
    <t>Electric</t>
  </si>
  <si>
    <t>% Electric</t>
  </si>
  <si>
    <t>Gas</t>
  </si>
  <si>
    <t>% Gas</t>
  </si>
  <si>
    <t>PA Spending Budget Request (excluding fuel substitution budget)</t>
  </si>
  <si>
    <t>[2] [6]</t>
  </si>
  <si>
    <t>PA Fuel Substitution Spending Budget Request</t>
  </si>
  <si>
    <t>[3] [6]</t>
  </si>
  <si>
    <t>ED Portfolio Oversight Spending Budget Request</t>
  </si>
  <si>
    <t>[6]</t>
  </si>
  <si>
    <t>REN &amp; CCA Spending Budget Request</t>
  </si>
  <si>
    <t>PA (IOU+CCAs+RENs+ED Portfolio Oversight) Spending Budget Request</t>
  </si>
  <si>
    <t>ED Portfolio Oversight Revenue Requirement Request (Cost Recovery)</t>
  </si>
  <si>
    <t>REN &amp; CCA Revenue Requirement Request (Cost Recovery)</t>
  </si>
  <si>
    <t>Total Unspent/Uncommitted Funds</t>
  </si>
  <si>
    <t>[6] [7]</t>
  </si>
  <si>
    <t>EM&amp;V - PA</t>
  </si>
  <si>
    <t>[4] [6]</t>
  </si>
  <si>
    <t>EM&amp;V - ED</t>
  </si>
  <si>
    <t>PA (IOU+CCAs+RENs+ED Portfolio Oversight) Revenue Requirement Request (Cost Recovery)</t>
  </si>
  <si>
    <t> </t>
  </si>
  <si>
    <t>IDSM-Demand Response Funding</t>
  </si>
  <si>
    <t>[5]</t>
  </si>
  <si>
    <t>Total Demand Response Funding</t>
  </si>
  <si>
    <t>Notes:</t>
  </si>
  <si>
    <t>[1] SDG&amp;E has revised the formulas and cell styles on this tab where needed to improve accuracy.</t>
  </si>
  <si>
    <t>[2] Spending Budget Request includes PA and ED EM&amp;V costs.</t>
  </si>
  <si>
    <t>[3] SDG&amp;E’s standard practice is to use representative measures in forecast years when it is not under contract, in order to avoid influencing the bidder community. As a result, SDG&amp;E is not specifying a fuel substitution budget in this application, as doing so would not yield accurate projections. SDG&amp;E will provide updated electric and gas budget splits for this program cycle that incorporate fuel substitution measures and their associated program costs in its forthcoming True-Up Advice Letter and Mid‑Cycle Advice Letter filings to ensure proper cost recovery pursuant to Decision 19‑08‑009, Ordering Paragraph 5.</t>
  </si>
  <si>
    <t xml:space="preserve">[4] EM&amp;V costs only includes IOU's total EM&amp;V budget (PA + ED) and does not include REN or CCAs EM&amp;V budget. </t>
  </si>
  <si>
    <t>[5]  SDG&amp;E added rows to request funding for IDSM-Demand Response activities emanating from D.18-05-041. This budget is collected separately from, and in addition to, EE budgets. Consistent with prior practice, funding for SDG&amp;E’s third-party IDSM-DR activities wil be managed through the Advanced Metering and Demand Response Memorandum Account (AMDRMA), separate from the EE Portfolio budget request in this filing.</t>
  </si>
  <si>
    <t>[6] SDG&amp;E’s standard practice is to use representative measures in forecast years when it is not under contract, in order to avoid influencing the bidder community. As a result, the electric and gas budget splits would not yield an accurate projection. Therefore, SDG&amp;E is using the average electric and gas budget spilts from Program Years 2026–2027, as approved in the Mid-Cycle Advice Letter (AL 4747-E/3469-G). SDG&amp;E will provide updated electric and gas budget splits for the 2028-2031 program cycle that incorporate fuel substitution measures and their associated program costs in its subsequent True-Up Advice Letter and Mid‑Cycle Advice Letter filings to ensure proper cost recovery pursuant to Decision 19‑08‑009, Ordering Paragraph 5.</t>
  </si>
  <si>
    <t>[7] Unspent funds from program years 2024 &amp; 2025 will be carried forward and made available for use during program years 2026 through 2027, within the current funding cycle.</t>
  </si>
  <si>
    <t>Table for documenting the source of all funds for the CCAs and RENs.</t>
  </si>
  <si>
    <t>CCAs and RENs to populate the funds received by IOU for their respective portfolio. For Electric, they are the Electric Energy Efficiency Funds and for Gas, they are the Natural Gas Public Purpose Funds.</t>
  </si>
  <si>
    <t>8 Year Funding Sources - RENs/CCAs</t>
  </si>
  <si>
    <t>SD REN</t>
  </si>
  <si>
    <t>SCG</t>
  </si>
  <si>
    <t>Electric $</t>
  </si>
  <si>
    <t>Gas  $</t>
  </si>
  <si>
    <t>Total Proposed Budget $</t>
  </si>
  <si>
    <t>Notes: SD REN budget amounts are linked to worksheet 3.1 Funding Category.</t>
  </si>
  <si>
    <t>Program-level budget requests and cost and savings components for your energy efficiency programs.</t>
  </si>
  <si>
    <t>Review and complete the table accordingly. Can use the Budget Filing Data to fill in the tab by using SumIfs based on the data pulled from the Program Card tab (columns marked accordingly).</t>
  </si>
  <si>
    <t>(report budgets to the $--do not round)</t>
  </si>
  <si>
    <t>Table 4 – Program Budget and Savings Details, 2028-2031</t>
  </si>
  <si>
    <t>Check to make sure that the formulas in the subtotal include the added rows.</t>
  </si>
  <si>
    <t xml:space="preserve">SCT-Base </t>
  </si>
  <si>
    <t xml:space="preserve">SCT-High </t>
  </si>
  <si>
    <t>Program ID</t>
  </si>
  <si>
    <t>Program Name</t>
  </si>
  <si>
    <r>
      <t>Changing Status or Budget Reason</t>
    </r>
    <r>
      <rPr>
        <b/>
        <vertAlign val="superscript"/>
        <sz val="10"/>
        <rFont val="Calibri"/>
        <family val="2"/>
        <scheme val="minor"/>
      </rPr>
      <t>1,2</t>
    </r>
    <r>
      <rPr>
        <b/>
        <sz val="10"/>
        <rFont val="Calibri"/>
        <family val="2"/>
        <scheme val="minor"/>
      </rPr>
      <t xml:space="preserve">
</t>
    </r>
    <r>
      <rPr>
        <i/>
        <sz val="10"/>
        <rFont val="Calibri"/>
        <family val="2"/>
        <scheme val="minor"/>
      </rPr>
      <t>Select from look up table</t>
    </r>
  </si>
  <si>
    <r>
      <t xml:space="preserve">Justification for Program Change
</t>
    </r>
    <r>
      <rPr>
        <i/>
        <sz val="10"/>
        <rFont val="Calibri"/>
        <family val="2"/>
        <scheme val="minor"/>
      </rPr>
      <t>If programs are to be closed, specify reason (this can include underperformance of TSB and/or TRC)</t>
    </r>
  </si>
  <si>
    <r>
      <t xml:space="preserve">Program Implementer
</t>
    </r>
    <r>
      <rPr>
        <i/>
        <sz val="10"/>
        <rFont val="Calibri"/>
        <family val="2"/>
        <scheme val="minor"/>
      </rPr>
      <t>"_PA portion" of Statewide programs must be marked as "Core PA" rather than "Statewide"</t>
    </r>
  </si>
  <si>
    <t>Statewide</t>
  </si>
  <si>
    <r>
      <t>Target Exempt</t>
    </r>
    <r>
      <rPr>
        <b/>
        <vertAlign val="superscript"/>
        <sz val="10"/>
        <rFont val="Calibri"/>
        <family val="2"/>
        <scheme val="minor"/>
      </rPr>
      <t>3</t>
    </r>
    <r>
      <rPr>
        <b/>
        <sz val="10"/>
        <rFont val="Calibri"/>
        <family val="2"/>
        <scheme val="minor"/>
      </rPr>
      <t xml:space="preserve">
</t>
    </r>
    <r>
      <rPr>
        <i/>
        <sz val="10"/>
        <rFont val="Calibri"/>
        <family val="2"/>
        <scheme val="minor"/>
      </rPr>
      <t>Select from look up table</t>
    </r>
  </si>
  <si>
    <r>
      <t>Primary Sector</t>
    </r>
    <r>
      <rPr>
        <b/>
        <vertAlign val="superscript"/>
        <sz val="10"/>
        <rFont val="Calibri"/>
        <family val="2"/>
        <scheme val="minor"/>
      </rPr>
      <t>4</t>
    </r>
  </si>
  <si>
    <r>
      <t xml:space="preserve">Year
</t>
    </r>
    <r>
      <rPr>
        <i/>
        <sz val="10"/>
        <rFont val="Calibri"/>
        <family val="2"/>
        <scheme val="minor"/>
      </rPr>
      <t>Must complete for all four years</t>
    </r>
  </si>
  <si>
    <r>
      <t xml:space="preserve">PA Spending Budget Request
</t>
    </r>
    <r>
      <rPr>
        <i/>
        <sz val="10"/>
        <rFont val="Calibri"/>
        <family val="2"/>
        <scheme val="minor"/>
      </rPr>
      <t>Sum of (admin, M&amp;O, DI Non-incentives, incentives)</t>
    </r>
  </si>
  <si>
    <r>
      <t>Administrative</t>
    </r>
    <r>
      <rPr>
        <b/>
        <vertAlign val="superscript"/>
        <sz val="10"/>
        <rFont val="Calibri"/>
        <family val="2"/>
        <scheme val="minor"/>
      </rPr>
      <t>5</t>
    </r>
  </si>
  <si>
    <r>
      <t>Marketing/ Outreach</t>
    </r>
    <r>
      <rPr>
        <b/>
        <vertAlign val="superscript"/>
        <sz val="10"/>
        <rFont val="Calibri"/>
        <family val="2"/>
        <scheme val="minor"/>
      </rPr>
      <t>5</t>
    </r>
  </si>
  <si>
    <r>
      <t>Direct Implementation Non-Incentive</t>
    </r>
    <r>
      <rPr>
        <b/>
        <vertAlign val="superscript"/>
        <sz val="10"/>
        <rFont val="Calibri"/>
        <family val="2"/>
        <scheme val="minor"/>
      </rPr>
      <t xml:space="preserve">5 </t>
    </r>
  </si>
  <si>
    <t>Incentive/ Rebate</t>
  </si>
  <si>
    <t>Net TSB</t>
  </si>
  <si>
    <t>TRC</t>
  </si>
  <si>
    <t>PAC</t>
  </si>
  <si>
    <t>RIM</t>
  </si>
  <si>
    <t>SCB</t>
  </si>
  <si>
    <t>SCH</t>
  </si>
  <si>
    <t>First Year Net KWH</t>
  </si>
  <si>
    <t>First Year Net KW</t>
  </si>
  <si>
    <t xml:space="preserve">First Year Net Therms </t>
  </si>
  <si>
    <t>First Year Net Electric CO2e</t>
  </si>
  <si>
    <t>First Year Net Gas CO2e</t>
  </si>
  <si>
    <t>Lifecycle Net KWH</t>
  </si>
  <si>
    <t xml:space="preserve">Lifecycle Net Therms </t>
  </si>
  <si>
    <t>Lifecycle Net Electric CO2e</t>
  </si>
  <si>
    <t>Lifecycle Net Gas CO2e</t>
  </si>
  <si>
    <r>
      <t>Lifecycle Net CO2e from low-GWP Measures*</t>
    </r>
    <r>
      <rPr>
        <b/>
        <vertAlign val="superscript"/>
        <sz val="10"/>
        <color rgb="FF0070C0"/>
        <rFont val="Calibri"/>
        <family val="2"/>
        <scheme val="minor"/>
      </rPr>
      <t>6</t>
    </r>
    <r>
      <rPr>
        <b/>
        <sz val="10"/>
        <color rgb="FF0070C0"/>
        <rFont val="Calibri"/>
        <family val="2"/>
        <scheme val="minor"/>
      </rPr>
      <t xml:space="preserve">
</t>
    </r>
    <r>
      <rPr>
        <i/>
        <sz val="10"/>
        <color rgb="FF0070C0"/>
        <rFont val="Calibri"/>
        <family val="2"/>
        <scheme val="minor"/>
      </rPr>
      <t xml:space="preserve">*If the refrigerant is positive and not new construction, then assume it is low GWP emissions to be reported in this column  </t>
    </r>
  </si>
  <si>
    <t>Program forecasts were updated to incorporate recent performance data and current trends, while ensuring alignment with portfolio regulatory requirements.</t>
  </si>
  <si>
    <t>The budget reduction is due to an anticipated decrease in solicitations.</t>
  </si>
  <si>
    <t>Program forecasts were updated to incorporate recent performance data and current trends, while ensuring alignment with portfolio regulatory requirements. For Resource Acquisition Programs, forecasts were also updated to incorporate revised TSB targets from the 2025 Potential &amp; Goals Study as well as measure package updates.</t>
  </si>
  <si>
    <t>The budget increase reflects the program’s expansion from the industrial sector to the broader non‑residential sector.</t>
  </si>
  <si>
    <t>Refer to the Lead PA's application filing for justification.</t>
  </si>
  <si>
    <t xml:space="preserve">Program forecasts were updated to align with SDG&amp;E's portfolio strategy, while ensuring alignment with portfolio regulatory requirements. </t>
  </si>
  <si>
    <t>Program forecasts were updated to incorporate recent performance data and current trends, while ensuring alignment with portfolio regulatory requirements. Due to program closures, administrative costs are now spread across fewer programs.</t>
  </si>
  <si>
    <t>Due to program closures within the Equity segment, the budget has been reduced.</t>
  </si>
  <si>
    <t>Due to program closures within the Market Support segment, the budget has been reduced.</t>
  </si>
  <si>
    <t>The Mid‑Cycle Advice Letter included forecasts for only three years. The proposed budget increase reflects an updated forecast covering four years. Additionally, program forecasts were updated to incorporate recent performance data and current trends, while ensuring alignment with portfolio regulatory requirements. Due to program closures, administrative costs are now spread across fewer programs.</t>
  </si>
  <si>
    <t xml:space="preserve">The Mid‑Cycle Advice Letter included forecasts for only two years. The proposed budget increase reflects an updated forecast covering four years. For additional justification, refer to the Lead PA's application filing. </t>
  </si>
  <si>
    <t>The Mid‑Cycle Advice Letter included forecasts for only two years. The proposed budget increase reflects an updated forecast covering four years. Additionally, program forecasts were updated to incorporate recent performance data and current trends, while ensuring alignment with portfolio regulatory requirements. Due to program closures, administrative costs are now spread across fewer programs.</t>
  </si>
  <si>
    <t>In 2025, SDG&amp;E established a new non‑resource program to track costs incurred for coordination activities across Program Administrators. This program was not included in the previously submitted Mid‑Cycle Advice Letter and is therefore being recorded herein.</t>
  </si>
  <si>
    <t>PA Program Total</t>
  </si>
  <si>
    <r>
      <rPr>
        <vertAlign val="superscript"/>
        <sz val="10"/>
        <rFont val="Calibri"/>
        <family val="2"/>
        <scheme val="minor"/>
      </rPr>
      <t xml:space="preserve">1 </t>
    </r>
    <r>
      <rPr>
        <sz val="10"/>
        <rFont val="Calibri"/>
        <family val="2"/>
        <scheme val="minor"/>
      </rPr>
      <t>The % Budget Change was derived by comparing the aggregated 2028–2031 budgets submitted in this filing with the corresponding 2024–2027 aggregated program budgets detailed in Appendix 1 2024–2027 Program Portfolio Budget and Targets of the Mid‑Cycle Advice Letter (AL 3250‑E/2688‑G).</t>
    </r>
  </si>
  <si>
    <r>
      <rPr>
        <vertAlign val="superscript"/>
        <sz val="10"/>
        <rFont val="Calibri"/>
        <family val="2"/>
        <scheme val="minor"/>
      </rPr>
      <t>2</t>
    </r>
    <r>
      <rPr>
        <sz val="10"/>
        <rFont val="Calibri"/>
        <family val="2"/>
        <scheme val="minor"/>
      </rPr>
      <t xml:space="preserve"> The change in program status is consistent across all four years. In addition, the budget change is based on a four‑year calculation. As a result, both the status change and the budget rationale remain the same across all years.</t>
    </r>
  </si>
  <si>
    <r>
      <rPr>
        <vertAlign val="superscript"/>
        <sz val="10"/>
        <rFont val="Calibri"/>
        <family val="2"/>
        <scheme val="minor"/>
      </rPr>
      <t>3</t>
    </r>
    <r>
      <rPr>
        <sz val="10"/>
        <rFont val="Calibri"/>
        <family val="2"/>
        <scheme val="minor"/>
      </rPr>
      <t xml:space="preserve"> Budget for Portfolio Support programs is allocated based on each segment’s share of the SDG&amp;E portfolio. Although coded as non‑resource in CEDARS (and marked “No” in the target‑exempt column), these budgets support both target‑exempt and non‑target‑exempt programs. Formulas on Tab 8 have been updated to reflect the correct allocation between the two.</t>
    </r>
  </si>
  <si>
    <r>
      <rPr>
        <vertAlign val="superscript"/>
        <sz val="10"/>
        <rFont val="Calibri"/>
        <family val="2"/>
        <scheme val="minor"/>
      </rPr>
      <t>4</t>
    </r>
    <r>
      <rPr>
        <sz val="10"/>
        <rFont val="Calibri"/>
        <family val="2"/>
        <scheme val="minor"/>
      </rPr>
      <t xml:space="preserve"> SDGE4006 is forecasted to be primarily Industrial. However, as indicated in column F, SDG&amp;E does plan to expand the program to serve the broader non‑residential sector. The record‑level forecast data does delineate between sectors. </t>
    </r>
  </si>
  <si>
    <r>
      <rPr>
        <vertAlign val="superscript"/>
        <sz val="10"/>
        <rFont val="Calibri"/>
        <family val="2"/>
        <scheme val="minor"/>
      </rPr>
      <t>5</t>
    </r>
    <r>
      <rPr>
        <sz val="10"/>
        <rFont val="Calibri"/>
        <family val="2"/>
        <scheme val="minor"/>
      </rPr>
      <t xml:space="preserve"> 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</si>
  <si>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r>
      <rPr>
        <vertAlign val="superscript"/>
        <sz val="10"/>
        <rFont val="Calibri"/>
        <family val="2"/>
        <scheme val="minor"/>
      </rPr>
      <t>6</t>
    </r>
    <r>
      <rPr>
        <sz val="10"/>
        <rFont val="Calibri"/>
        <family val="2"/>
        <scheme val="minor"/>
      </rPr>
      <t xml:space="preserve"> This column reports the sum of the Lifecycle Net Electric CO2e and Lifecycle Net Gas CO2e when the refrigerant is positive and the measure is not new construction, per ED guidance.</t>
    </r>
  </si>
  <si>
    <t>Presents detailed budget requests, energy savings, emissions impacts, and lifecycle metrics by sector and program segment, supporting portfolio planning and evaluation across multiple program types.</t>
  </si>
  <si>
    <t>Review and complete the table accordingly. Report to the nearest $ and do not round.</t>
  </si>
  <si>
    <t>Table 4 – Budget and Savings Forecast</t>
  </si>
  <si>
    <t>Sector Name</t>
  </si>
  <si>
    <t>PA Spending Budget Request</t>
  </si>
  <si>
    <t>First Year Net Therms (MM)</t>
  </si>
  <si>
    <t>Lifecycle Net Therms (MM)</t>
  </si>
  <si>
    <t>Lifecycle Net CO2e from low-GWP Measures</t>
  </si>
  <si>
    <t>Codes and Standards</t>
  </si>
  <si>
    <t>[1] SDG&amp;E updated the sector name for the Codes &amp; Standards segment to “Cross Cutting” to align with the sector names listed in the "Read Me" tab and to match the terminology used for years 2028–2031 in tab 4.1.</t>
  </si>
  <si>
    <t>[2] SDG&amp;E added Portfolio Support rows for the Codes &amp; Standards program segment to match the structure used for years 2028–2031 in tab 4.1.</t>
  </si>
  <si>
    <t>Tables comparing business plan application forecasts to goals from R.25-04-010 in D.25-08-034</t>
  </si>
  <si>
    <t>1. Review CPUC Goals:
- Refer to the final CPUC decision to extract the official TSB Goals and Energy Savings Goals for each year from 2028 to 2035.
- Focus on Tables 2–8 for relevant targets.
2. Populate Forecast Data:
For each year (2028–2035), enter forecast values for:
- Total System Benefit for incentive programs (i.e. all non-codes and standards)
- Electric Energy Savings (MWh) for codes and standards
- Peak Demand Savings (MW) for codes and standards
- Gas Energy Savings (MMTherms) for codes and standards
3. Enter Goal Data:
- Input the corresponding goal values for each metric based on the CPUC decision.
4. Calculate Percent of Goal:
- For each metric, calculate the percentage of the goal achieved using the formula:
Percent of Goal=(Forecast | Goal)×100
- These percentages should be calculated for each year and summarized for the 4-year and 8-year totals.
5. Summarize Totals:
- Complete the Total (4 years) rows for 2028–2031 and 2032–2035.
- Complete the Cumulative (8 years) row for 2028–2035.
6. Validation:
-Ensure all data entries are consistent with CPUC definitions and units.
-Double-check calculations for accuracy.</t>
  </si>
  <si>
    <t>Notes: EE Potential and Goals Decision: https://docs.cpuc.ca.gov/PublishedDocs/Published/G000/M579/K006/579006275.PDF --- Tables 1-8 for the TSB goals and Codes &amp; Standards Energy goals</t>
  </si>
  <si>
    <t>Incentive Programs</t>
  </si>
  <si>
    <t>Total System Benefit Forecast</t>
  </si>
  <si>
    <t>Total System Benefit Goals</t>
  </si>
  <si>
    <t>Percent of TSB Goal</t>
  </si>
  <si>
    <r>
      <t>Electric Energy Savings GWh Forecast</t>
    </r>
    <r>
      <rPr>
        <b/>
        <vertAlign val="superscript"/>
        <sz val="10"/>
        <rFont val="Calibri"/>
        <family val="2"/>
        <scheme val="minor"/>
      </rPr>
      <t>1</t>
    </r>
  </si>
  <si>
    <t>Peak Demand Savings MW Forecast</t>
  </si>
  <si>
    <t>Gas Energy Savings MMTherms Forecast</t>
  </si>
  <si>
    <r>
      <t>Electric Energy Savings GWh Goal</t>
    </r>
    <r>
      <rPr>
        <b/>
        <vertAlign val="superscript"/>
        <sz val="10"/>
        <rFont val="Calibri"/>
        <family val="2"/>
        <scheme val="minor"/>
      </rPr>
      <t>1</t>
    </r>
  </si>
  <si>
    <t>Peak Demand Savings MW Goal</t>
  </si>
  <si>
    <t>Gas Energy Savings MMTherms Goal</t>
  </si>
  <si>
    <r>
      <t>GWh Percent of Goal</t>
    </r>
    <r>
      <rPr>
        <b/>
        <vertAlign val="superscript"/>
        <sz val="10"/>
        <rFont val="Calibri"/>
        <family val="2"/>
        <scheme val="minor"/>
      </rPr>
      <t>1</t>
    </r>
  </si>
  <si>
    <t>MW Percent of Goal</t>
  </si>
  <si>
    <t>MMTherms Percent of Goal</t>
  </si>
  <si>
    <t>Total (4 years)</t>
  </si>
  <si>
    <t>Cumulative (8 years)</t>
  </si>
  <si>
    <t xml:space="preserve">[1] SDG&amp;E provided electric energy savings in GWh versus MWh to align with the goal provided in D.25-08-034 and referenced in Table 1-8 below. </t>
  </si>
  <si>
    <t>Extracts from Tables 1-8</t>
  </si>
  <si>
    <t>IOU</t>
  </si>
  <si>
    <t>TSB</t>
  </si>
  <si>
    <t>GWh</t>
  </si>
  <si>
    <t>MW</t>
  </si>
  <si>
    <t>MMTherms</t>
  </si>
  <si>
    <t>Provides budget filing data to support analysis at the discretion of PAs. The current dataset reflects information available in CEDARS and should be refreshed with each business plan application cycle to ensure accuracy and relevance.</t>
  </si>
  <si>
    <r>
      <t>1. Navigate to the https://cedars.cpuc.ca.gov/.
2. Go to Data &gt; Record-level.
3. Click on the latest true-up budget filing data.
4. Group data by columns Year, PA, Program ID, Program Name, Program Group, Primary Sector, Statewide Program, Program Category, Program Implementer, Filing Year Quarter, Program Segment, and Program Status.
5. Collect the numeric columns N - AP and group data by the above columns.
6. Paste data below the orange line.</t>
    </r>
    <r>
      <rPr>
        <b/>
        <sz val="11"/>
        <color theme="1"/>
        <rFont val="Calibri"/>
        <family val="2"/>
        <scheme val="minor"/>
      </rPr>
      <t xml:space="preserve">
7. Note column AQ requires data entry.</t>
    </r>
    <r>
      <rPr>
        <sz val="11"/>
        <color theme="1"/>
        <rFont val="Calibri"/>
        <family val="2"/>
        <scheme val="minor"/>
      </rPr>
      <t xml:space="preserve"> The value is the "PAC Cost % Electric," which is to electric and gas splits for the cost recovery amounts attributed to electric and gas portions. PG&amp;E used 59% for the 2024 TUAL; use 100% and 0% for SCE and SoCalGas respectively. Same splits are used for the respective CCAs and RENs as to the IOUs (unless they span more than one IOU).</t>
    </r>
  </si>
  <si>
    <t>Note: Calculations presented in this appendix may vary slightly from values shown in CEDARS due to rounding resulting from differences in how SDG&amp;E and the CEDARS database handle the data. Additionally, Commission staff issued an updated appendix template on March 2, 2026. SDG&amp;E has reviewed the revised appendix and incorporated changes where feasible. Due to the limited timeframe, not all new fields were added; however, each was evaluated, and SDG&amp;E has confirmed that the information requested in the new fields is either already addressed elsewhere in the filing or is not applicable to SDG&amp;E.</t>
  </si>
  <si>
    <t>Field Type</t>
  </si>
  <si>
    <t>Group by columns</t>
  </si>
  <si>
    <t>Numeric columns</t>
  </si>
  <si>
    <t>Calculated Values</t>
  </si>
  <si>
    <t>Source</t>
  </si>
  <si>
    <t>Budget Filing (business plan, MCAL, or TUAL)</t>
  </si>
  <si>
    <t>Cost Effectiveness Tool (CET)</t>
  </si>
  <si>
    <t>Data Entered</t>
  </si>
  <si>
    <t>Calculated</t>
  </si>
  <si>
    <r>
      <t>Source Field name i</t>
    </r>
    <r>
      <rPr>
        <i/>
        <sz val="8"/>
        <color theme="0" tint="-0.34998626667073579"/>
        <rFont val="Calibri"/>
        <family val="2"/>
        <scheme val="minor"/>
      </rPr>
      <t>f Different than Field Name</t>
    </r>
  </si>
  <si>
    <t>AdminCostsOverheadAndGA + AdminCostsOther</t>
  </si>
  <si>
    <t>MarketingOutreach</t>
  </si>
  <si>
    <t>DIActivity+DIInstallation+DIHardwareAndMaterials+DIRebateAndInspection</t>
  </si>
  <si>
    <t>UserInputIncentive</t>
  </si>
  <si>
    <t>BillReducElec</t>
  </si>
  <si>
    <t>BillREducGas</t>
  </si>
  <si>
    <t>BillIncrElec</t>
  </si>
  <si>
    <t>BillIncrGas</t>
  </si>
  <si>
    <t>WaterEnergyBen</t>
  </si>
  <si>
    <t>[(Lifecycle Net Electric Bill Reductions)-(Lifecycle Net Electric Bill Increases)]/Weighted EUL</t>
  </si>
  <si>
    <t>[(Lifecycle Net Gas Bill Reductions)-(Lifecycle Net Gas Bill Increases)]/Weighted EUL</t>
  </si>
  <si>
    <t>[Electric Benefits]+[Water Energy Benefits]+[Lifecycle Electric Bill Increases]+[PAC Cost % Electric]*[Other Benefits]</t>
  </si>
  <si>
    <t>[Gas Benefits]+[Lifecycle Gas Bill Increases]+(1-[PAC Cost % Electric])*[Other Benefits]</t>
  </si>
  <si>
    <t>(Electric PAC Cost) * PAC Cost % Electric + (Lifecycle Net Electric Bill Reductions)</t>
  </si>
  <si>
    <t>(Gas PAC Cost) *(1-PAC Cost % Electric) + (Lifecycle Net Gas Bill Reductions)</t>
  </si>
  <si>
    <t>[Lifecycle Net Therm]* 99976.1 +[Lifecycle Net kWh] *3412.14)/([First Year Net Therm]*99976.1+[First Year Net kWh]*3412.14)</t>
  </si>
  <si>
    <t>Example</t>
  </si>
  <si>
    <t>2024</t>
  </si>
  <si>
    <t>BAY</t>
  </si>
  <si>
    <t>BAYREN02</t>
  </si>
  <si>
    <t>Multi Family</t>
  </si>
  <si>
    <t>Energy Upgrade California</t>
  </si>
  <si>
    <t>Plug Load and Appliances</t>
  </si>
  <si>
    <t xml:space="preserve"> 2024Q4</t>
  </si>
  <si>
    <t>Active</t>
  </si>
  <si>
    <t>-118,071</t>
  </si>
  <si>
    <t>87.037</t>
  </si>
  <si>
    <t>200,240</t>
  </si>
  <si>
    <t>-288.820</t>
  </si>
  <si>
    <t>60.926</t>
  </si>
  <si>
    <t>Field Name</t>
  </si>
  <si>
    <t>Program Group</t>
  </si>
  <si>
    <t>Primary Sector</t>
  </si>
  <si>
    <t>Statewide Program</t>
  </si>
  <si>
    <t>Filing Year Quarter</t>
  </si>
  <si>
    <t>Program Status</t>
  </si>
  <si>
    <t>First Year Gross kWh</t>
  </si>
  <si>
    <t>First Year Gross kW</t>
  </si>
  <si>
    <t>First Year Gross Therm</t>
  </si>
  <si>
    <t>First Year Net kWh</t>
  </si>
  <si>
    <t>First Year Net kW</t>
  </si>
  <si>
    <t>First Year Net Therm</t>
  </si>
  <si>
    <t>Lifecycle Net kWh</t>
  </si>
  <si>
    <t>Lifecycle Net Therm</t>
  </si>
  <si>
    <t>Lifecycle Net Elec CO2</t>
  </si>
  <si>
    <t>Lifecycle Net Gas CO2</t>
  </si>
  <si>
    <t>Total System Benefit</t>
  </si>
  <si>
    <t>Total System Benefit Gross</t>
  </si>
  <si>
    <t>Budget</t>
  </si>
  <si>
    <t>TRC Cost</t>
  </si>
  <si>
    <t>PAC Cost</t>
  </si>
  <si>
    <t>SCBCost</t>
  </si>
  <si>
    <t>SCHCost</t>
  </si>
  <si>
    <t>RIMCost</t>
  </si>
  <si>
    <t>Electric Benefits</t>
  </si>
  <si>
    <t>Gas Benefits</t>
  </si>
  <si>
    <t>Other Benefits</t>
  </si>
  <si>
    <t>ElecBen SB</t>
  </si>
  <si>
    <t>GasBen SB</t>
  </si>
  <si>
    <t>WaterEnergyBen SB</t>
  </si>
  <si>
    <t>ElecBen SH</t>
  </si>
  <si>
    <t>GasBen SH</t>
  </si>
  <si>
    <t>WaterEnergyBen SH</t>
  </si>
  <si>
    <t>First Year Net Elec CO2</t>
  </si>
  <si>
    <t>First Year Net Gas CO2</t>
  </si>
  <si>
    <r>
      <t>Administrative</t>
    </r>
    <r>
      <rPr>
        <b/>
        <vertAlign val="superscript"/>
        <sz val="11"/>
        <color theme="0"/>
        <rFont val="Calibri"/>
        <family val="2"/>
        <scheme val="minor"/>
      </rPr>
      <t>1</t>
    </r>
  </si>
  <si>
    <r>
      <t>Marketing/ Outreach</t>
    </r>
    <r>
      <rPr>
        <b/>
        <vertAlign val="superscript"/>
        <sz val="11"/>
        <color theme="0"/>
        <rFont val="Calibri"/>
        <family val="2"/>
        <scheme val="minor"/>
      </rPr>
      <t>1</t>
    </r>
  </si>
  <si>
    <r>
      <t>Direct Implementation Non-Incentive</t>
    </r>
    <r>
      <rPr>
        <b/>
        <vertAlign val="superscript"/>
        <sz val="11"/>
        <color theme="0"/>
        <rFont val="Calibri"/>
        <family val="2"/>
        <scheme val="minor"/>
      </rPr>
      <t>1</t>
    </r>
  </si>
  <si>
    <t>Lifecycle Net Electric Bill Reductions</t>
  </si>
  <si>
    <t>Lifecycle Net Gas Bill Reductions</t>
  </si>
  <si>
    <t>Lifecycle Net Electric Bill Increases</t>
  </si>
  <si>
    <t>Lifecycle Net Gas Bill Increases</t>
  </si>
  <si>
    <t>Water-Energy Benefits</t>
  </si>
  <si>
    <r>
      <t>PAC Cost % Electric</t>
    </r>
    <r>
      <rPr>
        <b/>
        <vertAlign val="superscript"/>
        <sz val="10"/>
        <rFont val="Calibri"/>
        <family val="2"/>
        <scheme val="minor"/>
      </rPr>
      <t>2</t>
    </r>
  </si>
  <si>
    <t>Average Annual Electric Bill Savings</t>
  </si>
  <si>
    <t>Average Annual Gas Bill Savings</t>
  </si>
  <si>
    <t>RIM Benefit Electric</t>
  </si>
  <si>
    <t>RIM Benefit Gas</t>
  </si>
  <si>
    <t>RIM Cost Electric</t>
  </si>
  <si>
    <t>RIM Cost Gas</t>
  </si>
  <si>
    <t>Weighted EUL</t>
  </si>
  <si>
    <t>AnnualizedRIM Gas Benefits</t>
  </si>
  <si>
    <t>SDGE3251</t>
  </si>
  <si>
    <t>SW C&amp;S - Compliance Enhancement</t>
  </si>
  <si>
    <t>SDGE3252</t>
  </si>
  <si>
    <t>SW C&amp;S - Reach Codes</t>
  </si>
  <si>
    <t>SDGE3253</t>
  </si>
  <si>
    <t>SW C&amp;S - Planning Coordination</t>
  </si>
  <si>
    <t>SDGE3262</t>
  </si>
  <si>
    <t>SW-FIN-On-Bill Finance</t>
  </si>
  <si>
    <t>None</t>
  </si>
  <si>
    <t>SDGE3280</t>
  </si>
  <si>
    <t>3P-IDEEA</t>
  </si>
  <si>
    <t>Market Education Outreach</t>
  </si>
  <si>
    <t>Non-Program</t>
  </si>
  <si>
    <t>SDGE3281</t>
  </si>
  <si>
    <t>EM&amp;V-Evaluation Measurement &amp; Verification</t>
  </si>
  <si>
    <t>Evaluation Measurement and Verification</t>
  </si>
  <si>
    <t>Evaluation, Measurement, and Verification</t>
  </si>
  <si>
    <t>SDGE4001</t>
  </si>
  <si>
    <t>Single Family Program</t>
  </si>
  <si>
    <t>Third-Party Solicited</t>
  </si>
  <si>
    <t>SDGE4002</t>
  </si>
  <si>
    <t>Multi Family Program</t>
  </si>
  <si>
    <t>SDGE4006</t>
  </si>
  <si>
    <t>Industrial Sector Program</t>
  </si>
  <si>
    <t>SDGE4040</t>
  </si>
  <si>
    <t>IDSM Local Residential Behavioral Program (EE)</t>
  </si>
  <si>
    <t>Integrated Demand-Side Management</t>
  </si>
  <si>
    <t>SDGE_SW_CSA_Natl</t>
  </si>
  <si>
    <t>SW Codes &amp; Standards Advocacy - National Codes &amp; Standards Advocacy</t>
  </si>
  <si>
    <t>SW_CSA_Natl - Codes and Standards National Codes Advocacy</t>
  </si>
  <si>
    <t>SDGE_SW_CSA_Natl_PA</t>
  </si>
  <si>
    <t>SW Codes &amp; Standards Advocacy - National Codes &amp; Standards Advocacy (Utility)</t>
  </si>
  <si>
    <t>SDGE_SW_CSA_Appl</t>
  </si>
  <si>
    <t>SW Codes &amp; Standards Advocacy - State Appliance Standards</t>
  </si>
  <si>
    <t>SW_CSA_Appl - Codes and Standards Appliance Advocacy</t>
  </si>
  <si>
    <t>SDGE_SW_CSA_Appl_PA</t>
  </si>
  <si>
    <t>SW Codes &amp; Standards Advocacy - State Appliance Standards (Utility)</t>
  </si>
  <si>
    <t>SDGE_SW_CSA_Bldg</t>
  </si>
  <si>
    <t>SW Codes &amp; Standards Advocacy - State Building Codes</t>
  </si>
  <si>
    <t>SW_CSA_Bldg - Codes and Standards Building Codes Advocacy</t>
  </si>
  <si>
    <t>SDGE_SW_CSA_Bldg_PA</t>
  </si>
  <si>
    <t>SW Codes &amp; Standards Advocacy - State Building Codes (Utility)</t>
  </si>
  <si>
    <t>SDGE_SW_ETP_Elec</t>
  </si>
  <si>
    <t>SW Emerging Technologies - Electric</t>
  </si>
  <si>
    <t>SW_ETP_Elec - Emerging Technology Programs - Electric</t>
  </si>
  <si>
    <t>Emerging Technologies</t>
  </si>
  <si>
    <t>SDGE_SW_ETP_Elec_PA</t>
  </si>
  <si>
    <t>SW Emerging Technologies - Electric (Utility)</t>
  </si>
  <si>
    <t>SDGE_SW_IP_Gov</t>
  </si>
  <si>
    <t>SW Institutional Partnerships: DGS &amp; DoC</t>
  </si>
  <si>
    <t>SW_IP_Gov - Institutional Partnerships - Government</t>
  </si>
  <si>
    <t>Government Partnerships</t>
  </si>
  <si>
    <t>SDGE_SW_IP_Gov_PA</t>
  </si>
  <si>
    <t>SW Institutional Partnerships: DGS &amp; DoC (Utility)</t>
  </si>
  <si>
    <t>SDGE_SW_IP_Colleges</t>
  </si>
  <si>
    <t>SW Higher Education</t>
  </si>
  <si>
    <t>SW_IP_Colleges - Institutional Partnerships - Colleges</t>
  </si>
  <si>
    <t>SDGE_SW_IP_Colleges_PA</t>
  </si>
  <si>
    <t>SW Higher Education (Utility)</t>
  </si>
  <si>
    <t>SDGE_SW_MCWH</t>
  </si>
  <si>
    <t>SW Midstream Commercial Water Heating</t>
  </si>
  <si>
    <t>SW_MCWH - Midstream Commercial Water Heating</t>
  </si>
  <si>
    <t>SDGE_SW_MCWH_PA</t>
  </si>
  <si>
    <t>SW Midstream Commercial Water Heating (Utility)</t>
  </si>
  <si>
    <t>SDGE_SW_FS</t>
  </si>
  <si>
    <t>SW Foodservice Point of Sale Program</t>
  </si>
  <si>
    <t>SW_FS - Food Service</t>
  </si>
  <si>
    <t>SDGE_SW_FS_PA</t>
  </si>
  <si>
    <t>SW Foodservice Point of Sale Program (Utility)</t>
  </si>
  <si>
    <t>SDGE_SW_WET_CC</t>
  </si>
  <si>
    <t>SW WET Career Connections</t>
  </si>
  <si>
    <t>SW_WET_CC - Workforce Education and Training - Career Connections</t>
  </si>
  <si>
    <t>Workforce Education and Training</t>
  </si>
  <si>
    <t>SDGE_SW_WET_CC_PA</t>
  </si>
  <si>
    <t>SW WET Career Connections (Utility)</t>
  </si>
  <si>
    <t>SDGE_SW_WET_Work</t>
  </si>
  <si>
    <t>SW WE&amp;T Career &amp; Workforce Readiness (CWR)</t>
  </si>
  <si>
    <t>SW_WET_Work - Workforce Education and Training Career &amp; Workforce Readiness</t>
  </si>
  <si>
    <t>SDGE_SW_WET_Work_PA</t>
  </si>
  <si>
    <t>SW WE&amp;T Career &amp; Workforce Readiness (CWR) (Utility)</t>
  </si>
  <si>
    <t>SDGE_SW_HVAC_QIQM</t>
  </si>
  <si>
    <t>SW HVAC QI/QM Program</t>
  </si>
  <si>
    <t>Residential HVAC</t>
  </si>
  <si>
    <t>SW_HVAC_QIQM - SW HVAC QI/QM Program</t>
  </si>
  <si>
    <t>SDGE_SW_HVAC_QIQM_PA</t>
  </si>
  <si>
    <t>SW HVAC QI/QM Program (Utility)</t>
  </si>
  <si>
    <t>SDGE_SW_ETP_Gas</t>
  </si>
  <si>
    <t>SW Emerging Technologies - Gas</t>
  </si>
  <si>
    <t>SW_ETP_Gas - Emerging Technology Programs - Gas</t>
  </si>
  <si>
    <t>SDGE_SW_ETP_Gas_PA</t>
  </si>
  <si>
    <t>SW Emerging Technologies - Gas (Utility)</t>
  </si>
  <si>
    <t>SDGE_SW_NC_NonRes_Ag_electric</t>
  </si>
  <si>
    <t>SW New Construction Non Residential - Agricultural - All Electric</t>
  </si>
  <si>
    <t>SW_NC_NonRes_Ag_electric - New Construction - NonResidential - All Electric</t>
  </si>
  <si>
    <t>SDGE_SW_NC_NonRes_Ag_electric_PA</t>
  </si>
  <si>
    <t>SW New Construction Non Residential - Agricultural - All Electric (Utility)</t>
  </si>
  <si>
    <t>SDGE_SW_NC_NonRes_Com_electric</t>
  </si>
  <si>
    <t>SW New Construction Non Residential - Commercial - All Electric</t>
  </si>
  <si>
    <t>SW_NC_NonRes_Com_electric - New Construction - NonResidential - All Electric</t>
  </si>
  <si>
    <t>SDGE_SW_NC_NonRes_Com_electric_PA</t>
  </si>
  <si>
    <t>SW New Construction Non Residential - Commercial - All Electric (Utility)</t>
  </si>
  <si>
    <t>SDGE_SW_NC_NonRes_Ind_electric</t>
  </si>
  <si>
    <t>SW New Construction Non Residential - Industrial - All Electric</t>
  </si>
  <si>
    <t>SW_NC_NonRes_Ind_electric - New Construction - NonResidential - All Electric</t>
  </si>
  <si>
    <t>SDGE_SW_NC_NonRes_Ind_electric_PA</t>
  </si>
  <si>
    <t>SW New Construction Non Residential - Industrial - All Electric (Utility)</t>
  </si>
  <si>
    <t>SDGE_SW_NC_NonRes_Pub_electric</t>
  </si>
  <si>
    <t>SW New Construction Non Residential - Public - All Electric</t>
  </si>
  <si>
    <t>SW_NC_NonRes_Pub_electric - New Construction - NonResidential - All Electric</t>
  </si>
  <si>
    <t>SDGE_SW_NC_NonRes_Pub_electric_PA</t>
  </si>
  <si>
    <t>SW New Construction Non Residential - Public - All Electric (Utility)</t>
  </si>
  <si>
    <t>SDGE_SW_NC_NonRes_Res_electric</t>
  </si>
  <si>
    <t>SW New Construction NonResidential - Residential - All Electric</t>
  </si>
  <si>
    <t>SW_NC_NonRes_Res_electric - New Construction - NonResidential - All Electric</t>
  </si>
  <si>
    <t>SDGE_SW_NC_NonRes_Res_electric_PA</t>
  </si>
  <si>
    <t>SW New Construction NonResidential - Residential - All Electric (Utility)</t>
  </si>
  <si>
    <t>SDGE_SW_NC_NonRes_Ag_mixed</t>
  </si>
  <si>
    <t>SW New Construction Non Residential - Agricultural - Mixed Fuel</t>
  </si>
  <si>
    <t>SW_NC_NonRes_Ag_mixed - New Construction - NonResidential - Mixed Fuel</t>
  </si>
  <si>
    <t>SDGE_SW_NC_NonRes_Ag_mixed_PA</t>
  </si>
  <si>
    <t>SW New Construction Non Residential - Agricultural - Mixed Fuel (Utility)</t>
  </si>
  <si>
    <t>SDGE_SW_NC_NonRes_Com_mixed</t>
  </si>
  <si>
    <t>SW New Construction Non Residential - Commercial - Mixed Fuel</t>
  </si>
  <si>
    <t>SW_NC_NonRes_Com_mixed - New Construction - NonResidential - Mixed Fuel</t>
  </si>
  <si>
    <t>SDGE_SW_NC_NonRes_Com_mixed_PA</t>
  </si>
  <si>
    <t>SW New Construction Non Residential - Commercial - Mixed Fuel (Utility)</t>
  </si>
  <si>
    <t>SDGE_SW_NC_NonRes_Ind_mixed</t>
  </si>
  <si>
    <t>SW New Construction Non Residential - Industrial - Mixed Fuel</t>
  </si>
  <si>
    <t>SW_NC_NonRes_Ind_mixed - New Construction - NonResidential - Mixed Fuel</t>
  </si>
  <si>
    <t>SDGE_SW_NC_NonRes_Ind_mixed_PA</t>
  </si>
  <si>
    <t>SW New Construction Non Residential - Industrial - Mixed Fuel (Utility)</t>
  </si>
  <si>
    <t>SDGE_SW_NC_NonRes_Pub_mixed</t>
  </si>
  <si>
    <t>SW New Construction Non Residential - Public - Mixed Fuel</t>
  </si>
  <si>
    <t>SW_NC_NonRes_Pub_mixed - New Construction - NonResidential - Mixed Fuel</t>
  </si>
  <si>
    <t>SDGE_SW_NC_NonRes_Pub_mixed_PA</t>
  </si>
  <si>
    <t>SW New Construction Non Residential - Public - Mixed Fuel (Utility)</t>
  </si>
  <si>
    <t>SDGE_SW_NC_NonRes_Res_mixed</t>
  </si>
  <si>
    <t>SW New Construction NonResidential - Residential - Mixed Fuel</t>
  </si>
  <si>
    <t>SW_NC_NonRes_Res_mixed - New Construction - NonResidential - Mixed Fuel</t>
  </si>
  <si>
    <t>SDGE_SW_NC_NonRes_Res_mixed_PA</t>
  </si>
  <si>
    <t>SW New Construction NonResidential - Residential - Mixed Fuel (Utility)</t>
  </si>
  <si>
    <t>SDGE_SW_NC_Res_electric</t>
  </si>
  <si>
    <t>SW New Construction Residential - All Electric</t>
  </si>
  <si>
    <t xml:space="preserve">Residential New Construction </t>
  </si>
  <si>
    <t>SW_NC_Res_electric - New Construction - Residential - All Electric</t>
  </si>
  <si>
    <t>SDGE_SW_NC_Res_electric_PA</t>
  </si>
  <si>
    <t>SW New Construction Residential - All Electric (Utility)</t>
  </si>
  <si>
    <t>SDGE4168</t>
  </si>
  <si>
    <t>Lodging (Hotels/Motels)</t>
  </si>
  <si>
    <t>SDGE4169</t>
  </si>
  <si>
    <t>Groceries, Restaurants and Food Storage</t>
  </si>
  <si>
    <t>SDGE4170</t>
  </si>
  <si>
    <t>Wholesale/Retail/Office, including Entertainment Services</t>
  </si>
  <si>
    <t>SDGE4171</t>
  </si>
  <si>
    <t>Private Institutions/Healthcare</t>
  </si>
  <si>
    <t>SDGE4175</t>
  </si>
  <si>
    <t>Local Residential Fuel-Substitution</t>
  </si>
  <si>
    <t>SDGE_CS_PortfolioSupport</t>
  </si>
  <si>
    <t>Codes &amp; Standards Portfolio Support PA Costs</t>
  </si>
  <si>
    <t>SDGE_Equity_PortfolioSupport</t>
  </si>
  <si>
    <t>Equity Portfolio Support PA Costs</t>
  </si>
  <si>
    <t>SDGE_MS_PortfolioSupport</t>
  </si>
  <si>
    <t>Market Support Portfolio Support PA Costs</t>
  </si>
  <si>
    <t>SDGE_RA_PortfolioSupport</t>
  </si>
  <si>
    <t>Resource Acquisition Portfolio Support PA Costs</t>
  </si>
  <si>
    <t>SDGE_SW_HESC</t>
  </si>
  <si>
    <t>SW Home Energy Score California</t>
  </si>
  <si>
    <t>SW_HESC - SW Home Energy Score California</t>
  </si>
  <si>
    <t>New</t>
  </si>
  <si>
    <t>SDGE_SW_HESC_PA</t>
  </si>
  <si>
    <t>SW Home Energy Score California (Utility)</t>
  </si>
  <si>
    <t>SDGE4201</t>
  </si>
  <si>
    <t>Market Access Program - Residential</t>
  </si>
  <si>
    <t>SDGE4202</t>
  </si>
  <si>
    <t>Market Access Program - Commercial</t>
  </si>
  <si>
    <t>SDGE_SW_HVAC_AE_NonRes</t>
  </si>
  <si>
    <t>SW HVAC All Electric Non-Residential</t>
  </si>
  <si>
    <t>Commercial HVAC</t>
  </si>
  <si>
    <t>SW_HVAC_AE_NonRes - SW HVAC All Electric Non-Residential</t>
  </si>
  <si>
    <t>SDGE_SW_HVAC_AE_NonRes_PA</t>
  </si>
  <si>
    <t>SW HVAC All Electric Non-Residential (Utility)</t>
  </si>
  <si>
    <t>SDGE_OtherPA_Admin</t>
  </si>
  <si>
    <t>Other PA Collaboration</t>
  </si>
  <si>
    <r>
      <rPr>
        <vertAlign val="superscript"/>
        <sz val="11"/>
        <color theme="1"/>
        <rFont val="Calibri"/>
        <family val="2"/>
        <scheme val="minor"/>
      </rPr>
      <t>1</t>
    </r>
    <r>
      <rPr>
        <sz val="11"/>
        <color theme="1"/>
        <rFont val="Calibri"/>
        <family val="2"/>
        <scheme val="minor"/>
      </rPr>
      <t xml:space="preserve">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</si>
  <si>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r>
      <rPr>
        <vertAlign val="superscript"/>
        <sz val="11"/>
        <color theme="1"/>
        <rFont val="Calibri"/>
        <family val="2"/>
        <scheme val="minor"/>
      </rPr>
      <t>2</t>
    </r>
    <r>
      <rPr>
        <sz val="11"/>
        <color theme="1"/>
        <rFont val="Calibri"/>
        <family val="2"/>
        <scheme val="minor"/>
      </rPr>
      <t>SDG&amp;E’s standard practice is to use representative measures in forecast years when it is not under contract, in order to avoid influencing the bidder community. As a result, the electric and gas budget splits would not yield an accurate projection. Therefore, SDG&amp;E is using the average electric and gas budget spilts from Program Years 2026–2027, as approved in the Mid-Cycle Advice Letter (AL 4747-E/3469-G). SDG&amp;E will provide updated electric and gas budget splits for this program cycle that incorporate fuel substitution measures and their associated program costs in its forthcoming True-Up Advice Letter and Mid‑Cycle Advice Letter filings to ensure proper cost recovery pursuant to Decision 19‑08‑009, Ordering Paragraph 5.</t>
    </r>
  </si>
  <si>
    <t>This table is for all IOUs to compile together and submit. 
1. This table should be identical for all IOUs. 
2. The current input table is the approved table for 2028 onwards.  Any change will need to be requested in the application.</t>
  </si>
  <si>
    <t>Table 6 - Statewide Programs (Identical For all lead Statewide Portfolio Administrators)</t>
  </si>
  <si>
    <t>(Col A)*(IOU 'Electric Proportional Share' from INPUT TABLE) +
[(1-Col A)*(IOU 'Gas Proportional Share' from INPUT TABLE)]
See below for INPUT TABLE</t>
  </si>
  <si>
    <t>Col A</t>
  </si>
  <si>
    <t>Col 1</t>
  </si>
  <si>
    <t>Col 2</t>
  </si>
  <si>
    <t>Col 3</t>
  </si>
  <si>
    <t>Col 4</t>
  </si>
  <si>
    <t>Lead PA</t>
  </si>
  <si>
    <t>2028 Program Contract Budget
(Total for all IOUs)**</t>
  </si>
  <si>
    <t>2029 Program Contract Budget
(Total for all IOUs)**</t>
  </si>
  <si>
    <t>2030 Program Contract Budget
(Total for all IOUs)**</t>
  </si>
  <si>
    <t>2031 Program Contract Budget
(Total for all IOUs)**</t>
  </si>
  <si>
    <t>Percent Electric</t>
  </si>
  <si>
    <r>
      <t xml:space="preserve">Combined (Electric &amp; Gas) Proportional Contribution to Contract Cost per Load-Share
</t>
    </r>
    <r>
      <rPr>
        <sz val="10"/>
        <rFont val="Calibri"/>
        <family val="2"/>
        <scheme val="minor"/>
      </rPr>
      <t>(Either as reflected in co-funding agreement, or expected in co-funding agreement. Funding share may be within +/-20% of Target per formula in row 1 above)</t>
    </r>
  </si>
  <si>
    <t>Total IOU Administrative Budget 2028-2031^</t>
  </si>
  <si>
    <t>2028 IOU Administrative Budget^</t>
  </si>
  <si>
    <t>2029 IOU Administrative Budget^</t>
  </si>
  <si>
    <t>2030 IOU Administrative Budget^</t>
  </si>
  <si>
    <t>2031 IOU Administrative Budget^</t>
  </si>
  <si>
    <t xml:space="preserve">Column Added: 
SDG&amp;E Allocation </t>
  </si>
  <si>
    <t>Workforce Education and Training - Career &amp; Workforce Readiness</t>
  </si>
  <si>
    <t>HVAC All Electric Non-Residential</t>
  </si>
  <si>
    <t>New Construction - Residential - All Electric</t>
  </si>
  <si>
    <t>New Construction - NonResidential - All Electric</t>
  </si>
  <si>
    <t>New Construction - NonResidential - Mixed Fuel</t>
  </si>
  <si>
    <t>Codes and Standards State Appliance Advocacy</t>
  </si>
  <si>
    <t>Codes and Standards State Building Codes Advocacy</t>
  </si>
  <si>
    <t xml:space="preserve">Codes and Standards National Codes &amp; Standards Advocacy </t>
  </si>
  <si>
    <t>Institutional Partnerships - Government</t>
  </si>
  <si>
    <t>Workforce Education and Training - Career Connections</t>
  </si>
  <si>
    <t>Water and Wastewater Pumping</t>
  </si>
  <si>
    <t>SW Plug Load and Appliance All Electric</t>
  </si>
  <si>
    <t>Emerging Technology Program - Electric</t>
  </si>
  <si>
    <t>Institutional Partnerships - Colleges</t>
  </si>
  <si>
    <t>Emerging Technology Program - Gas</t>
  </si>
  <si>
    <t>Food Service</t>
  </si>
  <si>
    <t>Midstream Commercial Water Heating</t>
  </si>
  <si>
    <t>HVAC QI/QM Program</t>
  </si>
  <si>
    <t>Home Energy Score California</t>
  </si>
  <si>
    <t>BayREN</t>
  </si>
  <si>
    <r>
      <t xml:space="preserve">**The contract budget or signed contract amount </t>
    </r>
    <r>
      <rPr>
        <b/>
        <sz val="10"/>
        <color rgb="FF000000"/>
        <rFont val="Calibri"/>
        <family val="2"/>
      </rPr>
      <t>for a given year</t>
    </r>
    <r>
      <rPr>
        <sz val="10"/>
        <color rgb="FF000000"/>
        <rFont val="Calibri"/>
        <family val="2"/>
      </rPr>
      <t xml:space="preserve"> accounts for the anticipated launch date of the program. </t>
    </r>
    <r>
      <rPr>
        <b/>
        <sz val="10"/>
        <color rgb="FF000000"/>
        <rFont val="Calibri"/>
        <family val="2"/>
      </rPr>
      <t>Program contract budgets reflect third party implementation contract values and expenditures.</t>
    </r>
    <r>
      <rPr>
        <sz val="10"/>
        <color rgb="FF000000"/>
        <rFont val="Calibri"/>
        <family val="2"/>
      </rPr>
      <t xml:space="preserve"> </t>
    </r>
  </si>
  <si>
    <t>^ Administrative budgets for statewide programs are IOU specific and are filed under separate program IDs. They include all non-contract program expenditures which cover coordination, support and management. This does not include any contract implementation cost.</t>
  </si>
  <si>
    <r>
      <t xml:space="preserve">Decision (D.18-05-041): OP 23. The 25 percent requirement for statewide funding articulated in D.16-08-019 shall be calculated as a proportion of the utility program administrator’s total portfolio budget, including evaluation, measurement, and verification funding, but excluding funding allocated to other program administrators for other (non-statewide) programs. </t>
    </r>
    <r>
      <rPr>
        <b/>
        <sz val="10"/>
        <color rgb="FF000000"/>
        <rFont val="Calibri"/>
        <family val="2"/>
        <scheme val="minor"/>
      </rPr>
      <t>D.23-06-055</t>
    </r>
    <r>
      <rPr>
        <sz val="10"/>
        <color rgb="FF000000"/>
        <rFont val="Calibri"/>
        <family val="2"/>
        <scheme val="minor"/>
      </rPr>
      <t>, Conclusion of Law 4: "The required minimum statewide funding contribution for the IOUs should be reduced to 20 percent of their total portfolio funding for 2024-2027, and 10 percent for SoCalGas" .</t>
    </r>
  </si>
  <si>
    <t>INPUT TABLE: DO NOT MODIFY</t>
  </si>
  <si>
    <t>Percent PPP Electric</t>
  </si>
  <si>
    <t>Percent PPP Gas</t>
  </si>
  <si>
    <t>Electric Proportional Share</t>
  </si>
  <si>
    <t>Gas Proportional Share</t>
  </si>
  <si>
    <t>Target Portfolio Allocation</t>
  </si>
  <si>
    <t>Statewide Budget as Percentage of 4-yr Total Budget</t>
  </si>
  <si>
    <t>Electric and Gas Porportional Share Table 1: https://docs.cpuc.ca.gov/PublishedDocs/Published/G000/M512/K907/512907396.PDF</t>
  </si>
  <si>
    <t>Statwide Program budget totals - statewide allocations, table 3.</t>
  </si>
  <si>
    <t xml:space="preserve">Codes and Standards ONLY </t>
  </si>
  <si>
    <t>Combined</t>
  </si>
  <si>
    <t>(Electric &amp; Gas) Proportional Contribution per Load-Share</t>
  </si>
  <si>
    <t>Summarizes total cost recovery requests for program administrators, including EM&amp;V, oversight, and offsets from unspent funds, incorporating budgets for IOUs, RENs, and CCAs.</t>
  </si>
  <si>
    <t xml:space="preserve">Table 7.3 - PA 2028-2031 Total Cost Recovery Request, Including REN/CCA and Other Costs </t>
  </si>
  <si>
    <t>Line</t>
  </si>
  <si>
    <t>Portfolio Administrator</t>
  </si>
  <si>
    <t>(a) PA Programs</t>
  </si>
  <si>
    <t>(b) ED Portfolio Oversight</t>
  </si>
  <si>
    <t>(c) EMV PA</t>
  </si>
  <si>
    <t>(d) EMV ED</t>
  </si>
  <si>
    <r>
      <t xml:space="preserve">(e) Unspent &amp; Uncommitted Funds for </t>
    </r>
    <r>
      <rPr>
        <b/>
        <sz val="11"/>
        <color rgb="FFFF0000"/>
        <rFont val="Calibri"/>
        <family val="2"/>
        <scheme val="minor"/>
      </rPr>
      <t>2024-2027</t>
    </r>
    <r>
      <rPr>
        <b/>
        <sz val="11"/>
        <rFont val="Calibri"/>
        <family val="2"/>
        <scheme val="minor"/>
      </rPr>
      <t xml:space="preserve"> Offset [1]</t>
    </r>
  </si>
  <si>
    <t>(f) Total</t>
  </si>
  <si>
    <t>SoCal REN</t>
  </si>
  <si>
    <t>IOU only: enter budget from REN/CCA</t>
  </si>
  <si>
    <t>N REN</t>
  </si>
  <si>
    <t>CCR REN</t>
  </si>
  <si>
    <t>3C-REN</t>
  </si>
  <si>
    <t>I-REN</t>
  </si>
  <si>
    <t>Bay-REN</t>
  </si>
  <si>
    <t>Total REN</t>
  </si>
  <si>
    <t>DO NOT ENTER DATA: formula summing lines 1-8</t>
  </si>
  <si>
    <t>MCE</t>
  </si>
  <si>
    <t>PCE</t>
  </si>
  <si>
    <t>Total CCA</t>
  </si>
  <si>
    <t>DO NOT ENTER DATA: formula summing lines 10-11</t>
  </si>
  <si>
    <t>Total (IOU +REN +CCA)</t>
  </si>
  <si>
    <t>Total amount (rows 1, 9, and 12) to be requested in IOU's PPP advice letter for their programs, RENs and CCAs in their service territory</t>
  </si>
  <si>
    <t>Column</t>
  </si>
  <si>
    <t>Column Item Description</t>
  </si>
  <si>
    <t xml:space="preserve">Instructions for Data </t>
  </si>
  <si>
    <t>a</t>
  </si>
  <si>
    <t>PA Programs</t>
  </si>
  <si>
    <t>Represents cost recovery by PA</t>
  </si>
  <si>
    <t>b</t>
  </si>
  <si>
    <t xml:space="preserve">ED Portfolio Oversight </t>
  </si>
  <si>
    <t>Represents cost recovery for ED Portfolio Oversight as approved in D.23-06-055</t>
  </si>
  <si>
    <t>c</t>
  </si>
  <si>
    <t>EMV PA</t>
  </si>
  <si>
    <t>Represents cost recovery for PA EMV budget, excluding cost recovery for Energy Division EMV</t>
  </si>
  <si>
    <t>d</t>
  </si>
  <si>
    <t>EMV ED</t>
  </si>
  <si>
    <t>IOU only: represents cost recovery on behalf of IOU PA and RENs/CCAs as RENs/CCAs do not receive invoices for EMV from Energy Division</t>
  </si>
  <si>
    <t>e</t>
  </si>
  <si>
    <t>Unspent &amp; Uncommitted Funds for 2024-2027 Offset</t>
  </si>
  <si>
    <t xml:space="preserve">Enter unspent &amp; uncommitted funds that would offset 2024-2027 cost recovery from pre-2024.  Enter as a negative  number. </t>
  </si>
  <si>
    <t>f</t>
  </si>
  <si>
    <t>DO NOT ENTER DATA: formula summing cost recovery amounts</t>
  </si>
  <si>
    <t>[1] Unspent funds from program years 2024 &amp; 2025 will be carried forward and made available for use during program years 2026 through 2027, within the current funding cycle.</t>
  </si>
  <si>
    <t>Provides cumulative and annual projections of energy efficiency expenditures across key budget categories, comparing actual and planned spending against regulatory caps and performance targets. Caps are only applicable over the 4-year period, not annually.</t>
  </si>
  <si>
    <t>Most fields are populated from other tabs. Complete the light blue fields accordingly.
The Percent of Budget (item d) is  as directed in the Energy Efficiency Policy Manual Version 6 dated April 2020, Appendix C,  the denominator used to calculate is the sum of the IOU and third party PA Admin, Marketing, and Direct Implementation Non-Incentives costs (line 11).</t>
  </si>
  <si>
    <t>Table 8 - Caps &amp; Targets</t>
  </si>
  <si>
    <t>Year [1]</t>
  </si>
  <si>
    <t>Budget Category</t>
  </si>
  <si>
    <t>Expenditures [2]</t>
  </si>
  <si>
    <t>Cap &amp; Target Performance</t>
  </si>
  <si>
    <t xml:space="preserve">(a) Non-Third Party Qualifying Costs </t>
  </si>
  <si>
    <t xml:space="preserve">(b) Third Party Qualifying Costs </t>
  </si>
  <si>
    <t xml:space="preserve">(c) Total Portfolio
</t>
  </si>
  <si>
    <t>(d) Percent of Budget</t>
  </si>
  <si>
    <t>(e) Cap Percentage</t>
  </si>
  <si>
    <t>(f) Target %</t>
  </si>
  <si>
    <t xml:space="preserve">Instructions - By Program Year; Workbooks </t>
  </si>
  <si>
    <t>Cumulative</t>
  </si>
  <si>
    <t>Administrative Costs</t>
  </si>
  <si>
    <t>DO NOT ENTER DATA: header row</t>
  </si>
  <si>
    <t>Calculated from Tab 4.1, Program Data. Alternatively, enter non-third party qualifying and third party qualifying portions of the annual PA program administrative budget, per EE Policy Manual cost category definition, excluding target exempt programs and non-PA third party &amp; partnership administrative costs. 10% cap requirement based on D. 09-09-047 is set for IOU only.</t>
  </si>
  <si>
    <t>Non-PA Third Party &amp; Partnership</t>
  </si>
  <si>
    <r>
      <rPr>
        <sz val="11"/>
        <rFont val="Calibri"/>
        <family val="2"/>
        <scheme val="minor"/>
      </rPr>
      <t>Calculated</t>
    </r>
    <r>
      <rPr>
        <sz val="11"/>
        <color rgb="FFFF0000"/>
        <rFont val="Calibri"/>
        <family val="2"/>
        <scheme val="minor"/>
      </rPr>
      <t xml:space="preserve"> </t>
    </r>
    <r>
      <rPr>
        <sz val="11"/>
        <rFont val="Calibri"/>
        <family val="2"/>
        <scheme val="minor"/>
      </rPr>
      <t>non-third party qualifying and third party qualifying portions of cumulative third-party program administrative budget, per EE Policy Manual cost category definition, excluding target exempt programs. New Third party program definition per D.16-08-019, OP 10. For Row 3 of this table, the "Third Party &amp; Partnership" administrative costs under the "Non-Third Party Qualifying Costs" column are costs for programs that met the old Third Party definition prior to the transition to the new third party definition.</t>
    </r>
  </si>
  <si>
    <t>PA &amp; Non-PA Target Exempt Programs [3]</t>
  </si>
  <si>
    <t>Enter non-third party qualifying and third party qualifying portions of cumulative target exempt program administrative budget, per EE Policy Manual cost category definition. Target Exempt Programs include: Emerging Technologies, Workforce Education &amp; Training, Strategic Energy Resources (SER) program, 3P Placeholder for Public LGPs, and Codes &amp; Standards programs (excluding Building Codes Advocacy, Appliance Standards Advocacy and National Standards Advocacy).</t>
  </si>
  <si>
    <r>
      <t>Marketing and Outreach Costs</t>
    </r>
    <r>
      <rPr>
        <b/>
        <sz val="11"/>
        <color rgb="FFFF0000"/>
        <rFont val="Calibri"/>
        <family val="2"/>
        <scheme val="minor"/>
      </rPr>
      <t xml:space="preserve"> </t>
    </r>
  </si>
  <si>
    <t>Enter non-third party qualifying and third party qualifying portions  Marketing and Outreach budget</t>
  </si>
  <si>
    <t xml:space="preserve">Direct Implementation Costs </t>
  </si>
  <si>
    <t>Incentives and Rebates</t>
  </si>
  <si>
    <t>Enter non-third party qualifying and third party qualifying portions of cumulative incentives and rebates budget, per EE Policy Manual cost category definition.</t>
  </si>
  <si>
    <t>Non Incentives and Non Rebates</t>
  </si>
  <si>
    <t>Enter non-third party qualifying and third party qualifying portions of cumulative direct implementation non-incentive budget, per EE Policy Manual cost category definition, excluding target exempt programs</t>
  </si>
  <si>
    <t xml:space="preserve">Target Exempt (Non Incentives and Non Rebates) </t>
  </si>
  <si>
    <t>Enter non-third party qualifying and third party qualifying portions of cumulative target exempt program direct implementation non-incentive budget, per EE Policy Manual cost category definition</t>
  </si>
  <si>
    <t>EM&amp;V Costs (PA and ED)</t>
  </si>
  <si>
    <t>For IOUs, EM&amp;V costs only includes IOU's Total EM&amp;V budget (PA + ED) and does not include REN or CCAs EM&amp;V budget. For RENs &amp; CCAs, include EM&amp;V-PA Budget and EM&amp;V-ED = $0 . The EM&amp;V percentage is based on PA's total portfolio budget (from line 11) RENs, and CCAs</t>
  </si>
  <si>
    <t>10a</t>
  </si>
  <si>
    <t>Enter cumulative EM&amp;V PA budget</t>
  </si>
  <si>
    <t>10b</t>
  </si>
  <si>
    <t>Enter cumulative EM&amp;V ED budget for IOU only (IOUs should exclude REN/CCA portions of EM&amp;V ED budget since 4% EM&amp;V budget cap applies to each PA's portfolio budget).</t>
  </si>
  <si>
    <r>
      <t>PA Spending Budget Request</t>
    </r>
    <r>
      <rPr>
        <sz val="11"/>
        <rFont val="Calibri"/>
        <family val="2"/>
        <scheme val="minor"/>
      </rPr>
      <t xml:space="preserve"> (excluding OBF Loan Pool Additions and excluding ED Portfolio Oversight)</t>
    </r>
  </si>
  <si>
    <t>DO NOT ENTER DATA: formula summing lines 1-10</t>
  </si>
  <si>
    <t xml:space="preserve">Total Third-Party Qualifying Costs </t>
  </si>
  <si>
    <t>IOU PA's percentage for Third-Party Implementer Contracts uses as its denominator the PA's Spending Budget Request (PA Program and EM&amp;V), excluding RENs, CCAs, and OBF Loan Pool.  IOU's Third-Party Implementer Contracts (as defined per D.16-08-019, OP 10) includes third-party contract and incentive budgets and statewide qualifying contract and incentive budgets.</t>
  </si>
  <si>
    <t>OBF Loan Pool Addition [4]</t>
  </si>
  <si>
    <t xml:space="preserve">EnterOBF loan pool addition </t>
  </si>
  <si>
    <r>
      <t xml:space="preserve">PA Spending Budget Request </t>
    </r>
    <r>
      <rPr>
        <sz val="11"/>
        <rFont val="Calibri"/>
        <family val="2"/>
        <scheme val="minor"/>
      </rPr>
      <t>(excluding ED Portfolio Oversight)</t>
    </r>
    <r>
      <rPr>
        <b/>
        <vertAlign val="superscript"/>
        <sz val="11"/>
        <rFont val="Calibri"/>
        <family val="2"/>
        <scheme val="minor"/>
      </rPr>
      <t xml:space="preserve"> </t>
    </r>
  </si>
  <si>
    <t>DO NOT ENTER DATA: formula summing lines 11 and 12</t>
  </si>
  <si>
    <t>ED Portfolio Oversight</t>
  </si>
  <si>
    <t>Enter IOU SW % share of $1M annual ED Portfolio Oversight Group budget per OP9 from D.23-06-055 "Commission staff require additional consulting and technical support resources in order to perform adequate portfolio oversight. $1 million annually in reimbursable funding from IOUs should be made available to Commission
staff for this purpose"</t>
  </si>
  <si>
    <t>EE-Funded IDSM</t>
  </si>
  <si>
    <t>Enter cumulative budget for EE funds toward multi-DER programs per D.23-06-055 OP 29</t>
  </si>
  <si>
    <t>Multi-DER IDSM</t>
  </si>
  <si>
    <t xml:space="preserve"> D.23-06-055 OP 29: Portfolio administrators (PAs) may set aside up to 2.5 percent, or $4 million, whichever is greater, up to a maximum of $15 million, from within their total budgets during 2024-2027 approved in this decision to fund innovative integrated demand-side management projects, including ongoing load-shifting that is not event-based. Energy efficiency funding shall not be used for rebating capital costs of non-efficiency technologies, except as already provided for electric panel upgrades in Decisions 19‑08‑009 and 23-04-035.</t>
  </si>
  <si>
    <t>DO NOT ENTER DATA: formula summing lines 14-17</t>
  </si>
  <si>
    <t>[1] Cumulative total for program cycle 2028-2031.</t>
  </si>
  <si>
    <t xml:space="preserve">[2] Tab 4.2 aligns with how SDG&amp;E's programs are filed in CEDARS per the instructions provided. SDG&amp;E added a new tab, "SDGE - IOU-3P Budgets 2028-31", which separates third‑party implementer costs from SDG&amp;E’s internal utility costs.  The formulas on this tab have been updated to reference the newly created tab to improve accuracy. </t>
  </si>
  <si>
    <t>[3] Target Exempt Programs are Non-Resource Programs which include: Emerging Technologies, Workforce Education &amp; Training, Financing (including On-Bill Financing, but excluding OBF loan amounts), 3P-IDEEA, SW HVAC QI/QM, Local Residential Fuel Substitution, Residential Equity, Non-Residential Behavioral, and IOU Codes &amp; Standards programs.</t>
  </si>
  <si>
    <t>[4] SDG&amp;E's OBF loan pool is excluded as it was authorized separately from the EE Program Portfolio budget and tracked through a separate balancing account.</t>
  </si>
  <si>
    <t>1. FTE Calculation:
-Enter FTE values for each functional group under the "FTE" rows.
2. Labor Costs:
-Input labor budget estimates (in dollars) for each functional group under the "Budget" rows labeled as "Labor".
-Ensure consistency with FTE values where applicable.
3.Non-Labor Costs:
-Include all relevant non-labor budget items such as third-party implementers, contracts, IT, facilities, and incentives.
-Use the appropriate functional group and category (e.g., “Program Implementation”, “IT”, “Call Center”).
4. Incentives:
Separate incentive budgets into:
-PA-implemented and Other Contracts Program Implementation
-Third Party Programs (as defined in D.16-08-019, OP 10)
-Values should match those in line 7 in Tab 8 Cap &amp; Target and totals aggregated from Tab 4.1 for years 2028-2031
5. IT Costs:
-All IT-related costs should be entered under the "IT" functional group, regardless of whether they are labor or non-labor.
6. Portfolio Analytics:
-Although SDG&amp;E does not have a centralized Portfolio Analytics group, enter any analytics-related staffing or costs under this category if applicable.
7. Other Costs:
-Use the “Other (collected through GRC)” row for any additional costs not captured in the labor or non-labor categories.
-Cross-reference with other tabs as needed.
8. Total Rows:
-Ensure that total FTE and budget values are correctly summed for each year.</t>
  </si>
  <si>
    <t>PORTFOLIO &amp; SECTOR STAFFING</t>
  </si>
  <si>
    <t>Expense Type</t>
  </si>
  <si>
    <t>Functional Group</t>
  </si>
  <si>
    <t>Type</t>
  </si>
  <si>
    <t>Labor</t>
  </si>
  <si>
    <t>FTE</t>
  </si>
  <si>
    <t>Program Management</t>
  </si>
  <si>
    <t>Customer Application/Rebate/Incentive Processing</t>
  </si>
  <si>
    <t>Customer Project Inspections</t>
  </si>
  <si>
    <t>ME&amp;O (Local)</t>
  </si>
  <si>
    <t>Labor [1]</t>
  </si>
  <si>
    <t>Non-Labor</t>
  </si>
  <si>
    <r>
      <t xml:space="preserve">Third-Party Implementer </t>
    </r>
    <r>
      <rPr>
        <sz val="11"/>
        <rFont val="Calibri"/>
        <family val="2"/>
        <scheme val="minor"/>
      </rPr>
      <t>(as defined per D.16-08-019, OP 10)</t>
    </r>
  </si>
  <si>
    <t>Local/Government Partnerships Contracts</t>
  </si>
  <si>
    <t>Other Contracts</t>
  </si>
  <si>
    <t xml:space="preserve">    Program Implementation</t>
  </si>
  <si>
    <t xml:space="preserve">    Policy, Strategy, and Regulatory Reporting Compliance</t>
  </si>
  <si>
    <t xml:space="preserve">    Program Management</t>
  </si>
  <si>
    <t xml:space="preserve">    Engineering services</t>
  </si>
  <si>
    <t xml:space="preserve">    Customer Application/Rebate/Incentive Processing</t>
  </si>
  <si>
    <t xml:space="preserve">    Customer Project Inspections</t>
  </si>
  <si>
    <t xml:space="preserve">    Portfolio Analytics</t>
  </si>
  <si>
    <t xml:space="preserve">    ME&amp;O (Local)</t>
  </si>
  <si>
    <t xml:space="preserve">    Account Management / Sales</t>
  </si>
  <si>
    <t xml:space="preserve">    IT</t>
  </si>
  <si>
    <t xml:space="preserve">    Call Center</t>
  </si>
  <si>
    <t>Facilities</t>
  </si>
  <si>
    <t>Incentives--(PA-implemented and Other Contracts Program Implementation) Programs</t>
  </si>
  <si>
    <t>Incentives--Third Party Program  (as defined per D.16-08-019, OP 10)</t>
  </si>
  <si>
    <t xml:space="preserve">Labor + Non-Labor </t>
  </si>
  <si>
    <t>Other (collected through GRC) [2]</t>
  </si>
  <si>
    <t>Check with other tabs</t>
  </si>
  <si>
    <t>Notes</t>
  </si>
  <si>
    <t>[1] Labor budget includes indirect costs of Payroll Taxes and Vacation and Sick.</t>
  </si>
  <si>
    <t>[2] These other indirect labor costs are collected through GRC D.24-12-074 and excluded from SDG&amp;E's 2028-2031 spending budget request.</t>
  </si>
  <si>
    <t>This tab lists all metrics and indicators used to track energy efficiency program performance, including common, equity, market support, and REN-specific Unique Value Metrics (UVMs).</t>
  </si>
  <si>
    <r>
      <t xml:space="preserve">1. Data Entry:
For each metric or indicator, complete the following columns:
-Index: Unique identifier for each entry
-Name: Descriptive title of the metric or indicator
-Type of Data Point: Choose from Common, Equity, Market Support, or UVM
-Type: Specify whether it is a Metric or Indicator
-Primary Sector: Indicate the relevant sector (e.g., Residential, Commercial, Public)
-Segment: Identify the applicable segment (e.g., Resource Acquisition, Market Support, Equity, Codes &amp; Standards)
-Units of Measurement: Use consistent units (e.g., kWh, Therms, MT CO2eq, Count, Percent)
-Description: Provide a concise explanation of the metric’s purpose or calculation
-Columns L - AA are to be filled in </t>
    </r>
    <r>
      <rPr>
        <b/>
        <sz val="11"/>
        <color rgb="FF000000"/>
        <rFont val="Calibri"/>
        <family val="2"/>
        <scheme val="minor"/>
      </rPr>
      <t>IF the index is a metric.</t>
    </r>
    <r>
      <rPr>
        <sz val="11"/>
        <color rgb="FF000000"/>
        <rFont val="Calibri"/>
        <family val="2"/>
        <scheme val="minor"/>
      </rPr>
      <t xml:space="preserve"> L is the baseline year and should be a value such as "2016" or "2024", Columns M-O are the numerator (column N), denominator (column O), and baseline value (column M). Fill in columns N and O for percentages, otherwise leave N and O blank and put the value in M. Fill in the 2025 value (column P) and all forecast values (columns Q-AA). If the index is an indicator, leave columns L-AA blank.
- Methodology: Describe how the index will be measured
- Key Definition: Add useful language here so anyone can understand what is being measured and how it is measured (additional information that can support the methodology).
- Proxy Explanation: Fill in if using a proxy within the measurement, otherwise leave blank
2. RENs – UVM Requirement:
- All RENs must ensure that their Unique Value Metrics (UVMs) are fully listed in this tab. These are not pre-populated and must be added manually. UVMs should reflect REN-specific contributions that are not captured by common metrics or the equity or market support indicators.
- Use the index format of [REN]_UVM_xx where [REN] is the appropriate letters for the REN and xx begins at 01 and goes through 99
- create a name for the index and fill in all other columns where Type of Data is UVM and Type can be either a metric or an indicator. If labeled as a metric, be sure to include data in columns L-AA.
3. Reference:
- Refer to E-5351 and other relevant CPUC guidance documents for definitions and expectations related to metrics and indicators.
- This tab includes only those metrics and indicators that E-5351 includes for reporting. All metrics/indicators with the label of "pause" or "remove" under the CPUC Determination column in E-5351 Appendix B are not included herein.</t>
    </r>
  </si>
  <si>
    <t>BP Metrics</t>
  </si>
  <si>
    <t>Market Support and Equity Segment Indicators and Metrics</t>
  </si>
  <si>
    <r>
      <t xml:space="preserve">Index </t>
    </r>
    <r>
      <rPr>
        <i/>
        <sz val="10"/>
        <rFont val="Calibri"/>
        <family val="2"/>
        <scheme val="minor"/>
      </rPr>
      <t>(use this index now)</t>
    </r>
  </si>
  <si>
    <r>
      <t xml:space="preserve">Index in E-5351 </t>
    </r>
    <r>
      <rPr>
        <i/>
        <sz val="10"/>
        <rFont val="Calibri"/>
        <family val="2"/>
        <scheme val="minor"/>
      </rPr>
      <t>(for mapping purposes only)</t>
    </r>
  </si>
  <si>
    <t>Name</t>
  </si>
  <si>
    <t>Edit Summary (since previous issuance of BPA template)</t>
  </si>
  <si>
    <t>Type of Data Point
(Common, Equity, Market Support, Unique Value Metric (RENs only))</t>
  </si>
  <si>
    <t>Type (Metric, Indicator)</t>
  </si>
  <si>
    <t>Segment (Resource Acquisition, Market Support, Equity, Codes &amp; Standards)</t>
  </si>
  <si>
    <t>Units of Measurement</t>
  </si>
  <si>
    <t>Baseline Year</t>
  </si>
  <si>
    <t>Baseline Number</t>
  </si>
  <si>
    <t>Baseline Numerator</t>
  </si>
  <si>
    <t>Baseline Denominator</t>
  </si>
  <si>
    <t>Achievement in 2024</t>
  </si>
  <si>
    <t>Forecast 2025</t>
  </si>
  <si>
    <t>Forecast 2026</t>
  </si>
  <si>
    <t>Forecast 2027</t>
  </si>
  <si>
    <t>Forecast 2028</t>
  </si>
  <si>
    <t>Forecast 2029</t>
  </si>
  <si>
    <t>Forecast 2030</t>
  </si>
  <si>
    <t>Forecast 2031</t>
  </si>
  <si>
    <t>Forecast 2032</t>
  </si>
  <si>
    <t>Forecast 2033</t>
  </si>
  <si>
    <t>Forecast 2034</t>
  </si>
  <si>
    <t>Forecast 2035</t>
  </si>
  <si>
    <t>Methodology</t>
  </si>
  <si>
    <t>Key Definitions</t>
  </si>
  <si>
    <t>Proxy Explanation</t>
  </si>
  <si>
    <t>CO2-equivalent of net annual kWh savings</t>
  </si>
  <si>
    <t>Changed from indicator to metric to match E-5351</t>
  </si>
  <si>
    <t>Common</t>
  </si>
  <si>
    <t>Metric</t>
  </si>
  <si>
    <t>Portfolio Level (PL)– All Sectors</t>
  </si>
  <si>
    <t>Any segment that claims savings except C&amp;S</t>
  </si>
  <si>
    <t>MT CO2eq</t>
  </si>
  <si>
    <t>Greenhouse gasses (MT CO2eq) Net kWh savings, reported on an annual basis</t>
  </si>
  <si>
    <t>The value is sourced from the Net Elec CO2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</si>
  <si>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Forecasted values exclude the 5% market effects. In contrast, reported achievement values incorporate the 5% market effects.</t>
  </si>
  <si>
    <t>First year annual kW gross</t>
  </si>
  <si>
    <t>No change</t>
  </si>
  <si>
    <t>Indicator</t>
  </si>
  <si>
    <t>First year annual and lifecycle ex‐ante (pre‐evaluation) gas, electric, and demand savings (gross and net)</t>
  </si>
  <si>
    <t/>
  </si>
  <si>
    <t xml:space="preserve">  </t>
  </si>
  <si>
    <t>First year annual kW net</t>
  </si>
  <si>
    <t>First year annual kWh gross</t>
  </si>
  <si>
    <t>First year annual kWh net</t>
  </si>
  <si>
    <t>Residential Customers
Multi-Family
Manufactured Homes</t>
  </si>
  <si>
    <t>The split incentive between property owners and tenants often discourages investment in energy efficiency upgrades, since owners pay for improvements while tenants receive most of the savings. In addition, the wide variety of multifamily building types makes it difficult to design uniform program models and upgrade packages that effectively meet the needs of every property.</t>
  </si>
  <si>
    <t>First year annual Therm gross</t>
  </si>
  <si>
    <t>First year annual Therm net</t>
  </si>
  <si>
    <t>Changed from metric to indicator to match E-5351</t>
  </si>
  <si>
    <t>Lifecycle ex-ante kWh gross</t>
  </si>
  <si>
    <t>The value is sourced from the Lifecycle Gross kWh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</si>
  <si>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t>
  </si>
  <si>
    <t>The value is sourced from the Lifecycle Net kWh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</si>
  <si>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t>
  </si>
  <si>
    <t>The value is sourced from the Lifecycle Gross Therm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</si>
  <si>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t>
  </si>
  <si>
    <t>The value is sourced from the Lifecycle Net Therm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</si>
  <si>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in Disadvantaged Communities</t>
  </si>
  <si>
    <t>First year annual and lifecycle ex‐ante (pre‐evaluation) gas, electric, and demand savings (gross and net) in disadvantaged communities</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</si>
  <si>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</si>
  <si>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</si>
  <si>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</si>
  <si>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</si>
  <si>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</si>
  <si>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kWh gross in Disadvantaged Communities</t>
  </si>
  <si>
    <t>Lifecycle ex-ante kWh net in Disadvantaged Communities</t>
  </si>
  <si>
    <t>Lifecycle ex-ante Therm gross in Disadvantaged Communities</t>
  </si>
  <si>
    <t>Lifecycle ex-ante Therm net in Disadvantaged Communities</t>
  </si>
  <si>
    <t>First year annual kW gross in Hard-to-Reach Markets</t>
  </si>
  <si>
    <t>First year annual and lifecycle ex‐ante (pre‐evaluation) gas, electric, and demand savings (gross and net) in hard‐to‐reach markets</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</si>
  <si>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</si>
  <si>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</si>
  <si>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</si>
  <si>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</si>
  <si>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</si>
  <si>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kWh gross in Hard-to-Reach Markets</t>
  </si>
  <si>
    <t>Lifecycle ex-ante kWh net in Hard-to-Reach Markets</t>
  </si>
  <si>
    <t>Lifecycle ex-ante Therm gross in Hard-to-Reach Markets</t>
  </si>
  <si>
    <t>Lifecycle ex-ante Therm net in Hard-to-Reach Markets</t>
  </si>
  <si>
    <t>Residential (RSF)</t>
  </si>
  <si>
    <t>First year annual and lifecycle ex‐ante (pre‐evaluation) gas, electric, and demand savings (gross and net) for Single Family Customers</t>
  </si>
  <si>
    <t>The value is sourced from the Lifecycle Gross kWh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</si>
  <si>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kWh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</si>
  <si>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Gross Therm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</si>
  <si>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Therm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</si>
  <si>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Net Elec CO2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</si>
  <si>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Average lifecycle ex-ante kWh net savings per participant - Opt-in - Downstream</t>
  </si>
  <si>
    <t>Lifecycle NET kWh</t>
  </si>
  <si>
    <t>Average savings per participant in opt‐in and opt‐out programs (broken down by downstream, midstream and upstream, as feasible)</t>
  </si>
  <si>
    <t>Average lifecycle ex-ante Therm net savings per participant - Opt-in - Downstream</t>
  </si>
  <si>
    <t>Lifecycle NET Therms</t>
  </si>
  <si>
    <t>First year annual kW gross - In Unit</t>
  </si>
  <si>
    <t>Residential Sector – Multi-family (RMF)</t>
  </si>
  <si>
    <t>First year annual and lifecycle ex‐ante (pre‐evaluation) gas, electric, and demand savings (gross and net) for multifamily customers (in‐unit, common area, and master metered accounts)</t>
  </si>
  <si>
    <t>First year annual kW net - In Unit</t>
  </si>
  <si>
    <t>First year annual kWh gross - In Unit</t>
  </si>
  <si>
    <t>First year annual kWh net - In Unit</t>
  </si>
  <si>
    <t>First year annual Therm gross - In Unit</t>
  </si>
  <si>
    <t>First year annual Therm net - In Unit</t>
  </si>
  <si>
    <t>Lifecycle ex-ante kWh gross - In Unit</t>
  </si>
  <si>
    <t>The value is sourced from the Lifecycle Gross kWh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</si>
  <si>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In Unit</t>
  </si>
  <si>
    <t>The value is sourced from the Lifecycle Net kWh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</si>
  <si>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In Unit</t>
  </si>
  <si>
    <t>The value is sourced from the Lifecycle Gross Therm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</si>
  <si>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In Unit</t>
  </si>
  <si>
    <t>The value is sourced from the Lifecycle Net Therm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</si>
  <si>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 Master Metered</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</si>
  <si>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</si>
  <si>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</si>
  <si>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</si>
  <si>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</si>
  <si>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</si>
  <si>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kWh gross - Master Metered</t>
  </si>
  <si>
    <t>The value is sourced from the Lifecycle Gross kWh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</si>
  <si>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Master Metered</t>
  </si>
  <si>
    <t>The value is sourced from the Lifecycle Net kWh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</si>
  <si>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Master Metered</t>
  </si>
  <si>
    <t>The value is sourced from the Lifecycle Gross Therm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</si>
  <si>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Master Metered</t>
  </si>
  <si>
    <t>The value is sourced from the Lifecycle Net Therm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</si>
  <si>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</si>
  <si>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</si>
  <si>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</si>
  <si>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</si>
  <si>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</si>
  <si>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</si>
  <si>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kWh gross - Common Area</t>
  </si>
  <si>
    <t>The value is sourced from the Lifecycle Gross kWh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</si>
  <si>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Common Area</t>
  </si>
  <si>
    <t>The value is sourced from the Lifecycle Net kWh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</si>
  <si>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Common Area</t>
  </si>
  <si>
    <t>The value is sourced from the Lifecycle Gross Therm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</si>
  <si>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Common Area</t>
  </si>
  <si>
    <t>The value is sourced from the Lifecycle Net Therm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</si>
  <si>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Net Elec CO2 field within the CEDARS output specific to this sector, limited to the building types of Mfm and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</si>
  <si>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per project (building)</t>
  </si>
  <si>
    <t>Energy savings (kWh, kw, therms) per project (building)</t>
  </si>
  <si>
    <t>Lifecycle ex-ante Therm net per project (building)</t>
  </si>
  <si>
    <t>Lifecycle ex-ante kWh net per project (property)</t>
  </si>
  <si>
    <t>Average savings per participant Savings per project (property)</t>
  </si>
  <si>
    <t>Lifecycle ex-ante Therm net per project (property)</t>
  </si>
  <si>
    <t>Commercial Sector (C)</t>
  </si>
  <si>
    <t>kW</t>
  </si>
  <si>
    <t>kWh</t>
  </si>
  <si>
    <t>Therm</t>
  </si>
  <si>
    <t>The value is sourced from the Lifecycle Gross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</si>
  <si>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</si>
  <si>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Gross Therm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</si>
  <si>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Therm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</si>
  <si>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Percent first year annual kW gross</t>
  </si>
  <si>
    <t>Percent</t>
  </si>
  <si>
    <t>First year annual and lifecycle ex‐ante (pre‐evaluation) gas, electric, and demand savings (gross and net) as a percentage of overall sectoral usage</t>
  </si>
  <si>
    <t>Percent first year annual kW net</t>
  </si>
  <si>
    <t>Percent first year annual kWh gross</t>
  </si>
  <si>
    <t>Percent first year annual kWh net</t>
  </si>
  <si>
    <t>Percent first year annual Therm gross</t>
  </si>
  <si>
    <t>Percent first year annual Therm net</t>
  </si>
  <si>
    <t>The value is sourced from the Net Elec CO2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</si>
  <si>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Percent of total projects utilizing Normalized Metered Energy Consumption (NMEC) to estimate savings</t>
  </si>
  <si>
    <t>Fraction of total projects utilizing Normalized Metered Energy Consumption (NMEC) to estimate savings</t>
  </si>
  <si>
    <t>Percent of total savings (gross kWh and therm) derived from NMEC analysis</t>
  </si>
  <si>
    <t>Fraction of total savings (gross kWh and therm) derived from NMEC analysis</t>
  </si>
  <si>
    <t>Percent Improvement in trade ally satisfaction</t>
  </si>
  <si>
    <t>Improvement in trade ally satisfaction</t>
  </si>
  <si>
    <t>Public Sector (P)</t>
  </si>
  <si>
    <t>First year annual and lifecycle ex‐ante (pre‐evaluation) gas, electric, and demand savings (gross and net) across Public Sector programs</t>
  </si>
  <si>
    <t>The value is sourced from the Lifecycle Gross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</si>
  <si>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Greenhouse gasses (MT CO2eq) based on net lifecycle kWh and Therms savings, reported on an annual basis, incorporating average fuel/technology mix</t>
  </si>
  <si>
    <t>Percent annual net kW per project building or facility</t>
  </si>
  <si>
    <t>Percent annual NET kW</t>
  </si>
  <si>
    <t>Average percent energy savings (kWh, kw, therms) per project building or facility</t>
  </si>
  <si>
    <t>Percent annual net kWh per project building or facility</t>
  </si>
  <si>
    <t>Percent annual NET kWh</t>
  </si>
  <si>
    <t>Percent annual net Therms per project building or facility</t>
  </si>
  <si>
    <t>Percent annual NET Therms</t>
  </si>
  <si>
    <t>Total program‐backed financing distributed to Public Sector customers requiring repayment</t>
  </si>
  <si>
    <t>$</t>
  </si>
  <si>
    <t>Total program‐backed financing distributed to Public Sector customers requiring repayment (i.e., loans, OBF)</t>
  </si>
  <si>
    <t>Industrial (I)</t>
  </si>
  <si>
    <t>First year annualized and lifecycle ex‐ante (pre‐evaluation) gas, electric, and demand savings (gross and net) in industrial sector</t>
  </si>
  <si>
    <t>Agricultural (A)</t>
  </si>
  <si>
    <t>First year and lifecycle ex ante (pre‐evaluation) annualized gas, electric, and demand savings in agriculture sector, gross and net</t>
  </si>
  <si>
    <t>Net GWh savings</t>
  </si>
  <si>
    <t>Codes &amp; Standards (CS)</t>
  </si>
  <si>
    <t>C&amp;S only</t>
  </si>
  <si>
    <t>Net GWh</t>
  </si>
  <si>
    <t>Net Energy Savings: GWH</t>
  </si>
  <si>
    <t>The value is sourced from the First Year Net kWh field within the CEDARS output specific to this sector then converted to GWh savings by dividing 1,000,000.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</si>
  <si>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Net MMTherms savings</t>
  </si>
  <si>
    <t>Net MMTherms</t>
  </si>
  <si>
    <t>Net Energy Savings: MM Therms</t>
  </si>
  <si>
    <t>The value is sourced from the First Year Net Therm field within the CEDARS output specific to this sector then converted to MMTherm savings by dividing 1,000,000.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</si>
  <si>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Net MW savings</t>
  </si>
  <si>
    <t>Net MW</t>
  </si>
  <si>
    <t>Net Energy Savings: MW</t>
  </si>
  <si>
    <t>The value is sourced from the First Year Net kW field within the CEDARS output specific to this sector then converted to MW savings by dividing 1,000.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</si>
  <si>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number of local government Reach Codes implemented (this is a joint IOU and REN effort)</t>
  </si>
  <si>
    <t>Count</t>
  </si>
  <si>
    <t>Number of training activities (classes, webinars) held, number of market actors participants by segment (e.g. building officials, builders, architects, etc.) and the the total size (number of the target audience) by sector. (M) Number of training activities</t>
  </si>
  <si>
    <t>Changed sector to cross cutting and segment to market support</t>
  </si>
  <si>
    <t xml:space="preserve">Market Support </t>
  </si>
  <si>
    <t>Number of training activities (classes, webinars) held, number of market actors participants by segment (e.g. building officials, builders, architects, etc.) and the the total size (number of the target audience) by sector. (M) Number of participants</t>
  </si>
  <si>
    <t>Increase in code compliance knowledge pre/post training</t>
  </si>
  <si>
    <t>Score</t>
  </si>
  <si>
    <t>Number and percent of jurisdictions with staff participating in an Energy Policy Forum</t>
  </si>
  <si>
    <t>Number of TPMs initiated (gas and electric combined), including one technology-focused pilot (TFP) TPM</t>
  </si>
  <si>
    <t>Emerging Technologies (ET)</t>
  </si>
  <si>
    <t>ETP Only</t>
  </si>
  <si>
    <t>Number of TPMs initiated (gas and electric combined), including one technology-focused pilot (TFP) TPM *This number will be updated once all third party contracts have been awarded.</t>
  </si>
  <si>
    <t>Number of TPMs updated</t>
  </si>
  <si>
    <t>Count of TPMs</t>
  </si>
  <si>
    <t>Number of TPMs updated *This number will be updated once all third party contracts have been awarded.</t>
  </si>
  <si>
    <t>Number of projects initiated</t>
  </si>
  <si>
    <t>Count of Projects</t>
  </si>
  <si>
    <t>Number of projects initiated *This number will be updated once all third party contracts have been awarded.</t>
  </si>
  <si>
    <t>Number of outreach events with technology developers with products &lt;1 year from commercialization, including new technology vendors, manufacturers, and entrepreneurs</t>
  </si>
  <si>
    <t>Count of Events</t>
  </si>
  <si>
    <t>Number of outreach events with technology developers with products &lt;1 year from commercialization, including new technology vendors, manufacturers, and entrepreneurs. *This number will be updated once all third party contracts have been awarded.</t>
  </si>
  <si>
    <t>Number of outreach events with technology developers with products &lt;5 years from commercialization, including new technology vendors, manufacturers, and entrepreneurs</t>
  </si>
  <si>
    <t>Number of outreach events with technology developers with products &lt;5 years from commercialization, including new technology vendors, manufacturers, and entrepreneurs. *This number will be updated once all third party contracts have been awarded.</t>
  </si>
  <si>
    <t>Number of projects initiated with cooperation from other internal IOU programs associated with each Technology-focused Pilot</t>
  </si>
  <si>
    <t>Count of TFPs</t>
  </si>
  <si>
    <t>Number of projects initiated with cooperation from other internal IOU programs associated with each Technology-focused Pilot *This number will be updated once all third party contracts have been awarded.</t>
  </si>
  <si>
    <t>Number of Technology-Focused Pilot (TFP) initiated as part of the TFP TPM</t>
  </si>
  <si>
    <t>Number of Technology-Focused Pilot (TFP) initiated as part of the TFP TPM. *This number will be updated once all third party contracts have been awarded.</t>
  </si>
  <si>
    <t>Number and source (as reported by submitter) of project ideas submitted OUTSIDE OF the annual TPM research planning process by PA</t>
  </si>
  <si>
    <t>Count of project ideas by PA</t>
  </si>
  <si>
    <t>Number and source (as reported by submitter) of project ideas submitted OUTSIDE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</si>
  <si>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OUTSIDE OF the annual TPM research planning process by National Lab</t>
  </si>
  <si>
    <t>Count of project ideas by national labs</t>
  </si>
  <si>
    <t>Number and source (as reported by submitter) of project ideas submitted OUTSIDE OF the annual TPM research planning process by Manufacturer</t>
  </si>
  <si>
    <t>Count of project ideas by manufacturers</t>
  </si>
  <si>
    <t>Number and source (as reported by submitter) of project ideas submitted OUTSIDE OF the annual TPM research planning process by Entrepreneur</t>
  </si>
  <si>
    <t>Count of project ideas by entrepreneurs</t>
  </si>
  <si>
    <t>ETP-T7a Number and source (as reported by submitter) of project ideas submitted AS PART OF the annual TPM research planning process by PA</t>
  </si>
  <si>
    <t>Number and source (as reported by submitter) of project ideas submitted AS PART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</si>
  <si>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AS PART OF the annual TPM research planning process by National Lab</t>
  </si>
  <si>
    <t>Number and source (as reported by submitter) of project ideas submitted AS PART OF the annual TPM research planning process by Manufacturer</t>
  </si>
  <si>
    <t>Number and source (as reported by submitter) of project ideas submitted AS PART OF the annual TPM research planning process by Entrepreneur</t>
  </si>
  <si>
    <t>EQ01a</t>
  </si>
  <si>
    <t>EQ1</t>
  </si>
  <si>
    <t>Count of equity target participants in equity targeted segment, by sector</t>
  </si>
  <si>
    <t>Added by sector</t>
  </si>
  <si>
    <t>For res sector only provide number of all unique premise accounts served by the program and annually provide the number of unique premise accounts per year multiplied by the average household population</t>
  </si>
  <si>
    <t>EQ01b</t>
  </si>
  <si>
    <t>EQ01c</t>
  </si>
  <si>
    <t>EQ01d</t>
  </si>
  <si>
    <t>EQ01e</t>
  </si>
  <si>
    <t>EQ01f</t>
  </si>
  <si>
    <t>EQ02a</t>
  </si>
  <si>
    <t>EQ2</t>
  </si>
  <si>
    <t>Sum of equity target participants’ expected first-year bill savings in equity segment, by sector</t>
  </si>
  <si>
    <t>PAs to develop and implement a common methodology all PAs will use for estimating bill savings.</t>
  </si>
  <si>
    <t>EQ02b</t>
  </si>
  <si>
    <t>EQ02c</t>
  </si>
  <si>
    <t>EQ02d</t>
  </si>
  <si>
    <t>EQ02e</t>
  </si>
  <si>
    <t>EQ02f</t>
  </si>
  <si>
    <t>EQ03a</t>
  </si>
  <si>
    <t>EQ3</t>
  </si>
  <si>
    <t>Count of equity target participants in market support segment, by sector</t>
  </si>
  <si>
    <t>See note on EQ01</t>
  </si>
  <si>
    <t>EQ03b</t>
  </si>
  <si>
    <t>EQ03c</t>
  </si>
  <si>
    <t>EQ03d</t>
  </si>
  <si>
    <t>EQ03e</t>
  </si>
  <si>
    <t>EQ03f</t>
  </si>
  <si>
    <t>EQ04a</t>
  </si>
  <si>
    <t>EQ4</t>
  </si>
  <si>
    <t>Count of equity target participants in resource acquisition segment, by sector</t>
  </si>
  <si>
    <t>EQ04b</t>
  </si>
  <si>
    <t>EQ04c</t>
  </si>
  <si>
    <t>EQ04d</t>
  </si>
  <si>
    <t>EQ04e</t>
  </si>
  <si>
    <t>EQ04f</t>
  </si>
  <si>
    <t>EQ05a</t>
  </si>
  <si>
    <t>EQ5</t>
  </si>
  <si>
    <t>Sum of all equity segment participants’ greenhouse gas reductions (in tons of carbon dioxide equivalent) in equity segment - First year gross</t>
  </si>
  <si>
    <t>E-5351 requested all values, added lines to allow for this input as well as by sector</t>
  </si>
  <si>
    <t>GHG</t>
  </si>
  <si>
    <t>First year net and gross as well as lifecycle net and gross (claimable savings only for CO2 from both elec and gas)</t>
  </si>
  <si>
    <t>EQ05b</t>
  </si>
  <si>
    <t>Sum of all equity segment participants’ greenhouse gas reductions (in tons of carbon dioxide equivalent) in equity segment - First year net</t>
  </si>
  <si>
    <t>EQ05c</t>
  </si>
  <si>
    <t>Sum of all equity segment participants’ greenhouse gas reductions (in tons of carbon dioxide equivalent) in equity segment - lifecycle gross</t>
  </si>
  <si>
    <t>EQ05d</t>
  </si>
  <si>
    <t>Sum of all equity segment participants’ greenhouse gas reductions (in tons of carbon dioxide equivalent) in equity segment - lifecycle net</t>
  </si>
  <si>
    <t>EQ05e</t>
  </si>
  <si>
    <t>EQ05f</t>
  </si>
  <si>
    <t>EQ05g</t>
  </si>
  <si>
    <t>EQ05h</t>
  </si>
  <si>
    <t>EQ05i</t>
  </si>
  <si>
    <t>EQ05j</t>
  </si>
  <si>
    <t>EQ05k</t>
  </si>
  <si>
    <t>EQ05l</t>
  </si>
  <si>
    <t>EQ05m</t>
  </si>
  <si>
    <t>EQ05n</t>
  </si>
  <si>
    <t>EQ05o</t>
  </si>
  <si>
    <t>EQ05p</t>
  </si>
  <si>
    <t>EQ05q</t>
  </si>
  <si>
    <t>EQ05r</t>
  </si>
  <si>
    <t>EQ05s</t>
  </si>
  <si>
    <t>EQ05t</t>
  </si>
  <si>
    <t>EQ05u</t>
  </si>
  <si>
    <t>EQ05v</t>
  </si>
  <si>
    <t>EQ05w</t>
  </si>
  <si>
    <t>EQ05x</t>
  </si>
  <si>
    <t>EQ06a</t>
  </si>
  <si>
    <t>EQ6</t>
  </si>
  <si>
    <t>Sum of all equity segment participants’ kilowatt hour (kWh) savings in equity segment - first year gross</t>
  </si>
  <si>
    <t>First year net and gross as well as lifecycle net and gross (claimable savings only)</t>
  </si>
  <si>
    <t>EQ06b</t>
  </si>
  <si>
    <t>Sum of all equity segment participants’ kilowatt hour (kWh) savings in equity segment - first year net</t>
  </si>
  <si>
    <t>EQ06c</t>
  </si>
  <si>
    <t>Sum of all equity segment participants’ kilowatt hour (kWh) savings in equity segment - lifecycle gross</t>
  </si>
  <si>
    <t>EQ06d</t>
  </si>
  <si>
    <t>Sum of all equity segment participants’ kilowatt hour (kWh) savings in equity segment - lifecycle net</t>
  </si>
  <si>
    <t>EQ06e</t>
  </si>
  <si>
    <t>EQ06f</t>
  </si>
  <si>
    <t>EQ06g</t>
  </si>
  <si>
    <t>EQ06h</t>
  </si>
  <si>
    <t>EQ06i</t>
  </si>
  <si>
    <t>EQ06j</t>
  </si>
  <si>
    <t>EQ06k</t>
  </si>
  <si>
    <t>EQ06l</t>
  </si>
  <si>
    <t>EQ06m</t>
  </si>
  <si>
    <t>EQ06n</t>
  </si>
  <si>
    <t>EQ06o</t>
  </si>
  <si>
    <t>EQ06p</t>
  </si>
  <si>
    <t>EQ06q</t>
  </si>
  <si>
    <t>EQ06r</t>
  </si>
  <si>
    <t>EQ06s</t>
  </si>
  <si>
    <t>EQ06t</t>
  </si>
  <si>
    <t>EQ06u</t>
  </si>
  <si>
    <t>EQ06v</t>
  </si>
  <si>
    <t>EQ06w</t>
  </si>
  <si>
    <t>EQ06x</t>
  </si>
  <si>
    <t>EQ07a</t>
  </si>
  <si>
    <t>EQ7</t>
  </si>
  <si>
    <t>Sum of all equity segment participants’ kW savings in equity segment - first year gross</t>
  </si>
  <si>
    <t>First year net and gross (claimable savings only)</t>
  </si>
  <si>
    <t>EQ07b</t>
  </si>
  <si>
    <t>Sum of all equity segment participants’ kW savings in equity segment - first year net</t>
  </si>
  <si>
    <t>EQ07c</t>
  </si>
  <si>
    <t>EQ07d</t>
  </si>
  <si>
    <t>EQ07e</t>
  </si>
  <si>
    <t>EQ07f</t>
  </si>
  <si>
    <t>EQ07g</t>
  </si>
  <si>
    <t>EQ07h</t>
  </si>
  <si>
    <t>EQ07i</t>
  </si>
  <si>
    <t>EQ07j</t>
  </si>
  <si>
    <t>EQ07k</t>
  </si>
  <si>
    <t>EQ07l</t>
  </si>
  <si>
    <t>EQ08a</t>
  </si>
  <si>
    <t>EQ8</t>
  </si>
  <si>
    <t>Sum of all equity segment participants’ therm savings in equity segment - first year gross</t>
  </si>
  <si>
    <t>EQ08b</t>
  </si>
  <si>
    <t>Sum of all equity segment participants’ therm savings in equity segment - first year net</t>
  </si>
  <si>
    <t>EQ08c</t>
  </si>
  <si>
    <t>Sum of all equity segment participants’ therm savings in equity segment - lifecycle gross</t>
  </si>
  <si>
    <t>EQ08d</t>
  </si>
  <si>
    <t>Sum of all equity segment participants’ therm savings in equity segment - lifecycle net</t>
  </si>
  <si>
    <t>EQ08e</t>
  </si>
  <si>
    <t>EQ08f</t>
  </si>
  <si>
    <t>EQ08g</t>
  </si>
  <si>
    <t>EQ08h</t>
  </si>
  <si>
    <t>EQ08i</t>
  </si>
  <si>
    <t>EQ08j</t>
  </si>
  <si>
    <t>EQ08k</t>
  </si>
  <si>
    <t>EQ08l</t>
  </si>
  <si>
    <t>EQ08m</t>
  </si>
  <si>
    <t>EQ08n</t>
  </si>
  <si>
    <t>EQ08o</t>
  </si>
  <si>
    <t>EQ08p</t>
  </si>
  <si>
    <t>EQ08q</t>
  </si>
  <si>
    <t>EQ08r</t>
  </si>
  <si>
    <t>EQ08s</t>
  </si>
  <si>
    <t>EQ08t</t>
  </si>
  <si>
    <t>EQ08u</t>
  </si>
  <si>
    <t>EQ08v</t>
  </si>
  <si>
    <t>EQ08w</t>
  </si>
  <si>
    <t>EQ08x</t>
  </si>
  <si>
    <t>EQ09a</t>
  </si>
  <si>
    <t>EQ9</t>
  </si>
  <si>
    <t>Sum of all equity segment participants’ TSB in equity segment</t>
  </si>
  <si>
    <t>Claimable savings only</t>
  </si>
  <si>
    <t>EQ09b</t>
  </si>
  <si>
    <t>EQ09c</t>
  </si>
  <si>
    <t>EQ09d</t>
  </si>
  <si>
    <t>EQ09e</t>
  </si>
  <si>
    <t>EQ09f</t>
  </si>
  <si>
    <t>EQ10a</t>
  </si>
  <si>
    <t>EQ10</t>
  </si>
  <si>
    <t>Median of equity target participants’ expected first-year bill savings in equity segment by sector</t>
  </si>
  <si>
    <t>EQ10b</t>
  </si>
  <si>
    <t>EQ10c</t>
  </si>
  <si>
    <t>EQ10d</t>
  </si>
  <si>
    <t>EQ10e</t>
  </si>
  <si>
    <t>EQ10f</t>
  </si>
  <si>
    <t>EQ11a</t>
  </si>
  <si>
    <t>EQ11</t>
  </si>
  <si>
    <t>Percent of hard-to-reach customer participants in portfolio, by residential single family / multi-family and commercial sector</t>
  </si>
  <si>
    <t>All segments except C&amp;S</t>
  </si>
  <si>
    <t>% HTR customers in portfolio = (HTR customer participants / All customer participants) by building type for residential and commercial sectors</t>
  </si>
  <si>
    <t>EQ11b</t>
  </si>
  <si>
    <t>EQ11c</t>
  </si>
  <si>
    <t>EQ12a</t>
  </si>
  <si>
    <t>EQ12</t>
  </si>
  <si>
    <t>Percent of disadvantaged community customer participants in portfolio, by residential single-family / multi-family and commercial sector</t>
  </si>
  <si>
    <t>% DAC customers in portfolio = (DAC customer participants / All customer participants) by building type for residential and commercial sectors</t>
  </si>
  <si>
    <t>EQ12b</t>
  </si>
  <si>
    <t>EQ12c</t>
  </si>
  <si>
    <t>EQ13a</t>
  </si>
  <si>
    <t>EQ13</t>
  </si>
  <si>
    <t>Percent of equity target participants in equity segment, by sector</t>
  </si>
  <si>
    <t>EQ13b</t>
  </si>
  <si>
    <t>EQ13c</t>
  </si>
  <si>
    <t>EQ13d</t>
  </si>
  <si>
    <t>EQ13e</t>
  </si>
  <si>
    <t>EQ13f</t>
  </si>
  <si>
    <t>MS01</t>
  </si>
  <si>
    <t>MS1</t>
  </si>
  <si>
    <t>Number of partners by type and purposes</t>
  </si>
  <si>
    <t>Changed segment to include C&amp;S for clarity. (Resolution E-5351 indicates all portfolio)</t>
  </si>
  <si>
    <t>All segments (including C&amp;S)</t>
  </si>
  <si>
    <t>NA - name is description</t>
  </si>
  <si>
    <t>MS02</t>
  </si>
  <si>
    <t>MS2</t>
  </si>
  <si>
    <t>Dollar value of non-ratepayer in-kind funds/contributions utilized via partnerships</t>
  </si>
  <si>
    <t>MS03a</t>
  </si>
  <si>
    <t>MS3</t>
  </si>
  <si>
    <t>Percent of participation relative to eligible target population for curriculum</t>
  </si>
  <si>
    <t>MS03b</t>
  </si>
  <si>
    <t>MS03c</t>
  </si>
  <si>
    <t>MS03d</t>
  </si>
  <si>
    <t>MS03e</t>
  </si>
  <si>
    <t>MS03f</t>
  </si>
  <si>
    <t>MS04a</t>
  </si>
  <si>
    <t>MS4</t>
  </si>
  <si>
    <t>Percent of total WE&amp;T program participants that meet the definition of disadvantaged worker</t>
  </si>
  <si>
    <t>MS04b</t>
  </si>
  <si>
    <t>MS04c</t>
  </si>
  <si>
    <t>MS04d</t>
  </si>
  <si>
    <t>MS04e</t>
  </si>
  <si>
    <t>MS04f</t>
  </si>
  <si>
    <t>MS05a</t>
  </si>
  <si>
    <t>MS5</t>
  </si>
  <si>
    <t>Number of career and workforce readiness participants who have been employed for 12 months after receiving the training</t>
  </si>
  <si>
    <t>MS05b</t>
  </si>
  <si>
    <t>MS05c</t>
  </si>
  <si>
    <t>MS05d</t>
  </si>
  <si>
    <t>MS05e</t>
  </si>
  <si>
    <t>MS05f</t>
  </si>
  <si>
    <t>MS06</t>
  </si>
  <si>
    <t>MS6</t>
  </si>
  <si>
    <t>Prior year percentage of new measures added to the portfolio that were previously emerging technology program (ETP) technologies</t>
  </si>
  <si>
    <t>Changed sector to portfolio to match E-5351; changed to all segments except C&amp;S</t>
  </si>
  <si>
    <t>MS07</t>
  </si>
  <si>
    <t>MS7</t>
  </si>
  <si>
    <t>Prior year number of new measures added to the portfolio that were previously ETP technologies</t>
  </si>
  <si>
    <t>MS08</t>
  </si>
  <si>
    <t>MS8</t>
  </si>
  <si>
    <t>Prior year percentage of new codes or standards that were previously ETP technologies</t>
  </si>
  <si>
    <t>MS09</t>
  </si>
  <si>
    <t>MS9</t>
  </si>
  <si>
    <t>Prior year number of new codes and standards that were previously ETP technologies</t>
  </si>
  <si>
    <t>MS10a</t>
  </si>
  <si>
    <t>MS10</t>
  </si>
  <si>
    <t>Savings (lifecycle net kWh, kWh, and therms) of measures currently in the portfolio that were supported by ETP, added since 2009. Ex ante with gross and net for all measures, with ex post where available</t>
  </si>
  <si>
    <t>Changed sector to show portfolio level, added lines for ex-ante savings; changed segment to all segments with savings</t>
  </si>
  <si>
    <t>MS10b</t>
  </si>
  <si>
    <t>MS10c</t>
  </si>
  <si>
    <t>MS10d</t>
  </si>
  <si>
    <t>MS10e</t>
  </si>
  <si>
    <t>MS10f</t>
  </si>
  <si>
    <t>MS11</t>
  </si>
  <si>
    <t>Number of new, validated technologies recommended to the California Technical Forum</t>
  </si>
  <si>
    <t>MS12a</t>
  </si>
  <si>
    <t>MS12</t>
  </si>
  <si>
    <t>Cost-effectiveness of a technology prior to market support program relative to cost-effectiveness of a technology after intervention by the market support programs (percentage change in cost-effectiveness)</t>
  </si>
  <si>
    <t>MS12b</t>
  </si>
  <si>
    <t>MS12c</t>
  </si>
  <si>
    <t>MS12d</t>
  </si>
  <si>
    <t>MS12e</t>
  </si>
  <si>
    <t>MS12f</t>
  </si>
  <si>
    <t>MS14a</t>
  </si>
  <si>
    <t>MS14</t>
  </si>
  <si>
    <t>Number of unique participants by sector that complete training</t>
  </si>
  <si>
    <t>MS14b</t>
  </si>
  <si>
    <t>MS14c</t>
  </si>
  <si>
    <t>MS14d</t>
  </si>
  <si>
    <t>MS14e</t>
  </si>
  <si>
    <t>MS14f</t>
  </si>
  <si>
    <t>MS18</t>
  </si>
  <si>
    <t>Percentage of partners that have taken action supporting energy efficiency by type</t>
  </si>
  <si>
    <t>Taken action refers to what the partners have done to advance their shared purpose (as defined by examples that include but are not limited to: 1) deliver EE products, 2) outreach, 3) education, 4) job training, 5) deversify funding options, 8) program enrollment)
Type related to the type of partner as defined by 1) community-based organization/non-profit, 2) contractor, 3) government / public agency, 4) other. Note that the EMSWG did not clarify whether a contractor means a building/construction contractor or a consulting contractor.
Denominator for this indicator should be the total number of all partners. The total number of all partners is not fixed over time.
Percentage is the number of partners that have takend action / total number of all partners.</t>
  </si>
  <si>
    <t>MS19a</t>
  </si>
  <si>
    <t>MS19</t>
  </si>
  <si>
    <t>Number of contractors (that serve in the portfolio administrator service areas) with knowledge and trained by relevant market support programs to provide quality installations that optimize energy efficiency</t>
  </si>
  <si>
    <t>MS19b</t>
  </si>
  <si>
    <t>MS19c</t>
  </si>
  <si>
    <t>MS19d</t>
  </si>
  <si>
    <t>MS19e</t>
  </si>
  <si>
    <t>MS19f</t>
  </si>
  <si>
    <t>MS20</t>
  </si>
  <si>
    <t>Assessed value of the partnership by partners</t>
  </si>
  <si>
    <t>TBD</t>
  </si>
  <si>
    <t>Partnership defined as: 1. Agreement between at least two entities to engage in a mutually beneficial relationship within thecontext of EE products,services, education, and/ortraining 2. The partnership may or may not be legally contracted 3. In cases where a partnership is not contracted, PAs have other documents/materials demonstrating agreement to work together.</t>
  </si>
  <si>
    <t>BAY_UVM_01</t>
  </si>
  <si>
    <t>Example of a BayREN UVM, indicate sector(s) for which relevant</t>
  </si>
  <si>
    <t>UVM</t>
  </si>
  <si>
    <t xml:space="preserve"> Tab 4.2 aligns with how the programs are filed in CEDARS per the instructions provided. This tab contains program-level budget requests and cost components for SDG&amp;E's energy efficiency programs, including a breakout separating third‑party implementer costs from SDG&amp;E’s internal utility costs to ensure Tab 8 is calculated correctly.</t>
  </si>
  <si>
    <r>
      <t xml:space="preserve">Target Exempt
</t>
    </r>
    <r>
      <rPr>
        <i/>
        <sz val="10"/>
        <rFont val="Calibri"/>
        <family val="2"/>
        <scheme val="minor"/>
      </rPr>
      <t>Select from look up table</t>
    </r>
  </si>
  <si>
    <r>
      <t>Administrative</t>
    </r>
    <r>
      <rPr>
        <b/>
        <vertAlign val="superscript"/>
        <sz val="10"/>
        <rFont val="Calibri"/>
        <family val="2"/>
        <scheme val="minor"/>
      </rPr>
      <t>1</t>
    </r>
  </si>
  <si>
    <r>
      <t>Marketing/ Outreach</t>
    </r>
    <r>
      <rPr>
        <b/>
        <vertAlign val="superscript"/>
        <sz val="10"/>
        <rFont val="Calibri"/>
        <family val="2"/>
        <scheme val="minor"/>
      </rPr>
      <t>1</t>
    </r>
  </si>
  <si>
    <r>
      <t>Direct Implementation Non-Incentive</t>
    </r>
    <r>
      <rPr>
        <b/>
        <vertAlign val="superscript"/>
        <sz val="10"/>
        <rFont val="Calibri"/>
        <family val="2"/>
        <scheme val="minor"/>
      </rPr>
      <t>1</t>
    </r>
  </si>
  <si>
    <t>Segment</t>
  </si>
  <si>
    <t>Total budget by Segment</t>
  </si>
  <si>
    <t>Tgt Ex Overhead</t>
  </si>
  <si>
    <t>Non Tgt Ex Overhead</t>
  </si>
  <si>
    <t>Portfolio Support Segment Allocation</t>
  </si>
  <si>
    <t>TOTAL Portfolio</t>
  </si>
  <si>
    <t>SDGE4001u</t>
  </si>
  <si>
    <t>Single Family Program (Utility)</t>
  </si>
  <si>
    <t>SDGE4002u</t>
  </si>
  <si>
    <t>Multi Family Program (Utility)</t>
  </si>
  <si>
    <t>SDGE4006u</t>
  </si>
  <si>
    <t>Industrial Sector Program (Utility)</t>
  </si>
  <si>
    <t>SDGE4040u</t>
  </si>
  <si>
    <t>IDSM Local Residential Behavioral Program (EE) (Utility)</t>
  </si>
  <si>
    <t>+'SDGE - IOU-3P Budgets 2028-31'!M13+'SDGE - IOU-3P Budgets 2028-31'!M84+'SDGE - IOU-3P Budgets 2028-31'!M91+'SDGE - IOU-3P Budgets 2028-31'!W15</t>
  </si>
  <si>
    <t>SDGE4168u</t>
  </si>
  <si>
    <t>Lodging (Hotels/Motels) (Utility)</t>
  </si>
  <si>
    <t>SDGE4169u</t>
  </si>
  <si>
    <t>Groceries, Restaurants and Food Storage (Utility)</t>
  </si>
  <si>
    <t>SDGE4170u</t>
  </si>
  <si>
    <t>Wholesale/Retail/Office, including Entertainment Services (Utility)</t>
  </si>
  <si>
    <t>SDGE4171u</t>
  </si>
  <si>
    <t>Private Institutions/Healthcare (Utility)</t>
  </si>
  <si>
    <t>SDGE4175u</t>
  </si>
  <si>
    <t>Local Residential Fuel-Substitution (Utility)</t>
  </si>
  <si>
    <t>SDGE4201u</t>
  </si>
  <si>
    <t>Market Access Program - Residential (Utility)</t>
  </si>
  <si>
    <t>SDGE4202u</t>
  </si>
  <si>
    <t>Market Access Program - Commercial (Utility)</t>
  </si>
  <si>
    <t>2028-2031</t>
  </si>
  <si>
    <r>
      <t xml:space="preserve">1 </t>
    </r>
    <r>
      <rPr>
        <sz val="10"/>
        <rFont val="Calibri"/>
        <family val="2"/>
        <scheme val="minor"/>
      </rPr>
      <t xml:space="preserve">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</si>
  <si>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t>Due to inaccuracies identified in the RIM calculations for PY 2024 within the CET, SDG&amp;E recalculated the associated values in this worksheet to support the 2024 reference year calculations in tab 2 Rates Rev - IOU only. Bill Savings sector rates from SDG&amp;E’s 2024 Annual Report were applied to derive the corresponding Bill Reductions and Bill Increases. The remaining formulas were then replicated to produce SDG&amp;E’s best estimate of the 2024 reference year. The estimated 2024 RIM impacts shown in Columns AG through AJ were calculated using 2024 claims data in conjunction with the rates applied in the bill impact calculations from the 2024 Annual Report. Because the CET’s 2024 RIM calculations contained mapping errors that mis‑assigned rates within the tool, the standard process used for the 2028–2031 period  could not be applied to the 2024 data.</t>
  </si>
  <si>
    <t>First Year Net kWh Reductions</t>
  </si>
  <si>
    <t>First Year Net kWh Fuel Sub Increases</t>
  </si>
  <si>
    <t>First Year Net Therm Reductions</t>
  </si>
  <si>
    <t>First Year Net Therm Fuel Sub Increases</t>
  </si>
  <si>
    <t>Lifecycle Net kWh Reductions</t>
  </si>
  <si>
    <t>Lifecycle Net kWh Fuel Sub Increases</t>
  </si>
  <si>
    <t>Lifecycle Net Therm Reductions</t>
  </si>
  <si>
    <t>Lifecycle Net Therm Fuel Sub Increases</t>
  </si>
  <si>
    <r>
      <t>2024 Sector Electric Rates</t>
    </r>
    <r>
      <rPr>
        <b/>
        <vertAlign val="superscript"/>
        <sz val="11"/>
        <color theme="0"/>
        <rFont val="Calibri Light"/>
        <family val="2"/>
      </rPr>
      <t>1</t>
    </r>
  </si>
  <si>
    <r>
      <t>2024 Sector Gas Rates</t>
    </r>
    <r>
      <rPr>
        <b/>
        <vertAlign val="superscript"/>
        <sz val="11"/>
        <color theme="0"/>
        <rFont val="Calibri Light"/>
        <family val="2"/>
      </rPr>
      <t>1</t>
    </r>
  </si>
  <si>
    <r>
      <t>PAC Cost % Electric</t>
    </r>
    <r>
      <rPr>
        <b/>
        <vertAlign val="superscript"/>
        <sz val="11"/>
        <rFont val="Calibri Light"/>
        <family val="2"/>
      </rPr>
      <t>2</t>
    </r>
  </si>
  <si>
    <t>Average Annual RIM Benefit Electric</t>
  </si>
  <si>
    <t>Average Annual RIM Benefit Gas</t>
  </si>
  <si>
    <t>Average Annual RIM Cost Electric</t>
  </si>
  <si>
    <t>Average Annual RIM Cost Gas</t>
  </si>
  <si>
    <t>SDGE_Portfolio_Oversight</t>
  </si>
  <si>
    <t>SDGE_SW_HVAC_Up_Com</t>
  </si>
  <si>
    <t>SW HVAC Upstream Commercial</t>
  </si>
  <si>
    <t>SDGE_SW_HVAC_Up_Com_PA</t>
  </si>
  <si>
    <t>SW HVAC Upstream Commercial (Utility)</t>
  </si>
  <si>
    <t>SDGE_SW_HVAC_Up_PA</t>
  </si>
  <si>
    <t>SW HVAC Upstream Program (Utility)</t>
  </si>
  <si>
    <t>SDGE_SW_HVAC_Up_Res</t>
  </si>
  <si>
    <t>SW HVAC Upstream Residential</t>
  </si>
  <si>
    <t>SDGE_SW_HVAC_Up_Res_PA</t>
  </si>
  <si>
    <t>SW HVAC Upstream Residential (Utility)</t>
  </si>
  <si>
    <t>SDGE_SW_NC_Res_mixed_PA</t>
  </si>
  <si>
    <t>SW New Construction Residential - Mixed Fuel (Utility)</t>
  </si>
  <si>
    <t>SDGE_SW_PLA</t>
  </si>
  <si>
    <t>SW Plug Load and Appliances</t>
  </si>
  <si>
    <t>SDGE_SW_PLA_PA</t>
  </si>
  <si>
    <t>SW Plug Load and Appliances (Utility)</t>
  </si>
  <si>
    <t>SDGE_SW_UL_PA</t>
  </si>
  <si>
    <t>SW Lighting Program (Utility)</t>
  </si>
  <si>
    <t>SDGE_SW_WP</t>
  </si>
  <si>
    <t>SW Downstream Water/Wastewater Pumping Program</t>
  </si>
  <si>
    <t>SDGE_SW_WP_PA</t>
  </si>
  <si>
    <t>SW Downstream Water/Wastewater Pumping Program (Utility)</t>
  </si>
  <si>
    <t>SDGE3222</t>
  </si>
  <si>
    <t>SW-COM-Calculated Incentives-Savings by Design</t>
  </si>
  <si>
    <t>SDGE3226</t>
  </si>
  <si>
    <t>SW-COM Direct Install</t>
  </si>
  <si>
    <t>SDGE3231</t>
  </si>
  <si>
    <t>SW-IND-Calculated Incentives-Calculated</t>
  </si>
  <si>
    <t>SDGE3260</t>
  </si>
  <si>
    <t>Local-IDSM-ME&amp;O-Local Marketing (EE)</t>
  </si>
  <si>
    <t>SDGE3264</t>
  </si>
  <si>
    <t>SW-FIN-New Finance Offerings</t>
  </si>
  <si>
    <t>SDGE3308</t>
  </si>
  <si>
    <t>Finance Pilot ME&amp;O OBR</t>
  </si>
  <si>
    <t>SDGE3312</t>
  </si>
  <si>
    <t>Finance IT OBR</t>
  </si>
  <si>
    <t>SDGE3317</t>
  </si>
  <si>
    <t>HOPPs - Building Retro-Commissioning</t>
  </si>
  <si>
    <t>SDGE3325</t>
  </si>
  <si>
    <t>SW-FIN-Finance Pilots Credit Enhancement</t>
  </si>
  <si>
    <t>SDGE4004</t>
  </si>
  <si>
    <t>Commercial Large Customer Services (&gt;20KW) Program</t>
  </si>
  <si>
    <t>SDGE4009</t>
  </si>
  <si>
    <t>Agricultural Growers Services Program</t>
  </si>
  <si>
    <t>SDGE4010</t>
  </si>
  <si>
    <t>Local Government Customers Program</t>
  </si>
  <si>
    <t>SDGE4011</t>
  </si>
  <si>
    <t>K-12 Customer Services Program</t>
  </si>
  <si>
    <t>SDGE4012</t>
  </si>
  <si>
    <t>Federal Customer Services Program</t>
  </si>
  <si>
    <t>SDGE4173</t>
  </si>
  <si>
    <t>Small Business Outreach</t>
  </si>
  <si>
    <t>SDGE4174</t>
  </si>
  <si>
    <t>Workforce, Education &amp; Training Programs</t>
  </si>
  <si>
    <t>SDGE4176</t>
  </si>
  <si>
    <t>Residential Equity Program</t>
  </si>
  <si>
    <t>SDGE4184</t>
  </si>
  <si>
    <t>Non-Residential Behavioral Program</t>
  </si>
  <si>
    <t>SDGE4197</t>
  </si>
  <si>
    <t>Core Market Access Program - Residential</t>
  </si>
  <si>
    <t>SDGE4198</t>
  </si>
  <si>
    <t>Core Market Access Program - Commercial</t>
  </si>
  <si>
    <t>SDGE-ESPI</t>
  </si>
  <si>
    <t>ESPI</t>
  </si>
  <si>
    <t>SDGE-GRCL</t>
  </si>
  <si>
    <t>GRC Labor Loaders</t>
  </si>
  <si>
    <r>
      <rPr>
        <vertAlign val="superscript"/>
        <sz val="11"/>
        <color theme="1"/>
        <rFont val="Calibri"/>
        <family val="2"/>
        <scheme val="minor"/>
      </rPr>
      <t>1</t>
    </r>
    <r>
      <rPr>
        <sz val="11"/>
        <color theme="1"/>
        <rFont val="Calibri"/>
        <family val="2"/>
        <scheme val="minor"/>
      </rPr>
      <t>Average rates were sourced from SDG&amp;E’s 2024 Annual Report, specifically the document titled SDG&amp;E 2024 Annual Report Data Tables, Tab 5: Bill Impacts. The sector Portfolio Support did not have an average rate reported in SDG&amp;E’s 2024 Annual Report, therefore, SDG&amp;E applied the estimated average Cross‑Cutting rate, as the activities within Portfolio Support most closely correspond to those classified under Cross‑Cutting.</t>
    </r>
  </si>
  <si>
    <r>
      <rPr>
        <vertAlign val="superscript"/>
        <sz val="11"/>
        <color theme="1"/>
        <rFont val="Calibri"/>
        <family val="2"/>
        <scheme val="minor"/>
      </rPr>
      <t>2</t>
    </r>
    <r>
      <rPr>
        <sz val="11"/>
        <color theme="1"/>
        <rFont val="Calibri"/>
        <family val="2"/>
        <scheme val="minor"/>
      </rPr>
      <t>The PAC Electric Cost Percentage is derived from Advice Letter 4291‑E, which approved SDG&amp;E’s electric Public Purpose Program rates effective January 1, 2024. In this filing, SDG&amp;E was authorized to apply an electric allocation factor of 67%. Accordingly, this percentage is used in this column.</t>
    </r>
  </si>
  <si>
    <t xml:space="preserve">Flat file version of the program card tables in the narrative. </t>
  </si>
  <si>
    <t>Populate cells from Program Cards in EE Portfolio Application Template Narrative. PAs can use this template to populate the narrative.</t>
  </si>
  <si>
    <t>Program Card</t>
  </si>
  <si>
    <r>
      <t>Program ID</t>
    </r>
    <r>
      <rPr>
        <b/>
        <vertAlign val="superscript"/>
        <sz val="11"/>
        <rFont val="Calibri"/>
        <family val="2"/>
        <scheme val="minor"/>
      </rPr>
      <t>1</t>
    </r>
  </si>
  <si>
    <t>New/Existing</t>
  </si>
  <si>
    <t>Expected Program Duration</t>
  </si>
  <si>
    <t>Portfolio Segment</t>
  </si>
  <si>
    <t>Program Implementer Type</t>
  </si>
  <si>
    <r>
      <t>Third-Party Program Implementer (applicable to IOUs only):</t>
    </r>
    <r>
      <rPr>
        <b/>
        <vertAlign val="superscript"/>
        <sz val="11"/>
        <rFont val="Calibri"/>
        <family val="2"/>
        <scheme val="minor"/>
      </rPr>
      <t>2</t>
    </r>
  </si>
  <si>
    <t>Applicable Sector</t>
  </si>
  <si>
    <r>
      <t>Customer Group(s)</t>
    </r>
    <r>
      <rPr>
        <b/>
        <vertAlign val="superscript"/>
        <sz val="11"/>
        <rFont val="Calibri"/>
        <family val="2"/>
        <scheme val="minor"/>
      </rPr>
      <t>3</t>
    </r>
  </si>
  <si>
    <r>
      <t>Sector Challenge</t>
    </r>
    <r>
      <rPr>
        <b/>
        <vertAlign val="superscript"/>
        <sz val="11"/>
        <rFont val="Calibri"/>
        <family val="2"/>
        <scheme val="minor"/>
      </rPr>
      <t>3</t>
    </r>
  </si>
  <si>
    <r>
      <t>Sector Opportunity</t>
    </r>
    <r>
      <rPr>
        <b/>
        <vertAlign val="superscript"/>
        <sz val="11"/>
        <rFont val="Calibri"/>
        <family val="2"/>
        <scheme val="minor"/>
      </rPr>
      <t>3</t>
    </r>
  </si>
  <si>
    <r>
      <t>Brief Program Description: (Including customer target, program strategies employed, expected program outcome)</t>
    </r>
    <r>
      <rPr>
        <b/>
        <vertAlign val="superscript"/>
        <sz val="11"/>
        <rFont val="Calibri"/>
        <family val="2"/>
        <scheme val="minor"/>
      </rPr>
      <t>3</t>
    </r>
  </si>
  <si>
    <r>
      <t>Known Equity Concerns in Selected Markets (if applicable)</t>
    </r>
    <r>
      <rPr>
        <b/>
        <vertAlign val="superscript"/>
        <sz val="11"/>
        <rFont val="Calibri"/>
        <family val="2"/>
        <scheme val="minor"/>
      </rPr>
      <t>3</t>
    </r>
  </si>
  <si>
    <r>
      <t>Proposed Solutions to Equity Concerns (if applicable)</t>
    </r>
    <r>
      <rPr>
        <b/>
        <vertAlign val="superscript"/>
        <sz val="11"/>
        <rFont val="Calibri"/>
        <family val="2"/>
        <scheme val="minor"/>
      </rPr>
      <t>3</t>
    </r>
  </si>
  <si>
    <r>
      <t>Intervention Strategy</t>
    </r>
    <r>
      <rPr>
        <b/>
        <vertAlign val="superscript"/>
        <sz val="11"/>
        <rFont val="Calibri"/>
        <family val="2"/>
        <scheme val="minor"/>
      </rPr>
      <t>3</t>
    </r>
  </si>
  <si>
    <r>
      <t>Delivery Type</t>
    </r>
    <r>
      <rPr>
        <b/>
        <vertAlign val="superscript"/>
        <sz val="11"/>
        <rFont val="Calibri"/>
        <family val="2"/>
        <scheme val="minor"/>
      </rPr>
      <t>3</t>
    </r>
  </si>
  <si>
    <r>
      <t>Measurement and Verification Methods</t>
    </r>
    <r>
      <rPr>
        <b/>
        <vertAlign val="superscript"/>
        <sz val="11"/>
        <rFont val="Calibri"/>
        <family val="2"/>
        <scheme val="minor"/>
      </rPr>
      <t>3</t>
    </r>
  </si>
  <si>
    <t>Program Total System Benefit (TSB) for 2028-2031</t>
  </si>
  <si>
    <t>Proposed Annual Budgets for 2028-2031</t>
  </si>
  <si>
    <t>Cost Effectiveness for 2028-2031</t>
  </si>
  <si>
    <r>
      <t>Anticipated Directional and Scale Changes in Budget (2032-2035)</t>
    </r>
    <r>
      <rPr>
        <b/>
        <vertAlign val="superscript"/>
        <sz val="11"/>
        <rFont val="Calibri"/>
        <family val="2"/>
        <scheme val="minor"/>
      </rPr>
      <t>3</t>
    </r>
  </si>
  <si>
    <r>
      <t>Market actors Necessary for Success</t>
    </r>
    <r>
      <rPr>
        <b/>
        <vertAlign val="superscript"/>
        <sz val="11"/>
        <rFont val="Calibri"/>
        <family val="2"/>
        <scheme val="minor"/>
      </rPr>
      <t>3</t>
    </r>
  </si>
  <si>
    <r>
      <t>High Level Description of Delivery Workforce Including Necessary Scale and Its Risks</t>
    </r>
    <r>
      <rPr>
        <b/>
        <vertAlign val="superscript"/>
        <sz val="11"/>
        <rFont val="Calibri"/>
        <family val="2"/>
        <scheme val="minor"/>
      </rPr>
      <t>3</t>
    </r>
  </si>
  <si>
    <r>
      <t>Near-term Program Output(s) (1-4 years)</t>
    </r>
    <r>
      <rPr>
        <b/>
        <vertAlign val="superscript"/>
        <sz val="11"/>
        <rFont val="Calibri"/>
        <family val="2"/>
        <scheme val="minor"/>
      </rPr>
      <t>3</t>
    </r>
  </si>
  <si>
    <r>
      <t>Long Term Outcome (5-10 years)</t>
    </r>
    <r>
      <rPr>
        <b/>
        <vertAlign val="superscript"/>
        <sz val="11"/>
        <rFont val="Calibri"/>
        <family val="2"/>
        <scheme val="minor"/>
      </rPr>
      <t>3</t>
    </r>
  </si>
  <si>
    <r>
      <t>Does this Program Interact with Others Programs in the this PA's Porftolio? If so, descrbe</t>
    </r>
    <r>
      <rPr>
        <b/>
        <vertAlign val="superscript"/>
        <sz val="11"/>
        <rFont val="Calibri"/>
        <family val="2"/>
        <scheme val="minor"/>
      </rPr>
      <t>3</t>
    </r>
  </si>
  <si>
    <r>
      <t>Program Metrics and Indicators (KPIs)</t>
    </r>
    <r>
      <rPr>
        <b/>
        <vertAlign val="superscript"/>
        <sz val="11"/>
        <rFont val="Calibri"/>
        <family val="2"/>
        <scheme val="minor"/>
      </rPr>
      <t>3</t>
    </r>
  </si>
  <si>
    <r>
      <t>Does the program utilize Integrated Demand Side Management (IDSM)?</t>
    </r>
    <r>
      <rPr>
        <b/>
        <vertAlign val="superscript"/>
        <sz val="11"/>
        <rFont val="Calibri"/>
        <family val="2"/>
        <scheme val="minor"/>
      </rPr>
      <t xml:space="preserve">3 </t>
    </r>
  </si>
  <si>
    <r>
      <t>Link to Existing Implementation Plan</t>
    </r>
    <r>
      <rPr>
        <b/>
        <vertAlign val="superscript"/>
        <sz val="11"/>
        <rFont val="Calibri"/>
        <family val="2"/>
        <scheme val="minor"/>
      </rPr>
      <t>3</t>
    </r>
  </si>
  <si>
    <t>2028 - onwards</t>
  </si>
  <si>
    <t>N/A</t>
  </si>
  <si>
    <t>Energy codes have undergone much more significant changes in each of the recent code updates than most other codes, thus creating a challenge for officials to maintain their expertise. There are also limited resources available for enforcement. There are also limited resources available for enforcement Title 24, Part 6 Building Energy Codes, Title 20 Appliance Standards, building decarbonization measures and ZNE design.</t>
  </si>
  <si>
    <t>Improved code compliance and enforcement</t>
  </si>
  <si>
    <t xml:space="preserve">The Compliance Enhancement subprogram targets market actors throughout the entire compliance chain, providing education, outreach, and technical support and resources to improve compliance with both the building and appliance energy standards.
</t>
  </si>
  <si>
    <t>There is a high population of non-english speakers in construction industry.</t>
  </si>
  <si>
    <t xml:space="preserve">Provide multi-lingual training and educations resources. </t>
  </si>
  <si>
    <t>Advocacy, 
Technical Assistance,
Training</t>
  </si>
  <si>
    <t>2028: $1,115,475.66
2029: $1,149,086.09
2030: $1,183,526.14
2031: $847,506.63</t>
  </si>
  <si>
    <t>TRC: 0.00
PAC: 0.00</t>
  </si>
  <si>
    <t>The 2032–2035 budget is aligned with 2031 and will be revised in the next application following release of updated portfolio requirements.</t>
  </si>
  <si>
    <t>Local Governments &amp; Jurisdictions
Code Setting &amp; Enforcement Entities
Energy Consultants &amp; Trade Associations 
Building Department Staff
Contractors 
Design Professionals
Manufacturers, Distributors, Retailers
Utility Staff</t>
  </si>
  <si>
    <t xml:space="preserve">Workforce requirements include training partners, building department personnel, and industry market actors such as architects, designers, contractors, energy consultants, distributors, retailers, and manufacturers. Given the program’s reach across nearly all buildings and appliance supply chains, the workforce operates at significant scale and requires ongoing engagement, coordination, and training to remain effective. Key risks include uneven participation across jurisdictions, resource limitations within building departments, turnover among contractors and retail staff, and potential disruption among major distributors, retailers, or trade partners that could reduce the program’s ability to deliver training and outreach. </t>
  </si>
  <si>
    <t xml:space="preserve">Develop and implement 250 role-based compliance trainings, 60 compliance resources, and 9 compliance tools that helps market actors understand codes and standards.  Prepare building and appliance industries for implementing existing and new Codes and Standards. Automate verification and completion of compliance forms submitted for permits and forms completed by installers. Improve appliance certification and verification process. </t>
  </si>
  <si>
    <t xml:space="preserve">Develop and implement 250 role-based compliance trainings, 60 compliance resources, and 9 compliance tools that helps market actors understand codes and standards. Incorporate ZNE designs, building decarbonization and water measures into compliance requirements.  Maximize compliance with existing and newly adopted building codes and appliance efficiency standards.  </t>
  </si>
  <si>
    <t xml:space="preserve">This program offers education on new building and appliance standards updates that will inform and influence EE offerings in the portfolio.  </t>
  </si>
  <si>
    <t xml:space="preserve">Increase in code compliance knowledge pre/post training
Number of partners by type and purposes
Number of jurisdictions with staff participating in an Energy Policy Forum
Percent of jurisdictions with staff participating in an Energy Policy Forum
Percentage of partners that have taken action supporting energy efficiency by type
Number of courses delivered  
Number ofmarket actors, reported in segments, that complete courses (e.g. building officials, builders, architects, etc.) 
Average knowledge swing
Average satisfaction rating  </t>
  </si>
  <si>
    <t>Other:
The C&amp;S programs will work with stakeholders to also address other energy related topics such as water efficiency, electrification, greenhouse gas reduction, alternative fuel vehicles, grid flexibility and sustainability, indoor air quality and equity related to Energy Efficiency.</t>
  </si>
  <si>
    <t>https://cedars.cpuc.ca.gov/documents/download/3149/mainchange_summary%7Cmain%7Credline)/</t>
  </si>
  <si>
    <t>Local jurisdictions often lack the technical expertise, staffing, and resources to draft and adopt energy codes that go beyond state minimums.</t>
  </si>
  <si>
    <t>Accelerated adoption of above‑code building standards</t>
  </si>
  <si>
    <t>The Reach Codes subprogram supports the development and adoption of local reach codes that exceed California’s minimum statewide energy standards by working with local governments and stakeholders across various sectors. The program provides technical support, policy guidance, and market‑facing resources through midstream and downstream channels to help jurisdictions craft and implement advanced building requirements. Through these strategies, the program aims to expand local adoption of above‑code ordinances, improve consistency in high‑efficiency building practices, and accelerate progress toward statewide energy efficiency and climate goals.</t>
  </si>
  <si>
    <t>2028: $1,045,128.12
2029: $1,076,618.91
2030: $1,108,886.99
2031: $773,450.61</t>
  </si>
  <si>
    <t xml:space="preserve">The delivery workforce consists primarily of technical policy experts and market engagement personnel who support the development and adoption of local reach codes that exceed statewide energy standards. Because the program operates across sectors and delivers resources through midstream and downstream channels, it requires a sufficiently scaled and technically experienced team capable of advising multiple jurisdictions simultaneously and providing sector‑specific guidance. Essential workforce risks include insufficient technical capacity to develop advanced codes, limited ability to engage and support diverse market actors, variability in local government readiness, and potential loss of specialized expertise due to staff turnover—all of which could hinder reach code adoption and reduce program effectiveness. </t>
  </si>
  <si>
    <t>Educate 12 jurisdictions annually regarding the value of reach codes, requirements and best
practices for reach code adoption.  Develop and implement reach codes focusing on water efficiency, electrification, greenhouse gas reduction, alternative fuel vehicles, grid flexibility and sustainability, indoor air quality and equity related to Energy Efficiency.</t>
  </si>
  <si>
    <t xml:space="preserve">This program offers education on on new local above code ordinances that will inform and influence EE offerings in the portfolio.  </t>
  </si>
  <si>
    <t>The number of local government Reach Codes implemented (this is a joint IOU and REN effort)
Number of partners by type and purpose
Number of jurisdictions with staff participating in an Energy Policy Forum
Percent of jurisdictions with staff participating in an Energy Policy Forum
Percentage of partners that have taken action supporting energy efficiency by type</t>
  </si>
  <si>
    <t>https://cedars.cpuc.ca.gov/documents/download/3150/mainchange_summary%7Cmain%7Credline)/</t>
  </si>
  <si>
    <t>The ambitious goals set by the CPUC and CEC require the participation of many different entities. Without proactive coordination, it will be difficult to prepare the market for future code adoption (i.e., improve code readiness), ensure higher code compliance rates, and advance the CPUC Strategic Plan goals for achieving zero net energy.</t>
  </si>
  <si>
    <t>The Planning and Coordination subprogram supports state and federal agencies, emerging technology partners, and market actors by coordinating strategies for priority technologies that advance ZNE and other policy goals. It accelerates commercialization for code adoption, improves compliance through targeted outreach and industry engagement, and maintains alignment with code‑setting agencies. These efforts aim to streamline statewide coordination, promote cost‑effective technology adoption, and strengthen overall code compliance.</t>
  </si>
  <si>
    <t>2028: $773,101.65
2029: $796,396.00
2030: $820,265.33
2031: $578,745.43</t>
  </si>
  <si>
    <t>Program delivery relies on a broad, statewide workforce composed of technical experts, trainers, program administrators, and market‑facing professionals who support energy code readiness, compliance, and coordination activities. Workforce scale is significant, as activities span multiple sectors, requiring continuous coordination and training to maintain consistent implementation. Interruptions in statewide collaboration, delays in code‑related training, or diminished participation from stakeholders could limit the program’s ability to support code readiness, compliance improvement, and long‑term planning objectives, thereby posing risks to program effectiveness.</t>
  </si>
  <si>
    <t>Expand relationships with over 60 external stakeholders groups and trade associations to advance State policy goals and accelerate code adoption.</t>
  </si>
  <si>
    <t>A finalized long-term plan to achieve the State’s energy, water and GHG goals through enhanced buidling stock and appliance market.</t>
  </si>
  <si>
    <t>https://cedars.cpuc.ca.gov/documents/download/2783/mainchange_summary%7Cmain%7Credline)/</t>
  </si>
  <si>
    <r>
      <t>Commercial</t>
    </r>
    <r>
      <rPr>
        <vertAlign val="superscript"/>
        <sz val="11"/>
        <color theme="1"/>
        <rFont val="Calibri"/>
        <family val="2"/>
        <scheme val="minor"/>
      </rPr>
      <t>4</t>
    </r>
  </si>
  <si>
    <t>Non-residential customers (including institutional
customers) and owners of multifamily units who do not reside on the
premises</t>
  </si>
  <si>
    <t xml:space="preserve">Many businesses, especially small and medium facilities, struggle to pay the up-front capital cost of energy‑efficient equipment and, as a result, often cannot invest in real and sustainable longterm energy cost reductions. </t>
  </si>
  <si>
    <t>Increased participation in EE programs and adoption of EE measures</t>
  </si>
  <si>
    <t>The On‑Bill Financing (OBF) Program offers interest‑free, unsecured loans to eligible non‑residential customers—including commercial, industrial, agricultural, and institutional sectors—to help them install approved energy‑efficiency measures.  Customers repay the loan through a fixed monthly charge on their utility bill.  The program leverages other energy efficiency programs to support project development and customer participation, with the goal of overcoming upfront cost barriers and increasing adoption of energy‑efficient equipment.</t>
  </si>
  <si>
    <t>Small business and HTR customers lack the necessary capital for EE improvements.</t>
  </si>
  <si>
    <t>Provide no-interest loans that aim for bill neutrality.</t>
  </si>
  <si>
    <t>Downstream</t>
  </si>
  <si>
    <t>2028: $109,719.15
2029: $112,723.16
2030: $115,799.84
2031: $118,951.25</t>
  </si>
  <si>
    <t>The 2032–2035 budget is aligned with 2031 and will be revised in the next application following release of updated portfolio requirements. Note: For SDG&amp;E, the loan pool is not part of the authorized EE portfolio budget and is collected and tracked through a separate On Bill Financing balancing account.</t>
  </si>
  <si>
    <t xml:space="preserve">Non-residential Customers
Trade Professionals
Utility Staff
</t>
  </si>
  <si>
    <t>Program delivery relies primarily on utility program managers, account executives,  and trade professionals who collectively support program marketing, customer intake, project reviews, inspections, and loan processing. Workforce scale can expand or contract based on participation levels and the volume of loans. However, the program’s fixed loan pool places a natural limit on how large the delivery workforce can grow, since contractors and administrators can only support as many projects as available loan capital allows.  Because the program depends on a network of trade professionals and third-party implementers with responsiblity for measure installation, customer education, and ongoing coordination, a disruption in contractor availability, administrative staffing, or third‑party program operations could pose risks to timely project delivery, loan processing, and overall program effectiveness.</t>
  </si>
  <si>
    <r>
      <t>Provide loans to 3</t>
    </r>
    <r>
      <rPr>
        <sz val="11"/>
        <color theme="1"/>
        <rFont val="Calibri"/>
        <family val="2"/>
        <scheme val="minor"/>
      </rPr>
      <t xml:space="preserve"> customers that undertake EE/Clean Energy projects.</t>
    </r>
  </si>
  <si>
    <t>Yes, the OBF Program interacts with multiple other portfolio programs, including commercial, industrial, agricultural, and public energy‑efficiency programs, as all measures in an OBF project must qualify for another utility rebate/incentive program. Trade professionals and third-party implementers working on other programs promote OBF and communicate requirements to customers. Administrative funding for expanded OBF is covered by the administrative cost of the EE OBF program.</t>
  </si>
  <si>
    <t>First year annual kW net for projects funded by OBF
First year annual kWh net for projects funded by OBF
First year annual Therm net for projects funded by OBF
Percent of hard-to-reach customer participants in portfolio by commercial sector
 OBF-funded projects completed
Dollar value of consolidated OBF loans</t>
  </si>
  <si>
    <t>https://cedars.cpuc.ca.gov/documents/download/1562/mainchange_summary%7Cmain%7Credline)/</t>
  </si>
  <si>
    <t>Synergy Companies</t>
  </si>
  <si>
    <t>Residential Customers
Single-Family</t>
  </si>
  <si>
    <t>Single‑family residential customers face difficulty in navigating the complex and fragmented landscape of energy efficiency and zero‑net‑energy (ZNE) improvements. Homeowners often struggle with limited awareness, confusing technology choices, financing barriers, and lack of coordinated support to undertake deeper efficiency upgrades beyond basic direct‑install measures.</t>
  </si>
  <si>
    <t>Increased participation in EE programs to create pathways for deeper energy efficiency, renewable energy, storage, and EV‑charging investments</t>
  </si>
  <si>
    <t>The Residential Energy Solutions (RES) Program targets single‑family homeowners and rentersby guiding them through a structured path toward improved home energy efficiency and Zero Net Energy (ZNE). The program begins with no‑cost direct‑install measures such as HVAC efficiency upgrades, and water‑saving devices, then transitions customers into complimentary whole‑home assessments and personalized consultations that identify advanced energy efficiency, renewable energy, storage, and EV‑charging opportunities. Expected outcomes include greater installation of cost‑effective energy‑saving technologies, enhanced customer readiness for deeper retrofits, and measurable reductions in energy use.</t>
  </si>
  <si>
    <t>A substantial share of single‑family customers are hard‑to‑reach customers located across SDG&amp;E’s service territory.</t>
  </si>
  <si>
    <t>Use targeted outreach strategies, such as DAC-mapped canvassing, HOA engagement, virtual enrollment, and neighborhood signage. Integrate ESA enrollment, if applicable, and offer no cost direct installation.</t>
  </si>
  <si>
    <t>Direct Install,
Incentive/Rebate</t>
  </si>
  <si>
    <t>Downstream - Direct Install</t>
  </si>
  <si>
    <t>Deemed</t>
  </si>
  <si>
    <t>2028: $5,462,816.56
2029: $5,478,950.42
2030: $5,493,186.55
2031: $5,489,420.88</t>
  </si>
  <si>
    <t>TRC: 1.03
PAC: 1.03</t>
  </si>
  <si>
    <t>Third-Party Direct Install Implementer 
HOAs &amp; Community Organizations 
Water Agencies
Financing Partners
Participating Customers</t>
  </si>
  <si>
    <t xml:space="preserve">
The program relies on a skilled, multi licensed delivery workforce led by the third-party implementer that requires a CLSB license for HVAC, weatherization, plumbing, electrical, and solar to implement the program’s scope. Key risks include labor shortages, maintaining consistent quality across a large field staff, meeting inspection standards, and ensuring continuous compliance and safety, all of which can impact program throughput and customer satisfaction.</t>
  </si>
  <si>
    <t>Install EE equipment for 19,152 customers during the program implementation period.</t>
  </si>
  <si>
    <t>Convert 15% of homes treated to one more more high-efficiency appliances.</t>
  </si>
  <si>
    <t xml:space="preserve">The program interacts directly with the ESA program by enrolling eligible low‑income customers during visits, ensuring seamless coordination between the two offerings and reducing participation barriers for disadvantaged households.  The program will also install fuel substition measures recommended by program SDGE4175. Additionally, it will refer customers to other complementary programs, as appropriate, to help customers maximize their savings. </t>
  </si>
  <si>
    <t>First year annual kW net
First year annual kWh net
First year annual Therm net
First year annual kWh net in Disadvantaged Communities
First year annual Therm net in Disadvantaged Communities
First year annual kWh net in Hard-to-Reach Markets
First year annual Therm net in Hard-to-Reach Markets</t>
  </si>
  <si>
    <t>EE/DR</t>
  </si>
  <si>
    <t>https://cedars.cpuc.ca.gov/documents/download/2749/mainchange_summary%7Cmain%7Credline)/</t>
  </si>
  <si>
    <t>Increased awareness, adoption, and long-term investment in energy efficiency, solar, and storage technologies</t>
  </si>
  <si>
    <t>The Residential Zero Net Energy Transformation (RZNET) Program targets multifamily and manufactured housing property owners and residents across SDG&amp;E’s service territory, with a focus on disadvantaged and hard‑to‑reach communities. The program employs a turnkey strategy that begins with no‑cost direct install measures and offers complimentary ASHRAE Level 1 audits, sales consultations, and pathways to advanced energy efficiency, solar PV, and battery storage installations. Expected outcomes include increased energy savings, higher participation in advanced efficiency and renewable upgrades, and a transformational shift in how residential properties pursue comprehensive energy improvements.</t>
  </si>
  <si>
    <t xml:space="preserve">A substantial share of multi-family and manufactured homes customers are disadvantaged and hard‑to‑reach customers located across SDG&amp;E’s service territory. </t>
  </si>
  <si>
    <t>Use targeted outreach strategies, such as DAC-mapped canvassing and community based engagement. Integrate ESA enrollment, if applicable, and offer no cost direct installation and complimentary audits.</t>
  </si>
  <si>
    <t>2028: $10,925,066.82
2029: $10,957,878.92
2030: $10,985,772.33
2031: $13,086,164.27</t>
  </si>
  <si>
    <t>TRC: 1.19
PAC: 1.19</t>
  </si>
  <si>
    <t>Third-Party Direct Install Implementer 
Multi-Family &amp; Manufactured Housing Property Owners
Water Agencies
Financing Partners
Participating Customers</t>
  </si>
  <si>
    <t>Install EE equipment for 12,780 customers during the program implementation period.</t>
  </si>
  <si>
    <t>Convert 15% of multi-family sites and manufactured homes to one more more high-efficiency appliances.</t>
  </si>
  <si>
    <t>https://cedars.cpuc.ca.gov/documents/download/3234/mainchange_summary%7Cmain%7Credline)/</t>
  </si>
  <si>
    <t>Cascade Energy, Inc.</t>
  </si>
  <si>
    <t>Industrial: 66%
Commercial: 33%
Agricultural: 1%</t>
  </si>
  <si>
    <t>All non-residential customers</t>
  </si>
  <si>
    <t>Organizations often find it difficult to prioritize energy management amid competing operational demands, and the technical complexity of identifying, implementing, and maintaining long‑term energy management practices, along with the ongoing data management required, makes sustained commitment challenging to achieve.</t>
  </si>
  <si>
    <t xml:space="preserve">Increased adoption of long‑term energy management practices </t>
  </si>
  <si>
    <t>The Savings, Measurement, Assistance, Rebates, and Training (SMART) Industrials Program helps customers implement energy-saving opporutnities tailored to their needs. While this program has traditionally focused on serving industrial facilities, SDG&amp;E is proposing to expand the Strategic Energy Management (SEM) approach to a broader range of sectors, including commercial and agricultural customers. SEM provides multi‑year coaching, educational modules, and site‑specific activities, such as Energy Maps, Treasure Hunts, and Energy Management Assessments to build internal capabilities, achieve cost‑effective energy savings, and support customers in becoming increasingly self‑sufficient in their energy management practices.</t>
  </si>
  <si>
    <t>There is a high population of small and medium businesses (SMBs) within SDG&amp;E's service territory, many of whom are considered Hard-to-Reach (HTR).</t>
  </si>
  <si>
    <t>Offer a lower-touch/higher-volume form of SEM for SMBs by tailoring staffing requirements and modifying the structure of workshops and educational modules to address the resource limitations and operational realities of smaller facilities, while still adhering to all SEM requirements.</t>
  </si>
  <si>
    <t>SEM (Audit, Technical Assistance, Training), 
Incentive/Rebate,
Finance</t>
  </si>
  <si>
    <t>SEM M&amp;V</t>
  </si>
  <si>
    <t>2028: $9,709,236.22
2029: $9,527,107.73
2030: $9,331,065.48
2031: $9,298,223.93</t>
  </si>
  <si>
    <t>TRC: 1.07
PAC: 1.04</t>
  </si>
  <si>
    <t>Third-Party Implementer/SEM Delivery Team
Utility Staff
Participating Customers</t>
  </si>
  <si>
    <t>SEM relies on a skilled delivery workforce that includes SEM Coaches, third-party implementer staff, utility account executives, and customer energy teams, all of whom must support a multi‑year sequence of educational modules and site‑specific activities across numerous participating facilities. Because each customer engagement spans several years and requires consistent coaching, technical support, and coordination, the program depends on maintaining sufficient staffing levels and continuity. Disruptions such as workforce shortages, or changes in customer‑side staffing and leadership, pose risks to effective delivery and can hinder progress in developing and sustaining long-term energy management practices.</t>
  </si>
  <si>
    <t>&gt;30% of the commercial, industrial and agricultural sector customers in SDG&amp;E territory adopt ISO 50001 levels of energy management practices and annually implement cost-effective EE measures.</t>
  </si>
  <si>
    <t>&gt;60% of the commercial, industrial and agricultural sector customers in SDG&amp;E territory adopt ISO 50001 levels of energy management practices and annually implement cost-effective EE measures.</t>
  </si>
  <si>
    <t xml:space="preserve">Yes, this program will be supported by the On‑Bill Financing (OBF) Program along with other regional commercial energy efficiency programs and a portfolio of statewide offerings. The third‑party implementer will actively promote OBF and inform customers of all participation requirements. They will also refer customers to complementary programs, as appropriate, to help customers maximize their savings. </t>
  </si>
  <si>
    <t>https://cedars.cpuc.ca.gov/documents/download/2837/mainchange_summary%7Cmain%7Credline)/</t>
  </si>
  <si>
    <t>Bidgely, Inc.</t>
  </si>
  <si>
    <t>Residential Customers</t>
  </si>
  <si>
    <t xml:space="preserve">Residential customers generally lack clear, personalized, and actionable information about their energy use, making it difficult for them to understand which behaviors or appliances drive consumption. This lack of awareness limits their ability to make informed decisions that could reduce energy use. Additionally, traditional personalized in‑home assessments are costly and time‑intensive, preventing utilities from scaling energy insights across large customer populations. </t>
  </si>
  <si>
    <t>Increased understanding of energy use, participation in EE programs, and adoption of EE measures</t>
  </si>
  <si>
    <t>The Home Energy Audits and Reports (HEAR) Program targets residential customers and uses behavior‑based strategies to encourage reductions in energy usage and peak demand. By delivering personalized Home Energy Reports along with AI‑driven appliance‑level insights, comparative usage benchmarks, and tailored recommendations, the program helps customers better understand their energy consumption and adopt cost‑saving behaviors. These strategies include randomized control trials, digital alerts timed to billing cycles, and a web portal that provides itemized energy data and self‑service audit capabilities. Expected outcomes include sustained reductions in kWh, kW, and therm usage, increased customer engagement and satisfaction, and long-term behavioral changes that contribute to SDG&amp;E’s energy efficiency and demand response goals.</t>
  </si>
  <si>
    <t>A substantial share of residential customers reside in Disadvantaged Communities and rental housing located across SDG&amp;E’s service territory.</t>
  </si>
  <si>
    <t>Continue to deliver tailored energy‑saving behavioral insights and connect customers to no‑ and low‑cost programs and measures.</t>
  </si>
  <si>
    <t xml:space="preserve">Training </t>
  </si>
  <si>
    <t>Randomized Controlled Trial 
(RCT)</t>
  </si>
  <si>
    <t>2028: $2,546,357.87
2029: $2,900,563.10
2030: $3,703,147.19
2031: $5,340,374.54</t>
  </si>
  <si>
    <t>TRC: 2.39
PAC: 2.39</t>
  </si>
  <si>
    <t>Third-Party Implementer
Utility Staff
Participating Customers</t>
  </si>
  <si>
    <t>The delivery workforce forthe program primarily consists of utility program management staff and the third-party implementer, which provides data analytics, Home Energy Report production, digital alert delivery, and customer support technology. Because the program treats nearly 900,000 residential customers annually, the workforce must operate at a large and sustained scale to manage high‑volume data integration, report generation, and ongoing measurement and verification.  Key risks include potential data‑quality issues that could disrupt analytics, workforce capacity constraints that may affect timely delivery of reports and alerts, and dependence on specialized technical staff for maintaining AI‑based disaggregation and web platform performance. Additional risks involve maintaining statistical integrity of RCT groups and managing customer churn or opt‑outs that could impact savings achievement.</t>
  </si>
  <si>
    <t>Maintain active enrollment of 900,000–1,000,000 customers.</t>
  </si>
  <si>
    <t>Maintain a 1-2% reduction in electric and/or gas usage for the residential sector</t>
  </si>
  <si>
    <t>This program does interact with other programs in the portfolio, primarily by serving as an entry point that increases customer awareness of additional energy‑efficiency and demand‑response offerings. Through its Home Energy Reports, digital alerts, and web portal, the program provides personalized recommendations and targeted program offers that guide customers toward other utility programs aligned with their usage patterns and energy‑saving opportunities. This includes promoting demand response events through Behavioral Demand Response alerts and directing customers to efficiency upgrades or rebates identified through appliance itemization and personalized insights. By improving customer energy literacy and engagement at scale, this program enhances participation and savings in complementary programs across the broader portfolio.</t>
  </si>
  <si>
    <t>First year annual kW net
First year annual kWh net
First year annual Therm net
Lifecycle ex-ante kWh net
Lifecycle ex-ante Therm net</t>
  </si>
  <si>
    <t>https://cedars.cpuc.ca.gov/documents/download/3448/mainchange_summary%7Cmain%7Credline)/</t>
  </si>
  <si>
    <t>Mendota Group, LLC</t>
  </si>
  <si>
    <t xml:space="preserve">Commercial Lodging Customers (Hotels, Motels) </t>
  </si>
  <si>
    <t xml:space="preserve"> Incentive levels can be insufficient to motivate energy-saving investments.</t>
  </si>
  <si>
    <t xml:space="preserve">Higher incentives based on measured savings resulting in more energy efficiency projects </t>
  </si>
  <si>
    <t>The Grid-Responsive Incentive Design‑Lodging (GRID-Lodging) Program helps hotels, motels, and other lodging facilities in SDG&amp;E’s territory reduce energy use by partnering with qualified Aggregators who identify and implement whole‑building efficiency projects. Using a Market Access model and performance‑based incentives tied to metered savings and Total System Benefit (TSB), the program supports a broad array of measures such as HVAC, lighting, hot water, and controls, while offering technical assistance and financing options. The program aims to increase contractor participation, simplify project delivery, and produce cost‑effective, grid‑beneficial energy and demand savings.</t>
  </si>
  <si>
    <t>Offer higher incentive rates for HTR and DAC-qualifying projects.</t>
  </si>
  <si>
    <t>MAP,
Incentive/Rebate,
Finance</t>
  </si>
  <si>
    <t>NMEC – Population, 
NMEC – Site</t>
  </si>
  <si>
    <t>2028: $1,824,860.43
2029: $1,830,891.13
2030: $1,834,752.48
2031: $1,837,753.22</t>
  </si>
  <si>
    <t>TRC: 1.12
PAC: 1.37</t>
  </si>
  <si>
    <t xml:space="preserve">Third-Party Implementer
Utility Staff
Aggregators/Trade Professionals
Participating Customers
Financing Partners
M&amp;V Subcontractor
</t>
  </si>
  <si>
    <t>The GRID‑Lodging Program's  “open to all” market access program approach attracts a wide variety of contractors/aggregators and is not limited to one implementer or its subcontractors. The workforce must be broad enough to support multiple lodging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</si>
  <si>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65 customers during the program implementation period.</t>
  </si>
  <si>
    <t xml:space="preserve"> Move 20% of the lodging market to high efficiency equipment.</t>
  </si>
  <si>
    <t>https://cedars.cpuc.ca.gov/documents/download/3404/mainchange_summary%7Cmain%7Credline)/</t>
  </si>
  <si>
    <t>Franklin Energy, DBA AESC, Inc.</t>
  </si>
  <si>
    <t>Commercial Grocery, Restaurant, and Food Storage Customers</t>
  </si>
  <si>
    <t>Low margins, limited capital, complex refrigeration and HVAC systems, and historically insufficient incentives leave large amounts of potential savings stranded.</t>
  </si>
  <si>
    <t>Increased claimable savings and maximized incentives based on measured savings make deeper, more comprehensive retrofits financially viable</t>
  </si>
  <si>
    <t>The Groceries, Restaurants and Food Storage (GRFS) Program serves medium and large grocery stores, food storage facilities, and small or hard‑to‑reach food businesses through Pop‑NMEC, Site‑NMEC, and Deemed pathways. The Program leverages meter‑based savings, targeted outreach, and aggregator‑led project delivery to identify, install, and verify energy‑saving projects. Expected outcomes include reduced energy consumption, lower operating costs, and increased adoption of cost‑effective efficiency measures.</t>
  </si>
  <si>
    <t>Leverage the cost effectiveness of larger projects to fund a direct- install style turnkey installation solution with higher incentive levels for smaller and/or HTR customers.</t>
  </si>
  <si>
    <t>NMEC – Population, 
NMEC – Site,
Deemed</t>
  </si>
  <si>
    <t>2028: $2,374,614.82
2029: $1,992,133.51
2030: $1,999,400.00
2031: $2,000,155.33</t>
  </si>
  <si>
    <t>TRC: 0.82
PAC: 1.42</t>
  </si>
  <si>
    <t>The Program relies on a delivery workforce composed of enrolled and subcontracted aggregators, refrigeration and HVAC technicians, and licensed contractors responsible for scoping, installing, and verifying energy efficiency measures. Sufficient quantities of these workers exist in the market; however, insufficient engagement or workforce limitations, such as unfamiliarity with NMEC requirements or challenges maintaining project performance throughout the M&amp;V period, can hinder effective participation and reduce achievable savings.</t>
  </si>
  <si>
    <t>Install EE equipment for 120 customers during the program implementation period.</t>
  </si>
  <si>
    <t>Bring 15% of small and underserved customers into meter based savings pathways.</t>
  </si>
  <si>
    <t>https://cedars.cpuc.ca.gov/documents/download/3385/mainchange_summary%7Cmain%7Credline)/</t>
  </si>
  <si>
    <t>TRC Solutions Inc</t>
  </si>
  <si>
    <t>Commercial Retail, Office, and Wholesale Customers, including Entertainment and Services</t>
  </si>
  <si>
    <t>Complex multi‑layered decision‑making processes, split‑incentive barriers between tenants and landlords, and limited customer resources impede adoption of energy‑saving upgrades</t>
  </si>
  <si>
    <t>Simplified decision‑making, leading to greater adoption of EE measures</t>
  </si>
  <si>
    <t>The SD EnergyEdge Program supports commercial retail, office, wholesale, and entertainment/service customers by providing comprehensive energy efficiency services designed to help businesses identify, evaluate, and implement cost‑effective retrofit opportunities. The Program employs strategies such as targeted outreach, trade‑ally engagement, concierge‑style technical assistance, Deemed, Custom, and NMEC pathways, flexible incentives, and a suite of financing options to simplify project development and overcome financial and technical barriers. Expected outcomes include increased customer participation, greater adoption of energy‑efficient and decarbonization technologies, deeper multi‑measure savings, and delivery of cost‑effective Total System Benefit (TSB).</t>
  </si>
  <si>
    <t xml:space="preserve">Develop multilingual collateral to engage HTR customers; tailor incentive offers based on customer need rather than fixed rates. </t>
  </si>
  <si>
    <t>Incentive/Rebate,
 Finance,
Audit, 
Technical Assistance</t>
  </si>
  <si>
    <t>Deemed, Custom, NMEC – Site</t>
  </si>
  <si>
    <t>2028: $6,139,780.65
2029: $6,162,883.78
2030: $6,183,210.80
2031: $6,183,970.09</t>
  </si>
  <si>
    <t>TRC: 1.46
PAC: 1.58</t>
  </si>
  <si>
    <t xml:space="preserve">Third-Party Implementer
Utility Staff
Trade Professionals
Participating Customers
Financing Partners
</t>
  </si>
  <si>
    <t>Workforce requirements include a network of trained trade professionals, such as contractors and sales representatives, to identify opportunities, perform installations, and support customers throughout the retrofit process. The program maintains a broad pool of these workers through an actively managed trade professional network. While sufficient contractor capacity exists in the market, risks include limited familiarity with program requirements or changes to eligible measures, as well as potential gaps in contractor engagement, any of which could delay installations, reduce savings realization, and hinder program effectiveness.</t>
  </si>
  <si>
    <t>Install EE equipment for 1,260 customers during the program implementation period.</t>
  </si>
  <si>
    <t>Move 25% of the retail, office, wholesale market to high efficiency equipment</t>
  </si>
  <si>
    <t>https://cedars.cpuc.ca.gov/documents/download/3325/mainchange_summary%7Cmain%7Credline)/</t>
  </si>
  <si>
    <t xml:space="preserve">Commercial Private Institutions and Healthcare Customers </t>
  </si>
  <si>
    <t>Customers face competing priorities and frequently prioritize short-term needs over long-term investments.</t>
  </si>
  <si>
    <t>Improved flexability in the types of equipment that can be installed and higher incentive rates reduce payback and allow more projects to proceed due to attractive returns on investment</t>
  </si>
  <si>
    <t>The Grid-Responsive Incentive Design‑Private Institutions and Healthcare (GRID-PIH) Program targets SDG&amp;E's private institutions and healthcare customers, helping them reduce energy use by partnering with qualified Aggregators who identify and implement whole‑building efficiency projects. Using a Market Access model and performance‑based incentives tied to metered savings and Total System Benefit (TSB), the program supports a broad array of measures such as HVAC, lighting, hot water, and controls, while offering technical assistance and financing options. The program aims to increase contractor participation, simplify project delivery, and produce cost‑effective, grid‑beneficial energy and demand savings.</t>
  </si>
  <si>
    <t>2028: $1,690,516.42
2029: $1,696,116.51
2030: $1,699,707.06
2031: $1,702,501.98</t>
  </si>
  <si>
    <t>TRC: 1.39
PAC: 1.96</t>
  </si>
  <si>
    <t>The GRID‑PIH Program's  “open to all” market access program approach attracts a wide variety of contractors/aggregators and is not limited to one implementer or its subcontractors. The workforce must be broad enough to support multiple private instituion and healthcare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</si>
  <si>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76 customers during the program implementation period.</t>
  </si>
  <si>
    <t>Move 20% of the private institutions and healthcare market to high efficiency equipment</t>
  </si>
  <si>
    <t>https://cedars.cpuc.ca.gov/documents/download/3402/mainchange_summary%7Cmain%7Credline)/</t>
  </si>
  <si>
    <t>The sector faces low customer awareness of electrification technologies, energy usage, bill impacts, and available incentives, along with a complex and fragmented landscape of utility, state, and federal programs that is difficult for customers to navigate. High upfront costs, such as electric panel upgrades and heat pump installations, further limit participation for low‑income households. The contractor market also presents challenges, including limited familiarity with electrification technologies and incentive structures.</t>
  </si>
  <si>
    <t>Simplified access to clean‑energy technologies for income‑qualified households accelerating equitable home electrification</t>
  </si>
  <si>
    <t>The Customer Home Electrification Readiness Program (CHERP) targets single‑family households that have dual fuel to support their transition to home electrification. The program employs a concierge‑style strategy that guides customers through site assessments, electrification roadmaps, incentive navigation, contractor coordination, and installation of eligible technologies such as heat pumps, solar, storage, and panel upgrades. By leveraging a unified Electrification Incentive Tool and bundling local, state, and federal incentives, CHERP reduces financial and logistical barriers while expanding contractor training to strengthen the regional workforce. The expected outcomes include increased adoption of electrification technologies, improved customer understanding of energy usage and bill impacts, enhanced participation from disadvantaged communities, and valuable data insights to support SDG&amp;E’s long‑term grid and program planning.</t>
  </si>
  <si>
    <t xml:space="preserve">A substantial share of single‑family customers are hard‑to‑reach customers and located across SDG&amp;E’s service territory. </t>
  </si>
  <si>
    <t>Offer customer support payment to provide additional financial support for the time and effort necessary to learn about the benefits of fuel substitution and integrating electrification equipment into the home.</t>
  </si>
  <si>
    <t>Technical Assistance</t>
  </si>
  <si>
    <t xml:space="preserve">Downstream </t>
  </si>
  <si>
    <t>2028: $1,061,954.15
2029: $1,054,405.17
2030: $1,071,371.08
2031: $1,076,048.97</t>
  </si>
  <si>
    <t xml:space="preserve">Participating Contractors
Third-Party Implementers
Federal and State Incentive Program Administrators
</t>
  </si>
  <si>
    <t>The delivery workforce for CHERP requires a coordinated network of qualified contractors, Energy Consultants, and third‑party implementers capable of managing the full customer journey—from outreach and site assessments to installation and incentive recovery. Contractors must possess specialized skills in electrification technologies, including heat pumps, solar, storage, and electric panel upgrades, and must meet workforce standards set by leveraged programs such as SGIP and TECH HPWH. CHERP also depends on sufficient staffing of trained Energy Consultants who serve as single points of contact and guide customers through program requirements, application processes, and project timelines. To achieve program goals at scale, the workforce must expand steadily each year, supported by CHERP’s contractor training workshops designed to build technical capacity and broaden the pool of disadvantaged and small-business contractors. However, risks include limited contractor availability, uneven levels of electrification expertise, potential bottlenecks in training, and the challenge of maintaining high‑quality installations while scaling up. Workforce gaps could slow project timelines, reduce customer satisfaction, and hinder adoption in disadvantaged communities—making contractor education and workforce development critical components of program success.</t>
  </si>
  <si>
    <t xml:space="preserve">Provide Energy Consultant support for 90 customers during the program implementation period. </t>
  </si>
  <si>
    <t>20% of customers who complete a project implement all reccomendations in the program's Electrification Road Map.</t>
  </si>
  <si>
    <t>CHERP interacts with several other programs within SDG&amp;E’s portfolio, as its design intentionally leverages existing utility‑administered offerings to support multi‑DER projects. The program coordinates closely with SDG&amp;E’s solar equity programs, such as the San Diego Solar Equity Program (SDSEP), and integrates incentives from statewide programs like DAC‑SASH, SGIP, and TECH HPWH to streamline the customer journey and maximize funding opportunities. It also aligns with SDG&amp;E’s Workforce Education &amp; Training (WE&amp;T) initiatives by coordinating contractor training workshops and leveraging established curricula. Additionally, CHERP incorporates tools and insights from SDG&amp;E’s Home Energy Report Program to support customer education. By connecting these various programs, CHERP creates a unified pathway for electrification that enhances accessibility, expands workforce readiness, and reduces barriers for Single-Family households that are duel fuel.</t>
  </si>
  <si>
    <t>Count of equity target participants in market support segment, by sector
Percent of hard-to-reach customer participants in portfolio, by residential single family
Percent of disadvantaged community customer participants in portfolio
Number of unique participants by sector that complete training
Percent of participation relative to eligible target population for curriculum</t>
  </si>
  <si>
    <t>https://cedars.cpuc.ca.gov/documents/download/3224/mainchange_summary%7Cmain%7Credline)/</t>
  </si>
  <si>
    <t>Residential Customers
Single-Family
Multi-family</t>
  </si>
  <si>
    <t>Residential customers often lack the upfront capital needed to pursue more comprehensive energy‑efficiency upgrades.</t>
  </si>
  <si>
    <t xml:space="preserve">increasing residential participation through open‑access aggregator models and performance‑based incentives that reward deeper energy savings. </t>
  </si>
  <si>
    <t>The Grid-Responsive Incentive Design-Market Access Program (GRID‑MAP) Program targets residential single‑family and multifamily customers providing an open‑access, performance‑based market access approach to expand participation in whole‑building energy efficiency projects. The program employs metered savings methods, a tiered TSB‑aligned incentive structure, installation payments, and a streamlined online platform to support aggregators in designing and delivering cost‑effective projects. By aligning incentives with measurable grid benefits and enabling broad contractor participation, the program aims to increase energy savings, reduce peak and net‑peak demand, drive deeper HVAC and hot‑water upgrades, and ultimately maximize Total System Benefit across the SDG&amp;E territory.</t>
  </si>
  <si>
    <t>A substantial share of residential customers are disadvantaged and hard‑to‑reach customers located across SDG&amp;E’s service territory.</t>
  </si>
  <si>
    <t>2028: $324,476.60
2029: $325,723.51
2030: $326,598.16
2031: $327,329.11</t>
  </si>
  <si>
    <t>TRC: 0.87
PAC: 1.01</t>
  </si>
  <si>
    <t>The GRID‑MAP Program's  “open to all” market access program approach attracts a wide variety of contractors/aggregators and is not limited to one implementer or its subcontractors. The workforce must be broad enough to support multiple residential projects across SDG&amp;E’s territory. Risks include reduced aggregator engagement and workforce shortages in specialized trades, as well as underperformance during the measurement period, all of which could slow project delivery and reduce achievable savings.</t>
  </si>
  <si>
    <t>Move 5% of the residential single family market to high efficiency equipment</t>
  </si>
  <si>
    <t xml:space="preserve">Yes, this program will be supported by the On‑Bill Financing (OBF) Program along with other regional residential energy efficiency programs and a portfolio of statewide offerings. The third‑party implementer will actively promote OBF and inform customers of all participation requirements. They will also refer customers to complementary programs, as appropriate, to help customers maximize their savings. </t>
  </si>
  <si>
    <t>https://cedars.cpuc.ca.gov/documents/download/3428/mainchange_summary%7Cmain%7Credline)/</t>
  </si>
  <si>
    <t>Commercial 
Retail, Office, and Wholesale Customers, including Entertainment and Services</t>
  </si>
  <si>
    <t xml:space="preserve"> Incentive levels can be insufficient to motivate energy-saving investments and these customers often have a lack of capital for energy effiency upgrades.</t>
  </si>
  <si>
    <t xml:space="preserve">increasing commercial (retail, office, and wholesale customers, including entertainment and servies customers) participation through open‑access aggregator models and performance‑based incentives that reward deeper energy savings. </t>
  </si>
  <si>
    <t>The Grid-Responsive Incentive Design-Market Access Program (GRID‑MAP) Program targets Retail, Office, and Wholesale Customers, including Entertainment and Services customers providing an open‑access, performance‑based market access approach to expand participation in whole‑building energy efficiency projects. The program employs metered savings methods, a tiered TSB‑aligned incentive structure, installation payments, and a streamlined online platform to support aggregators in designing and delivering cost‑effective projects. By aligning incentives with measurable grid benefits and enabling broad contractor participation, the program aims to increase energy savings, reduce peak and net‑peak demand, drive deeper HVAC and hot‑water upgrades, and ultimately maximize Total System Benefit across the SDG&amp;E territory.</t>
  </si>
  <si>
    <t>2028: $2,058,670.19
2029: $2,065,569.94
2030: $2,036,998.99
2031: $2,073,522.87</t>
  </si>
  <si>
    <t>TRC: 1.23
PAC: 1.29</t>
  </si>
  <si>
    <t>The GRID‑MAP Program's  “open to all” market access program approach attracts a wide variety of contractors/aggregators and is not limited to one implementer or its subcontractors. The workforce must be broad enough to support multiple commercial retail, office, and wholesale customers, including entertainment and services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</si>
  <si>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68 customers during the program implementation period.</t>
  </si>
  <si>
    <t>https://cedars.cpuc.ca.gov/documents/download/3426/mainchange_summary%7Cmain%7Credline)/</t>
  </si>
  <si>
    <t>2028 - 2031</t>
  </si>
  <si>
    <t>2050 Partners,
Cohen Ventures LLC, dba. Energy Solutions, 
Frontier Energy,
McHugh Energy Consultants Inc.,
TRC Inc.</t>
  </si>
  <si>
    <t>2028: $423,899.29
2029: $423,899.29
2030: $423,899.29
2031: $423,899.29</t>
  </si>
  <si>
    <t>TRC: 1.68
PAC: 65.10</t>
  </si>
  <si>
    <t>2028: $333,070.64
2029: $333,070.64
2030: $333,070.64
2031: $333,070.64</t>
  </si>
  <si>
    <t>TRC: 6.27
PAC: 43.13</t>
  </si>
  <si>
    <t>2028: $699,685.35
2029: $699,685.35
2030: $699,685.35
2031: $699,685.35</t>
  </si>
  <si>
    <t>TRC: 1.69
PAC: 200.75</t>
  </si>
  <si>
    <t>Energy Solutions</t>
  </si>
  <si>
    <t>2028: $1,547,000.00
2029: $1,547,000.00
2030: $1,547,000.00
2031: $1,547,000.00</t>
  </si>
  <si>
    <t>AESC, Inc.</t>
  </si>
  <si>
    <t>2028: $230,942.56
2029: $230,942.56
2030: $230,942.56
2031: $230,942.56</t>
  </si>
  <si>
    <t>TRC: 0.61
PAC: 1.08</t>
  </si>
  <si>
    <t>CLEAResult</t>
  </si>
  <si>
    <t>2028: $426,477.44
2029: $495,269.01
2030: $522,456.61
2031: $523,607.82</t>
  </si>
  <si>
    <t>TRC: 1.24
PAC: 1.80</t>
  </si>
  <si>
    <t>DNV Energy Services USA Inc.</t>
  </si>
  <si>
    <t>2028: $2,427,600.00
2029: $2,427,600.00
2030: $2,427,600.00
2031: $2,427,600.00</t>
  </si>
  <si>
    <t>TRC: 4.27
PAC: 5.08</t>
  </si>
  <si>
    <t>2028: $2,196,400.00
2029: $2,196,400.00
2030: $2,196,400.00
2031: $2,196,400.00</t>
  </si>
  <si>
    <t>TRC: 1.49
PAC: 2.17</t>
  </si>
  <si>
    <t xml:space="preserve">The Energy Coalition </t>
  </si>
  <si>
    <t>2028: $109,120.00
2029: $109,120.00
2030: $109,120.00
2031: $109,120.00</t>
  </si>
  <si>
    <t>Strategic Energy Innovations (SEI)</t>
  </si>
  <si>
    <t>2028: $218,240.00
2029: $218,240.00
2030: $218,240.00
2031: $218,240.00</t>
  </si>
  <si>
    <t>Frontier Energy, Inc</t>
  </si>
  <si>
    <t>The residential HVAC market faces a significant sector challenge driven by a long‑standing market failure in which customers generally do not recognize the value of high‑quality installation and maintenance services. Because customers tend to prioritize the lowest price and are unaware of the performance or long‑term benefits associated with quality HVAC work, contractors have little incentive to offer higher‑quality services, resulting in a “race to the bottom” where quality is undervalued and inconsistently delivered. Most contractors either lack the training, resources, or market demand needed to provide high‑quality installation or maintenance, and even those who routinely deliver superior services struggle to find customers willing to pay for them, making it financially difficult to sustain best‑practice work. This challenge is further compounded in disadvantaged communities and hard‑to‑reach markets, where contractors face additional barriers such as limited access to training, capital, and recognition, reducing their ability to compete or consistently deliver high‑quality HVAC services. Together, these factors create a systemic gap in customer awareness, contractor capability, and market incentives that the QIQM program is specifically designed to address.</t>
  </si>
  <si>
    <t>Increased contractor engagement, improved workforce capabilities, and increased adoption of high‑quality HVAC installation and maintenance practices.</t>
  </si>
  <si>
    <t>The Statewide Residential HVAC Quality Installation and Quality Maintenance (QIQM) Program targets residential customers by engaging licensed HVAC contractors and technicians who perform installation, service, and maintenance work. The program employs strategies such as tiered contractor incentives, comprehensive workforce training, development of standardized quality service requirements, and targeted outreach through an Industry Advisory Panel, with a particular focus on disadvantaged communities and hard‑to‑reach customer segments. Through these strategies, the program aims to elevate the quality and consistency of HVAC services, increase contractor capability and professionalism, improve customer understanding of the value of high‑quality HVAC work, and drive long‑term market transformation toward more energy‑efficient, properly installed, and well‑maintained residential HVAC systems.</t>
  </si>
  <si>
    <t>There is a high population of disadvantaged workers that do not participate in EE programs.</t>
  </si>
  <si>
    <t>Identify and provide targeted outreach to HVAC contractors who have a high percentage of workers (e.g., technicians) who fall into the CPUC definition of “Disadvantaged Worker" and those who are located in Disadvantaged Communities, DBE-certified, or a small business.</t>
  </si>
  <si>
    <t>Incentive/Rebate,
Training</t>
  </si>
  <si>
    <t>Midstream</t>
  </si>
  <si>
    <t>2028: $684,480.00
2029: $684,480.00
2030: $684,480.00
2031: $684,480.00</t>
  </si>
  <si>
    <t>Licensed HVAC Contractors and Technicians
Industry Organizations and Trade Partners</t>
  </si>
  <si>
    <t>The QIQM Program requires a broad and capable delivery workforce made up of licensed C‑20 HVAC contractors and technicians across California’s residential market, spanning entry‑level workers through highly skilled professionals aligned with the program’s Tier I–III structure. To achieve program goals, the workforce must scale to include both large and small contractors statewide, with a strong emphasis on training technicians to perform quality installation and maintenance services and advancing them through progressively higher skill tiers. The program also depends on engaging contractors serving disadvantaged communities and hard‑to‑reach customers to ensure equitable market transformation. Key risks to achieving the necessary workforce scale include limited baseline skills among many technicians, inconsistent contractor ability to meet quality standards, workforce shortages in disadvantaged areas, and the possibility that contractors may struggle to adopt or sustain higher‑quality practices without sufficient incentives or customer demand. These challenges create potential barriers to service consistency, market penetration, and long‑term program effectiveness.</t>
  </si>
  <si>
    <r>
      <t>Provide incentives to 47</t>
    </r>
    <r>
      <rPr>
        <sz val="11"/>
        <color theme="1"/>
        <rFont val="Calibri"/>
        <family val="2"/>
        <scheme val="minor"/>
      </rPr>
      <t xml:space="preserve"> contractors to adhere to industry and program standards for the installation and maintenance of HVAC equipment. </t>
    </r>
  </si>
  <si>
    <t xml:space="preserve">24% of the workforce has received training aiming to increase the pool of qualified contractors </t>
  </si>
  <si>
    <t>The QIQM Program coordinates with statewide energy efficiency offerings to avoid overlap and ensure alignment. This includes interaction with programs such as Residential HVAC, Plug Load and Appliance, Residential New Construction, and the Technology and Equipment for Clean Heating (TECH) initiative. These interactions allow the QIQM Program to complement existing efforts by ensuring that contractors and customers receive consistent guidance, that incentives are not duplicated, and that quality HVAC installation and maintenance practices are reinforced across multiple statewide channels. This coordination helps maximize program effectiveness, streamline contractor participation, and support broader market transformation goals across the portfolio.</t>
  </si>
  <si>
    <t>Number of unique participants by sector that complete training
Number of contractors (that serve in the portfolio administrator service areas) with knowledge and trained by relevant market support programs to provide quality installations that optimize energy efficiency
Percent of participation relative to eligible target population for curriculum
Number of partners by type and purposes
Assessed value of the partnership by partners</t>
  </si>
  <si>
    <t>https://cedars.cpuc.ca.gov/documents/download/2831/mainchange_summary%7Cmain%7Credline)/</t>
  </si>
  <si>
    <t>CF Resources, LLC.</t>
  </si>
  <si>
    <t>2028: $495,000.00
2029: $495,000.00
2030: $495,000.00
2031: $495,000.00</t>
  </si>
  <si>
    <t>Willdan</t>
  </si>
  <si>
    <t>2028: $60,768.54
2029: $64,653.15
2030: $13,367.10
2031: $13,787.59</t>
  </si>
  <si>
    <t>TRC: 0.10
PAC: 0.08</t>
  </si>
  <si>
    <t>2028: $388,918.68
2029: $413,780.17
2030: $334,177.46
2031: $372,264.90</t>
  </si>
  <si>
    <t>TRC: 0.64
PAC: 0.54</t>
  </si>
  <si>
    <t>TRC: 0.06
PAC: 0.04</t>
  </si>
  <si>
    <t>2028: $255,227.89
2029: $271,543.24
2030: $253,974.87
2031: $282,645.57</t>
  </si>
  <si>
    <t>TRC: 0.22
PAC: 0.17</t>
  </si>
  <si>
    <t>2028: $449,687.23
2029: $478,433.33
2030: $775,291.71
2031: $889,299.48</t>
  </si>
  <si>
    <t>TRC: 0.37
PAC: 0.70</t>
  </si>
  <si>
    <t>2028: $44,562.01
2029: $40,327.36
2030: $53,312.68
2031: $55,239.87</t>
  </si>
  <si>
    <t>TRC: 0.42
PAC: 0.35</t>
  </si>
  <si>
    <t>2028: $285,196.86
2029: $258,095.10
2030: $304,643.89
2031: $284,090.75</t>
  </si>
  <si>
    <t>TRC: 0.27
PAC: 0.24</t>
  </si>
  <si>
    <t>TRC: 0.58
PAC: 0.43</t>
  </si>
  <si>
    <t>2028: $187,160.44
2029: $169,374.91
2030: $190,402.43
2031: $173,611.01</t>
  </si>
  <si>
    <t>TRC: 0.14
PAC: 0.11</t>
  </si>
  <si>
    <t>2028: $329,758.87
2029: $298,422.46
2030: $99,009.26
2031: $0.00</t>
  </si>
  <si>
    <t>TRC: 0.05
PAC: 0.19</t>
  </si>
  <si>
    <t>TRC Companies</t>
  </si>
  <si>
    <t>2028: $996,888.26
2029: $934,300.28
2030: $925,090.62
2031: $996,423.97</t>
  </si>
  <si>
    <t>TRC: 0.66
PAC: 0.71</t>
  </si>
  <si>
    <t>StopWaste &amp; Earth Advantage</t>
  </si>
  <si>
    <t>2028: $460,210.03
2029: $522,742.14
2030: $584,446.12
2031: $648,377.25</t>
  </si>
  <si>
    <t>2028: $700,091.43
2029: $858,176.59
2030: $903,343.78
2031: $711,383.23</t>
  </si>
  <si>
    <t>TRC: 1.08
PAC: 0.99</t>
  </si>
  <si>
    <r>
      <rPr>
        <vertAlign val="superscript"/>
        <sz val="11"/>
        <color theme="1"/>
        <rFont val="Calibri"/>
        <family val="2"/>
        <scheme val="minor"/>
      </rPr>
      <t>1</t>
    </r>
    <r>
      <rPr>
        <sz val="11"/>
        <color theme="1"/>
        <rFont val="Calibri"/>
        <family val="2"/>
        <scheme val="minor"/>
      </rPr>
      <t xml:space="preserve"> Programs SDGE3280, SDG3281, SDGE_CS_PortfolioSupport, SDGE_Equity_PortfolioSupport, SDGE_MS_PortfolioSupport, SDGE_RA_PortfolioSupport, and SDGE_OtherPA_Admin are excluded as they function solely as cost‑tracking mechanisms and are not open to customer participation.</t>
    </r>
  </si>
  <si>
    <r>
      <rPr>
        <vertAlign val="superscript"/>
        <sz val="11"/>
        <color theme="1"/>
        <rFont val="Calibri"/>
        <family val="2"/>
        <scheme val="minor"/>
      </rPr>
      <t>2</t>
    </r>
    <r>
      <rPr>
        <sz val="11"/>
        <color theme="1"/>
        <rFont val="Calibri"/>
        <family val="2"/>
        <scheme val="minor"/>
      </rPr>
      <t xml:space="preserve"> The third-party implementers listed reflect the current implementation plans and may be modified if a new solicitation is issued.</t>
    </r>
  </si>
  <si>
    <r>
      <rPr>
        <vertAlign val="superscript"/>
        <sz val="11"/>
        <color theme="1"/>
        <rFont val="Calibri"/>
        <family val="2"/>
        <scheme val="minor"/>
      </rPr>
      <t xml:space="preserve">3 </t>
    </r>
    <r>
      <rPr>
        <sz val="11"/>
        <color theme="1"/>
        <rFont val="Calibri"/>
        <family val="2"/>
        <scheme val="minor"/>
      </rPr>
      <t xml:space="preserve">For cells in gray refer to the Lead PA's Application. </t>
    </r>
  </si>
  <si>
    <r>
      <rPr>
        <vertAlign val="superscript"/>
        <sz val="11"/>
        <color theme="1"/>
        <rFont val="Calibri"/>
        <family val="2"/>
        <scheme val="minor"/>
      </rPr>
      <t>4</t>
    </r>
    <r>
      <rPr>
        <sz val="11"/>
        <color theme="1"/>
        <rFont val="Calibri"/>
        <family val="2"/>
        <scheme val="minor"/>
      </rPr>
      <t xml:space="preserve"> Although On‑Bill Financing is a multi‑sector offering, SDG&amp;E has not provided sector‑specific budget allocations because the funding request pertains solely to program administration, which does not directly correspond to any individual customer sector. </t>
    </r>
    <r>
      <rPr>
        <sz val="11"/>
        <color theme="1"/>
        <rFont val="Calibri"/>
        <family val="2"/>
        <scheme val="minor"/>
      </rPr>
      <t>Additionally, the program is classified as commercial in CEDARS.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</si>
</sst>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409]#,##0.00"/>
    <numFmt numFmtId="167" formatCode="_(* #,##0_);_(* \(#,##0\);_(* &quot;-&quot;??_);_(@_)"/>
    <numFmt numFmtId="168" formatCode="&quot;$&quot;#,##0.00"/>
    <numFmt numFmtId="169" formatCode="mmmddyyyy"/>
    <numFmt numFmtId="170" formatCode="yymmmmdd"/>
    <numFmt numFmtId="171" formatCode="0.0%;_(* &quot;-&quot;_)"/>
    <numFmt numFmtId="172" formatCode="#,##0.0,,,&quot;bn&quot;"/>
    <numFmt numFmtId="173" formatCode="#,##0;\-#,##0;&quot;-&quot;"/>
    <numFmt numFmtId="174" formatCode="&quot;$&quot;#,\);\(&quot;$&quot;#,##0\)"/>
    <numFmt numFmtId="175" formatCode="_-* #,##0.00_-;\-* #,##0.00_-;_-* &quot;-&quot;??_-;_-@_-"/>
    <numFmt numFmtId="176" formatCode="hh:mm"/>
    <numFmt numFmtId="177" formatCode="00000"/>
    <numFmt numFmtId="178" formatCode="_-&quot;$&quot;* #,##0.00_-;\-&quot;$&quot;* #,##0.00_-;_-&quot;$&quot;* &quot;-&quot;??_-;_-@_-"/>
    <numFmt numFmtId="179" formatCode="&quot;$&quot;\ #,##0.00_);\(&quot;$&quot;\ #,##0.00\)"/>
    <numFmt numFmtId="180" formatCode="mm/dd/yyyy;@"/>
    <numFmt numFmtId="181" formatCode="#,##0.00;[Red]#,##0.00"/>
    <numFmt numFmtId="182" formatCode="_([$€-2]* #,##0.00_);_([$€-2]* \(#,##0.00\);_([$€-2]* &quot;-&quot;??_)"/>
    <numFmt numFmtId="183" formatCode="\€#,##0.0,,,&quot;bn&quot;"/>
    <numFmt numFmtId="184" formatCode="\€#,##0.0,,&quot;m&quot;"/>
    <numFmt numFmtId="185" formatCode="\€#,##0.0,&quot;k&quot;"/>
    <numFmt numFmtId="186" formatCode="\€#,##0.00"/>
    <numFmt numFmtId="187" formatCode="_-* #,##0.0_-;\-* #,##0.0_-;_-* &quot;-&quot;??_-;_-@_-"/>
    <numFmt numFmtId="188" formatCode="yyyy"/>
    <numFmt numFmtId="189" formatCode="\£#,##0.00"/>
    <numFmt numFmtId="190" formatCode="\£#,##0.0,,,&quot;bn&quot;"/>
    <numFmt numFmtId="191" formatCode="\£#,##0.0,,&quot;m&quot;"/>
    <numFmt numFmtId="192" formatCode="\£#,##0.0,&quot;k&quot;"/>
    <numFmt numFmtId="193" formatCode="#,##0.00&quot; $&quot;;\-#,##0.00&quot; $&quot;"/>
    <numFmt numFmtId="194" formatCode=";;;"/>
    <numFmt numFmtId="195" formatCode="General_)"/>
    <numFmt numFmtId="196" formatCode="@*."/>
    <numFmt numFmtId="197" formatCode="_ * #,##0_ ;_ * \-#,##0_ ;_ * &quot;-&quot;_ ;_ @_ "/>
    <numFmt numFmtId="198" formatCode="_ * #,##0.00_ ;_ * \-#,##0.00_ ;_ * &quot;-&quot;??_ ;_ @_ "/>
    <numFmt numFmtId="199" formatCode="#,##0.0,,&quot;m&quot;"/>
    <numFmt numFmtId="200" formatCode="dd/mm/yy"/>
    <numFmt numFmtId="201" formatCode="0.0%;_(&quot;-&quot;_)"/>
    <numFmt numFmtId="202" formatCode="0.0000%"/>
    <numFmt numFmtId="203" formatCode="[&lt;=9999999]###\-####;\(###\)\ ###\-####"/>
    <numFmt numFmtId="204" formatCode="&quot;$&quot;#,##0"/>
    <numFmt numFmtId="205" formatCode="mmm\-yyyy"/>
    <numFmt numFmtId="206" formatCode="#,###,##0,&quot;k&quot;"/>
    <numFmt numFmtId="207" formatCode="#,##0,_);\(#,##0,\)"/>
    <numFmt numFmtId="208" formatCode="\$#,##0.0,,,&quot;bn&quot;"/>
    <numFmt numFmtId="209" formatCode="\$#,##0.0,,&quot;m&quot;"/>
    <numFmt numFmtId="210" formatCode="\$#,##0.0,&quot;k&quot;"/>
    <numFmt numFmtId="211" formatCode="[$-409]d\-mmm\-yy;@"/>
    <numFmt numFmtId="212" formatCode="00\-0000000"/>
    <numFmt numFmtId="213" formatCode="_(* #,##0.0_);_(* \(#,##0.0\);_(* &quot;-&quot;??_);_(@_)"/>
    <numFmt numFmtId="214" formatCode="_-* #,##0.00\ &quot;DM&quot;_-;\-* #,##0.00\ &quot;DM&quot;_-;_-* &quot;-&quot;??\ &quot;DM&quot;_-;_-@_-"/>
    <numFmt numFmtId="215" formatCode="[$-F800]dddd\,\ mmmm\ dd\,\ yyyy"/>
    <numFmt numFmtId="216" formatCode="0.0"/>
    <numFmt numFmtId="217" formatCode="_(&quot;$&quot;* #,##0.00000_);_(&quot;$&quot;* \(#,##0.00000\);_(&quot;$&quot;* &quot;-&quot;?????_);_(@_)"/>
    <numFmt numFmtId="218" formatCode="_(* #,##0.0_);_(* \(#,##0.0\);_(* &quot;-&quot;?_);_(@_)"/>
  </numFmts>
  <fonts count="23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0"/>
      <name val="Times New Roman"/>
      <family val="1"/>
    </font>
    <font>
      <sz val="11"/>
      <name val="Calibri"/>
      <family val="2"/>
      <scheme val="minor"/>
    </font>
    <font>
      <b/>
      <sz val="10"/>
      <name val="Arial"/>
      <family val="2"/>
    </font>
    <font>
      <b/>
      <sz val="12"/>
      <name val="Arial"/>
      <family val="2"/>
    </font>
    <font>
      <sz val="12"/>
      <color theme="1"/>
      <name val="Calibri"/>
      <family val="2"/>
      <scheme val="minor"/>
    </font>
    <font>
      <sz val="11"/>
      <color rgb="FF0000F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Helv"/>
      <charset val="204"/>
    </font>
    <font>
      <sz val="12"/>
      <name val="???"/>
      <family val="1"/>
      <charset val="129"/>
    </font>
    <font>
      <u/>
      <sz val="8.4"/>
      <color indexed="12"/>
      <name val="Arial"/>
      <family val="2"/>
    </font>
    <font>
      <sz val="10"/>
      <color indexed="11"/>
      <name val="Arial"/>
      <family val="2"/>
    </font>
    <font>
      <i/>
      <sz val="10"/>
      <color indexed="12"/>
      <name val="Arial"/>
      <family val="2"/>
    </font>
    <font>
      <i/>
      <sz val="10"/>
      <color indexed="10"/>
      <name val="Arial"/>
      <family val="2"/>
    </font>
    <font>
      <sz val="11"/>
      <color indexed="8"/>
      <name val="Calibri"/>
      <family val="2"/>
    </font>
    <font>
      <sz val="11"/>
      <color indexed="9"/>
      <name val="Calibri"/>
      <family val="2"/>
    </font>
    <font>
      <sz val="10"/>
      <color indexed="8"/>
      <name val="MS Sans Serif"/>
      <family val="2"/>
    </font>
    <font>
      <sz val="10"/>
      <name val="Geneva"/>
      <family val="2"/>
    </font>
    <font>
      <sz val="11"/>
      <color indexed="20"/>
      <name val="Calibri"/>
      <family val="2"/>
    </font>
    <font>
      <sz val="9"/>
      <name val="Helv"/>
    </font>
    <font>
      <sz val="10"/>
      <color indexed="8"/>
      <name val="Arial"/>
      <family val="2"/>
    </font>
    <font>
      <b/>
      <sz val="11"/>
      <color indexed="52"/>
      <name val="Calibri"/>
      <family val="2"/>
    </font>
    <font>
      <b/>
      <sz val="11"/>
      <color indexed="53"/>
      <name val="Calibri"/>
      <family val="2"/>
    </font>
    <font>
      <b/>
      <sz val="11"/>
      <color indexed="9"/>
      <name val="Calibri"/>
      <family val="2"/>
    </font>
    <font>
      <sz val="10"/>
      <name val="MS Sans Serif"/>
      <family val="2"/>
    </font>
    <font>
      <sz val="10"/>
      <name val="MS Serif"/>
      <family val="1"/>
    </font>
    <font>
      <sz val="11"/>
      <name val="Book Antiqua"/>
      <family val="1"/>
    </font>
    <font>
      <sz val="10"/>
      <color theme="1"/>
      <name val="Arial"/>
      <family val="2"/>
    </font>
    <font>
      <sz val="10"/>
      <color indexed="12"/>
      <name val="Times New Roman"/>
      <family val="1"/>
    </font>
    <font>
      <sz val="11"/>
      <name val="??"/>
      <family val="3"/>
      <charset val="129"/>
    </font>
    <font>
      <sz val="10"/>
      <color indexed="16"/>
      <name val="MS Serif"/>
      <family val="1"/>
    </font>
    <font>
      <i/>
      <sz val="11"/>
      <color indexed="23"/>
      <name val="Calibri"/>
      <family val="2"/>
    </font>
    <font>
      <sz val="8"/>
      <name val="Arial"/>
      <family val="2"/>
    </font>
    <font>
      <sz val="6"/>
      <name val="Arial"/>
      <family val="2"/>
    </font>
    <font>
      <sz val="11"/>
      <color indexed="17"/>
      <name val="Calibri"/>
      <family val="2"/>
    </font>
    <font>
      <b/>
      <u/>
      <sz val="11"/>
      <color indexed="37"/>
      <name val="Arial"/>
      <family val="2"/>
    </font>
    <font>
      <b/>
      <sz val="18"/>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sz val="10"/>
      <color indexed="12"/>
      <name val="Arial"/>
      <family val="2"/>
    </font>
    <font>
      <sz val="7"/>
      <color indexed="12"/>
      <name val="Arial"/>
      <family val="2"/>
    </font>
    <font>
      <sz val="11"/>
      <color indexed="62"/>
      <name val="Calibri"/>
      <family val="2"/>
    </font>
    <font>
      <sz val="11"/>
      <color indexed="52"/>
      <name val="Calibri"/>
      <family val="2"/>
    </font>
    <font>
      <sz val="11"/>
      <color indexed="53"/>
      <name val="Calibri"/>
      <family val="2"/>
    </font>
    <font>
      <sz val="11"/>
      <color indexed="60"/>
      <name val="Calibri"/>
      <family val="2"/>
    </font>
    <font>
      <sz val="7"/>
      <name val="Small Fonts"/>
      <family val="2"/>
    </font>
    <font>
      <sz val="12"/>
      <name val="Arial"/>
      <family val="2"/>
    </font>
    <font>
      <sz val="11"/>
      <name val="Tms Rmn"/>
    </font>
    <font>
      <sz val="9"/>
      <name val="Arial"/>
      <family val="2"/>
    </font>
    <font>
      <i/>
      <sz val="11"/>
      <name val="Arial"/>
      <family val="2"/>
    </font>
    <font>
      <b/>
      <sz val="11"/>
      <color indexed="63"/>
      <name val="Calibri"/>
      <family val="2"/>
    </font>
    <font>
      <sz val="22"/>
      <name val="UBSHeadline"/>
      <family val="1"/>
    </font>
    <font>
      <sz val="8"/>
      <color indexed="8"/>
      <name val="Arial"/>
      <family val="2"/>
    </font>
    <font>
      <sz val="10"/>
      <color indexed="10"/>
      <name val="Geneva"/>
      <family val="2"/>
    </font>
    <font>
      <sz val="10"/>
      <color indexed="14"/>
      <name val="Arial"/>
      <family val="2"/>
    </font>
    <font>
      <sz val="8"/>
      <name val="Helv"/>
    </font>
    <font>
      <b/>
      <sz val="9"/>
      <color indexed="8"/>
      <name val="Arial"/>
      <family val="2"/>
    </font>
    <font>
      <b/>
      <sz val="10"/>
      <color indexed="39"/>
      <name val="Arial"/>
      <family val="2"/>
    </font>
    <font>
      <b/>
      <sz val="11"/>
      <color indexed="9"/>
      <name val="Arial"/>
      <family val="2"/>
    </font>
    <font>
      <b/>
      <i/>
      <sz val="11"/>
      <color indexed="9"/>
      <name val="Arial"/>
      <family val="2"/>
    </font>
    <font>
      <b/>
      <sz val="10"/>
      <color indexed="8"/>
      <name val="Arial"/>
      <family val="2"/>
    </font>
    <font>
      <b/>
      <sz val="9"/>
      <name val="Arial"/>
      <family val="2"/>
    </font>
    <font>
      <b/>
      <sz val="8"/>
      <name val="Arial"/>
      <family val="2"/>
    </font>
    <font>
      <b/>
      <sz val="12"/>
      <color indexed="8"/>
      <name val="Arial"/>
      <family val="2"/>
    </font>
    <font>
      <i/>
      <sz val="8"/>
      <color indexed="8"/>
      <name val="Arial"/>
      <family val="2"/>
    </font>
    <font>
      <sz val="10"/>
      <color indexed="56"/>
      <name val="Arial"/>
      <family val="2"/>
    </font>
    <font>
      <sz val="10"/>
      <color indexed="39"/>
      <name val="Arial"/>
      <family val="2"/>
    </font>
    <font>
      <sz val="12"/>
      <color indexed="9"/>
      <name val="Arial"/>
      <family val="2"/>
    </font>
    <font>
      <i/>
      <sz val="12"/>
      <color indexed="9"/>
      <name val="Arial"/>
      <family val="2"/>
    </font>
    <font>
      <sz val="9"/>
      <color indexed="8"/>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b/>
      <sz val="14"/>
      <name val="Arial"/>
      <family val="2"/>
    </font>
    <font>
      <sz val="10"/>
      <color indexed="10"/>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b/>
      <sz val="18"/>
      <color indexed="62"/>
      <name val="Cambria"/>
      <family val="2"/>
    </font>
    <font>
      <sz val="5"/>
      <name val="Arial"/>
      <family val="2"/>
    </font>
    <font>
      <sz val="10"/>
      <name val="Tahoma"/>
      <family val="2"/>
    </font>
    <font>
      <b/>
      <sz val="8"/>
      <color indexed="8"/>
      <name val="Helv"/>
    </font>
    <font>
      <sz val="10"/>
      <name val="Frutiger 45 Light"/>
      <family val="2"/>
    </font>
    <font>
      <b/>
      <sz val="18"/>
      <color indexed="56"/>
      <name val="Cambria"/>
      <family val="2"/>
    </font>
    <font>
      <b/>
      <sz val="11"/>
      <color indexed="8"/>
      <name val="Calibri"/>
      <family val="2"/>
    </font>
    <font>
      <sz val="8"/>
      <color indexed="12"/>
      <name val="Arial"/>
      <family val="2"/>
    </font>
    <font>
      <sz val="12"/>
      <name val="Arial Black"/>
      <family val="2"/>
    </font>
    <font>
      <sz val="11"/>
      <color indexed="10"/>
      <name val="Calibri"/>
      <family val="2"/>
    </font>
    <font>
      <sz val="10"/>
      <color indexed="9"/>
      <name val="Arial"/>
      <family val="2"/>
    </font>
    <font>
      <b/>
      <sz val="10"/>
      <name val="Times New Roman"/>
      <family val="1"/>
    </font>
    <font>
      <sz val="10"/>
      <color indexed="8"/>
      <name val="楲污瑡潩⁮"/>
    </font>
    <font>
      <sz val="11"/>
      <color rgb="FF000000"/>
      <name val="Calibri"/>
      <family val="2"/>
      <scheme val="minor"/>
    </font>
    <font>
      <sz val="10"/>
      <name val="Arial"/>
      <family val="2"/>
    </font>
    <font>
      <sz val="10"/>
      <name val="Helv"/>
    </font>
    <font>
      <b/>
      <sz val="18"/>
      <color theme="3"/>
      <name val="Calibri Light"/>
      <family val="2"/>
      <scheme val="major"/>
    </font>
    <font>
      <sz val="11"/>
      <color rgb="FF9C6500"/>
      <name val="Calibri"/>
      <family val="2"/>
      <scheme val="minor"/>
    </font>
    <font>
      <sz val="7"/>
      <name val="Arial"/>
      <family val="2"/>
    </font>
    <font>
      <sz val="11"/>
      <color indexed="16"/>
      <name val="Calibri"/>
      <family val="2"/>
    </font>
    <font>
      <sz val="11"/>
      <color indexed="37"/>
      <name val="Calibri"/>
      <family val="2"/>
    </font>
    <font>
      <b/>
      <sz val="11"/>
      <color indexed="17"/>
      <name val="Calibri"/>
      <family val="2"/>
    </font>
    <font>
      <b/>
      <sz val="11"/>
      <color indexed="10"/>
      <name val="Calibri"/>
      <family val="2"/>
      <scheme val="minor"/>
    </font>
    <font>
      <sz val="10"/>
      <color theme="1"/>
      <name val="Calibri"/>
      <family val="2"/>
    </font>
    <font>
      <i/>
      <sz val="10"/>
      <color indexed="23"/>
      <name val="Arial"/>
      <family val="2"/>
    </font>
    <font>
      <b/>
      <sz val="15"/>
      <color indexed="62"/>
      <name val="Calibri"/>
      <family val="2"/>
      <scheme val="minor"/>
    </font>
    <font>
      <b/>
      <sz val="13"/>
      <color indexed="62"/>
      <name val="Calibri"/>
      <family val="2"/>
      <scheme val="minor"/>
    </font>
    <font>
      <b/>
      <sz val="11"/>
      <color indexed="62"/>
      <name val="Calibri"/>
      <family val="2"/>
      <scheme val="minor"/>
    </font>
    <font>
      <u/>
      <sz val="10"/>
      <color indexed="12"/>
      <name val="Times New Roman"/>
      <family val="1"/>
    </font>
    <font>
      <u/>
      <sz val="11"/>
      <color theme="10"/>
      <name val="Calibri"/>
      <family val="2"/>
    </font>
    <font>
      <u/>
      <sz val="10"/>
      <color indexed="12"/>
      <name val="Arial"/>
      <family val="2"/>
    </font>
    <font>
      <u/>
      <sz val="9"/>
      <color indexed="12"/>
      <name val="Geneva"/>
    </font>
    <font>
      <sz val="11"/>
      <color indexed="48"/>
      <name val="Calibri"/>
      <family val="2"/>
    </font>
    <font>
      <sz val="11"/>
      <color indexed="10"/>
      <name val="Calibri"/>
      <family val="2"/>
      <scheme val="minor"/>
    </font>
    <font>
      <sz val="11"/>
      <color indexed="19"/>
      <name val="Calibri"/>
      <family val="2"/>
      <scheme val="minor"/>
    </font>
    <font>
      <sz val="12"/>
      <name val="Helv"/>
    </font>
    <font>
      <sz val="8"/>
      <color indexed="62"/>
      <name val="Arial"/>
      <family val="2"/>
    </font>
    <font>
      <b/>
      <sz val="8"/>
      <color indexed="8"/>
      <name val="Arial"/>
      <family val="2"/>
    </font>
    <font>
      <sz val="19"/>
      <name val="Arial"/>
      <family val="2"/>
    </font>
    <font>
      <b/>
      <sz val="16"/>
      <color indexed="23"/>
      <name val="Arial"/>
      <family val="2"/>
    </font>
    <font>
      <sz val="19"/>
      <color indexed="48"/>
      <name val="Arial"/>
      <family val="2"/>
    </font>
    <font>
      <sz val="8"/>
      <color indexed="14"/>
      <name val="Arial"/>
      <family val="2"/>
    </font>
    <font>
      <b/>
      <sz val="40"/>
      <color indexed="63"/>
      <name val="Trebuchet MS"/>
      <family val="2"/>
    </font>
    <font>
      <b/>
      <sz val="22"/>
      <name val="Tahoma"/>
      <family val="2"/>
    </font>
    <font>
      <b/>
      <sz val="24"/>
      <name val="Tahoma"/>
      <family val="2"/>
    </font>
    <font>
      <sz val="22"/>
      <name val="Tahoma"/>
      <family val="2"/>
    </font>
    <font>
      <sz val="11"/>
      <color indexed="14"/>
      <name val="Calibri"/>
      <family val="2"/>
    </font>
    <font>
      <sz val="10"/>
      <color theme="1"/>
      <name val="Calibri"/>
      <family val="2"/>
      <scheme val="minor"/>
    </font>
    <font>
      <b/>
      <sz val="12"/>
      <name val="Calibri"/>
      <family val="2"/>
      <scheme val="minor"/>
    </font>
    <font>
      <b/>
      <sz val="10"/>
      <name val="Calibri"/>
      <family val="2"/>
      <scheme val="minor"/>
    </font>
    <font>
      <b/>
      <sz val="11"/>
      <name val="Calibri"/>
      <family val="2"/>
      <scheme val="minor"/>
    </font>
    <font>
      <b/>
      <vertAlign val="superscript"/>
      <sz val="11"/>
      <name val="Calibri"/>
      <family val="2"/>
      <scheme val="minor"/>
    </font>
    <font>
      <sz val="8"/>
      <name val="Calibri"/>
      <family val="2"/>
      <scheme val="minor"/>
    </font>
    <font>
      <sz val="10"/>
      <name val="Calibri"/>
      <family val="2"/>
      <scheme val="minor"/>
    </font>
    <font>
      <sz val="12"/>
      <color rgb="FF9C6500"/>
      <name val="Calibri"/>
      <family val="2"/>
      <scheme val="minor"/>
    </font>
    <font>
      <sz val="12"/>
      <color rgb="FF006100"/>
      <name val="Calibri"/>
      <family val="2"/>
      <scheme val="minor"/>
    </font>
    <font>
      <b/>
      <sz val="11"/>
      <color rgb="FFFF0000"/>
      <name val="Calibri"/>
      <family val="2"/>
      <scheme val="minor"/>
    </font>
    <font>
      <b/>
      <sz val="11"/>
      <color rgb="FF000000"/>
      <name val="Calibri"/>
      <family val="2"/>
      <scheme val="minor"/>
    </font>
    <font>
      <b/>
      <sz val="11"/>
      <color rgb="FF0070C0"/>
      <name val="Calibri"/>
      <family val="2"/>
      <scheme val="minor"/>
    </font>
    <font>
      <u/>
      <sz val="12"/>
      <color theme="10"/>
      <name val="Calibri"/>
      <family val="2"/>
      <scheme val="minor"/>
    </font>
    <font>
      <i/>
      <sz val="11"/>
      <color theme="1"/>
      <name val="Calibri"/>
      <family val="2"/>
      <scheme val="minor"/>
    </font>
    <font>
      <sz val="10"/>
      <color theme="0" tint="-0.249977111117893"/>
      <name val="Calibri"/>
      <family val="2"/>
      <scheme val="minor"/>
    </font>
    <font>
      <sz val="10"/>
      <color rgb="FFFF0000"/>
      <name val="Calibri"/>
      <family val="2"/>
      <scheme val="minor"/>
    </font>
    <font>
      <i/>
      <sz val="10"/>
      <name val="Calibri"/>
      <family val="2"/>
      <scheme val="minor"/>
    </font>
    <font>
      <sz val="10"/>
      <color rgb="FF0000FF"/>
      <name val="Calibri"/>
      <family val="2"/>
      <scheme val="minor"/>
    </font>
    <font>
      <i/>
      <sz val="10"/>
      <color theme="1"/>
      <name val="Calibri"/>
      <family val="2"/>
      <scheme val="minor"/>
    </font>
    <font>
      <i/>
      <u/>
      <sz val="12"/>
      <color indexed="10"/>
      <name val="Calibri"/>
      <family val="2"/>
      <scheme val="minor"/>
    </font>
    <font>
      <i/>
      <sz val="11"/>
      <name val="Calibri"/>
      <family val="2"/>
      <scheme val="minor"/>
    </font>
    <font>
      <i/>
      <sz val="11"/>
      <color rgb="FF000000"/>
      <name val="Calibri"/>
      <family val="2"/>
      <scheme val="minor"/>
    </font>
    <font>
      <i/>
      <sz val="11"/>
      <color rgb="FFFF0000"/>
      <name val="Calibri"/>
      <family val="2"/>
      <scheme val="minor"/>
    </font>
    <font>
      <b/>
      <sz val="11"/>
      <color theme="1"/>
      <name val="Calibri"/>
      <family val="2"/>
    </font>
    <font>
      <sz val="11"/>
      <name val="Calibri"/>
      <family val="2"/>
    </font>
    <font>
      <b/>
      <sz val="11"/>
      <name val="Calibri"/>
      <family val="2"/>
    </font>
    <font>
      <sz val="11"/>
      <color theme="1"/>
      <name val="Calibri"/>
      <family val="2"/>
    </font>
    <font>
      <strike/>
      <sz val="11"/>
      <color rgb="FFFF0000"/>
      <name val="Calibri"/>
      <family val="2"/>
      <scheme val="minor"/>
    </font>
    <font>
      <i/>
      <sz val="11"/>
      <color theme="0" tint="-0.34998626667073579"/>
      <name val="Calibri"/>
      <family val="2"/>
      <scheme val="minor"/>
    </font>
    <font>
      <i/>
      <sz val="9"/>
      <color theme="0" tint="-0.34998626667073579"/>
      <name val="Calibri"/>
      <family val="2"/>
      <scheme val="minor"/>
    </font>
    <font>
      <sz val="11"/>
      <color theme="0" tint="-0.34998626667073579"/>
      <name val="Calibri"/>
      <family val="2"/>
      <scheme val="minor"/>
    </font>
    <font>
      <b/>
      <sz val="11"/>
      <color rgb="FFFFFFFF"/>
      <name val="Calibri"/>
      <family val="2"/>
      <scheme val="minor"/>
    </font>
    <font>
      <i/>
      <sz val="8"/>
      <color theme="0" tint="-0.34998626667073579"/>
      <name val="Calibri"/>
      <family val="2"/>
      <scheme val="minor"/>
    </font>
    <font>
      <sz val="8"/>
      <color theme="1"/>
      <name val="Calibri"/>
      <family val="2"/>
      <scheme val="minor"/>
    </font>
    <font>
      <b/>
      <i/>
      <sz val="11"/>
      <color rgb="FF000000"/>
      <name val="Calibri"/>
      <family val="2"/>
      <scheme val="minor"/>
    </font>
    <font>
      <b/>
      <vertAlign val="superscript"/>
      <sz val="10"/>
      <name val="Calibri"/>
      <family val="2"/>
      <scheme val="minor"/>
    </font>
    <font>
      <vertAlign val="superscript"/>
      <sz val="10"/>
      <name val="Calibri"/>
      <family val="2"/>
      <scheme val="minor"/>
    </font>
    <font>
      <b/>
      <sz val="10"/>
      <color rgb="FF0000FF"/>
      <name val="Arial"/>
      <family val="2"/>
    </font>
    <font>
      <vertAlign val="superscript"/>
      <sz val="11"/>
      <color theme="1"/>
      <name val="Calibri"/>
      <family val="2"/>
      <scheme val="minor"/>
    </font>
    <font>
      <i/>
      <sz val="8"/>
      <color theme="1"/>
      <name val="Arial"/>
      <family val="2"/>
    </font>
    <font>
      <sz val="12"/>
      <name val="Calibri"/>
      <family val="2"/>
      <scheme val="minor"/>
    </font>
    <font>
      <b/>
      <sz val="10"/>
      <color theme="1"/>
      <name val="Calibri"/>
      <family val="2"/>
      <scheme val="minor"/>
    </font>
    <font>
      <b/>
      <sz val="10"/>
      <color rgb="FF000000"/>
      <name val="Calibri"/>
      <family val="2"/>
      <scheme val="minor"/>
    </font>
    <font>
      <sz val="10"/>
      <color rgb="FF000000"/>
      <name val="Calibri"/>
      <family val="2"/>
    </font>
    <font>
      <b/>
      <sz val="10"/>
      <color rgb="FF000000"/>
      <name val="Calibri"/>
      <family val="2"/>
    </font>
    <font>
      <sz val="10"/>
      <color rgb="FF000000"/>
      <name val="Calibri"/>
      <family val="2"/>
      <scheme val="minor"/>
    </font>
    <font>
      <b/>
      <sz val="10"/>
      <color theme="0"/>
      <name val="Calibri"/>
      <family val="2"/>
      <scheme val="minor"/>
    </font>
    <font>
      <b/>
      <vertAlign val="superscript"/>
      <sz val="11"/>
      <color theme="1"/>
      <name val="Calibri"/>
      <family val="2"/>
      <scheme val="minor"/>
    </font>
    <font>
      <b/>
      <vertAlign val="superscript"/>
      <sz val="11"/>
      <color rgb="FF000000"/>
      <name val="Calibri"/>
      <family val="2"/>
      <scheme val="minor"/>
    </font>
    <font>
      <vertAlign val="superscript"/>
      <sz val="11"/>
      <name val="Calibri"/>
      <family val="2"/>
      <scheme val="minor"/>
    </font>
    <font>
      <b/>
      <sz val="11"/>
      <color theme="0"/>
      <name val="Calibri Light"/>
      <family val="2"/>
    </font>
    <font>
      <b/>
      <sz val="11"/>
      <name val="Calibri Light"/>
      <family val="2"/>
    </font>
    <font>
      <b/>
      <vertAlign val="superscript"/>
      <sz val="11"/>
      <color theme="0"/>
      <name val="Calibri Light"/>
      <family val="2"/>
    </font>
    <font>
      <b/>
      <vertAlign val="superscript"/>
      <sz val="11"/>
      <name val="Calibri Light"/>
      <family val="2"/>
    </font>
    <font>
      <b/>
      <vertAlign val="superscript"/>
      <sz val="11"/>
      <color theme="0"/>
      <name val="Calibri"/>
      <family val="2"/>
      <scheme val="minor"/>
    </font>
    <font>
      <b/>
      <sz val="10"/>
      <color rgb="FF0070C0"/>
      <name val="Calibri"/>
      <family val="2"/>
      <scheme val="minor"/>
    </font>
    <font>
      <b/>
      <vertAlign val="superscript"/>
      <sz val="10"/>
      <color rgb="FF0070C0"/>
      <name val="Calibri"/>
      <family val="2"/>
      <scheme val="minor"/>
    </font>
    <font>
      <i/>
      <sz val="10"/>
      <color rgb="FF0070C0"/>
      <name val="Calibri"/>
      <family val="2"/>
      <scheme val="minor"/>
    </font>
  </fonts>
  <fills count="17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4"/>
      </patternFill>
    </fill>
    <fill>
      <patternFill patternType="solid">
        <fgColor indexed="26"/>
        <bgColor indexed="26"/>
      </patternFill>
    </fill>
    <fill>
      <patternFill patternType="solid">
        <fgColor indexed="47"/>
        <bgColor indexed="47"/>
      </patternFill>
    </fill>
    <fill>
      <patternFill patternType="solid">
        <fgColor indexed="53"/>
      </patternFill>
    </fill>
    <fill>
      <patternFill patternType="solid">
        <fgColor indexed="44"/>
        <bgColor indexed="64"/>
      </patternFill>
    </fill>
    <fill>
      <patternFill patternType="solid">
        <fgColor indexed="23"/>
      </patternFill>
    </fill>
    <fill>
      <patternFill patternType="solid">
        <fgColor indexed="49"/>
        <bgColor indexed="64"/>
      </patternFill>
    </fill>
    <fill>
      <patternFill patternType="solid">
        <fgColor indexed="50"/>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31"/>
        <bgColor indexed="43"/>
      </patternFill>
    </fill>
    <fill>
      <patternFill patternType="solid">
        <fgColor indexed="21"/>
        <bgColor indexed="64"/>
      </patternFill>
    </fill>
    <fill>
      <patternFill patternType="solid">
        <fgColor indexed="37"/>
      </patternFill>
    </fill>
    <fill>
      <patternFill patternType="solid">
        <fgColor indexed="30"/>
        <bgColor indexed="30"/>
      </patternFill>
    </fill>
    <fill>
      <patternFill patternType="solid">
        <fgColor indexed="55"/>
        <bgColor indexed="64"/>
      </patternFill>
    </fill>
    <fill>
      <patternFill patternType="solid">
        <fgColor indexed="54"/>
        <bgColor indexed="64"/>
      </patternFill>
    </fill>
    <fill>
      <patternFill patternType="solid">
        <fgColor indexed="31"/>
        <bgColor indexed="54"/>
      </patternFill>
    </fill>
    <fill>
      <patternFill patternType="solid">
        <fgColor indexed="40"/>
        <bgColor indexed="64"/>
      </patternFill>
    </fill>
    <fill>
      <patternFill patternType="solid">
        <fgColor indexed="41"/>
        <bgColor indexed="64"/>
      </patternFill>
    </fill>
    <fill>
      <patternFill patternType="solid">
        <fgColor indexed="9"/>
      </patternFill>
    </fill>
    <fill>
      <patternFill patternType="solid">
        <fgColor indexed="35"/>
        <bgColor indexed="64"/>
      </patternFill>
    </fill>
    <fill>
      <patternFill patternType="solid">
        <fgColor indexed="41"/>
      </patternFill>
    </fill>
    <fill>
      <patternFill patternType="solid">
        <fgColor indexed="10"/>
        <bgColor indexed="64"/>
      </patternFill>
    </fill>
    <fill>
      <patternFill patternType="solid">
        <fgColor indexed="30"/>
        <bgColor indexed="40"/>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18"/>
        <bgColor indexed="64"/>
      </patternFill>
    </fill>
    <fill>
      <patternFill patternType="solid">
        <fgColor indexed="42"/>
        <bgColor indexed="64"/>
      </patternFill>
    </fill>
    <fill>
      <patternFill patternType="solid">
        <fgColor indexed="45"/>
        <bgColor indexed="64"/>
      </patternFill>
    </fill>
    <fill>
      <patternFill patternType="solid">
        <fgColor indexed="53"/>
        <bgColor indexed="64"/>
      </patternFill>
    </fill>
    <fill>
      <patternFill patternType="solid">
        <fgColor indexed="16"/>
        <bgColor indexed="64"/>
      </patternFill>
    </fill>
    <fill>
      <patternFill patternType="solid">
        <fgColor indexed="14"/>
      </patternFill>
    </fill>
    <fill>
      <patternFill patternType="solid">
        <fgColor indexed="63"/>
      </patternFill>
    </fill>
    <fill>
      <patternFill patternType="solid">
        <fgColor indexed="18"/>
      </patternFill>
    </fill>
    <fill>
      <patternFill patternType="solid">
        <fgColor indexed="40"/>
      </patternFill>
    </fill>
    <fill>
      <patternFill patternType="solid">
        <fgColor indexed="61"/>
        <bgColor indexed="61"/>
      </patternFill>
    </fill>
    <fill>
      <patternFill patternType="solid">
        <fgColor indexed="58"/>
        <bgColor indexed="58"/>
      </patternFill>
    </fill>
    <fill>
      <patternFill patternType="solid">
        <fgColor indexed="48"/>
        <bgColor indexed="48"/>
      </patternFill>
    </fill>
    <fill>
      <patternFill patternType="solid">
        <fgColor indexed="56"/>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9"/>
      </patternFill>
    </fill>
    <fill>
      <patternFill patternType="solid">
        <fgColor indexed="35"/>
        <bgColor indexed="3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60"/>
      </patternFill>
    </fill>
    <fill>
      <patternFill patternType="solid">
        <fgColor indexed="31"/>
        <bgColor indexed="64"/>
      </patternFill>
    </fill>
    <fill>
      <patternFill patternType="solid">
        <fgColor indexed="12"/>
      </patternFill>
    </fill>
    <fill>
      <patternFill patternType="solid">
        <fgColor indexed="29"/>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lightUp">
        <fgColor indexed="48"/>
        <bgColor indexed="41"/>
      </patternFill>
    </fill>
    <fill>
      <patternFill patternType="lightUp">
        <fgColor indexed="22"/>
        <bgColor indexed="35"/>
      </patternFill>
    </fill>
    <fill>
      <patternFill patternType="solid">
        <fgColor indexed="23"/>
        <bgColor indexed="64"/>
      </patternFill>
    </fill>
    <fill>
      <patternFill patternType="solid">
        <fgColor indexed="15"/>
      </patternFill>
    </fill>
    <fill>
      <patternFill patternType="solid">
        <fgColor indexed="20"/>
      </patternFill>
    </fill>
    <fill>
      <patternFill patternType="solid">
        <fgColor rgb="FFFFFFFF"/>
        <bgColor indexed="64"/>
      </patternFill>
    </fill>
    <fill>
      <patternFill patternType="solid">
        <fgColor theme="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rgb="FFFFD966"/>
        <bgColor rgb="FF000000"/>
      </patternFill>
    </fill>
    <fill>
      <patternFill patternType="solid">
        <fgColor theme="0" tint="-0.249977111117893"/>
        <bgColor indexed="64"/>
      </patternFill>
    </fill>
    <fill>
      <patternFill patternType="solid">
        <fgColor theme="2"/>
        <bgColor indexed="64"/>
      </patternFill>
    </fill>
    <fill>
      <patternFill patternType="solid">
        <fgColor rgb="FFBDD7EE"/>
        <bgColor rgb="FF000000"/>
      </patternFill>
    </fill>
    <fill>
      <patternFill patternType="solid">
        <fgColor rgb="FFD9D9D9"/>
        <bgColor rgb="FF000000"/>
      </patternFill>
    </fill>
    <fill>
      <patternFill patternType="solid">
        <fgColor rgb="FF000000"/>
        <bgColor rgb="FF000000"/>
      </patternFill>
    </fill>
    <fill>
      <patternFill patternType="solid">
        <fgColor theme="4" tint="0.59999389629810485"/>
        <bgColor rgb="FF000000"/>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2" tint="-0.249977111117893"/>
        <bgColor indexed="64"/>
      </patternFill>
    </fill>
    <fill>
      <patternFill patternType="solid">
        <fgColor theme="7"/>
        <bgColor indexed="64"/>
      </patternFill>
    </fill>
    <fill>
      <patternFill patternType="solid">
        <fgColor rgb="FFF2F2F2"/>
        <bgColor rgb="FF000000"/>
      </patternFill>
    </fill>
    <fill>
      <patternFill patternType="solid">
        <fgColor theme="5"/>
        <bgColor theme="5"/>
      </patternFill>
    </fill>
    <fill>
      <patternFill patternType="solid">
        <fgColor theme="5" tint="0.79998168889431442"/>
        <bgColor theme="5" tint="0.79998168889431442"/>
      </patternFill>
    </fill>
    <fill>
      <patternFill patternType="solid">
        <fgColor theme="4" tint="0.39997558519241921"/>
        <bgColor rgb="FF000000"/>
      </patternFill>
    </fill>
    <fill>
      <patternFill patternType="solid">
        <fgColor theme="5" tint="0.39997558519241921"/>
        <bgColor indexed="64"/>
      </patternFill>
    </fill>
    <fill>
      <patternFill patternType="solid">
        <fgColor rgb="FFE7E6E6"/>
        <bgColor rgb="FF000000"/>
      </patternFill>
    </fill>
    <fill>
      <patternFill patternType="solid">
        <fgColor rgb="FFFFFFFF"/>
        <bgColor rgb="FF000000"/>
      </patternFill>
    </fill>
    <fill>
      <patternFill patternType="solid">
        <fgColor theme="7" tint="0.79998168889431442"/>
        <bgColor indexed="64"/>
      </patternFill>
    </fill>
    <fill>
      <patternFill patternType="solid">
        <fgColor theme="4" tint="0.39997558519241921"/>
        <bgColor indexed="64"/>
      </patternFill>
    </fill>
    <fill>
      <patternFill patternType="solid">
        <fgColor theme="1" tint="0.34998626667073579"/>
        <bgColor indexed="64"/>
      </patternFill>
    </fill>
    <fill>
      <patternFill patternType="solid">
        <fgColor rgb="FFFFC000"/>
        <bgColor indexed="64"/>
      </patternFill>
    </fill>
    <fill>
      <patternFill patternType="solid">
        <fgColor rgb="FFFFFF00"/>
        <bgColor indexed="64"/>
      </patternFill>
    </fill>
  </fills>
  <borders count="2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medium">
        <color auto="1"/>
      </bottom>
      <diagonal/>
    </border>
    <border>
      <left style="medium">
        <color auto="1"/>
      </left>
      <right style="medium">
        <color auto="1"/>
      </right>
      <top/>
      <bottom style="medium">
        <color rgb="FF000000"/>
      </bottom>
      <diagonal/>
    </border>
    <border>
      <left/>
      <right/>
      <top style="thin">
        <color auto="1"/>
      </top>
      <bottom style="thin">
        <color auto="1"/>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bottom style="hair">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22"/>
      </left>
      <right style="hair">
        <color indexed="22"/>
      </right>
      <top style="hair">
        <color indexed="22"/>
      </top>
      <bottom style="hair">
        <color indexed="22"/>
      </bottom>
      <diagonal/>
    </border>
    <border>
      <left/>
      <right/>
      <top style="medium">
        <color auto="1"/>
      </top>
      <bottom style="medium">
        <color auto="1"/>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style="double">
        <color auto="1"/>
      </left>
      <right style="double">
        <color auto="1"/>
      </right>
      <top style="double">
        <color auto="1"/>
      </top>
      <bottom style="double">
        <color auto="1"/>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style="thin">
        <color auto="1"/>
      </left>
      <right/>
      <top style="thin">
        <color auto="1"/>
      </top>
      <bottom/>
      <diagonal/>
    </border>
    <border>
      <left/>
      <right/>
      <top style="double">
        <color indexed="0"/>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6"/>
      </bottom>
      <diagonal/>
    </border>
    <border>
      <left/>
      <right/>
      <top/>
      <bottom style="thick">
        <color indexed="58"/>
      </bottom>
      <diagonal/>
    </border>
    <border>
      <left/>
      <right/>
      <top/>
      <bottom style="thick">
        <color indexed="27"/>
      </bottom>
      <diagonal/>
    </border>
    <border>
      <left/>
      <right/>
      <top/>
      <bottom style="medium">
        <color indexed="24"/>
      </bottom>
      <diagonal/>
    </border>
    <border>
      <left/>
      <right/>
      <top/>
      <bottom style="medium">
        <color indexed="58"/>
      </bottom>
      <diagonal/>
    </border>
    <border>
      <left/>
      <right/>
      <top/>
      <bottom style="medium">
        <color indexed="27"/>
      </bottom>
      <diagonal/>
    </border>
    <border>
      <left/>
      <right/>
      <top/>
      <bottom style="double">
        <color indexed="17"/>
      </bottom>
      <diagonal/>
    </border>
    <border>
      <left/>
      <right/>
      <top/>
      <bottom style="double">
        <color indexed="10"/>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auto="1"/>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auto="1"/>
      </left>
      <right style="thin">
        <color auto="1"/>
      </right>
      <top/>
      <bottom/>
      <diagonal/>
    </border>
    <border>
      <left/>
      <right/>
      <top style="medium">
        <color indexed="64"/>
      </top>
      <bottom/>
      <diagonal/>
    </border>
    <border>
      <left/>
      <right style="thin">
        <color indexed="64"/>
      </right>
      <top style="medium">
        <color indexed="64"/>
      </top>
      <bottom style="double">
        <color indexed="64"/>
      </bottom>
      <diagonal/>
    </border>
    <border>
      <left style="thin">
        <color indexed="64"/>
      </left>
      <right/>
      <top style="thin">
        <color indexed="64"/>
      </top>
      <bottom/>
      <diagonal/>
    </border>
    <border>
      <left style="double">
        <color rgb="FF000000"/>
      </left>
      <right/>
      <top style="double">
        <color rgb="FF000000"/>
      </top>
      <bottom/>
      <diagonal/>
    </border>
    <border>
      <left/>
      <right/>
      <top style="double">
        <color rgb="FF000000"/>
      </top>
      <bottom/>
      <diagonal/>
    </border>
    <border>
      <left style="double">
        <color rgb="FF000000"/>
      </left>
      <right/>
      <top/>
      <bottom/>
      <diagonal/>
    </border>
    <border>
      <left style="thin">
        <color indexed="64"/>
      </left>
      <right style="thin">
        <color indexed="64"/>
      </right>
      <top/>
      <bottom style="double">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30"/>
      </bottom>
      <diagonal/>
    </border>
    <border>
      <left/>
      <right/>
      <top/>
      <bottom style="medium">
        <color indexed="55"/>
      </bottom>
      <diagonal/>
    </border>
    <border>
      <left/>
      <right/>
      <top/>
      <bottom style="medium">
        <color indexed="22"/>
      </bottom>
      <diagonal/>
    </border>
    <border>
      <left style="thin">
        <color auto="1"/>
      </left>
      <right/>
      <top style="thin">
        <color auto="1"/>
      </top>
      <bottom/>
      <diagonal/>
    </border>
    <border>
      <left/>
      <right/>
      <top style="double">
        <color indexed="0"/>
      </top>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right/>
      <top/>
      <bottom style="medium">
        <color indexed="24"/>
      </bottom>
      <diagonal/>
    </border>
    <border>
      <left/>
      <right/>
      <top/>
      <bottom style="medium">
        <color indexed="58"/>
      </bottom>
      <diagonal/>
    </border>
    <border>
      <left/>
      <right/>
      <top/>
      <bottom style="medium">
        <color indexed="27"/>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style="thin">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auto="1"/>
      </left>
      <right style="thin">
        <color auto="1"/>
      </right>
      <top style="double">
        <color indexed="64"/>
      </top>
      <bottom style="thin">
        <color auto="1"/>
      </bottom>
      <diagonal/>
    </border>
    <border>
      <left/>
      <right style="thin">
        <color indexed="64"/>
      </right>
      <top style="double">
        <color indexed="64"/>
      </top>
      <bottom style="thin">
        <color indexed="64"/>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auto="1"/>
      </right>
      <top/>
      <bottom style="medium">
        <color indexed="64"/>
      </bottom>
      <diagonal/>
    </border>
    <border>
      <left style="thin">
        <color indexed="64"/>
      </left>
      <right style="thin">
        <color indexed="64"/>
      </right>
      <top/>
      <bottom style="medium">
        <color indexed="64"/>
      </bottom>
      <diagonal/>
    </border>
    <border>
      <left style="thin">
        <color auto="1"/>
      </left>
      <right style="thin">
        <color auto="1"/>
      </right>
      <top style="double">
        <color indexed="64"/>
      </top>
      <bottom style="medium">
        <color indexed="64"/>
      </bottom>
      <diagonal/>
    </border>
    <border>
      <left style="medium">
        <color indexed="64"/>
      </left>
      <right style="thin">
        <color auto="1"/>
      </right>
      <top style="double">
        <color indexed="64"/>
      </top>
      <bottom style="medium">
        <color indexed="64"/>
      </bottom>
      <diagonal/>
    </border>
    <border>
      <left/>
      <right style="thin">
        <color indexed="64"/>
      </right>
      <top style="thin">
        <color indexed="64"/>
      </top>
      <bottom/>
      <diagonal/>
    </border>
    <border>
      <left style="thin">
        <color theme="5" tint="0.39997558519241921"/>
      </left>
      <right/>
      <top style="thin">
        <color theme="5" tint="0.39997558519241921"/>
      </top>
      <bottom/>
      <diagonal/>
    </border>
    <border>
      <left/>
      <right/>
      <top style="thin">
        <color theme="5" tint="0.39997558519241921"/>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auto="1"/>
      </left>
      <right style="double">
        <color auto="1"/>
      </right>
      <top style="double">
        <color auto="1"/>
      </top>
      <bottom style="double">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medium">
        <color indexed="22"/>
      </top>
      <bottom style="medium">
        <color indexed="22"/>
      </bottom>
      <diagonal/>
    </border>
    <border>
      <left style="thin">
        <color auto="1"/>
      </left>
      <right/>
      <top style="thin">
        <color auto="1"/>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54"/>
      </left>
      <right/>
      <top style="thin">
        <color indexed="54"/>
      </top>
      <bottom/>
      <diagonal/>
    </border>
    <border>
      <left/>
      <right/>
      <top style="thin">
        <color indexed="48"/>
      </top>
      <bottom style="double">
        <color indexed="48"/>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top style="medium">
        <color auto="1"/>
      </top>
      <bottom/>
      <diagonal/>
    </border>
    <border>
      <left style="medium">
        <color indexed="64"/>
      </left>
      <right style="medium">
        <color indexed="64"/>
      </right>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auto="1"/>
      </right>
      <top style="double">
        <color indexed="64"/>
      </top>
      <bottom style="medium">
        <color indexed="64"/>
      </bottom>
      <diagonal/>
    </border>
    <border>
      <left/>
      <right/>
      <top style="double">
        <color indexed="64"/>
      </top>
      <bottom style="medium">
        <color indexed="64"/>
      </bottom>
      <diagonal/>
    </border>
    <border>
      <left style="thin">
        <color theme="5" tint="0.39997558519241921"/>
      </left>
      <right/>
      <top style="thin">
        <color theme="5" tint="0.39997558519241921"/>
      </top>
      <bottom style="thin">
        <color theme="5" tint="0.39994506668294322"/>
      </bottom>
      <diagonal/>
    </border>
    <border>
      <left/>
      <right/>
      <top style="thin">
        <color theme="5" tint="0.39997558519241921"/>
      </top>
      <bottom style="thin">
        <color theme="5" tint="0.39994506668294322"/>
      </bottom>
      <diagonal/>
    </border>
    <border>
      <left/>
      <right style="thin">
        <color indexed="64"/>
      </right>
      <top style="double">
        <color indexed="64"/>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auto="1"/>
      </left>
      <right style="thin">
        <color auto="1"/>
      </right>
      <top style="thin">
        <color auto="1"/>
      </top>
      <bottom/>
      <diagonal/>
    </border>
    <border>
      <left/>
      <right style="medium">
        <color indexed="64"/>
      </right>
      <top style="thin">
        <color indexed="64"/>
      </top>
      <bottom/>
      <diagonal/>
    </border>
  </borders>
  <cellStyleXfs count="42831">
    <xf numFmtId="0" fontId="0" fillId="0" borderId="0"/>
    <xf numFmtId="0" fontId="31" fillId="0" borderId="0"/>
    <xf numFmtId="0" fontId="33" fillId="0" borderId="0"/>
    <xf numFmtId="44" fontId="31" fillId="0" borderId="0" applyFont="0" applyFill="0" applyBorder="0" applyAlignment="0" applyProtection="0"/>
    <xf numFmtId="43" fontId="31" fillId="0" borderId="0" applyFont="0" applyFill="0" applyBorder="0" applyAlignment="0" applyProtection="0"/>
    <xf numFmtId="0" fontId="34" fillId="0" borderId="0"/>
    <xf numFmtId="0" fontId="33" fillId="0" borderId="0"/>
    <xf numFmtId="44" fontId="34" fillId="0" borderId="0" applyFont="0" applyFill="0" applyBorder="0" applyAlignment="0" applyProtection="0"/>
    <xf numFmtId="0" fontId="30" fillId="0" borderId="0"/>
    <xf numFmtId="0" fontId="34" fillId="0" borderId="0"/>
    <xf numFmtId="44" fontId="30" fillId="0" borderId="0" applyFont="0" applyFill="0" applyBorder="0" applyAlignment="0" applyProtection="0"/>
    <xf numFmtId="44" fontId="33" fillId="0" borderId="0" applyFont="0" applyFill="0" applyBorder="0" applyAlignment="0" applyProtection="0"/>
    <xf numFmtId="0" fontId="33" fillId="0" borderId="0"/>
    <xf numFmtId="0" fontId="33" fillId="0" borderId="0"/>
    <xf numFmtId="0" fontId="33" fillId="0" borderId="0"/>
    <xf numFmtId="44" fontId="3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38" fillId="0" borderId="0" applyFont="0" applyFill="0" applyBorder="0" applyAlignment="0" applyProtection="0"/>
    <xf numFmtId="0" fontId="28" fillId="0" borderId="0"/>
    <xf numFmtId="44" fontId="28" fillId="0" borderId="0" applyFont="0" applyFill="0" applyBorder="0" applyAlignment="0" applyProtection="0"/>
    <xf numFmtId="43" fontId="28" fillId="0" borderId="0" applyFont="0" applyFill="0" applyBorder="0" applyAlignment="0" applyProtection="0"/>
    <xf numFmtId="0" fontId="27" fillId="0" borderId="0"/>
    <xf numFmtId="0" fontId="26" fillId="0" borderId="0"/>
    <xf numFmtId="43" fontId="38" fillId="0" borderId="0" applyFont="0" applyFill="0" applyBorder="0" applyAlignment="0" applyProtection="0"/>
    <xf numFmtId="0" fontId="40" fillId="0" borderId="0" applyNumberFormat="0" applyFill="0" applyBorder="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4" fillId="4" borderId="0" applyNumberFormat="0" applyBorder="0" applyAlignment="0" applyProtection="0"/>
    <xf numFmtId="0" fontId="45" fillId="5" borderId="0" applyNumberFormat="0" applyBorder="0" applyAlignment="0" applyProtection="0"/>
    <xf numFmtId="0" fontId="46" fillId="6" borderId="0" applyNumberFormat="0" applyBorder="0" applyAlignment="0" applyProtection="0"/>
    <xf numFmtId="0" fontId="47" fillId="7" borderId="13" applyNumberFormat="0" applyAlignment="0" applyProtection="0"/>
    <xf numFmtId="0" fontId="48" fillId="8" borderId="14" applyNumberFormat="0" applyAlignment="0" applyProtection="0"/>
    <xf numFmtId="0" fontId="49" fillId="8" borderId="13" applyNumberFormat="0" applyAlignment="0" applyProtection="0"/>
    <xf numFmtId="0" fontId="50" fillId="0" borderId="15" applyNumberFormat="0" applyFill="0" applyAlignment="0" applyProtection="0"/>
    <xf numFmtId="0" fontId="51" fillId="9" borderId="16" applyNumberFormat="0" applyAlignment="0" applyProtection="0"/>
    <xf numFmtId="0" fontId="32" fillId="0" borderId="0" applyNumberFormat="0" applyFill="0" applyBorder="0" applyAlignment="0" applyProtection="0"/>
    <xf numFmtId="0" fontId="52" fillId="0" borderId="0" applyNumberFormat="0" applyFill="0" applyBorder="0" applyAlignment="0" applyProtection="0"/>
    <xf numFmtId="0" fontId="53" fillId="0" borderId="18" applyNumberFormat="0" applyFill="0" applyAlignment="0" applyProtection="0"/>
    <xf numFmtId="0" fontId="54"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54"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54"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54"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54"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54" fillId="31"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62" fillId="37" borderId="0" applyNumberFormat="0" applyBorder="0" applyAlignment="0" applyProtection="0"/>
    <xf numFmtId="0" fontId="25" fillId="0" borderId="0"/>
    <xf numFmtId="0" fontId="62" fillId="41" borderId="0" applyNumberFormat="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62" fillId="35" borderId="0" applyNumberFormat="0" applyBorder="0" applyAlignment="0" applyProtection="0"/>
    <xf numFmtId="0" fontId="33" fillId="0" borderId="0"/>
    <xf numFmtId="0" fontId="25" fillId="0" borderId="0"/>
    <xf numFmtId="0" fontId="62" fillId="40" borderId="0" applyNumberFormat="0" applyBorder="0" applyAlignment="0" applyProtection="0"/>
    <xf numFmtId="44" fontId="25" fillId="0" borderId="0" applyFont="0" applyFill="0" applyBorder="0" applyAlignment="0" applyProtection="0"/>
    <xf numFmtId="0" fontId="33" fillId="0" borderId="0" applyNumberFormat="0" applyFill="0" applyBorder="0" applyAlignment="0" applyProtection="0"/>
    <xf numFmtId="0" fontId="33" fillId="0" borderId="0"/>
    <xf numFmtId="0" fontId="5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62" fillId="39" borderId="0" applyNumberFormat="0" applyBorder="0" applyAlignment="0" applyProtection="0"/>
    <xf numFmtId="0" fontId="56" fillId="0" borderId="0"/>
    <xf numFmtId="0" fontId="33" fillId="0" borderId="0"/>
    <xf numFmtId="0" fontId="62" fillId="35" borderId="0" applyNumberFormat="0" applyBorder="0" applyAlignment="0" applyProtection="0"/>
    <xf numFmtId="0" fontId="62"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42" borderId="0" applyNumberFormat="0" applyBorder="0" applyAlignment="0" applyProtection="0"/>
    <xf numFmtId="9" fontId="25" fillId="0" borderId="0" applyFont="0" applyFill="0" applyBorder="0" applyAlignment="0" applyProtection="0"/>
    <xf numFmtId="0" fontId="33" fillId="0" borderId="0"/>
    <xf numFmtId="0" fontId="33" fillId="0" borderId="0"/>
    <xf numFmtId="0" fontId="56" fillId="0" borderId="0"/>
    <xf numFmtId="0" fontId="62" fillId="39" borderId="0" applyNumberFormat="0" applyBorder="0" applyAlignment="0" applyProtection="0"/>
    <xf numFmtId="0" fontId="59" fillId="0" borderId="0" applyNumberFormat="0" applyFill="0" applyBorder="0" applyAlignment="0" applyProtection="0">
      <alignment vertical="top"/>
    </xf>
    <xf numFmtId="0" fontId="60" fillId="0" borderId="0" applyNumberFormat="0" applyFill="0" applyBorder="0" applyAlignment="0" applyProtection="0">
      <alignment vertical="top"/>
    </xf>
    <xf numFmtId="0" fontId="61" fillId="0" borderId="0" applyNumberFormat="0" applyFill="0" applyBorder="0" applyAlignment="0" applyProtection="0">
      <alignment vertical="top"/>
    </xf>
    <xf numFmtId="0" fontId="33" fillId="0" borderId="0"/>
    <xf numFmtId="0" fontId="33" fillId="0" borderId="0" applyFont="0" applyFill="0" applyBorder="0" applyProtection="0"/>
    <xf numFmtId="0" fontId="62" fillId="35"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9" borderId="0" applyNumberFormat="0" applyBorder="0" applyAlignment="0" applyProtection="0"/>
    <xf numFmtId="0" fontId="62" fillId="39" borderId="0" applyNumberFormat="0" applyBorder="0" applyAlignment="0" applyProtection="0"/>
    <xf numFmtId="0" fontId="62" fillId="41" borderId="0" applyNumberFormat="0" applyBorder="0" applyAlignment="0" applyProtection="0"/>
    <xf numFmtId="169" fontId="33" fillId="0" borderId="0" applyFont="0" applyFill="0" applyBorder="0" applyAlignment="0" applyProtection="0"/>
    <xf numFmtId="0" fontId="33" fillId="0" borderId="0" applyNumberFormat="0" applyFill="0" applyBorder="0" applyAlignment="0" applyProtection="0"/>
    <xf numFmtId="0" fontId="62" fillId="37" borderId="0" applyNumberFormat="0" applyBorder="0" applyAlignment="0" applyProtection="0"/>
    <xf numFmtId="0" fontId="58" fillId="0" borderId="0" applyNumberFormat="0" applyFill="0" applyBorder="0" applyAlignment="0" applyProtection="0">
      <alignment vertical="top"/>
      <protection locked="0"/>
    </xf>
    <xf numFmtId="0" fontId="62" fillId="35" borderId="0" applyNumberFormat="0" applyBorder="0" applyAlignment="0" applyProtection="0"/>
    <xf numFmtId="0" fontId="62" fillId="38" borderId="0" applyNumberFormat="0" applyBorder="0" applyAlignment="0" applyProtection="0"/>
    <xf numFmtId="0" fontId="62" fillId="36" borderId="0" applyNumberFormat="0" applyBorder="0" applyAlignment="0" applyProtection="0"/>
    <xf numFmtId="0" fontId="33" fillId="0" borderId="0" applyNumberFormat="0" applyFill="0" applyBorder="0" applyAlignment="0" applyProtection="0"/>
    <xf numFmtId="0" fontId="57" fillId="0" borderId="0"/>
    <xf numFmtId="0" fontId="62" fillId="35" borderId="0" applyNumberFormat="0" applyBorder="0" applyAlignment="0" applyProtection="0"/>
    <xf numFmtId="0" fontId="33" fillId="0" borderId="0"/>
    <xf numFmtId="0" fontId="62" fillId="35" borderId="0" applyNumberFormat="0" applyBorder="0" applyAlignment="0" applyProtection="0"/>
    <xf numFmtId="0" fontId="33" fillId="0" borderId="0" applyNumberFormat="0" applyFill="0" applyBorder="0" applyAlignment="0" applyProtection="0"/>
    <xf numFmtId="0" fontId="62" fillId="37" borderId="0" applyNumberFormat="0" applyBorder="0" applyAlignment="0" applyProtection="0"/>
    <xf numFmtId="0" fontId="56" fillId="0" borderId="0"/>
    <xf numFmtId="0" fontId="62" fillId="41" borderId="0" applyNumberFormat="0" applyBorder="0" applyAlignment="0" applyProtection="0"/>
    <xf numFmtId="0" fontId="62" fillId="41" borderId="0" applyNumberFormat="0" applyBorder="0" applyAlignment="0" applyProtection="0"/>
    <xf numFmtId="0" fontId="62" fillId="41" borderId="0" applyNumberFormat="0" applyBorder="0" applyAlignment="0" applyProtection="0"/>
    <xf numFmtId="0" fontId="62" fillId="42"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43"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39" fontId="34" fillId="0" borderId="0" applyFont="0" applyFill="0" applyBorder="0" applyAlignment="0" applyProtection="0"/>
    <xf numFmtId="0" fontId="62" fillId="44"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46"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0"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4"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9"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33" fillId="0" borderId="0" applyFont="0" applyFill="0" applyBorder="0" applyProtection="0"/>
    <xf numFmtId="0" fontId="63" fillId="50"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46"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51"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2" fillId="54" borderId="0" applyNumberFormat="0" applyBorder="0" applyAlignment="0" applyProtection="0"/>
    <xf numFmtId="0" fontId="62" fillId="55" borderId="0" applyNumberFormat="0" applyBorder="0" applyAlignment="0" applyProtection="0"/>
    <xf numFmtId="0" fontId="63" fillId="56" borderId="0" applyNumberFormat="0" applyBorder="0" applyAlignment="0" applyProtection="0"/>
    <xf numFmtId="0" fontId="63" fillId="57"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2" fillId="58" borderId="0" applyNumberFormat="0" applyBorder="0" applyAlignment="0" applyProtection="0"/>
    <xf numFmtId="0" fontId="62" fillId="59" borderId="0" applyNumberFormat="0" applyBorder="0" applyAlignment="0" applyProtection="0"/>
    <xf numFmtId="0" fontId="63" fillId="60"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2" fillId="62" borderId="0" applyNumberFormat="0" applyBorder="0" applyAlignment="0" applyProtection="0"/>
    <xf numFmtId="0" fontId="62" fillId="63" borderId="0" applyNumberFormat="0" applyBorder="0" applyAlignment="0" applyProtection="0"/>
    <xf numFmtId="0" fontId="63" fillId="64"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2" fillId="63" borderId="0" applyNumberFormat="0" applyBorder="0" applyAlignment="0" applyProtection="0"/>
    <xf numFmtId="0" fontId="62" fillId="64" borderId="0" applyNumberFormat="0" applyBorder="0" applyAlignment="0" applyProtection="0"/>
    <xf numFmtId="0" fontId="63" fillId="64" borderId="0" applyNumberFormat="0" applyBorder="0" applyAlignment="0" applyProtection="0"/>
    <xf numFmtId="0" fontId="63" fillId="51"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2" fillId="54" borderId="0" applyNumberFormat="0" applyBorder="0" applyAlignment="0" applyProtection="0"/>
    <xf numFmtId="0" fontId="62" fillId="55" borderId="0" applyNumberFormat="0" applyBorder="0" applyAlignment="0" applyProtection="0"/>
    <xf numFmtId="0" fontId="63" fillId="55"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2" fillId="66" borderId="0" applyNumberFormat="0" applyBorder="0" applyAlignment="0" applyProtection="0"/>
    <xf numFmtId="0" fontId="62" fillId="59" borderId="0" applyNumberFormat="0" applyBorder="0" applyAlignment="0" applyProtection="0"/>
    <xf numFmtId="0" fontId="63" fillId="67" borderId="0" applyNumberFormat="0" applyBorder="0" applyAlignment="0" applyProtection="0"/>
    <xf numFmtId="0" fontId="63" fillId="68"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170" fontId="64" fillId="69" borderId="19">
      <alignment horizontal="center" vertical="center"/>
    </xf>
    <xf numFmtId="171" fontId="33" fillId="69" borderId="19">
      <alignment horizontal="center" vertical="center"/>
    </xf>
    <xf numFmtId="171" fontId="33" fillId="69" borderId="19">
      <alignment horizontal="center" vertical="center"/>
    </xf>
    <xf numFmtId="171" fontId="33" fillId="69" borderId="19">
      <alignment horizontal="center" vertical="center"/>
    </xf>
    <xf numFmtId="49" fontId="33" fillId="0" borderId="20"/>
    <xf numFmtId="0" fontId="65" fillId="48" borderId="20" applyNumberFormat="0" applyFont="0" applyBorder="0" applyAlignment="0" applyProtection="0">
      <protection hidden="1"/>
    </xf>
    <xf numFmtId="0" fontId="66" fillId="36"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3" fontId="67" fillId="0" borderId="0" applyFill="0" applyBorder="0" applyProtection="0">
      <alignment horizontal="right"/>
    </xf>
    <xf numFmtId="172" fontId="33" fillId="0" borderId="0" applyFont="0" applyFill="0" applyBorder="0" applyAlignment="0" applyProtection="0"/>
    <xf numFmtId="173" fontId="68" fillId="0" borderId="0" applyFill="0" applyBorder="0" applyAlignment="0"/>
    <xf numFmtId="0" fontId="69" fillId="48" borderId="21" applyNumberFormat="0" applyAlignment="0" applyProtection="0"/>
    <xf numFmtId="0" fontId="69" fillId="48"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1" fillId="45" borderId="22" applyNumberFormat="0" applyAlignment="0" applyProtection="0"/>
    <xf numFmtId="0" fontId="71" fillId="70" borderId="22" applyNumberFormat="0" applyAlignment="0" applyProtection="0"/>
    <xf numFmtId="0" fontId="71" fillId="70" borderId="22" applyNumberFormat="0" applyAlignment="0" applyProtection="0"/>
    <xf numFmtId="0" fontId="71" fillId="70" borderId="22" applyNumberFormat="0" applyAlignment="0" applyProtection="0"/>
    <xf numFmtId="0" fontId="71" fillId="70" borderId="22" applyNumberFormat="0" applyAlignment="0" applyProtection="0"/>
    <xf numFmtId="0" fontId="71" fillId="70" borderId="22" applyNumberFormat="0" applyAlignment="0" applyProtection="0"/>
    <xf numFmtId="49" fontId="33" fillId="0" borderId="20"/>
    <xf numFmtId="174" fontId="33" fillId="0" borderId="0"/>
    <xf numFmtId="174" fontId="33" fillId="0" borderId="0"/>
    <xf numFmtId="174" fontId="33" fillId="0" borderId="0"/>
    <xf numFmtId="174" fontId="33" fillId="0" borderId="0"/>
    <xf numFmtId="174" fontId="33" fillId="0" borderId="0"/>
    <xf numFmtId="174" fontId="33" fillId="0" borderId="0"/>
    <xf numFmtId="174" fontId="33" fillId="0" borderId="0"/>
    <xf numFmtId="174" fontId="33" fillId="0" borderId="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3" fontId="33" fillId="0" borderId="0" applyFont="0" applyFill="0" applyBorder="0" applyAlignment="0" applyProtection="0"/>
    <xf numFmtId="3" fontId="33" fillId="0" borderId="0" applyFont="0" applyFill="0" applyBorder="0" applyAlignment="0" applyProtection="0"/>
    <xf numFmtId="3" fontId="33" fillId="0" borderId="0" applyFont="0" applyFill="0" applyBorder="0" applyAlignment="0" applyProtection="0"/>
    <xf numFmtId="0" fontId="73" fillId="0" borderId="0" applyNumberFormat="0" applyAlignment="0">
      <alignment horizontal="left"/>
    </xf>
    <xf numFmtId="176" fontId="33" fillId="0" borderId="0" applyFont="0" applyFill="0" applyBorder="0" applyAlignment="0" applyProtection="0"/>
    <xf numFmtId="177" fontId="74" fillId="0" borderId="0" applyFont="0" applyFill="0" applyBorder="0" applyAlignment="0" applyProtection="0"/>
    <xf numFmtId="44" fontId="62" fillId="0" borderId="0" applyFont="0" applyFill="0" applyBorder="0" applyAlignment="0" applyProtection="0"/>
    <xf numFmtId="0" fontId="25" fillId="42" borderId="0" applyNumberFormat="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0" fontId="25" fillId="39" borderId="0" applyNumberFormat="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7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5" fontId="76" fillId="0" borderId="0" applyFont="0" applyFill="0" applyBorder="0" applyAlignment="0" applyProtection="0"/>
    <xf numFmtId="179" fontId="34" fillId="0" borderId="0" applyFont="0" applyFill="0" applyBorder="0" applyAlignment="0" applyProtection="0"/>
    <xf numFmtId="14" fontId="33" fillId="0" borderId="0" applyFont="0" applyFill="0" applyBorder="0" applyAlignment="0" applyProtection="0"/>
    <xf numFmtId="6" fontId="77" fillId="0" borderId="0">
      <protection locked="0"/>
    </xf>
    <xf numFmtId="6" fontId="77" fillId="0" borderId="0">
      <protection locked="0"/>
    </xf>
    <xf numFmtId="180" fontId="33" fillId="71" borderId="0">
      <alignment horizontal="center"/>
    </xf>
    <xf numFmtId="0" fontId="33" fillId="0" borderId="20"/>
    <xf numFmtId="181" fontId="56" fillId="0" borderId="0">
      <alignment horizontal="right"/>
      <protection locked="0"/>
    </xf>
    <xf numFmtId="0" fontId="78" fillId="0" borderId="0" applyNumberFormat="0" applyAlignment="0">
      <alignment horizontal="left"/>
    </xf>
    <xf numFmtId="182" fontId="33" fillId="0" borderId="0" applyFont="0" applyFill="0" applyBorder="0" applyAlignment="0" applyProtection="0"/>
    <xf numFmtId="183" fontId="33" fillId="0" borderId="0" applyFont="0" applyFill="0" applyBorder="0" applyAlignment="0" applyProtection="0"/>
    <xf numFmtId="184" fontId="33" fillId="0" borderId="0" applyFont="0" applyFill="0" applyBorder="0" applyAlignment="0" applyProtection="0"/>
    <xf numFmtId="185" fontId="33" fillId="0" borderId="0" applyFont="0" applyFill="0" applyBorder="0" applyAlignment="0" applyProtection="0"/>
    <xf numFmtId="186" fontId="33"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33" fillId="0" borderId="20">
      <alignment horizontal="left"/>
    </xf>
    <xf numFmtId="2" fontId="33" fillId="0" borderId="0" applyFont="0" applyFill="0" applyBorder="0" applyAlignment="0" applyProtection="0"/>
    <xf numFmtId="187" fontId="33" fillId="0" borderId="0">
      <protection locked="0"/>
    </xf>
    <xf numFmtId="187" fontId="33" fillId="0" borderId="0">
      <protection locked="0"/>
    </xf>
    <xf numFmtId="187" fontId="33" fillId="0" borderId="0">
      <protection locked="0"/>
    </xf>
    <xf numFmtId="38" fontId="80" fillId="0" borderId="23">
      <alignment horizontal="right"/>
    </xf>
    <xf numFmtId="167" fontId="74" fillId="0" borderId="0" applyFont="0" applyFill="0" applyBorder="0" applyAlignment="0" applyProtection="0"/>
    <xf numFmtId="188" fontId="33" fillId="0" borderId="0" applyFont="0" applyFill="0" applyBorder="0" applyAlignment="0" applyProtection="0">
      <alignment horizontal="center"/>
    </xf>
    <xf numFmtId="189" fontId="33" fillId="0" borderId="0" applyFont="0" applyFill="0" applyBorder="0" applyAlignment="0" applyProtection="0"/>
    <xf numFmtId="190" fontId="81" fillId="0" borderId="0" applyFont="0" applyFill="0" applyBorder="0" applyAlignment="0" applyProtection="0"/>
    <xf numFmtId="191" fontId="33" fillId="0" borderId="0" applyFont="0" applyFill="0" applyBorder="0" applyAlignment="0" applyProtection="0"/>
    <xf numFmtId="192" fontId="81" fillId="0" borderId="0" applyFont="0" applyFill="0" applyBorder="0" applyAlignment="0" applyProtection="0"/>
    <xf numFmtId="0" fontId="33" fillId="0" borderId="0" applyFont="0" applyFill="0" applyBorder="0"/>
    <xf numFmtId="0" fontId="82" fillId="38"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38" fontId="80" fillId="73" borderId="0" applyNumberFormat="0" applyBorder="0" applyAlignment="0" applyProtection="0"/>
    <xf numFmtId="38" fontId="80" fillId="73" borderId="0" applyNumberFormat="0" applyBorder="0" applyAlignment="0" applyProtection="0"/>
    <xf numFmtId="38" fontId="80" fillId="73" borderId="0" applyNumberFormat="0" applyBorder="0" applyAlignment="0" applyProtection="0"/>
    <xf numFmtId="0" fontId="83" fillId="0" borderId="0" applyNumberFormat="0" applyFill="0" applyBorder="0" applyAlignment="0" applyProtection="0"/>
    <xf numFmtId="0" fontId="37" fillId="0" borderId="24" applyNumberFormat="0" applyAlignment="0" applyProtection="0">
      <alignment horizontal="left" vertical="center"/>
    </xf>
    <xf numFmtId="0" fontId="37" fillId="0" borderId="8">
      <alignment horizontal="left" vertical="center"/>
    </xf>
    <xf numFmtId="0" fontId="37" fillId="0" borderId="8">
      <alignment horizontal="left" vertical="center"/>
    </xf>
    <xf numFmtId="0" fontId="84" fillId="0" borderId="0" applyNumberFormat="0" applyFont="0" applyFill="0" applyBorder="0" applyProtection="0"/>
    <xf numFmtId="0" fontId="85" fillId="0" borderId="25" applyNumberFormat="0" applyFill="0" applyAlignment="0" applyProtection="0"/>
    <xf numFmtId="0" fontId="85" fillId="0" borderId="25"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37" fillId="0" borderId="0" applyNumberFormat="0" applyFont="0" applyFill="0" applyBorder="0" applyProtection="0"/>
    <xf numFmtId="0" fontId="87" fillId="0" borderId="27" applyNumberFormat="0" applyFill="0" applyAlignment="0" applyProtection="0"/>
    <xf numFmtId="0" fontId="87" fillId="0" borderId="27"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9" fillId="0" borderId="29"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4" fontId="33" fillId="0" borderId="0" applyFont="0" applyFill="0" applyBorder="0" applyAlignment="0" applyProtection="0">
      <alignment horizontal="center"/>
    </xf>
    <xf numFmtId="0" fontId="91" fillId="0" borderId="31" applyNumberFormat="0" applyFill="0" applyAlignment="0" applyProtection="0"/>
    <xf numFmtId="39" fontId="92" fillId="0" borderId="0">
      <protection locked="0"/>
    </xf>
    <xf numFmtId="195" fontId="92" fillId="0" borderId="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196" fontId="34" fillId="0" borderId="0" applyFont="0" applyFill="0" applyBorder="0" applyAlignment="0" applyProtection="0">
      <alignment horizontal="left" indent="1"/>
    </xf>
    <xf numFmtId="0" fontId="33" fillId="0" borderId="20">
      <alignment horizontal="left"/>
    </xf>
    <xf numFmtId="0" fontId="33" fillId="75" borderId="20" applyNumberFormat="0">
      <alignment horizontal="left" vertical="top"/>
    </xf>
    <xf numFmtId="0" fontId="94" fillId="0" borderId="32"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197" fontId="33" fillId="0" borderId="0" applyFont="0" applyFill="0" applyBorder="0" applyAlignment="0" applyProtection="0"/>
    <xf numFmtId="198" fontId="33" fillId="0" borderId="0" applyFont="0" applyFill="0" applyBorder="0" applyAlignment="0" applyProtection="0"/>
    <xf numFmtId="199"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7" fillId="0" borderId="0"/>
    <xf numFmtId="0" fontId="33" fillId="0" borderId="2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37" fontId="97" fillId="0" borderId="0"/>
    <xf numFmtId="200" fontId="98" fillId="0" borderId="0"/>
    <xf numFmtId="201" fontId="33" fillId="0" borderId="0"/>
    <xf numFmtId="201" fontId="33" fillId="0" borderId="0"/>
    <xf numFmtId="201" fontId="33" fillId="0" borderId="0"/>
    <xf numFmtId="195" fontId="99" fillId="0" borderId="0"/>
    <xf numFmtId="195" fontId="99" fillId="0" borderId="0"/>
    <xf numFmtId="195" fontId="99" fillId="0" borderId="0"/>
    <xf numFmtId="195" fontId="99" fillId="0" borderId="0"/>
    <xf numFmtId="195" fontId="99" fillId="0" borderId="0"/>
    <xf numFmtId="195" fontId="99" fillId="0" borderId="0"/>
    <xf numFmtId="195" fontId="99" fillId="0" borderId="0"/>
    <xf numFmtId="0" fontId="72" fillId="0" borderId="0"/>
    <xf numFmtId="0" fontId="25" fillId="39" borderId="0" applyNumberFormat="0" applyBorder="0" applyAlignment="0" applyProtection="0"/>
    <xf numFmtId="0" fontId="33" fillId="0" borderId="0"/>
    <xf numFmtId="0" fontId="33" fillId="0" borderId="0"/>
    <xf numFmtId="0" fontId="33" fillId="0" borderId="0"/>
    <xf numFmtId="0" fontId="75" fillId="0" borderId="0"/>
    <xf numFmtId="0" fontId="75" fillId="0" borderId="0"/>
    <xf numFmtId="0" fontId="72" fillId="0" borderId="0"/>
    <xf numFmtId="0" fontId="33" fillId="0" borderId="0"/>
    <xf numFmtId="0" fontId="33" fillId="0" borderId="0"/>
    <xf numFmtId="0" fontId="33" fillId="0" borderId="0"/>
    <xf numFmtId="0" fontId="100" fillId="0" borderId="0"/>
    <xf numFmtId="0" fontId="62" fillId="0" borderId="0"/>
    <xf numFmtId="0" fontId="62" fillId="0" borderId="0"/>
    <xf numFmtId="0" fontId="33" fillId="0" borderId="0"/>
    <xf numFmtId="0" fontId="33" fillId="0" borderId="0"/>
    <xf numFmtId="0" fontId="62" fillId="0" borderId="0"/>
    <xf numFmtId="0" fontId="62" fillId="0" borderId="0"/>
    <xf numFmtId="0" fontId="33" fillId="0" borderId="0"/>
    <xf numFmtId="0" fontId="62" fillId="0" borderId="0"/>
    <xf numFmtId="0" fontId="62" fillId="0" borderId="0"/>
    <xf numFmtId="0" fontId="33" fillId="0" borderId="0"/>
    <xf numFmtId="0" fontId="62" fillId="0" borderId="0"/>
    <xf numFmtId="0" fontId="62" fillId="0" borderId="0"/>
    <xf numFmtId="0" fontId="33" fillId="0" borderId="0"/>
    <xf numFmtId="0" fontId="100" fillId="0" borderId="0"/>
    <xf numFmtId="0" fontId="100" fillId="0" borderId="0"/>
    <xf numFmtId="0" fontId="33" fillId="0" borderId="0"/>
    <xf numFmtId="0" fontId="33" fillId="0" borderId="0"/>
    <xf numFmtId="0" fontId="34" fillId="0" borderId="0"/>
    <xf numFmtId="0" fontId="34" fillId="0" borderId="0"/>
    <xf numFmtId="0" fontId="72" fillId="0" borderId="0"/>
    <xf numFmtId="0" fontId="33" fillId="0" borderId="0"/>
    <xf numFmtId="0" fontId="25" fillId="39"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62" fillId="0" borderId="0"/>
    <xf numFmtId="0" fontId="33" fillId="0" borderId="0"/>
    <xf numFmtId="0" fontId="25" fillId="0" borderId="0"/>
    <xf numFmtId="0" fontId="75" fillId="0" borderId="0"/>
    <xf numFmtId="0" fontId="75" fillId="0" borderId="0"/>
    <xf numFmtId="0" fontId="33" fillId="0" borderId="0"/>
    <xf numFmtId="0" fontId="25" fillId="0" borderId="0"/>
    <xf numFmtId="0" fontId="25" fillId="0" borderId="0"/>
    <xf numFmtId="0" fontId="33" fillId="0" borderId="0"/>
    <xf numFmtId="0" fontId="25" fillId="0" borderId="0"/>
    <xf numFmtId="0" fontId="25" fillId="0" borderId="0"/>
    <xf numFmtId="0" fontId="33" fillId="0" borderId="0"/>
    <xf numFmtId="0" fontId="25" fillId="0" borderId="0"/>
    <xf numFmtId="0" fontId="25" fillId="0" borderId="0"/>
    <xf numFmtId="0" fontId="25" fillId="0" borderId="0"/>
    <xf numFmtId="0" fontId="34" fillId="0" borderId="0"/>
    <xf numFmtId="0" fontId="25" fillId="0" borderId="0"/>
    <xf numFmtId="0" fontId="25" fillId="39"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25" fillId="0" borderId="0"/>
    <xf numFmtId="0" fontId="33" fillId="0" borderId="0"/>
    <xf numFmtId="0" fontId="33" fillId="0" borderId="0"/>
    <xf numFmtId="0" fontId="72" fillId="0" borderId="0"/>
    <xf numFmtId="0" fontId="25"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62" fillId="0" borderId="0"/>
    <xf numFmtId="0" fontId="62" fillId="0" borderId="0"/>
    <xf numFmtId="0" fontId="62" fillId="0" borderId="0"/>
    <xf numFmtId="0" fontId="33" fillId="0" borderId="0"/>
    <xf numFmtId="0" fontId="62"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62" fillId="0" borderId="0"/>
    <xf numFmtId="0" fontId="72" fillId="0" borderId="0"/>
    <xf numFmtId="0" fontId="33" fillId="0" borderId="0"/>
    <xf numFmtId="0" fontId="33" fillId="0" borderId="0"/>
    <xf numFmtId="0" fontId="25" fillId="0" borderId="0"/>
    <xf numFmtId="0" fontId="33" fillId="39" borderId="34"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49" fontId="101" fillId="0" borderId="0" applyAlignment="0">
      <alignment horizontal="left" vertical="top"/>
    </xf>
    <xf numFmtId="0" fontId="102" fillId="48" borderId="35" applyNumberFormat="0" applyAlignment="0" applyProtection="0"/>
    <xf numFmtId="0" fontId="102" fillId="48"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8" fontId="33" fillId="0" borderId="20"/>
    <xf numFmtId="168" fontId="33" fillId="0" borderId="20">
      <alignment horizontal="right"/>
    </xf>
    <xf numFmtId="195" fontId="103" fillId="0" borderId="3">
      <alignment vertical="center"/>
    </xf>
    <xf numFmtId="10" fontId="33" fillId="0" borderId="20"/>
    <xf numFmtId="10" fontId="33" fillId="0" borderId="0" applyFont="0" applyFill="0" applyBorder="0" applyAlignment="0" applyProtection="0"/>
    <xf numFmtId="10" fontId="33" fillId="0" borderId="0" applyFont="0" applyFill="0" applyBorder="0" applyAlignment="0" applyProtection="0"/>
    <xf numFmtId="10"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4" fillId="0" borderId="0" applyFont="0" applyFill="0" applyBorder="0" applyAlignment="0" applyProtection="0"/>
    <xf numFmtId="9" fontId="72"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2"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202" fontId="104" fillId="0" borderId="0" applyProtection="0"/>
    <xf numFmtId="203" fontId="33" fillId="0" borderId="20">
      <alignment horizontal="center"/>
    </xf>
    <xf numFmtId="0" fontId="105" fillId="0" borderId="20" applyNumberFormat="0" applyFill="0" applyBorder="0" applyAlignment="0" applyProtection="0">
      <protection hidden="1"/>
    </xf>
    <xf numFmtId="0" fontId="106" fillId="0" borderId="0" applyNumberFormat="0" applyFill="0" applyBorder="0" applyAlignment="0"/>
    <xf numFmtId="204" fontId="67" fillId="0" borderId="0" applyFill="0" applyBorder="0" applyProtection="0">
      <alignment horizontal="right"/>
    </xf>
    <xf numFmtId="14" fontId="107" fillId="0" borderId="0" applyNumberFormat="0" applyFill="0" applyBorder="0" applyAlignment="0" applyProtection="0">
      <alignment horizontal="left"/>
    </xf>
    <xf numFmtId="0" fontId="33" fillId="0" borderId="0"/>
    <xf numFmtId="8" fontId="33" fillId="0" borderId="20"/>
    <xf numFmtId="4" fontId="68" fillId="77" borderId="35" applyNumberFormat="0" applyProtection="0">
      <alignment vertical="center"/>
    </xf>
    <xf numFmtId="4" fontId="108" fillId="78" borderId="1" applyNumberFormat="0" applyProtection="0">
      <alignment horizontal="right" vertical="center" wrapText="1"/>
    </xf>
    <xf numFmtId="4" fontId="108" fillId="78" borderId="1" applyNumberFormat="0" applyProtection="0">
      <alignment horizontal="right" vertical="center" wrapText="1"/>
    </xf>
    <xf numFmtId="4" fontId="109" fillId="77" borderId="36" applyNumberFormat="0" applyProtection="0">
      <alignment vertical="center"/>
    </xf>
    <xf numFmtId="4" fontId="109" fillId="77" borderId="36" applyNumberFormat="0" applyProtection="0">
      <alignment vertical="center"/>
    </xf>
    <xf numFmtId="4" fontId="110" fillId="79" borderId="27">
      <alignment vertical="center"/>
    </xf>
    <xf numFmtId="4" fontId="111" fillId="79" borderId="27">
      <alignment vertical="center"/>
    </xf>
    <xf numFmtId="4" fontId="110" fillId="80" borderId="27">
      <alignment vertical="center"/>
    </xf>
    <xf numFmtId="4" fontId="111" fillId="80" borderId="27">
      <alignment vertical="center"/>
    </xf>
    <xf numFmtId="4" fontId="108" fillId="78" borderId="1" applyNumberFormat="0" applyProtection="0">
      <alignment horizontal="left" vertical="center" indent="1"/>
    </xf>
    <xf numFmtId="0" fontId="112" fillId="77" borderId="36" applyNumberFormat="0" applyProtection="0">
      <alignment horizontal="left" vertical="top" indent="1"/>
    </xf>
    <xf numFmtId="0" fontId="112" fillId="77" borderId="36" applyNumberFormat="0" applyProtection="0">
      <alignment horizontal="left" vertical="top" indent="1"/>
    </xf>
    <xf numFmtId="4" fontId="113" fillId="81" borderId="1" applyNumberFormat="0" applyProtection="0">
      <alignment horizontal="left" vertical="center"/>
    </xf>
    <xf numFmtId="4" fontId="113" fillId="81" borderId="1" applyNumberFormat="0" applyProtection="0">
      <alignment horizontal="left" vertical="center"/>
    </xf>
    <xf numFmtId="4" fontId="113" fillId="81" borderId="1" applyNumberFormat="0" applyProtection="0">
      <alignment horizontal="left" vertical="center"/>
    </xf>
    <xf numFmtId="4" fontId="114" fillId="82" borderId="1" applyNumberFormat="0">
      <alignment horizontal="right" vertical="center"/>
    </xf>
    <xf numFmtId="4" fontId="68" fillId="36" borderId="36" applyNumberFormat="0" applyProtection="0">
      <alignment horizontal="right" vertical="center"/>
    </xf>
    <xf numFmtId="4" fontId="68" fillId="36" borderId="36" applyNumberFormat="0" applyProtection="0">
      <alignment horizontal="right" vertical="center"/>
    </xf>
    <xf numFmtId="4" fontId="68" fillId="37" borderId="36" applyNumberFormat="0" applyProtection="0">
      <alignment horizontal="right" vertical="center"/>
    </xf>
    <xf numFmtId="4" fontId="68" fillId="37" borderId="36" applyNumberFormat="0" applyProtection="0">
      <alignment horizontal="right" vertical="center"/>
    </xf>
    <xf numFmtId="4" fontId="68" fillId="61" borderId="36" applyNumberFormat="0" applyProtection="0">
      <alignment horizontal="right" vertical="center"/>
    </xf>
    <xf numFmtId="4" fontId="68" fillId="61" borderId="36" applyNumberFormat="0" applyProtection="0">
      <alignment horizontal="right" vertical="center"/>
    </xf>
    <xf numFmtId="4" fontId="68" fillId="49" borderId="36" applyNumberFormat="0" applyProtection="0">
      <alignment horizontal="right" vertical="center"/>
    </xf>
    <xf numFmtId="4" fontId="68" fillId="49" borderId="36" applyNumberFormat="0" applyProtection="0">
      <alignment horizontal="right" vertical="center"/>
    </xf>
    <xf numFmtId="4" fontId="68" fillId="53" borderId="36" applyNumberFormat="0" applyProtection="0">
      <alignment horizontal="right" vertical="center"/>
    </xf>
    <xf numFmtId="4" fontId="68" fillId="53" borderId="36" applyNumberFormat="0" applyProtection="0">
      <alignment horizontal="right" vertical="center"/>
    </xf>
    <xf numFmtId="4" fontId="68" fillId="68" borderId="36" applyNumberFormat="0" applyProtection="0">
      <alignment horizontal="right" vertical="center"/>
    </xf>
    <xf numFmtId="4" fontId="68" fillId="68" borderId="36" applyNumberFormat="0" applyProtection="0">
      <alignment horizontal="right" vertical="center"/>
    </xf>
    <xf numFmtId="4" fontId="68" fillId="47" borderId="36" applyNumberFormat="0" applyProtection="0">
      <alignment horizontal="right" vertical="center"/>
    </xf>
    <xf numFmtId="4" fontId="68" fillId="47" borderId="36" applyNumberFormat="0" applyProtection="0">
      <alignment horizontal="right" vertical="center"/>
    </xf>
    <xf numFmtId="4" fontId="68" fillId="72" borderId="36" applyNumberFormat="0" applyProtection="0">
      <alignment horizontal="right" vertical="center"/>
    </xf>
    <xf numFmtId="4" fontId="68" fillId="72" borderId="36" applyNumberFormat="0" applyProtection="0">
      <alignment horizontal="right" vertical="center"/>
    </xf>
    <xf numFmtId="4" fontId="68" fillId="46" borderId="36" applyNumberFormat="0" applyProtection="0">
      <alignment horizontal="right" vertical="center"/>
    </xf>
    <xf numFmtId="4" fontId="68" fillId="46" borderId="36" applyNumberFormat="0" applyProtection="0">
      <alignment horizontal="right" vertical="center"/>
    </xf>
    <xf numFmtId="4" fontId="112" fillId="0" borderId="1" applyNumberFormat="0" applyProtection="0">
      <alignment horizontal="left" vertical="center" indent="1"/>
    </xf>
    <xf numFmtId="4" fontId="68" fillId="0" borderId="1" applyNumberFormat="0" applyProtection="0">
      <alignment horizontal="left" vertical="center" indent="1"/>
    </xf>
    <xf numFmtId="4" fontId="115" fillId="83" borderId="0" applyNumberFormat="0" applyProtection="0">
      <alignment horizontal="left" vertical="center" indent="1"/>
    </xf>
    <xf numFmtId="4" fontId="116" fillId="48" borderId="36" applyNumberFormat="0" applyProtection="0">
      <alignment horizontal="center" vertical="center"/>
    </xf>
    <xf numFmtId="4" fontId="116" fillId="48" borderId="36" applyNumberFormat="0" applyProtection="0">
      <alignment horizontal="center" vertical="center"/>
    </xf>
    <xf numFmtId="4" fontId="117" fillId="75" borderId="37">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0" fontId="113" fillId="84" borderId="1" applyNumberFormat="0" applyProtection="0">
      <alignment horizontal="left" vertical="center" indent="2"/>
    </xf>
    <xf numFmtId="0" fontId="113" fillId="84" borderId="1" applyNumberFormat="0" applyProtection="0">
      <alignment horizontal="left" vertical="center" indent="2"/>
    </xf>
    <xf numFmtId="0" fontId="113" fillId="84" borderId="1" applyNumberFormat="0" applyProtection="0">
      <alignment horizontal="left" vertical="center" indent="2"/>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100" fillId="0" borderId="1" applyNumberFormat="0" applyProtection="0">
      <alignment horizontal="left" vertical="center" indent="2"/>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100" fillId="0" borderId="1" applyNumberFormat="0" applyProtection="0">
      <alignment horizontal="left" vertical="center" indent="2"/>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100" fillId="0" borderId="1" applyNumberFormat="0" applyProtection="0">
      <alignment horizontal="left" vertical="center" indent="2"/>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7" borderId="1" applyNumberFormat="0">
      <protection locked="0"/>
    </xf>
    <xf numFmtId="0" fontId="33" fillId="87" borderId="1" applyNumberFormat="0">
      <protection locked="0"/>
    </xf>
    <xf numFmtId="0" fontId="33" fillId="87" borderId="1" applyNumberFormat="0">
      <protection locked="0"/>
    </xf>
    <xf numFmtId="0" fontId="33" fillId="87" borderId="1" applyNumberFormat="0">
      <protection locked="0"/>
    </xf>
    <xf numFmtId="4" fontId="68" fillId="74" borderId="36" applyNumberFormat="0" applyProtection="0">
      <alignment vertical="center"/>
    </xf>
    <xf numFmtId="4" fontId="68" fillId="74" borderId="36" applyNumberFormat="0" applyProtection="0">
      <alignment vertical="center"/>
    </xf>
    <xf numFmtId="4" fontId="118" fillId="74" borderId="36" applyNumberFormat="0" applyProtection="0">
      <alignment vertical="center"/>
    </xf>
    <xf numFmtId="4" fontId="118" fillId="74" borderId="36" applyNumberFormat="0" applyProtection="0">
      <alignment vertical="center"/>
    </xf>
    <xf numFmtId="4" fontId="119" fillId="79" borderId="37">
      <alignment vertical="center"/>
    </xf>
    <xf numFmtId="4" fontId="120" fillId="79" borderId="37">
      <alignment vertical="center"/>
    </xf>
    <xf numFmtId="4" fontId="119" fillId="80" borderId="37">
      <alignment vertical="center"/>
    </xf>
    <xf numFmtId="4" fontId="120" fillId="80" borderId="37">
      <alignment vertical="center"/>
    </xf>
    <xf numFmtId="4" fontId="104" fillId="0" borderId="0" applyNumberFormat="0" applyProtection="0">
      <alignment horizontal="left" vertical="center" indent="1"/>
    </xf>
    <xf numFmtId="0" fontId="68" fillId="74" borderId="36" applyNumberFormat="0" applyProtection="0">
      <alignment horizontal="left" vertical="top" indent="1"/>
    </xf>
    <xf numFmtId="0" fontId="68" fillId="74" borderId="36" applyNumberFormat="0" applyProtection="0">
      <alignment horizontal="left" vertical="top" indent="1"/>
    </xf>
    <xf numFmtId="0" fontId="114" fillId="82" borderId="1" applyNumberFormat="0">
      <alignment horizontal="left" vertical="center"/>
    </xf>
    <xf numFmtId="4" fontId="80" fillId="0" borderId="1" applyNumberFormat="0" applyProtection="0">
      <alignment horizontal="left" vertical="center" indent="1"/>
    </xf>
    <xf numFmtId="4" fontId="68" fillId="88" borderId="35" applyNumberFormat="0" applyProtection="0">
      <alignment horizontal="right" vertical="center"/>
    </xf>
    <xf numFmtId="4" fontId="121" fillId="0" borderId="1" applyNumberFormat="0" applyProtection="0">
      <alignment horizontal="right" vertical="center" wrapText="1"/>
    </xf>
    <xf numFmtId="4" fontId="104" fillId="0" borderId="0" applyNumberFormat="0" applyProtection="0">
      <alignment horizontal="right" vertical="center" wrapText="1"/>
    </xf>
    <xf numFmtId="4" fontId="118" fillId="89" borderId="36" applyNumberFormat="0" applyProtection="0">
      <alignment horizontal="right" vertical="center"/>
    </xf>
    <xf numFmtId="4" fontId="118" fillId="89" borderId="36" applyNumberFormat="0" applyProtection="0">
      <alignment horizontal="right" vertical="center"/>
    </xf>
    <xf numFmtId="4" fontId="122" fillId="79" borderId="37">
      <alignment vertical="center"/>
    </xf>
    <xf numFmtId="4" fontId="123" fillId="79" borderId="37">
      <alignment vertical="center"/>
    </xf>
    <xf numFmtId="4" fontId="122" fillId="80" borderId="37">
      <alignment vertical="center"/>
    </xf>
    <xf numFmtId="4" fontId="123" fillId="90" borderId="37">
      <alignment vertical="center"/>
    </xf>
    <xf numFmtId="4" fontId="121" fillId="0" borderId="1" applyNumberFormat="0" applyProtection="0">
      <alignment horizontal="left" vertical="center" indent="1"/>
    </xf>
    <xf numFmtId="4" fontId="121" fillId="0" borderId="1" applyNumberFormat="0" applyProtection="0">
      <alignment horizontal="left" vertical="center" indent="1"/>
    </xf>
    <xf numFmtId="4" fontId="104" fillId="0" borderId="0" applyNumberFormat="0" applyProtection="0">
      <alignment horizontal="left" vertical="center" indent="1"/>
    </xf>
    <xf numFmtId="0" fontId="113" fillId="91" borderId="1" applyNumberFormat="0" applyProtection="0">
      <alignment horizontal="center" vertical="top" wrapText="1"/>
    </xf>
    <xf numFmtId="0" fontId="113" fillId="91" borderId="1" applyNumberFormat="0" applyProtection="0">
      <alignment horizontal="center" vertical="top" wrapText="1"/>
    </xf>
    <xf numFmtId="0" fontId="113" fillId="91" borderId="1" applyNumberFormat="0" applyProtection="0">
      <alignment horizontal="center" vertical="top" wrapText="1"/>
    </xf>
    <xf numFmtId="4" fontId="124" fillId="75" borderId="38">
      <alignment vertical="center"/>
    </xf>
    <xf numFmtId="4" fontId="125" fillId="75" borderId="38">
      <alignment vertical="center"/>
    </xf>
    <xf numFmtId="4" fontId="110" fillId="79" borderId="38">
      <alignment vertical="center"/>
    </xf>
    <xf numFmtId="4" fontId="111" fillId="79" borderId="38">
      <alignment vertical="center"/>
    </xf>
    <xf numFmtId="4" fontId="110" fillId="80" borderId="37">
      <alignment vertical="center"/>
    </xf>
    <xf numFmtId="4" fontId="111" fillId="80" borderId="37">
      <alignment vertical="center"/>
    </xf>
    <xf numFmtId="4" fontId="126" fillId="74" borderId="38">
      <alignment horizontal="left" vertical="center" indent="1"/>
    </xf>
    <xf numFmtId="4" fontId="127" fillId="0" borderId="0" applyNumberFormat="0" applyProtection="0">
      <alignment vertical="center"/>
    </xf>
    <xf numFmtId="4" fontId="128" fillId="0" borderId="36" applyNumberFormat="0" applyProtection="0">
      <alignment horizontal="right" vertical="center"/>
    </xf>
    <xf numFmtId="4" fontId="128" fillId="0" borderId="36" applyNumberFormat="0" applyProtection="0">
      <alignment horizontal="right" vertical="center"/>
    </xf>
    <xf numFmtId="1" fontId="33" fillId="0" borderId="2" applyFill="0" applyBorder="0">
      <alignment horizontal="center"/>
    </xf>
    <xf numFmtId="0" fontId="129" fillId="92" borderId="0"/>
    <xf numFmtId="49" fontId="130" fillId="92" borderId="0"/>
    <xf numFmtId="49" fontId="131" fillId="92" borderId="39"/>
    <xf numFmtId="49" fontId="131" fillId="92" borderId="0"/>
    <xf numFmtId="0" fontId="129" fillId="75" borderId="39">
      <protection locked="0"/>
    </xf>
    <xf numFmtId="0" fontId="129" fillId="92" borderId="0"/>
    <xf numFmtId="0" fontId="132" fillId="93" borderId="0"/>
    <xf numFmtId="0" fontId="132" fillId="94" borderId="0"/>
    <xf numFmtId="0" fontId="132" fillId="95" borderId="0"/>
    <xf numFmtId="0" fontId="133" fillId="0" borderId="0" applyNumberFormat="0" applyFill="0" applyBorder="0" applyAlignment="0" applyProtection="0"/>
    <xf numFmtId="195" fontId="134" fillId="0" borderId="40">
      <alignment horizontal="center"/>
    </xf>
    <xf numFmtId="195" fontId="134" fillId="0" borderId="40">
      <alignment horizontal="center"/>
    </xf>
    <xf numFmtId="0" fontId="33" fillId="0" borderId="20">
      <alignment horizontal="right"/>
    </xf>
    <xf numFmtId="49" fontId="33" fillId="0" borderId="20"/>
    <xf numFmtId="49" fontId="37" fillId="0" borderId="0" applyAlignment="0">
      <alignment horizontal="left" vertical="top"/>
    </xf>
    <xf numFmtId="0" fontId="56" fillId="0" borderId="0"/>
    <xf numFmtId="0" fontId="33" fillId="0" borderId="0"/>
    <xf numFmtId="0" fontId="135" fillId="0" borderId="0" applyNumberFormat="0" applyFont="0" applyFill="0" applyBorder="0" applyAlignment="0" applyProtection="0"/>
    <xf numFmtId="205" fontId="33" fillId="0" borderId="0" applyFill="0" applyBorder="0" applyAlignment="0" applyProtection="0">
      <alignment wrapText="1"/>
    </xf>
    <xf numFmtId="41" fontId="34" fillId="0" borderId="0" applyFont="0" applyFill="0" applyBorder="0" applyAlignment="0" applyProtection="0"/>
    <xf numFmtId="0" fontId="36" fillId="0" borderId="0" applyNumberFormat="0" applyFill="0" applyBorder="0">
      <alignment horizontal="center" wrapText="1"/>
    </xf>
    <xf numFmtId="0" fontId="36" fillId="0" borderId="0" applyNumberFormat="0" applyFill="0" applyBorder="0">
      <alignment horizontal="center" wrapText="1"/>
    </xf>
    <xf numFmtId="40" fontId="136" fillId="0" borderId="0" applyBorder="0">
      <alignment horizontal="right"/>
    </xf>
    <xf numFmtId="49" fontId="137" fillId="0" borderId="3">
      <alignment vertical="center"/>
    </xf>
    <xf numFmtId="49" fontId="37" fillId="0" borderId="0" applyFont="0" applyFill="0" applyBorder="0" applyAlignment="0" applyProtection="0"/>
    <xf numFmtId="206" fontId="37" fillId="0" borderId="0" applyFont="0" applyFill="0" applyBorder="0" applyAlignment="0" applyProtection="0"/>
    <xf numFmtId="207" fontId="34" fillId="0" borderId="0" applyFont="0" applyFill="0" applyBorder="0" applyAlignment="0" applyProtection="0"/>
    <xf numFmtId="0" fontId="138"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33" fillId="0" borderId="41" applyNumberFormat="0" applyFill="0" applyBorder="0" applyAlignment="0" applyProtection="0"/>
    <xf numFmtId="0" fontId="139" fillId="0" borderId="42" applyNumberFormat="0" applyFill="0" applyAlignment="0" applyProtection="0"/>
    <xf numFmtId="0" fontId="139" fillId="0" borderId="42" applyNumberFormat="0" applyFill="0" applyAlignment="0" applyProtection="0"/>
    <xf numFmtId="193" fontId="33" fillId="0" borderId="43">
      <protection locked="0"/>
    </xf>
    <xf numFmtId="193" fontId="33" fillId="0" borderId="43">
      <protection locked="0"/>
    </xf>
    <xf numFmtId="193" fontId="33" fillId="0" borderId="43">
      <protection locked="0"/>
    </xf>
    <xf numFmtId="193" fontId="33" fillId="0" borderId="43">
      <protection locked="0"/>
    </xf>
    <xf numFmtId="193" fontId="33" fillId="0" borderId="43">
      <protection locked="0"/>
    </xf>
    <xf numFmtId="37" fontId="80" fillId="77" borderId="0" applyNumberFormat="0" applyBorder="0" applyAlignment="0" applyProtection="0"/>
    <xf numFmtId="37" fontId="80" fillId="77" borderId="0" applyNumberFormat="0" applyBorder="0" applyAlignment="0" applyProtection="0"/>
    <xf numFmtId="37" fontId="80" fillId="77" borderId="0" applyNumberFormat="0" applyBorder="0" applyAlignment="0" applyProtection="0"/>
    <xf numFmtId="37" fontId="80" fillId="0" borderId="0"/>
    <xf numFmtId="3" fontId="140" fillId="0" borderId="31" applyProtection="0"/>
    <xf numFmtId="166" fontId="141" fillId="0" borderId="0" applyFont="0" applyFill="0" applyBorder="0" applyAlignment="0" applyProtection="0"/>
    <xf numFmtId="208" fontId="81" fillId="0" borderId="0" applyFont="0" applyFill="0" applyBorder="0" applyAlignment="0" applyProtection="0"/>
    <xf numFmtId="209" fontId="81" fillId="0" borderId="0" applyFont="0" applyFill="0" applyBorder="0" applyAlignment="0" applyProtection="0"/>
    <xf numFmtId="210" fontId="81" fillId="0" borderId="0" applyFont="0" applyFill="0" applyBorder="0" applyAlignment="0" applyProtection="0"/>
    <xf numFmtId="0" fontId="118" fillId="0" borderId="0" applyFill="0" applyBorder="0" applyAlignment="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33" fillId="0" borderId="2" applyNumberFormat="0" applyAlignment="0"/>
    <xf numFmtId="0" fontId="33" fillId="0" borderId="20" applyNumberFormat="0" applyAlignment="0"/>
    <xf numFmtId="0" fontId="33" fillId="0" borderId="44" applyNumberFormat="0" applyAlignment="0">
      <alignment horizontal="center"/>
    </xf>
    <xf numFmtId="0" fontId="33" fillId="0" borderId="44" applyNumberFormat="0" applyAlignment="0">
      <alignment horizontal="center"/>
    </xf>
    <xf numFmtId="0" fontId="36" fillId="96" borderId="0" applyBorder="0">
      <alignment horizontal="center"/>
    </xf>
    <xf numFmtId="0" fontId="33" fillId="77" borderId="0" applyBorder="0"/>
    <xf numFmtId="0" fontId="33" fillId="0" borderId="0" applyBorder="0"/>
    <xf numFmtId="204" fontId="36" fillId="97" borderId="0" applyBorder="0"/>
    <xf numFmtId="0" fontId="33" fillId="92" borderId="0" applyBorder="0"/>
    <xf numFmtId="0" fontId="33" fillId="82" borderId="0" applyBorder="0"/>
    <xf numFmtId="0" fontId="33" fillId="92" borderId="0" applyBorder="0">
      <alignment wrapText="1"/>
    </xf>
    <xf numFmtId="204" fontId="36" fillId="82" borderId="0" applyBorder="0"/>
    <xf numFmtId="204" fontId="36" fillId="98" borderId="0" applyBorder="0"/>
    <xf numFmtId="204" fontId="33" fillId="92" borderId="0" applyBorder="0"/>
    <xf numFmtId="0" fontId="33" fillId="99" borderId="0" applyBorder="0"/>
    <xf numFmtId="204" fontId="33" fillId="95" borderId="0" applyBorder="0"/>
    <xf numFmtId="0" fontId="33" fillId="93" borderId="0" applyBorder="0"/>
    <xf numFmtId="0" fontId="143" fillId="100" borderId="0" applyBorder="0"/>
    <xf numFmtId="0" fontId="36" fillId="98" borderId="0" applyNumberFormat="0" applyBorder="0" applyAlignment="0"/>
    <xf numFmtId="0" fontId="36" fillId="36" borderId="0" applyNumberFormat="0" applyBorder="0" applyAlignment="0"/>
    <xf numFmtId="0" fontId="36" fillId="45" borderId="0" applyNumberFormat="0" applyBorder="0" applyAlignment="0"/>
    <xf numFmtId="0" fontId="36" fillId="101" borderId="0" applyNumberFormat="0" applyBorder="0" applyAlignment="0"/>
    <xf numFmtId="0" fontId="36" fillId="102" borderId="0" applyNumberFormat="0" applyBorder="0" applyAlignment="0"/>
    <xf numFmtId="0" fontId="36" fillId="57" borderId="0" applyNumberFormat="0" applyBorder="0" applyAlignment="0"/>
    <xf numFmtId="0" fontId="36" fillId="103" borderId="0" applyNumberFormat="0" applyBorder="0" applyAlignment="0"/>
    <xf numFmtId="1" fontId="36" fillId="93" borderId="1" applyNumberFormat="0" applyAlignment="0">
      <alignment horizontal="center"/>
    </xf>
    <xf numFmtId="1" fontId="36" fillId="93" borderId="1" applyNumberFormat="0" applyAlignment="0">
      <alignment horizontal="center"/>
    </xf>
    <xf numFmtId="1" fontId="36" fillId="93" borderId="1" applyNumberFormat="0" applyAlignment="0">
      <alignment horizontal="center"/>
    </xf>
    <xf numFmtId="1" fontId="36" fillId="69" borderId="1" applyNumberFormat="0" applyAlignment="0">
      <alignment horizontal="left"/>
    </xf>
    <xf numFmtId="1" fontId="36" fillId="69" borderId="1" applyNumberFormat="0" applyAlignment="0">
      <alignment horizontal="left"/>
    </xf>
    <xf numFmtId="1" fontId="36" fillId="69" borderId="1" applyNumberFormat="0" applyAlignment="0">
      <alignment horizontal="left"/>
    </xf>
    <xf numFmtId="0" fontId="36" fillId="69" borderId="1" applyNumberFormat="0" applyAlignment="0"/>
    <xf numFmtId="0" fontId="36" fillId="69" borderId="1" applyNumberFormat="0" applyAlignment="0"/>
    <xf numFmtId="0" fontId="36" fillId="69" borderId="1" applyNumberFormat="0" applyAlignment="0"/>
    <xf numFmtId="1" fontId="33" fillId="0" borderId="0" applyFont="0" applyFill="0" applyBorder="0">
      <alignment horizontal="center"/>
    </xf>
    <xf numFmtId="0" fontId="144" fillId="0" borderId="0" applyFill="0" applyBorder="0" applyAlignment="0" applyProtection="0"/>
    <xf numFmtId="49" fontId="33" fillId="53" borderId="20">
      <alignment horizontal="center"/>
    </xf>
    <xf numFmtId="0" fontId="145" fillId="0" borderId="0"/>
    <xf numFmtId="9" fontId="34" fillId="0" borderId="0" applyFont="0" applyFill="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8" borderId="0" applyNumberFormat="0" applyBorder="0" applyAlignment="0" applyProtection="0"/>
    <xf numFmtId="0" fontId="25" fillId="39"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38" fillId="0" borderId="0"/>
    <xf numFmtId="0" fontId="25" fillId="13"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 fontId="108" fillId="78" borderId="1" applyNumberFormat="0" applyProtection="0">
      <alignment horizontal="right" vertical="center" wrapText="1"/>
    </xf>
    <xf numFmtId="4" fontId="108" fillId="78" borderId="1" applyNumberFormat="0" applyProtection="0">
      <alignment horizontal="left" vertical="center" indent="1"/>
    </xf>
    <xf numFmtId="4" fontId="113" fillId="81" borderId="1" applyNumberFormat="0" applyProtection="0">
      <alignment horizontal="left" vertical="center"/>
    </xf>
    <xf numFmtId="4" fontId="113" fillId="81" borderId="1" applyNumberFormat="0" applyProtection="0">
      <alignment horizontal="left" vertical="center"/>
    </xf>
    <xf numFmtId="4" fontId="112" fillId="0" borderId="1" applyNumberFormat="0" applyProtection="0">
      <alignment horizontal="left" vertical="center" indent="1"/>
    </xf>
    <xf numFmtId="4" fontId="68" fillId="0" borderId="1" applyNumberFormat="0" applyProtection="0">
      <alignment horizontal="left" vertical="center" indent="1"/>
    </xf>
    <xf numFmtId="0" fontId="113" fillId="84" borderId="1" applyNumberFormat="0" applyProtection="0">
      <alignment horizontal="left" vertical="center" indent="2"/>
    </xf>
    <xf numFmtId="0" fontId="113" fillId="84" borderId="1" applyNumberFormat="0" applyProtection="0">
      <alignment horizontal="left" vertical="center" indent="2"/>
    </xf>
    <xf numFmtId="0" fontId="100" fillId="0" borderId="1" applyNumberFormat="0" applyProtection="0">
      <alignment horizontal="left" vertical="center" indent="2"/>
    </xf>
    <xf numFmtId="0" fontId="100" fillId="0" borderId="1" applyNumberFormat="0" applyProtection="0">
      <alignment horizontal="left" vertical="center" indent="2"/>
    </xf>
    <xf numFmtId="0" fontId="100" fillId="0" borderId="1" applyNumberFormat="0" applyProtection="0">
      <alignment horizontal="left" vertical="center" indent="2"/>
    </xf>
    <xf numFmtId="0" fontId="33" fillId="87" borderId="1" applyNumberFormat="0">
      <protection locked="0"/>
    </xf>
    <xf numFmtId="0" fontId="33" fillId="87" borderId="1" applyNumberFormat="0">
      <protection locked="0"/>
    </xf>
    <xf numFmtId="0" fontId="33" fillId="87" borderId="1" applyNumberFormat="0">
      <protection locked="0"/>
    </xf>
    <xf numFmtId="4" fontId="121" fillId="0" borderId="1" applyNumberFormat="0" applyProtection="0">
      <alignment horizontal="right" vertical="center" wrapText="1"/>
    </xf>
    <xf numFmtId="4" fontId="121" fillId="0" borderId="1" applyNumberFormat="0" applyProtection="0">
      <alignment horizontal="left" vertical="center" indent="1"/>
    </xf>
    <xf numFmtId="4" fontId="121" fillId="0" borderId="1" applyNumberFormat="0" applyProtection="0">
      <alignment horizontal="left" vertical="center" indent="1"/>
    </xf>
    <xf numFmtId="0" fontId="113" fillId="91" borderId="1" applyNumberFormat="0" applyProtection="0">
      <alignment horizontal="center" vertical="top" wrapText="1"/>
    </xf>
    <xf numFmtId="0" fontId="113" fillId="91" borderId="1" applyNumberFormat="0" applyProtection="0">
      <alignment horizontal="center" vertical="top" wrapText="1"/>
    </xf>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1" fontId="36" fillId="93" borderId="1" applyNumberFormat="0" applyAlignment="0">
      <alignment horizontal="center"/>
    </xf>
    <xf numFmtId="1" fontId="36" fillId="93" borderId="1" applyNumberFormat="0" applyAlignment="0">
      <alignment horizontal="center"/>
    </xf>
    <xf numFmtId="1" fontId="36" fillId="69" borderId="1" applyNumberFormat="0" applyAlignment="0">
      <alignment horizontal="left"/>
    </xf>
    <xf numFmtId="1" fontId="36" fillId="69" borderId="1" applyNumberFormat="0" applyAlignment="0">
      <alignment horizontal="left"/>
    </xf>
    <xf numFmtId="0" fontId="36" fillId="69" borderId="1" applyNumberFormat="0" applyAlignment="0"/>
    <xf numFmtId="0" fontId="36" fillId="69" borderId="1" applyNumberFormat="0" applyAlignment="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39"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32"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2" borderId="0" applyNumberFormat="0" applyBorder="0" applyAlignment="0" applyProtection="0"/>
    <xf numFmtId="0" fontId="25" fillId="42" borderId="0" applyNumberFormat="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3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68" fillId="36"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62" fillId="43"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42" borderId="0" applyNumberFormat="0" applyBorder="0" applyAlignment="0" applyProtection="0"/>
    <xf numFmtId="0" fontId="68" fillId="44"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42"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0" borderId="0" applyNumberFormat="0" applyBorder="0" applyAlignment="0" applyProtection="0"/>
    <xf numFmtId="0" fontId="68" fillId="87"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62" fillId="4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8" borderId="0" applyNumberFormat="0" applyBorder="0" applyAlignment="0" applyProtection="0"/>
    <xf numFmtId="0" fontId="68" fillId="3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62" fillId="38"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6" borderId="0" applyNumberFormat="0" applyBorder="0" applyAlignment="0" applyProtection="0"/>
    <xf numFmtId="0" fontId="68" fillId="37"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62" fillId="3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3" fillId="0" borderId="0"/>
    <xf numFmtId="0" fontId="25" fillId="0" borderId="0"/>
    <xf numFmtId="0" fontId="25" fillId="0" borderId="0"/>
    <xf numFmtId="0" fontId="33"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44"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33" fillId="93" borderId="0" applyBorder="0"/>
    <xf numFmtId="204" fontId="33" fillId="95" borderId="0" applyBorder="0"/>
    <xf numFmtId="0" fontId="33" fillId="99" borderId="0" applyBorder="0"/>
    <xf numFmtId="204" fontId="33" fillId="92" borderId="0" applyBorder="0"/>
    <xf numFmtId="0" fontId="33" fillId="92" borderId="0" applyBorder="0">
      <alignment wrapText="1"/>
    </xf>
    <xf numFmtId="0" fontId="33" fillId="82" borderId="0" applyBorder="0"/>
    <xf numFmtId="0" fontId="33" fillId="92" borderId="0" applyBorder="0"/>
    <xf numFmtId="0" fontId="33" fillId="0" borderId="0" applyBorder="0"/>
    <xf numFmtId="0" fontId="33" fillId="77" borderId="0" applyBorder="0"/>
    <xf numFmtId="0" fontId="33" fillId="0" borderId="46" applyNumberFormat="0" applyAlignment="0"/>
    <xf numFmtId="0" fontId="33" fillId="0" borderId="2" applyNumberFormat="0" applyAlignment="0"/>
    <xf numFmtId="37" fontId="80" fillId="0" borderId="0"/>
    <xf numFmtId="0" fontId="33" fillId="0" borderId="41" applyNumberFormat="0" applyFill="0" applyBorder="0" applyAlignment="0" applyProtection="0"/>
    <xf numFmtId="0" fontId="33" fillId="0" borderId="41" applyNumberFormat="0" applyFill="0" applyBorder="0" applyAlignment="0" applyProtection="0"/>
    <xf numFmtId="49" fontId="33" fillId="0" borderId="46"/>
    <xf numFmtId="0" fontId="37" fillId="0" borderId="72" applyNumberFormat="0" applyAlignment="0" applyProtection="0">
      <alignment horizontal="left" vertical="center"/>
    </xf>
    <xf numFmtId="0" fontId="37" fillId="0" borderId="73">
      <alignment horizontal="left" vertical="center"/>
    </xf>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0" fontId="91" fillId="0" borderId="74" applyNumberFormat="0" applyFill="0" applyAlignment="0" applyProtection="0"/>
    <xf numFmtId="10" fontId="80" fillId="74" borderId="71" applyNumberFormat="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0" fontId="33" fillId="0" borderId="0"/>
    <xf numFmtId="0" fontId="72" fillId="0" borderId="0"/>
    <xf numFmtId="0" fontId="33" fillId="0" borderId="0"/>
    <xf numFmtId="0" fontId="72" fillId="0" borderId="0"/>
    <xf numFmtId="0" fontId="25" fillId="0" borderId="0"/>
    <xf numFmtId="0" fontId="72" fillId="0" borderId="0"/>
    <xf numFmtId="0" fontId="72" fillId="0" borderId="0"/>
    <xf numFmtId="0" fontId="72" fillId="0" borderId="0"/>
    <xf numFmtId="0" fontId="25" fillId="0" borderId="0"/>
    <xf numFmtId="0" fontId="72" fillId="0" borderId="0"/>
    <xf numFmtId="0" fontId="33" fillId="0" borderId="0"/>
    <xf numFmtId="0" fontId="72" fillId="0" borderId="0"/>
    <xf numFmtId="0" fontId="33"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3" fillId="0" borderId="0"/>
    <xf numFmtId="0" fontId="72" fillId="0" borderId="0"/>
    <xf numFmtId="0" fontId="34" fillId="0" borderId="0"/>
    <xf numFmtId="0" fontId="25" fillId="0" borderId="0"/>
    <xf numFmtId="0" fontId="34" fillId="0" borderId="0"/>
    <xf numFmtId="0" fontId="3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72" fillId="0" borderId="0"/>
    <xf numFmtId="0" fontId="72" fillId="0" borderId="0"/>
    <xf numFmtId="0" fontId="33" fillId="0" borderId="0"/>
    <xf numFmtId="0" fontId="33" fillId="0" borderId="0"/>
    <xf numFmtId="0" fontId="72" fillId="0" borderId="0"/>
    <xf numFmtId="0" fontId="72" fillId="0" borderId="0"/>
    <xf numFmtId="0" fontId="33" fillId="0" borderId="0"/>
    <xf numFmtId="0" fontId="72" fillId="0" borderId="0"/>
    <xf numFmtId="0" fontId="33" fillId="0" borderId="0"/>
    <xf numFmtId="0" fontId="72" fillId="0" borderId="0"/>
    <xf numFmtId="0" fontId="72" fillId="0" borderId="0"/>
    <xf numFmtId="200" fontId="98" fillId="0" borderId="0"/>
    <xf numFmtId="37" fontId="97" fillId="0" borderId="0"/>
    <xf numFmtId="0" fontId="33" fillId="0" borderId="46"/>
    <xf numFmtId="194" fontId="33" fillId="0" borderId="0" applyFont="0" applyFill="0" applyBorder="0" applyAlignment="0" applyProtection="0">
      <alignment horizontal="center"/>
    </xf>
    <xf numFmtId="0" fontId="37" fillId="0" borderId="0" applyNumberFormat="0" applyFont="0" applyFill="0" applyBorder="0" applyProtection="0"/>
    <xf numFmtId="0" fontId="37" fillId="0" borderId="0" applyNumberFormat="0" applyFont="0" applyFill="0" applyBorder="0" applyProtection="0"/>
    <xf numFmtId="0" fontId="84" fillId="0" borderId="0" applyNumberFormat="0" applyFont="0" applyFill="0" applyBorder="0" applyProtection="0"/>
    <xf numFmtId="0" fontId="84" fillId="0" borderId="0" applyNumberFormat="0" applyFont="0" applyFill="0" applyBorder="0" applyProtection="0"/>
    <xf numFmtId="188" fontId="33" fillId="0" borderId="0" applyFont="0" applyFill="0" applyBorder="0" applyAlignment="0" applyProtection="0">
      <alignment horizontal="center"/>
    </xf>
    <xf numFmtId="167" fontId="74" fillId="0" borderId="0" applyFont="0" applyFill="0" applyBorder="0" applyAlignment="0" applyProtection="0"/>
    <xf numFmtId="2" fontId="33" fillId="0" borderId="0" applyFont="0" applyFill="0" applyBorder="0" applyAlignment="0" applyProtection="0"/>
    <xf numFmtId="0" fontId="78" fillId="0" borderId="0" applyNumberFormat="0" applyAlignment="0">
      <alignment horizontal="left"/>
    </xf>
    <xf numFmtId="180" fontId="33" fillId="71" borderId="0">
      <alignment horizontal="center"/>
    </xf>
    <xf numFmtId="44" fontId="72"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6" fontId="33" fillId="0" borderId="0" applyFont="0" applyFill="0" applyBorder="0" applyAlignment="0" applyProtection="0"/>
    <xf numFmtId="0" fontId="73" fillId="0" borderId="0" applyNumberFormat="0" applyAlignment="0">
      <alignment horizontal="left"/>
    </xf>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4" fontId="33" fillId="0" borderId="0"/>
    <xf numFmtId="174" fontId="33" fillId="0" borderId="0"/>
    <xf numFmtId="174" fontId="33" fillId="0" borderId="0"/>
    <xf numFmtId="174" fontId="33" fillId="0" borderId="0"/>
    <xf numFmtId="174" fontId="33" fillId="0" borderId="0"/>
    <xf numFmtId="174" fontId="33" fillId="0" borderId="0"/>
    <xf numFmtId="174" fontId="33" fillId="0" borderId="0"/>
    <xf numFmtId="49" fontId="33" fillId="0" borderId="46"/>
    <xf numFmtId="49" fontId="33" fillId="0" borderId="46"/>
    <xf numFmtId="170" fontId="64" fillId="69" borderId="19">
      <alignment horizontal="center" vertical="center"/>
    </xf>
    <xf numFmtId="0" fontId="33" fillId="0" borderId="0" applyNumberFormat="0" applyFill="0" applyBorder="0" applyAlignment="0" applyProtection="0"/>
    <xf numFmtId="178" fontId="33" fillId="0" borderId="0" applyFont="0" applyFill="0" applyBorder="0" applyAlignment="0" applyProtection="0"/>
    <xf numFmtId="0" fontId="25" fillId="0" borderId="0"/>
    <xf numFmtId="0" fontId="33" fillId="0" borderId="46">
      <alignment horizontal="center"/>
    </xf>
    <xf numFmtId="0" fontId="147" fillId="0" borderId="0"/>
    <xf numFmtId="175" fontId="33" fillId="0" borderId="0" applyFont="0" applyFill="0" applyBorder="0" applyAlignment="0" applyProtection="0"/>
    <xf numFmtId="0" fontId="33" fillId="0" borderId="46" applyNumberFormat="0" applyAlignment="0"/>
    <xf numFmtId="49" fontId="33" fillId="0" borderId="46"/>
    <xf numFmtId="9" fontId="33" fillId="0" borderId="0" applyFont="0" applyFill="0" applyBorder="0" applyAlignment="0" applyProtection="0"/>
    <xf numFmtId="9" fontId="33" fillId="0" borderId="0" applyFont="0" applyFill="0" applyBorder="0" applyAlignment="0" applyProtection="0"/>
    <xf numFmtId="0" fontId="33" fillId="0" borderId="46"/>
    <xf numFmtId="181" fontId="148" fillId="0" borderId="0">
      <alignment horizontal="right"/>
      <protection locked="0"/>
    </xf>
    <xf numFmtId="175" fontId="33" fillId="0" borderId="0" applyFont="0" applyFill="0" applyBorder="0" applyAlignment="0" applyProtection="0"/>
    <xf numFmtId="49" fontId="33" fillId="0" borderId="46"/>
    <xf numFmtId="0" fontId="147" fillId="0" borderId="0"/>
    <xf numFmtId="0" fontId="25" fillId="39" borderId="0" applyNumberFormat="0" applyBorder="0" applyAlignment="0" applyProtection="0"/>
    <xf numFmtId="0" fontId="25" fillId="32" borderId="0" applyNumberFormat="0" applyBorder="0" applyAlignment="0" applyProtection="0"/>
    <xf numFmtId="0" fontId="33" fillId="0" borderId="0"/>
    <xf numFmtId="0" fontId="25" fillId="39" borderId="0" applyNumberFormat="0" applyBorder="0" applyAlignment="0" applyProtection="0"/>
    <xf numFmtId="0" fontId="25" fillId="39" borderId="0" applyNumberFormat="0" applyBorder="0" applyAlignment="0" applyProtection="0"/>
    <xf numFmtId="0" fontId="25" fillId="2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33" fillId="0" borderId="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72" fillId="0" borderId="0"/>
    <xf numFmtId="1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77" fontId="74"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4" fontId="33" fillId="0" borderId="0"/>
    <xf numFmtId="175" fontId="33" fillId="0" borderId="0" applyFont="0" applyFill="0" applyBorder="0" applyAlignment="0" applyProtection="0"/>
    <xf numFmtId="0" fontId="33" fillId="0" borderId="0" applyNumberFormat="0" applyFill="0" applyBorder="0" applyAlignment="0" applyProtection="0"/>
    <xf numFmtId="44" fontId="25" fillId="0" borderId="0" applyFont="0" applyFill="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49" fontId="33" fillId="0" borderId="46"/>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72" fillId="0" borderId="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12"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33" fillId="0" borderId="0"/>
    <xf numFmtId="0" fontId="33" fillId="0" borderId="0"/>
    <xf numFmtId="0" fontId="25" fillId="39"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68" fillId="10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62" fillId="35"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62" fillId="4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68" fillId="65" borderId="0" applyNumberFormat="0" applyBorder="0" applyAlignment="0" applyProtection="0"/>
    <xf numFmtId="0" fontId="62" fillId="4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8" fillId="3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62" fillId="46"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68" fillId="47" borderId="0" applyNumberFormat="0" applyBorder="0" applyAlignment="0" applyProtection="0"/>
    <xf numFmtId="0" fontId="62" fillId="4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62" fillId="40"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68" fillId="48" borderId="0" applyNumberFormat="0" applyBorder="0" applyAlignment="0" applyProtection="0"/>
    <xf numFmtId="0" fontId="62" fillId="40"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62" fillId="44"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68" fillId="65" borderId="0" applyNumberFormat="0" applyBorder="0" applyAlignment="0" applyProtection="0"/>
    <xf numFmtId="0" fontId="62" fillId="4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62" fillId="49"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68" fillId="43" borderId="0" applyNumberFormat="0" applyBorder="0" applyAlignment="0" applyProtection="0"/>
    <xf numFmtId="0" fontId="62" fillId="4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63" fillId="50" borderId="0" applyNumberFormat="0" applyBorder="0" applyAlignment="0" applyProtection="0"/>
    <xf numFmtId="0" fontId="143" fillId="65" borderId="0" applyNumberFormat="0" applyBorder="0" applyAlignment="0" applyProtection="0"/>
    <xf numFmtId="0" fontId="63" fillId="45" borderId="0" applyNumberFormat="0" applyBorder="0" applyAlignment="0" applyProtection="0"/>
    <xf numFmtId="0" fontId="54" fillId="14" borderId="0" applyNumberFormat="0" applyBorder="0" applyAlignment="0" applyProtection="0"/>
    <xf numFmtId="0" fontId="54" fillId="42" borderId="0" applyNumberFormat="0" applyBorder="0" applyAlignment="0" applyProtection="0"/>
    <xf numFmtId="0" fontId="54" fillId="14" borderId="0" applyNumberFormat="0" applyBorder="0" applyAlignment="0" applyProtection="0"/>
    <xf numFmtId="0" fontId="63" fillId="37" borderId="0" applyNumberFormat="0" applyBorder="0" applyAlignment="0" applyProtection="0"/>
    <xf numFmtId="0" fontId="143" fillId="37" borderId="0" applyNumberFormat="0" applyBorder="0" applyAlignment="0" applyProtection="0"/>
    <xf numFmtId="0" fontId="63" fillId="37" borderId="0" applyNumberFormat="0" applyBorder="0" applyAlignment="0" applyProtection="0"/>
    <xf numFmtId="0" fontId="54" fillId="18" borderId="0" applyNumberFormat="0" applyBorder="0" applyAlignment="0" applyProtection="0"/>
    <xf numFmtId="0" fontId="54" fillId="68" borderId="0" applyNumberFormat="0" applyBorder="0" applyAlignment="0" applyProtection="0"/>
    <xf numFmtId="0" fontId="54" fillId="18" borderId="0" applyNumberFormat="0" applyBorder="0" applyAlignment="0" applyProtection="0"/>
    <xf numFmtId="0" fontId="63" fillId="46" borderId="0" applyNumberFormat="0" applyBorder="0" applyAlignment="0" applyProtection="0"/>
    <xf numFmtId="0" fontId="143" fillId="47" borderId="0" applyNumberFormat="0" applyBorder="0" applyAlignment="0" applyProtection="0"/>
    <xf numFmtId="0" fontId="63" fillId="47" borderId="0" applyNumberFormat="0" applyBorder="0" applyAlignment="0" applyProtection="0"/>
    <xf numFmtId="0" fontId="54" fillId="22" borderId="0" applyNumberFormat="0" applyBorder="0" applyAlignment="0" applyProtection="0"/>
    <xf numFmtId="0" fontId="54" fillId="49" borderId="0" applyNumberFormat="0" applyBorder="0" applyAlignment="0" applyProtection="0"/>
    <xf numFmtId="0" fontId="54" fillId="22" borderId="0" applyNumberFormat="0" applyBorder="0" applyAlignment="0" applyProtection="0"/>
    <xf numFmtId="0" fontId="63" fillId="51" borderId="0" applyNumberFormat="0" applyBorder="0" applyAlignment="0" applyProtection="0"/>
    <xf numFmtId="0" fontId="143" fillId="48" borderId="0" applyNumberFormat="0" applyBorder="0" applyAlignment="0" applyProtection="0"/>
    <xf numFmtId="0" fontId="63" fillId="48" borderId="0" applyNumberFormat="0" applyBorder="0" applyAlignment="0" applyProtection="0"/>
    <xf numFmtId="0" fontId="54" fillId="26" borderId="0" applyNumberFormat="0" applyBorder="0" applyAlignment="0" applyProtection="0"/>
    <xf numFmtId="0" fontId="54" fillId="36" borderId="0" applyNumberFormat="0" applyBorder="0" applyAlignment="0" applyProtection="0"/>
    <xf numFmtId="0" fontId="54" fillId="26" borderId="0" applyNumberFormat="0" applyBorder="0" applyAlignment="0" applyProtection="0"/>
    <xf numFmtId="0" fontId="63" fillId="52" borderId="0" applyNumberFormat="0" applyBorder="0" applyAlignment="0" applyProtection="0"/>
    <xf numFmtId="0" fontId="143" fillId="65" borderId="0" applyNumberFormat="0" applyBorder="0" applyAlignment="0" applyProtection="0"/>
    <xf numFmtId="0" fontId="63" fillId="52" borderId="0" applyNumberFormat="0" applyBorder="0" applyAlignment="0" applyProtection="0"/>
    <xf numFmtId="0" fontId="54" fillId="30" borderId="0" applyNumberFormat="0" applyBorder="0" applyAlignment="0" applyProtection="0"/>
    <xf numFmtId="0" fontId="54" fillId="42" borderId="0" applyNumberFormat="0" applyBorder="0" applyAlignment="0" applyProtection="0"/>
    <xf numFmtId="0" fontId="54" fillId="30" borderId="0" applyNumberFormat="0" applyBorder="0" applyAlignment="0" applyProtection="0"/>
    <xf numFmtId="0" fontId="63" fillId="53" borderId="0" applyNumberFormat="0" applyBorder="0" applyAlignment="0" applyProtection="0"/>
    <xf numFmtId="0" fontId="143" fillId="43" borderId="0" applyNumberFormat="0" applyBorder="0" applyAlignment="0" applyProtection="0"/>
    <xf numFmtId="0" fontId="63" fillId="43" borderId="0" applyNumberFormat="0" applyBorder="0" applyAlignment="0" applyProtection="0"/>
    <xf numFmtId="0" fontId="54" fillId="34" borderId="0" applyNumberFormat="0" applyBorder="0" applyAlignment="0" applyProtection="0"/>
    <xf numFmtId="0" fontId="54" fillId="37" borderId="0" applyNumberFormat="0" applyBorder="0" applyAlignment="0" applyProtection="0"/>
    <xf numFmtId="0" fontId="54" fillId="34" borderId="0" applyNumberFormat="0" applyBorder="0" applyAlignment="0" applyProtection="0"/>
    <xf numFmtId="0" fontId="62" fillId="105" borderId="0" applyNumberFormat="0" applyBorder="0" applyAlignment="0" applyProtection="0"/>
    <xf numFmtId="0" fontId="62" fillId="105"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105"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64" borderId="0" applyNumberFormat="0" applyBorder="0" applyAlignment="0" applyProtection="0"/>
    <xf numFmtId="0" fontId="63" fillId="10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106"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54" fillId="108" borderId="0" applyNumberFormat="0" applyBorder="0" applyAlignment="0" applyProtection="0"/>
    <xf numFmtId="0" fontId="54" fillId="108"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2" fillId="109" borderId="0" applyNumberFormat="0" applyBorder="0" applyAlignment="0" applyProtection="0"/>
    <xf numFmtId="0" fontId="62" fillId="109"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109" borderId="0" applyNumberFormat="0" applyBorder="0" applyAlignment="0" applyProtection="0"/>
    <xf numFmtId="0" fontId="62" fillId="63" borderId="0" applyNumberFormat="0" applyBorder="0" applyAlignment="0" applyProtection="0"/>
    <xf numFmtId="0" fontId="62" fillId="63"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63" borderId="0" applyNumberFormat="0" applyBorder="0" applyAlignment="0" applyProtection="0"/>
    <xf numFmtId="0" fontId="63" fillId="59"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59"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61"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54" fillId="68" borderId="0" applyNumberFormat="0" applyBorder="0" applyAlignment="0" applyProtection="0"/>
    <xf numFmtId="0" fontId="54" fillId="68"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61"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61"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61"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2" fillId="111" borderId="0" applyNumberFormat="0" applyBorder="0" applyAlignment="0" applyProtection="0"/>
    <xf numFmtId="0" fontId="62" fillId="111"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111" borderId="0" applyNumberFormat="0" applyBorder="0" applyAlignment="0" applyProtection="0"/>
    <xf numFmtId="0" fontId="62" fillId="112" borderId="0" applyNumberFormat="0" applyBorder="0" applyAlignment="0" applyProtection="0"/>
    <xf numFmtId="0" fontId="62" fillId="112" borderId="0" applyNumberFormat="0" applyBorder="0" applyAlignment="0" applyProtection="0"/>
    <xf numFmtId="0" fontId="62" fillId="63" borderId="0" applyNumberFormat="0" applyBorder="0" applyAlignment="0" applyProtection="0"/>
    <xf numFmtId="0" fontId="62" fillId="63" borderId="0" applyNumberFormat="0" applyBorder="0" applyAlignment="0" applyProtection="0"/>
    <xf numFmtId="0" fontId="62" fillId="112" borderId="0" applyNumberFormat="0" applyBorder="0" applyAlignment="0" applyProtection="0"/>
    <xf numFmtId="0" fontId="63" fillId="113" borderId="0" applyNumberFormat="0" applyBorder="0" applyAlignment="0" applyProtection="0"/>
    <xf numFmtId="0" fontId="63" fillId="64" borderId="0" applyNumberFormat="0" applyBorder="0" applyAlignment="0" applyProtection="0"/>
    <xf numFmtId="0" fontId="63" fillId="64" borderId="0" applyNumberFormat="0" applyBorder="0" applyAlignment="0" applyProtection="0"/>
    <xf numFmtId="0" fontId="63" fillId="113"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47"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54" fillId="49" borderId="0" applyNumberFormat="0" applyBorder="0" applyAlignment="0" applyProtection="0"/>
    <xf numFmtId="0" fontId="54" fillId="49"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47"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60" borderId="0" applyNumberFormat="0" applyBorder="0" applyAlignment="0" applyProtection="0"/>
    <xf numFmtId="0" fontId="63" fillId="47" borderId="0" applyNumberFormat="0" applyBorder="0" applyAlignment="0" applyProtection="0"/>
    <xf numFmtId="0" fontId="63" fillId="114" borderId="0" applyNumberFormat="0" applyBorder="0" applyAlignment="0" applyProtection="0"/>
    <xf numFmtId="0" fontId="63" fillId="60" borderId="0" applyNumberFormat="0" applyBorder="0" applyAlignment="0" applyProtection="0"/>
    <xf numFmtId="0" fontId="63" fillId="114" borderId="0" applyNumberFormat="0" applyBorder="0" applyAlignment="0" applyProtection="0"/>
    <xf numFmtId="0" fontId="63" fillId="47"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2" fillId="109" borderId="0" applyNumberFormat="0" applyBorder="0" applyAlignment="0" applyProtection="0"/>
    <xf numFmtId="0" fontId="62" fillId="109" borderId="0" applyNumberFormat="0" applyBorder="0" applyAlignment="0" applyProtection="0"/>
    <xf numFmtId="0" fontId="62" fillId="63" borderId="0" applyNumberFormat="0" applyBorder="0" applyAlignment="0" applyProtection="0"/>
    <xf numFmtId="0" fontId="62" fillId="63" borderId="0" applyNumberFormat="0" applyBorder="0" applyAlignment="0" applyProtection="0"/>
    <xf numFmtId="0" fontId="62" fillId="109"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0" borderId="0" applyNumberFormat="0" applyBorder="0" applyAlignment="0" applyProtection="0"/>
    <xf numFmtId="0" fontId="63" fillId="63" borderId="0" applyNumberFormat="0" applyBorder="0" applyAlignment="0" applyProtection="0"/>
    <xf numFmtId="0" fontId="63" fillId="64" borderId="0" applyNumberFormat="0" applyBorder="0" applyAlignment="0" applyProtection="0"/>
    <xf numFmtId="0" fontId="63" fillId="64" borderId="0" applyNumberFormat="0" applyBorder="0" applyAlignment="0" applyProtection="0"/>
    <xf numFmtId="0" fontId="63" fillId="6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54" fillId="65" borderId="0" applyNumberFormat="0" applyBorder="0" applyAlignment="0" applyProtection="0"/>
    <xf numFmtId="0" fontId="54" fillId="65"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51"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116" borderId="0" applyNumberFormat="0" applyBorder="0" applyAlignment="0" applyProtection="0"/>
    <xf numFmtId="0" fontId="63" fillId="51"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63" fillId="116"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62" borderId="0" applyNumberFormat="0" applyBorder="0" applyAlignment="0" applyProtection="0"/>
    <xf numFmtId="0" fontId="62" fillId="55" borderId="0" applyNumberFormat="0" applyBorder="0" applyAlignment="0" applyProtection="0"/>
    <xf numFmtId="0" fontId="63" fillId="106"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52"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52"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17" borderId="0" applyNumberFormat="0" applyBorder="0" applyAlignment="0" applyProtection="0"/>
    <xf numFmtId="0" fontId="63" fillId="52" borderId="0" applyNumberFormat="0" applyBorder="0" applyAlignment="0" applyProtection="0"/>
    <xf numFmtId="0" fontId="63" fillId="106" borderId="0" applyNumberFormat="0" applyBorder="0" applyAlignment="0" applyProtection="0"/>
    <xf numFmtId="0" fontId="63" fillId="117" borderId="0" applyNumberFormat="0" applyBorder="0" applyAlignment="0" applyProtection="0"/>
    <xf numFmtId="0" fontId="63" fillId="106" borderId="0" applyNumberFormat="0" applyBorder="0" applyAlignment="0" applyProtection="0"/>
    <xf numFmtId="0" fontId="63" fillId="52"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2" fillId="66" borderId="0" applyNumberFormat="0" applyBorder="0" applyAlignment="0" applyProtection="0"/>
    <xf numFmtId="0" fontId="62" fillId="67" borderId="0" applyNumberFormat="0" applyBorder="0" applyAlignment="0" applyProtection="0"/>
    <xf numFmtId="0" fontId="62" fillId="67"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67" borderId="0" applyNumberFormat="0" applyBorder="0" applyAlignment="0" applyProtection="0"/>
    <xf numFmtId="0" fontId="63" fillId="118" borderId="0" applyNumberFormat="0" applyBorder="0" applyAlignment="0" applyProtection="0"/>
    <xf numFmtId="0" fontId="63" fillId="67" borderId="0" applyNumberFormat="0" applyBorder="0" applyAlignment="0" applyProtection="0"/>
    <xf numFmtId="0" fontId="63" fillId="67" borderId="0" applyNumberFormat="0" applyBorder="0" applyAlignment="0" applyProtection="0"/>
    <xf numFmtId="0" fontId="63" fillId="118"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68"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120" borderId="0" applyNumberFormat="0" applyBorder="0" applyAlignment="0" applyProtection="0"/>
    <xf numFmtId="0" fontId="63" fillId="68"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63" fillId="120"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171" fontId="33" fillId="69" borderId="19">
      <alignment horizontal="center" vertical="center"/>
    </xf>
    <xf numFmtId="170" fontId="64" fillId="69" borderId="19">
      <alignment horizontal="center" vertical="center"/>
    </xf>
    <xf numFmtId="171" fontId="33" fillId="69" borderId="19">
      <alignment horizontal="center" vertical="center"/>
    </xf>
    <xf numFmtId="170" fontId="64" fillId="69" borderId="19">
      <alignment horizontal="center" vertical="center"/>
    </xf>
    <xf numFmtId="195" fontId="151" fillId="0" borderId="0"/>
    <xf numFmtId="195" fontId="151" fillId="0" borderId="0"/>
    <xf numFmtId="195" fontId="151" fillId="0" borderId="0"/>
    <xf numFmtId="195" fontId="151" fillId="0" borderId="0"/>
    <xf numFmtId="0" fontId="65" fillId="48" borderId="46" applyNumberFormat="0" applyFont="0" applyBorder="0" applyAlignment="0" applyProtection="0">
      <protection hidden="1"/>
    </xf>
    <xf numFmtId="0" fontId="152" fillId="59" borderId="0" applyNumberFormat="0" applyBorder="0" applyAlignment="0" applyProtection="0"/>
    <xf numFmtId="0" fontId="153" fillId="66"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153" fillId="66" borderId="0" applyNumberFormat="0" applyBorder="0" applyAlignment="0" applyProtection="0"/>
    <xf numFmtId="0" fontId="45" fillId="5" borderId="0" applyNumberFormat="0" applyBorder="0" applyAlignment="0" applyProtection="0"/>
    <xf numFmtId="0" fontId="66" fillId="36" borderId="0" applyNumberFormat="0" applyBorder="0" applyAlignment="0" applyProtection="0"/>
    <xf numFmtId="0" fontId="66" fillId="36" borderId="0" applyNumberFormat="0" applyBorder="0" applyAlignment="0" applyProtection="0"/>
    <xf numFmtId="0" fontId="153" fillId="66" borderId="0" applyNumberFormat="0" applyBorder="0" applyAlignment="0" applyProtection="0"/>
    <xf numFmtId="0" fontId="45" fillId="5" borderId="0" applyNumberFormat="0" applyBorder="0" applyAlignment="0" applyProtection="0"/>
    <xf numFmtId="0" fontId="66" fillId="36"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66" fillId="36" borderId="0" applyNumberFormat="0" applyBorder="0" applyAlignment="0" applyProtection="0"/>
    <xf numFmtId="0" fontId="69" fillId="48" borderId="21" applyNumberFormat="0" applyAlignment="0" applyProtection="0"/>
    <xf numFmtId="0" fontId="70" fillId="121" borderId="21" applyNumberFormat="0" applyAlignment="0" applyProtection="0"/>
    <xf numFmtId="0" fontId="154" fillId="122" borderId="53" applyNumberFormat="0" applyAlignment="0" applyProtection="0"/>
    <xf numFmtId="0" fontId="154" fillId="122" borderId="53" applyNumberFormat="0" applyAlignment="0" applyProtection="0"/>
    <xf numFmtId="0" fontId="154" fillId="122" borderId="53" applyNumberFormat="0" applyAlignment="0" applyProtection="0"/>
    <xf numFmtId="0" fontId="49" fillId="8" borderId="13" applyNumberFormat="0" applyAlignment="0" applyProtection="0"/>
    <xf numFmtId="0" fontId="155" fillId="87" borderId="13" applyNumberFormat="0" applyAlignment="0" applyProtection="0"/>
    <xf numFmtId="0" fontId="49" fillId="8" borderId="13" applyNumberFormat="0" applyAlignment="0" applyProtection="0"/>
    <xf numFmtId="0" fontId="71" fillId="60" borderId="22" applyNumberFormat="0" applyAlignment="0" applyProtection="0"/>
    <xf numFmtId="0" fontId="71" fillId="115" borderId="22" applyNumberFormat="0" applyAlignment="0" applyProtection="0"/>
    <xf numFmtId="0" fontId="71" fillId="45" borderId="22" applyNumberFormat="0" applyAlignment="0" applyProtection="0"/>
    <xf numFmtId="0" fontId="71" fillId="115" borderId="22" applyNumberFormat="0" applyAlignment="0" applyProtection="0"/>
    <xf numFmtId="0" fontId="71" fillId="115" borderId="22" applyNumberFormat="0" applyAlignment="0" applyProtection="0"/>
    <xf numFmtId="0" fontId="71" fillId="70" borderId="22" applyNumberFormat="0" applyAlignment="0" applyProtection="0"/>
    <xf numFmtId="0" fontId="51" fillId="9" borderId="16" applyNumberFormat="0" applyAlignment="0" applyProtection="0"/>
    <xf numFmtId="0" fontId="51" fillId="9" borderId="16" applyNumberFormat="0" applyAlignment="0" applyProtection="0"/>
    <xf numFmtId="0" fontId="71" fillId="45" borderId="22" applyNumberFormat="0" applyAlignment="0" applyProtection="0"/>
    <xf numFmtId="41" fontId="34" fillId="0" borderId="0" applyFont="0" applyFill="0" applyBorder="0" applyAlignment="0" applyProtection="0"/>
    <xf numFmtId="41" fontId="34" fillId="0" borderId="0" applyFont="0" applyFill="0" applyBorder="0" applyAlignment="0" applyProtection="0"/>
    <xf numFmtId="41" fontId="156" fillId="0" borderId="0" applyFont="0" applyFill="0" applyBorder="0" applyAlignment="0" applyProtection="0"/>
    <xf numFmtId="38" fontId="72" fillId="0" borderId="0" applyFont="0" applyFill="0" applyBorder="0" applyAlignment="0" applyProtection="0"/>
    <xf numFmtId="41"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68"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6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8"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6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43" fontId="9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9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8"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8"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98"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178"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68"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178"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8"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6" fontId="77" fillId="0" borderId="0">
      <protection locked="0"/>
    </xf>
    <xf numFmtId="14" fontId="33" fillId="0" borderId="0" applyFont="0" applyFill="0" applyBorder="0" applyAlignment="0" applyProtection="0"/>
    <xf numFmtId="0" fontId="139" fillId="123" borderId="0" applyNumberFormat="0" applyBorder="0" applyAlignment="0" applyProtection="0"/>
    <xf numFmtId="0" fontId="139" fillId="124" borderId="0" applyNumberFormat="0" applyBorder="0" applyAlignment="0" applyProtection="0"/>
    <xf numFmtId="0" fontId="139" fillId="123" borderId="0" applyNumberFormat="0" applyBorder="0" applyAlignment="0" applyProtection="0"/>
    <xf numFmtId="0" fontId="139" fillId="125" borderId="0" applyNumberFormat="0" applyBorder="0" applyAlignment="0" applyProtection="0"/>
    <xf numFmtId="0" fontId="139" fillId="126" borderId="0" applyNumberFormat="0" applyBorder="0" applyAlignment="0" applyProtection="0"/>
    <xf numFmtId="0" fontId="139" fillId="125" borderId="0" applyNumberFormat="0" applyBorder="0" applyAlignment="0" applyProtection="0"/>
    <xf numFmtId="0" fontId="139" fillId="127" borderId="0" applyNumberFormat="0" applyBorder="0" applyAlignment="0" applyProtection="0"/>
    <xf numFmtId="0" fontId="139" fillId="127" borderId="0" applyNumberFormat="0" applyBorder="0" applyAlignment="0" applyProtection="0"/>
    <xf numFmtId="0" fontId="157" fillId="0" borderId="0" applyNumberFormat="0" applyFill="0" applyBorder="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79" fillId="0" borderId="0" applyNumberFormat="0" applyFill="0" applyBorder="0" applyAlignment="0" applyProtection="0"/>
    <xf numFmtId="187" fontId="33" fillId="0" borderId="0">
      <protection locked="0"/>
    </xf>
    <xf numFmtId="2" fontId="33" fillId="0" borderId="0" applyFont="0" applyFill="0" applyBorder="0" applyAlignment="0" applyProtection="0"/>
    <xf numFmtId="187" fontId="33" fillId="0" borderId="0">
      <protection locked="0"/>
    </xf>
    <xf numFmtId="2" fontId="33" fillId="0" borderId="0" applyFont="0" applyFill="0" applyBorder="0" applyAlignment="0" applyProtection="0"/>
    <xf numFmtId="0" fontId="82" fillId="38" borderId="0" applyNumberFormat="0" applyBorder="0" applyAlignment="0" applyProtection="0"/>
    <xf numFmtId="0" fontId="82" fillId="128" borderId="0" applyNumberFormat="0" applyBorder="0" applyAlignment="0" applyProtection="0"/>
    <xf numFmtId="0" fontId="62" fillId="112" borderId="0" applyNumberFormat="0" applyBorder="0" applyAlignment="0" applyProtection="0"/>
    <xf numFmtId="0" fontId="82" fillId="38" borderId="0" applyNumberFormat="0" applyBorder="0" applyAlignment="0" applyProtection="0"/>
    <xf numFmtId="0" fontId="62" fillId="112" borderId="0" applyNumberFormat="0" applyBorder="0" applyAlignment="0" applyProtection="0"/>
    <xf numFmtId="0" fontId="62" fillId="112" borderId="0" applyNumberFormat="0" applyBorder="0" applyAlignment="0" applyProtection="0"/>
    <xf numFmtId="0" fontId="62" fillId="112" borderId="0" applyNumberFormat="0" applyBorder="0" applyAlignment="0" applyProtection="0"/>
    <xf numFmtId="0" fontId="82" fillId="72" borderId="0" applyNumberFormat="0" applyBorder="0" applyAlignment="0" applyProtection="0"/>
    <xf numFmtId="0" fontId="44" fillId="4" borderId="0" applyNumberFormat="0" applyBorder="0" applyAlignment="0" applyProtection="0"/>
    <xf numFmtId="0" fontId="44" fillId="42" borderId="0" applyNumberFormat="0" applyBorder="0" applyAlignment="0" applyProtection="0"/>
    <xf numFmtId="0" fontId="44" fillId="4" borderId="0" applyNumberFormat="0" applyBorder="0" applyAlignment="0" applyProtection="0"/>
    <xf numFmtId="0" fontId="85" fillId="0" borderId="25" applyNumberFormat="0" applyFill="0" applyAlignment="0" applyProtection="0"/>
    <xf numFmtId="0" fontId="84" fillId="0" borderId="0" applyNumberFormat="0" applyFont="0" applyFill="0" applyBorder="0" applyProtection="0"/>
    <xf numFmtId="0" fontId="84" fillId="0" borderId="0" applyNumberFormat="0" applyFont="0" applyFill="0" applyBorder="0" applyProtection="0"/>
    <xf numFmtId="0" fontId="86" fillId="0" borderId="54" applyNumberFormat="0" applyFill="0" applyAlignment="0" applyProtection="0"/>
    <xf numFmtId="0" fontId="86" fillId="0" borderId="54" applyNumberFormat="0" applyFill="0" applyAlignment="0" applyProtection="0"/>
    <xf numFmtId="0" fontId="84" fillId="0" borderId="0" applyNumberFormat="0" applyFont="0" applyFill="0" applyBorder="0" applyProtection="0"/>
    <xf numFmtId="0" fontId="84" fillId="0" borderId="0" applyNumberFormat="0" applyFont="0" applyFill="0" applyBorder="0" applyProtection="0"/>
    <xf numFmtId="0" fontId="86" fillId="0" borderId="26" applyNumberFormat="0" applyFill="0" applyAlignment="0" applyProtection="0"/>
    <xf numFmtId="0" fontId="41" fillId="0" borderId="10" applyNumberFormat="0" applyFill="0" applyAlignment="0" applyProtection="0"/>
    <xf numFmtId="0" fontId="158" fillId="0" borderId="55" applyNumberFormat="0" applyFill="0" applyAlignment="0" applyProtection="0"/>
    <xf numFmtId="0" fontId="41" fillId="0" borderId="10" applyNumberFormat="0" applyFill="0" applyAlignment="0" applyProtection="0"/>
    <xf numFmtId="0" fontId="87" fillId="0" borderId="27" applyNumberFormat="0" applyFill="0" applyAlignment="0" applyProtection="0"/>
    <xf numFmtId="0" fontId="37" fillId="0" borderId="0" applyNumberFormat="0" applyFont="0" applyFill="0" applyBorder="0" applyProtection="0"/>
    <xf numFmtId="0" fontId="37" fillId="0" borderId="0" applyNumberFormat="0" applyFont="0" applyFill="0" applyBorder="0" applyProtection="0"/>
    <xf numFmtId="0" fontId="88" fillId="0" borderId="56" applyNumberFormat="0" applyFill="0" applyAlignment="0" applyProtection="0"/>
    <xf numFmtId="0" fontId="88" fillId="0" borderId="56" applyNumberFormat="0" applyFill="0" applyAlignment="0" applyProtection="0"/>
    <xf numFmtId="0" fontId="37" fillId="0" borderId="0" applyNumberFormat="0" applyFont="0" applyFill="0" applyBorder="0" applyProtection="0"/>
    <xf numFmtId="0" fontId="37" fillId="0" borderId="0" applyNumberFormat="0" applyFont="0" applyFill="0" applyBorder="0" applyProtection="0"/>
    <xf numFmtId="0" fontId="88" fillId="0" borderId="28" applyNumberFormat="0" applyFill="0" applyAlignment="0" applyProtection="0"/>
    <xf numFmtId="0" fontId="42" fillId="0" borderId="11" applyNumberFormat="0" applyFill="0" applyAlignment="0" applyProtection="0"/>
    <xf numFmtId="0" fontId="159" fillId="0" borderId="57" applyNumberFormat="0" applyFill="0" applyAlignment="0" applyProtection="0"/>
    <xf numFmtId="0" fontId="42" fillId="0" borderId="11" applyNumberFormat="0" applyFill="0" applyAlignment="0" applyProtection="0"/>
    <xf numFmtId="0" fontId="89" fillId="0" borderId="29" applyNumberFormat="0" applyFill="0" applyAlignment="0" applyProtection="0"/>
    <xf numFmtId="0" fontId="90" fillId="0" borderId="58" applyNumberFormat="0" applyFill="0" applyAlignment="0" applyProtection="0"/>
    <xf numFmtId="0" fontId="90" fillId="0" borderId="59" applyNumberFormat="0" applyFill="0" applyAlignment="0" applyProtection="0"/>
    <xf numFmtId="0" fontId="89" fillId="0" borderId="29" applyNumberFormat="0" applyFill="0" applyAlignment="0" applyProtection="0"/>
    <xf numFmtId="0" fontId="90" fillId="0" borderId="59" applyNumberFormat="0" applyFill="0" applyAlignment="0" applyProtection="0"/>
    <xf numFmtId="0" fontId="90" fillId="0" borderId="59" applyNumberFormat="0" applyFill="0" applyAlignment="0" applyProtection="0"/>
    <xf numFmtId="0" fontId="90" fillId="0" borderId="30" applyNumberFormat="0" applyFill="0" applyAlignment="0" applyProtection="0"/>
    <xf numFmtId="0" fontId="43" fillId="0" borderId="12" applyNumberFormat="0" applyFill="0" applyAlignment="0" applyProtection="0"/>
    <xf numFmtId="0" fontId="160" fillId="0" borderId="60" applyNumberFormat="0" applyFill="0" applyAlignment="0" applyProtection="0"/>
    <xf numFmtId="0" fontId="43" fillId="0" borderId="12" applyNumberFormat="0" applyFill="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3" fillId="0" borderId="0" applyNumberFormat="0" applyFill="0" applyBorder="0" applyAlignment="0" applyProtection="0"/>
    <xf numFmtId="0" fontId="160" fillId="0" borderId="0" applyNumberFormat="0" applyFill="0" applyBorder="0" applyAlignment="0" applyProtection="0"/>
    <xf numFmtId="0" fontId="43" fillId="0" borderId="0" applyNumberFormat="0" applyFill="0" applyBorder="0" applyAlignment="0" applyProtection="0"/>
    <xf numFmtId="0" fontId="161"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55" fillId="0" borderId="0" applyNumberFormat="0" applyFill="0" applyBorder="0" applyAlignment="0" applyProtection="0"/>
    <xf numFmtId="0" fontId="161"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93" fillId="43" borderId="21"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165" fillId="67" borderId="53" applyNumberFormat="0" applyAlignment="0" applyProtection="0"/>
    <xf numFmtId="0" fontId="165" fillId="67" borderId="53" applyNumberFormat="0" applyAlignment="0" applyProtection="0"/>
    <xf numFmtId="0" fontId="165" fillId="67" borderId="5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93" fillId="43" borderId="21" applyNumberFormat="0" applyAlignment="0" applyProtection="0"/>
    <xf numFmtId="0" fontId="93" fillId="43" borderId="21" applyNumberFormat="0" applyAlignment="0" applyProtection="0"/>
    <xf numFmtId="0" fontId="47" fillId="7" borderId="13" applyNumberFormat="0" applyAlignment="0" applyProtection="0"/>
    <xf numFmtId="0" fontId="47" fillId="7" borderId="13" applyNumberFormat="0" applyAlignment="0" applyProtection="0"/>
    <xf numFmtId="0" fontId="165" fillId="67" borderId="21" applyNumberFormat="0" applyAlignment="0" applyProtection="0"/>
    <xf numFmtId="0" fontId="93" fillId="43" borderId="21" applyNumberFormat="0" applyAlignment="0" applyProtection="0"/>
    <xf numFmtId="0" fontId="165" fillId="67" borderId="21"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6" borderId="13" applyNumberFormat="0" applyAlignment="0" applyProtection="0"/>
    <xf numFmtId="0" fontId="47" fillId="76" borderId="13" applyNumberFormat="0" applyAlignment="0" applyProtection="0"/>
    <xf numFmtId="0" fontId="47" fillId="7" borderId="13" applyNumberFormat="0" applyAlignment="0" applyProtection="0"/>
    <xf numFmtId="0" fontId="47" fillId="7" borderId="13" applyNumberFormat="0" applyAlignment="0" applyProtection="0"/>
    <xf numFmtId="0" fontId="94" fillId="0" borderId="32" applyNumberFormat="0" applyFill="0" applyAlignment="0" applyProtection="0"/>
    <xf numFmtId="0" fontId="82" fillId="0" borderId="61" applyNumberFormat="0" applyFill="0" applyAlignment="0" applyProtection="0"/>
    <xf numFmtId="0" fontId="94" fillId="0" borderId="32" applyNumberFormat="0" applyFill="0" applyAlignment="0" applyProtection="0"/>
    <xf numFmtId="0" fontId="82" fillId="0" borderId="61" applyNumberFormat="0" applyFill="0" applyAlignment="0" applyProtection="0"/>
    <xf numFmtId="0" fontId="82" fillId="0" borderId="61" applyNumberFormat="0" applyFill="0" applyAlignment="0" applyProtection="0"/>
    <xf numFmtId="0" fontId="95" fillId="0" borderId="33" applyNumberFormat="0" applyFill="0" applyAlignment="0" applyProtection="0"/>
    <xf numFmtId="0" fontId="50" fillId="0" borderId="15" applyNumberFormat="0" applyFill="0" applyAlignment="0" applyProtection="0"/>
    <xf numFmtId="0" fontId="166" fillId="0" borderId="62" applyNumberFormat="0" applyFill="0" applyAlignment="0" applyProtection="0"/>
    <xf numFmtId="0" fontId="50" fillId="0" borderId="15" applyNumberFormat="0" applyFill="0" applyAlignment="0" applyProtection="0"/>
    <xf numFmtId="0" fontId="96" fillId="67" borderId="0" applyNumberFormat="0" applyBorder="0" applyAlignment="0" applyProtection="0"/>
    <xf numFmtId="0" fontId="82" fillId="67" borderId="0" applyNumberFormat="0" applyBorder="0" applyAlignment="0" applyProtection="0"/>
    <xf numFmtId="0" fontId="167" fillId="6" borderId="0" applyNumberFormat="0" applyBorder="0" applyAlignment="0" applyProtection="0"/>
    <xf numFmtId="0" fontId="167" fillId="6" borderId="0" applyNumberFormat="0" applyBorder="0" applyAlignment="0" applyProtection="0"/>
    <xf numFmtId="0" fontId="82" fillId="67" borderId="0" applyNumberFormat="0" applyBorder="0" applyAlignment="0" applyProtection="0"/>
    <xf numFmtId="0" fontId="150" fillId="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82" fillId="67" borderId="0" applyNumberFormat="0" applyBorder="0" applyAlignment="0" applyProtection="0"/>
    <xf numFmtId="0" fontId="150" fillId="6" borderId="0" applyNumberFormat="0" applyBorder="0" applyAlignment="0" applyProtection="0"/>
    <xf numFmtId="0" fontId="96" fillId="76" borderId="0" applyNumberFormat="0" applyBorder="0" applyAlignment="0" applyProtection="0"/>
    <xf numFmtId="0" fontId="150" fillId="6" borderId="0" applyNumberFormat="0" applyBorder="0" applyAlignment="0" applyProtection="0"/>
    <xf numFmtId="0" fontId="150" fillId="6" borderId="0" applyNumberFormat="0" applyBorder="0" applyAlignment="0" applyProtection="0"/>
    <xf numFmtId="0" fontId="96" fillId="76" borderId="0" applyNumberFormat="0" applyBorder="0" applyAlignment="0" applyProtection="0"/>
    <xf numFmtId="201" fontId="33" fillId="0" borderId="0"/>
    <xf numFmtId="200" fontId="98" fillId="0" borderId="0"/>
    <xf numFmtId="201" fontId="33" fillId="0" borderId="0"/>
    <xf numFmtId="200" fontId="98" fillId="0" borderId="0"/>
    <xf numFmtId="0" fontId="25" fillId="0" borderId="0"/>
    <xf numFmtId="0" fontId="98" fillId="0" borderId="0"/>
    <xf numFmtId="0" fontId="25" fillId="0" borderId="0"/>
    <xf numFmtId="0" fontId="25" fillId="0" borderId="0"/>
    <xf numFmtId="0" fontId="98" fillId="0" borderId="0"/>
    <xf numFmtId="0" fontId="25" fillId="0" borderId="0"/>
    <xf numFmtId="0" fontId="25" fillId="0" borderId="0"/>
    <xf numFmtId="0" fontId="98" fillId="0" borderId="0"/>
    <xf numFmtId="0" fontId="33"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95" fontId="168" fillId="0" borderId="0"/>
    <xf numFmtId="0" fontId="25" fillId="0" borderId="0"/>
    <xf numFmtId="0" fontId="33" fillId="0" borderId="0"/>
    <xf numFmtId="0" fontId="33"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4" fillId="0" borderId="0"/>
    <xf numFmtId="0" fontId="25" fillId="0" borderId="0"/>
    <xf numFmtId="0" fontId="25"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75" fillId="0" borderId="0"/>
    <xf numFmtId="0" fontId="25" fillId="0" borderId="0"/>
    <xf numFmtId="0" fontId="7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25" fillId="0" borderId="0"/>
    <xf numFmtId="195" fontId="168"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25" fillId="0" borderId="0"/>
    <xf numFmtId="0" fontId="100" fillId="0" borderId="0"/>
    <xf numFmtId="0" fontId="100" fillId="0" borderId="0"/>
    <xf numFmtId="0" fontId="34" fillId="0" borderId="0"/>
    <xf numFmtId="0" fontId="33" fillId="0" borderId="0"/>
    <xf numFmtId="0" fontId="34" fillId="0" borderId="0"/>
    <xf numFmtId="0" fontId="25" fillId="0" borderId="0"/>
    <xf numFmtId="0" fontId="80" fillId="129" borderId="0"/>
    <xf numFmtId="0" fontId="25" fillId="0" borderId="0"/>
    <xf numFmtId="0" fontId="33" fillId="0" borderId="0"/>
    <xf numFmtId="0" fontId="33" fillId="0" borderId="0"/>
    <xf numFmtId="0" fontId="80" fillId="129" borderId="0"/>
    <xf numFmtId="0" fontId="33" fillId="0" borderId="0"/>
    <xf numFmtId="0" fontId="62" fillId="0" borderId="0"/>
    <xf numFmtId="0" fontId="62"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4" fillId="0" borderId="0"/>
    <xf numFmtId="0" fontId="25" fillId="0" borderId="0"/>
    <xf numFmtId="0" fontId="25" fillId="0" borderId="0"/>
    <xf numFmtId="0" fontId="72" fillId="0" borderId="0"/>
    <xf numFmtId="0" fontId="25" fillId="0" borderId="0"/>
    <xf numFmtId="0" fontId="25" fillId="0" borderId="0"/>
    <xf numFmtId="0" fontId="168"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4"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25" fillId="0" borderId="0"/>
    <xf numFmtId="0" fontId="33" fillId="0" borderId="0"/>
    <xf numFmtId="0" fontId="25" fillId="0" borderId="0"/>
    <xf numFmtId="0" fontId="34" fillId="0" borderId="0"/>
    <xf numFmtId="0" fontId="34"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4" fillId="0" borderId="0"/>
    <xf numFmtId="0" fontId="72" fillId="0" borderId="0"/>
    <xf numFmtId="0" fontId="25" fillId="0" borderId="0"/>
    <xf numFmtId="0" fontId="25" fillId="0" borderId="0"/>
    <xf numFmtId="0" fontId="25" fillId="0" borderId="0"/>
    <xf numFmtId="0" fontId="72" fillId="0" borderId="0"/>
    <xf numFmtId="0" fontId="25" fillId="0" borderId="0"/>
    <xf numFmtId="0" fontId="25" fillId="0" borderId="0"/>
    <xf numFmtId="0" fontId="72" fillId="0" borderId="0"/>
    <xf numFmtId="0" fontId="25" fillId="0" borderId="0"/>
    <xf numFmtId="0" fontId="25" fillId="0" borderId="0"/>
    <xf numFmtId="0" fontId="72" fillId="0" borderId="0"/>
    <xf numFmtId="0" fontId="25" fillId="0" borderId="0"/>
    <xf numFmtId="0" fontId="72"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68" fillId="0" borderId="0"/>
    <xf numFmtId="0" fontId="33" fillId="0" borderId="0"/>
    <xf numFmtId="0" fontId="62" fillId="0" borderId="0"/>
    <xf numFmtId="0" fontId="25" fillId="0" borderId="0"/>
    <xf numFmtId="0" fontId="34" fillId="0" borderId="0"/>
    <xf numFmtId="0" fontId="34" fillId="0" borderId="0"/>
    <xf numFmtId="0" fontId="68"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33" fillId="0" borderId="0"/>
    <xf numFmtId="0" fontId="33" fillId="0" borderId="0"/>
    <xf numFmtId="0" fontId="72" fillId="0" borderId="0"/>
    <xf numFmtId="0" fontId="62" fillId="0" borderId="0"/>
    <xf numFmtId="0" fontId="25" fillId="0" borderId="0"/>
    <xf numFmtId="0" fontId="33" fillId="0" borderId="0"/>
    <xf numFmtId="0" fontId="6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68" fillId="0" borderId="0"/>
    <xf numFmtId="0" fontId="62" fillId="0" borderId="0"/>
    <xf numFmtId="0" fontId="34" fillId="0" borderId="0"/>
    <xf numFmtId="0" fontId="80" fillId="129" borderId="0"/>
    <xf numFmtId="0" fontId="68" fillId="0" borderId="0"/>
    <xf numFmtId="0" fontId="34" fillId="0" borderId="0"/>
    <xf numFmtId="0" fontId="6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0"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4"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33" fillId="0" borderId="0"/>
    <xf numFmtId="0" fontId="34" fillId="0" borderId="0"/>
    <xf numFmtId="0" fontId="34"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21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62" fillId="0" borderId="0"/>
    <xf numFmtId="0" fontId="62" fillId="0" borderId="0"/>
    <xf numFmtId="0" fontId="62" fillId="0" borderId="0"/>
    <xf numFmtId="0" fontId="62" fillId="0" borderId="0"/>
    <xf numFmtId="0" fontId="34" fillId="0" borderId="0"/>
    <xf numFmtId="0" fontId="80" fillId="129" borderId="0"/>
    <xf numFmtId="0" fontId="80" fillId="129" borderId="0"/>
    <xf numFmtId="0" fontId="62" fillId="0" borderId="0"/>
    <xf numFmtId="0" fontId="62" fillId="0" borderId="0"/>
    <xf numFmtId="0" fontId="80" fillId="129" borderId="0"/>
    <xf numFmtId="0" fontId="80" fillId="129" borderId="0"/>
    <xf numFmtId="0" fontId="33" fillId="0" borderId="0"/>
    <xf numFmtId="0" fontId="62" fillId="0" borderId="0"/>
    <xf numFmtId="0" fontId="62" fillId="0" borderId="0"/>
    <xf numFmtId="21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25" fillId="0" borderId="0"/>
    <xf numFmtId="211"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0" fillId="129" borderId="0"/>
    <xf numFmtId="0" fontId="80" fillId="129" borderId="0"/>
    <xf numFmtId="0" fontId="62" fillId="0" borderId="0"/>
    <xf numFmtId="0" fontId="62" fillId="0" borderId="0"/>
    <xf numFmtId="0" fontId="62"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75" fillId="0" borderId="0"/>
    <xf numFmtId="0" fontId="72" fillId="0" borderId="0"/>
    <xf numFmtId="0" fontId="75" fillId="0" borderId="0"/>
    <xf numFmtId="0" fontId="146"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72"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33" fillId="0" borderId="0"/>
    <xf numFmtId="0" fontId="72"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75" fillId="0" borderId="0"/>
    <xf numFmtId="0" fontId="72" fillId="0" borderId="0"/>
    <xf numFmtId="0" fontId="7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4"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25"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75" applyNumberFormat="0" applyAlignment="0">
      <alignment horizontal="center"/>
    </xf>
    <xf numFmtId="0" fontId="33" fillId="0" borderId="0"/>
    <xf numFmtId="0" fontId="33" fillId="0" borderId="0"/>
    <xf numFmtId="0" fontId="33" fillId="0" borderId="20" applyNumberFormat="0" applyAlignment="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9" fontId="33" fillId="0" borderId="20"/>
    <xf numFmtId="0" fontId="33" fillId="0" borderId="0"/>
    <xf numFmtId="0" fontId="33" fillId="0" borderId="0"/>
    <xf numFmtId="4" fontId="68" fillId="88" borderId="76" applyNumberFormat="0" applyProtection="0">
      <alignment horizontal="right" vertical="center"/>
    </xf>
    <xf numFmtId="0" fontId="33" fillId="0" borderId="0"/>
    <xf numFmtId="0" fontId="33" fillId="0" borderId="0"/>
    <xf numFmtId="4" fontId="68" fillId="77" borderId="76" applyNumberFormat="0" applyProtection="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0" fillId="129"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2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25" fillId="0" borderId="0"/>
    <xf numFmtId="0" fontId="34" fillId="0" borderId="0"/>
    <xf numFmtId="0" fontId="25" fillId="0" borderId="0"/>
    <xf numFmtId="0" fontId="25" fillId="0" borderId="0"/>
    <xf numFmtId="0" fontId="68"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15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0" fontId="33" fillId="0" borderId="0"/>
    <xf numFmtId="0" fontId="68"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25" fillId="0" borderId="0"/>
    <xf numFmtId="0" fontId="33" fillId="0" borderId="0"/>
    <xf numFmtId="0" fontId="25" fillId="0" borderId="0"/>
    <xf numFmtId="0" fontId="25" fillId="0" borderId="0"/>
    <xf numFmtId="0" fontId="25"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25" fillId="0" borderId="0"/>
    <xf numFmtId="211" fontId="25" fillId="0" borderId="0"/>
    <xf numFmtId="0" fontId="33" fillId="0" borderId="0"/>
    <xf numFmtId="0" fontId="33" fillId="0" borderId="0"/>
    <xf numFmtId="0" fontId="25" fillId="0" borderId="0"/>
    <xf numFmtId="0" fontId="33" fillId="0" borderId="0"/>
    <xf numFmtId="0" fontId="25" fillId="0" borderId="0"/>
    <xf numFmtId="211"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25"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68"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25" fillId="0" borderId="0"/>
    <xf numFmtId="0" fontId="25" fillId="0" borderId="0"/>
    <xf numFmtId="0" fontId="34"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68" fillId="0" borderId="0"/>
    <xf numFmtId="0" fontId="25" fillId="0" borderId="0"/>
    <xf numFmtId="0" fontId="25"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72" fillId="0" borderId="0"/>
    <xf numFmtId="0" fontId="33" fillId="0" borderId="0"/>
    <xf numFmtId="0" fontId="33" fillId="0" borderId="0"/>
    <xf numFmtId="0" fontId="72" fillId="0" borderId="0"/>
    <xf numFmtId="0" fontId="33" fillId="0" borderId="0"/>
    <xf numFmtId="0" fontId="33"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25" fillId="0" borderId="0"/>
    <xf numFmtId="0" fontId="33" fillId="0" borderId="0"/>
    <xf numFmtId="0" fontId="33" fillId="0" borderId="0"/>
    <xf numFmtId="0" fontId="25" fillId="0" borderId="0"/>
    <xf numFmtId="0" fontId="62" fillId="0" borderId="0"/>
    <xf numFmtId="0" fontId="33" fillId="0" borderId="0"/>
    <xf numFmtId="0" fontId="33" fillId="0" borderId="0"/>
    <xf numFmtId="0" fontId="33" fillId="0" borderId="0"/>
    <xf numFmtId="0" fontId="34" fillId="0" borderId="0"/>
    <xf numFmtId="0" fontId="25" fillId="0" borderId="0"/>
    <xf numFmtId="0" fontId="33" fillId="0" borderId="0"/>
    <xf numFmtId="0" fontId="33" fillId="0" borderId="0"/>
    <xf numFmtId="0" fontId="25" fillId="0" borderId="0"/>
    <xf numFmtId="0" fontId="34" fillId="0" borderId="0"/>
    <xf numFmtId="0" fontId="72"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9" fontId="33" fillId="0" borderId="2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25" fillId="0" borderId="0"/>
    <xf numFmtId="0" fontId="33" fillId="0" borderId="0"/>
    <xf numFmtId="0" fontId="72" fillId="0" borderId="0"/>
    <xf numFmtId="0" fontId="25" fillId="0" borderId="0"/>
    <xf numFmtId="49" fontId="33" fillId="0" borderId="2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72" fillId="0" borderId="0"/>
    <xf numFmtId="0" fontId="33" fillId="0" borderId="0"/>
    <xf numFmtId="0" fontId="33" fillId="0" borderId="0"/>
    <xf numFmtId="0" fontId="62" fillId="0" borderId="0"/>
    <xf numFmtId="0" fontId="33" fillId="0" borderId="0"/>
    <xf numFmtId="0" fontId="25" fillId="0" borderId="0"/>
    <xf numFmtId="0" fontId="33" fillId="0" borderId="0"/>
    <xf numFmtId="0" fontId="33" fillId="0" borderId="0"/>
    <xf numFmtId="0" fontId="25" fillId="0" borderId="0"/>
    <xf numFmtId="0" fontId="34" fillId="0" borderId="0"/>
    <xf numFmtId="0" fontId="72" fillId="0" borderId="0"/>
    <xf numFmtId="0" fontId="33" fillId="0" borderId="0"/>
    <xf numFmtId="0" fontId="25" fillId="0" borderId="0"/>
    <xf numFmtId="0" fontId="72" fillId="0" borderId="0"/>
    <xf numFmtId="0" fontId="72" fillId="0" borderId="0"/>
    <xf numFmtId="0" fontId="33" fillId="0" borderId="0"/>
    <xf numFmtId="0" fontId="33" fillId="0" borderId="0"/>
    <xf numFmtId="0" fontId="62" fillId="0" borderId="0"/>
    <xf numFmtId="0" fontId="33" fillId="0" borderId="0"/>
    <xf numFmtId="0" fontId="25" fillId="0" borderId="0"/>
    <xf numFmtId="0" fontId="25" fillId="0" borderId="0"/>
    <xf numFmtId="0" fontId="72" fillId="0" borderId="0"/>
    <xf numFmtId="0" fontId="33" fillId="0" borderId="0"/>
    <xf numFmtId="0" fontId="33" fillId="0" borderId="0"/>
    <xf numFmtId="0" fontId="25" fillId="0" borderId="0"/>
    <xf numFmtId="0" fontId="72" fillId="0" borderId="0"/>
    <xf numFmtId="0" fontId="33" fillId="0" borderId="0"/>
    <xf numFmtId="0" fontId="72" fillId="0" borderId="0"/>
    <xf numFmtId="0" fontId="33" fillId="0" borderId="0"/>
    <xf numFmtId="0" fontId="33" fillId="0" borderId="0"/>
    <xf numFmtId="0" fontId="62" fillId="0" borderId="0"/>
    <xf numFmtId="0" fontId="33" fillId="0" borderId="0"/>
    <xf numFmtId="0" fontId="33" fillId="0" borderId="0"/>
    <xf numFmtId="0" fontId="25" fillId="0" borderId="0"/>
    <xf numFmtId="0" fontId="72" fillId="0" borderId="0"/>
    <xf numFmtId="0" fontId="72" fillId="0" borderId="0"/>
    <xf numFmtId="0" fontId="25" fillId="0" borderId="0"/>
    <xf numFmtId="0" fontId="33" fillId="0" borderId="0"/>
    <xf numFmtId="0" fontId="33" fillId="0" borderId="0"/>
    <xf numFmtId="0" fontId="72" fillId="0" borderId="0"/>
    <xf numFmtId="0" fontId="33" fillId="0" borderId="0"/>
    <xf numFmtId="0" fontId="33" fillId="0" borderId="0"/>
    <xf numFmtId="0" fontId="62"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25" fillId="0" borderId="0"/>
    <xf numFmtId="0" fontId="72" fillId="0" borderId="0"/>
    <xf numFmtId="0" fontId="25" fillId="0" borderId="0"/>
    <xf numFmtId="0" fontId="25" fillId="0" borderId="0"/>
    <xf numFmtId="0" fontId="33" fillId="0" borderId="0"/>
    <xf numFmtId="0" fontId="25" fillId="0" borderId="0"/>
    <xf numFmtId="0" fontId="33" fillId="0" borderId="0"/>
    <xf numFmtId="0" fontId="72" fillId="0" borderId="0"/>
    <xf numFmtId="0" fontId="25" fillId="0" borderId="0"/>
    <xf numFmtId="0" fontId="33" fillId="0" borderId="0"/>
    <xf numFmtId="0" fontId="72" fillId="0" borderId="0"/>
    <xf numFmtId="0" fontId="25" fillId="0" borderId="0"/>
    <xf numFmtId="0" fontId="33" fillId="0" borderId="0"/>
    <xf numFmtId="0" fontId="72" fillId="0" borderId="0"/>
    <xf numFmtId="0" fontId="33" fillId="0" borderId="0"/>
    <xf numFmtId="0" fontId="33" fillId="0" borderId="0"/>
    <xf numFmtId="0" fontId="62" fillId="0" borderId="0"/>
    <xf numFmtId="0" fontId="33"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6" fillId="69" borderId="71" applyNumberFormat="0" applyAlignment="0"/>
    <xf numFmtId="0" fontId="33" fillId="0" borderId="0"/>
    <xf numFmtId="0" fontId="33" fillId="0" borderId="0"/>
    <xf numFmtId="1" fontId="36" fillId="69" borderId="71" applyNumberFormat="0" applyAlignment="0">
      <alignment horizontal="left"/>
    </xf>
    <xf numFmtId="0" fontId="33" fillId="0" borderId="0"/>
    <xf numFmtId="0" fontId="33" fillId="0" borderId="0"/>
    <xf numFmtId="1" fontId="36" fillId="93" borderId="71" applyNumberFormat="0" applyAlignment="0">
      <alignment horizontal="center"/>
    </xf>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21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6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75" applyNumberFormat="0" applyAlignment="0">
      <alignment horizont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3" fontId="140" fillId="0" borderId="74"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33" fillId="0" borderId="0"/>
    <xf numFmtId="0" fontId="80" fillId="129" borderId="0"/>
    <xf numFmtId="0" fontId="33" fillId="0" borderId="0"/>
    <xf numFmtId="0" fontId="33" fillId="0" borderId="0"/>
    <xf numFmtId="0" fontId="68"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25" fillId="0" borderId="0"/>
    <xf numFmtId="0" fontId="25" fillId="0" borderId="0"/>
    <xf numFmtId="0" fontId="68" fillId="0" borderId="0"/>
    <xf numFmtId="0" fontId="33" fillId="0" borderId="0"/>
    <xf numFmtId="0" fontId="33" fillId="0" borderId="0"/>
    <xf numFmtId="0" fontId="25" fillId="0" borderId="0"/>
    <xf numFmtId="0" fontId="25" fillId="0" borderId="0"/>
    <xf numFmtId="0" fontId="33" fillId="0" borderId="0"/>
    <xf numFmtId="0" fontId="80" fillId="129" borderId="0"/>
    <xf numFmtId="211" fontId="33" fillId="0" borderId="0"/>
    <xf numFmtId="0" fontId="33" fillId="0" borderId="0"/>
    <xf numFmtId="0" fontId="33" fillId="0" borderId="0"/>
    <xf numFmtId="0" fontId="33" fillId="0" borderId="0"/>
    <xf numFmtId="0" fontId="33" fillId="0" borderId="0"/>
    <xf numFmtId="0" fontId="68" fillId="0" borderId="0"/>
    <xf numFmtId="0" fontId="33" fillId="0" borderId="0"/>
    <xf numFmtId="0" fontId="25" fillId="0" borderId="0"/>
    <xf numFmtId="0" fontId="33" fillId="0" borderId="0"/>
    <xf numFmtId="0" fontId="25" fillId="0" borderId="0"/>
    <xf numFmtId="0" fontId="33"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25" fillId="0" borderId="0"/>
    <xf numFmtId="0" fontId="72" fillId="0" borderId="0"/>
    <xf numFmtId="0" fontId="25" fillId="0" borderId="0"/>
    <xf numFmtId="0" fontId="25" fillId="0" borderId="0"/>
    <xf numFmtId="0" fontId="33" fillId="0" borderId="0"/>
    <xf numFmtId="0" fontId="25" fillId="0" borderId="0"/>
    <xf numFmtId="0" fontId="25"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4"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6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25" fillId="0" borderId="0"/>
    <xf numFmtId="0" fontId="68"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68" fillId="0" borderId="0"/>
    <xf numFmtId="0" fontId="62" fillId="0" borderId="0"/>
    <xf numFmtId="0" fontId="80" fillId="129"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3" fillId="0" borderId="0"/>
    <xf numFmtId="0" fontId="33" fillId="0" borderId="0"/>
    <xf numFmtId="0" fontId="80" fillId="129" borderId="0"/>
    <xf numFmtId="0" fontId="33" fillId="0" borderId="0"/>
    <xf numFmtId="0" fontId="33" fillId="0" borderId="0"/>
    <xf numFmtId="0" fontId="33" fillId="0" borderId="0"/>
    <xf numFmtId="0" fontId="33" fillId="0" borderId="0"/>
    <xf numFmtId="0" fontId="33" fillId="0" borderId="0"/>
    <xf numFmtId="0" fontId="80" fillId="129" borderId="0"/>
    <xf numFmtId="0" fontId="33" fillId="0" borderId="0"/>
    <xf numFmtId="0" fontId="80" fillId="129"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66" borderId="34"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25" fillId="10" borderId="17" applyNumberFormat="0" applyFont="0" applyAlignment="0" applyProtection="0"/>
    <xf numFmtId="0" fontId="25" fillId="10" borderId="17" applyNumberFormat="0" applyFont="0" applyAlignment="0" applyProtection="0"/>
    <xf numFmtId="0" fontId="33" fillId="0" borderId="0"/>
    <xf numFmtId="0" fontId="25" fillId="10" borderId="17" applyNumberFormat="0" applyFont="0" applyAlignment="0" applyProtection="0"/>
    <xf numFmtId="0" fontId="33" fillId="39" borderId="34"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80" fillId="66" borderId="53" applyNumberFormat="0" applyFont="0" applyAlignment="0" applyProtection="0"/>
    <xf numFmtId="0" fontId="68" fillId="39" borderId="34" applyNumberFormat="0" applyFont="0" applyAlignment="0" applyProtection="0"/>
    <xf numFmtId="0" fontId="33" fillId="0" borderId="0"/>
    <xf numFmtId="0" fontId="33" fillId="0" borderId="0"/>
    <xf numFmtId="0" fontId="80" fillId="66" borderId="53" applyNumberFormat="0" applyFont="0" applyAlignment="0" applyProtection="0"/>
    <xf numFmtId="0" fontId="68" fillId="39" borderId="34" applyNumberFormat="0" applyFont="0" applyAlignment="0" applyProtection="0"/>
    <xf numFmtId="0" fontId="33" fillId="0" borderId="0"/>
    <xf numFmtId="0" fontId="25"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62" fillId="10" borderId="17" applyNumberFormat="0" applyFont="0" applyAlignment="0" applyProtection="0"/>
    <xf numFmtId="0" fontId="68" fillId="39" borderId="34" applyNumberFormat="0" applyFont="0" applyAlignment="0" applyProtection="0"/>
    <xf numFmtId="0" fontId="33" fillId="0" borderId="0"/>
    <xf numFmtId="0" fontId="25"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39" borderId="34" applyNumberFormat="0" applyFont="0" applyAlignment="0" applyProtection="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80" fillId="66" borderId="53"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39" borderId="21"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80" fillId="66" borderId="53" applyNumberFormat="0" applyFont="0" applyAlignment="0" applyProtection="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102" fillId="121" borderId="35" applyNumberFormat="0" applyAlignment="0" applyProtection="0"/>
    <xf numFmtId="0" fontId="33" fillId="0" borderId="0"/>
    <xf numFmtId="0" fontId="33" fillId="0" borderId="0"/>
    <xf numFmtId="0" fontId="33" fillId="0" borderId="0"/>
    <xf numFmtId="0" fontId="33" fillId="0" borderId="0"/>
    <xf numFmtId="0" fontId="102" fillId="122" borderId="35" applyNumberFormat="0" applyAlignment="0" applyProtection="0"/>
    <xf numFmtId="0" fontId="102" fillId="48" borderId="35" applyNumberFormat="0" applyAlignment="0" applyProtection="0"/>
    <xf numFmtId="0" fontId="33" fillId="0" borderId="0"/>
    <xf numFmtId="0" fontId="102" fillId="122" borderId="35" applyNumberFormat="0" applyAlignment="0" applyProtection="0"/>
    <xf numFmtId="0" fontId="102" fillId="48" borderId="35" applyNumberFormat="0" applyAlignment="0" applyProtection="0"/>
    <xf numFmtId="0" fontId="33" fillId="0" borderId="0"/>
    <xf numFmtId="0" fontId="33" fillId="0" borderId="0"/>
    <xf numFmtId="0" fontId="102" fillId="48" borderId="35" applyNumberFormat="0" applyAlignment="0" applyProtection="0"/>
    <xf numFmtId="0" fontId="33" fillId="0" borderId="0"/>
    <xf numFmtId="0" fontId="33" fillId="0" borderId="0"/>
    <xf numFmtId="0" fontId="33" fillId="0" borderId="0"/>
    <xf numFmtId="0" fontId="102" fillId="41" borderId="35" applyNumberFormat="0" applyAlignment="0" applyProtection="0"/>
    <xf numFmtId="0" fontId="48" fillId="8" borderId="1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8" fillId="8" borderId="14" applyNumberFormat="0" applyAlignment="0" applyProtection="0"/>
    <xf numFmtId="0" fontId="33" fillId="0" borderId="0"/>
    <xf numFmtId="0" fontId="33" fillId="0" borderId="0"/>
    <xf numFmtId="10" fontId="33" fillId="0" borderId="0" applyFont="0" applyFill="0" applyBorder="0" applyAlignment="0" applyProtection="0"/>
    <xf numFmtId="0" fontId="33" fillId="0" borderId="0"/>
    <xf numFmtId="0" fontId="33" fillId="0" borderId="0"/>
    <xf numFmtId="10" fontId="33" fillId="0" borderId="0" applyFont="0" applyFill="0" applyBorder="0" applyAlignment="0" applyProtection="0"/>
    <xf numFmtId="0" fontId="33" fillId="0" borderId="0"/>
    <xf numFmtId="0" fontId="33" fillId="0" borderId="0"/>
    <xf numFmtId="0" fontId="33" fillId="0" borderId="0"/>
    <xf numFmtId="10"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9" fontId="33"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9" fontId="72"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4"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68" fillId="0" borderId="0" applyFont="0" applyFill="0" applyBorder="0" applyAlignment="0" applyProtection="0"/>
    <xf numFmtId="9" fontId="33" fillId="0" borderId="0" applyFont="0" applyFill="0" applyBorder="0" applyAlignment="0" applyProtection="0"/>
    <xf numFmtId="0" fontId="33" fillId="0" borderId="0"/>
    <xf numFmtId="9" fontId="34" fillId="0" borderId="0" applyFont="0" applyFill="0" applyBorder="0" applyAlignment="0" applyProtection="0"/>
    <xf numFmtId="0" fontId="33" fillId="0" borderId="0"/>
    <xf numFmtId="9" fontId="72"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72"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72"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9" fontId="25" fillId="0" borderId="0" applyFont="0" applyFill="0" applyBorder="0" applyAlignment="0" applyProtection="0"/>
    <xf numFmtId="0" fontId="33" fillId="0" borderId="0"/>
    <xf numFmtId="9" fontId="25"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9" fontId="25" fillId="0" borderId="0" applyFont="0" applyFill="0" applyBorder="0" applyAlignment="0" applyProtection="0"/>
    <xf numFmtId="9" fontId="33"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80"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62"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202" fontId="104" fillId="0" borderId="0" applyProtection="0"/>
    <xf numFmtId="0" fontId="33" fillId="0" borderId="0"/>
    <xf numFmtId="0" fontId="33" fillId="0" borderId="0"/>
    <xf numFmtId="0" fontId="33" fillId="0" borderId="0"/>
    <xf numFmtId="0" fontId="105" fillId="0" borderId="46" applyNumberFormat="0" applyFill="0" applyBorder="0" applyAlignment="0" applyProtection="0">
      <protection hidden="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 fontId="80" fillId="76" borderId="53" applyNumberFormat="0" applyProtection="0">
      <alignment vertical="center"/>
    </xf>
    <xf numFmtId="0" fontId="33" fillId="0" borderId="0"/>
    <xf numFmtId="0" fontId="33" fillId="0" borderId="0"/>
    <xf numFmtId="4" fontId="68" fillId="77" borderId="35" applyNumberFormat="0" applyProtection="0">
      <alignment vertical="center"/>
    </xf>
    <xf numFmtId="4" fontId="80" fillId="76" borderId="53" applyNumberFormat="0" applyProtection="0">
      <alignment vertical="center"/>
    </xf>
    <xf numFmtId="0" fontId="33" fillId="0" borderId="0"/>
    <xf numFmtId="0" fontId="33" fillId="0" borderId="0"/>
    <xf numFmtId="0" fontId="33" fillId="0" borderId="0"/>
    <xf numFmtId="4" fontId="80" fillId="76" borderId="53" applyNumberFormat="0" applyProtection="0">
      <alignment vertical="center"/>
    </xf>
    <xf numFmtId="0" fontId="33" fillId="0" borderId="0"/>
    <xf numFmtId="0" fontId="33" fillId="0" borderId="0"/>
    <xf numFmtId="4" fontId="80" fillId="76" borderId="53" applyNumberFormat="0" applyProtection="0">
      <alignment vertical="center"/>
    </xf>
    <xf numFmtId="4" fontId="68" fillId="77" borderId="35" applyNumberFormat="0" applyProtection="0">
      <alignment vertical="center"/>
    </xf>
    <xf numFmtId="0" fontId="33" fillId="0" borderId="0"/>
    <xf numFmtId="0" fontId="33" fillId="0" borderId="0"/>
    <xf numFmtId="0" fontId="33" fillId="0" borderId="0"/>
    <xf numFmtId="4" fontId="80" fillId="76" borderId="53" applyNumberFormat="0" applyProtection="0">
      <alignment vertical="center"/>
    </xf>
    <xf numFmtId="4" fontId="108" fillId="78" borderId="1" applyNumberFormat="0" applyProtection="0">
      <alignment horizontal="right" vertical="center" wrapText="1"/>
    </xf>
    <xf numFmtId="4" fontId="68" fillId="77" borderId="35" applyNumberFormat="0" applyProtection="0">
      <alignment vertical="center"/>
    </xf>
    <xf numFmtId="0" fontId="33" fillId="0" borderId="0"/>
    <xf numFmtId="4" fontId="68" fillId="77" borderId="35" applyNumberFormat="0" applyProtection="0">
      <alignment vertical="center"/>
    </xf>
    <xf numFmtId="0" fontId="33" fillId="0" borderId="0"/>
    <xf numFmtId="0" fontId="33" fillId="0" borderId="0"/>
    <xf numFmtId="4" fontId="112" fillId="76" borderId="36" applyNumberFormat="0" applyProtection="0">
      <alignment vertical="center"/>
    </xf>
    <xf numFmtId="0" fontId="33" fillId="0" borderId="0"/>
    <xf numFmtId="0" fontId="33" fillId="0" borderId="0"/>
    <xf numFmtId="0" fontId="33" fillId="0" borderId="0"/>
    <xf numFmtId="0" fontId="33" fillId="0" borderId="0"/>
    <xf numFmtId="4" fontId="169" fillId="77" borderId="53" applyNumberFormat="0" applyProtection="0">
      <alignment vertical="center"/>
    </xf>
    <xf numFmtId="4" fontId="169" fillId="77" borderId="53" applyNumberFormat="0" applyProtection="0">
      <alignment vertical="center"/>
    </xf>
    <xf numFmtId="0" fontId="33" fillId="0" borderId="0"/>
    <xf numFmtId="0" fontId="33" fillId="0" borderId="0"/>
    <xf numFmtId="0" fontId="33" fillId="0" borderId="0"/>
    <xf numFmtId="4" fontId="109" fillId="77" borderId="36" applyNumberFormat="0" applyProtection="0">
      <alignment vertical="center"/>
    </xf>
    <xf numFmtId="4" fontId="118" fillId="77" borderId="35" applyNumberFormat="0" applyProtection="0">
      <alignment vertical="center"/>
    </xf>
    <xf numFmtId="0" fontId="33" fillId="0" borderId="0"/>
    <xf numFmtId="0" fontId="33" fillId="0" borderId="0"/>
    <xf numFmtId="4" fontId="118" fillId="77" borderId="35" applyNumberFormat="0" applyProtection="0">
      <alignment vertical="center"/>
    </xf>
    <xf numFmtId="4" fontId="109" fillId="76" borderId="36" applyNumberFormat="0" applyProtection="0">
      <alignment vertical="center"/>
    </xf>
    <xf numFmtId="0" fontId="33" fillId="0" borderId="0"/>
    <xf numFmtId="0" fontId="33" fillId="0" borderId="0"/>
    <xf numFmtId="4" fontId="110" fillId="79" borderId="27">
      <alignment vertical="center"/>
    </xf>
    <xf numFmtId="0" fontId="33" fillId="0" borderId="0"/>
    <xf numFmtId="0" fontId="33" fillId="0" borderId="0"/>
    <xf numFmtId="0" fontId="33" fillId="0" borderId="0"/>
    <xf numFmtId="4" fontId="111" fillId="79" borderId="27">
      <alignment vertical="center"/>
    </xf>
    <xf numFmtId="0" fontId="33" fillId="0" borderId="0"/>
    <xf numFmtId="0" fontId="33" fillId="0" borderId="0"/>
    <xf numFmtId="0" fontId="33" fillId="0" borderId="0"/>
    <xf numFmtId="4" fontId="110" fillId="80" borderId="27">
      <alignment vertical="center"/>
    </xf>
    <xf numFmtId="0" fontId="33" fillId="0" borderId="0"/>
    <xf numFmtId="0" fontId="33" fillId="0" borderId="0"/>
    <xf numFmtId="0" fontId="33" fillId="0" borderId="0"/>
    <xf numFmtId="4" fontId="111" fillId="80" borderId="27">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4" fontId="80" fillId="77" borderId="53" applyNumberFormat="0" applyProtection="0">
      <alignment horizontal="left" vertical="center" indent="1"/>
    </xf>
    <xf numFmtId="0" fontId="33" fillId="0" borderId="0"/>
    <xf numFmtId="0" fontId="33" fillId="0" borderId="0"/>
    <xf numFmtId="0" fontId="33" fillId="0" borderId="0"/>
    <xf numFmtId="4" fontId="80" fillId="77" borderId="53" applyNumberFormat="0" applyProtection="0">
      <alignment horizontal="left" vertical="center" indent="1"/>
    </xf>
    <xf numFmtId="0" fontId="33" fillId="0" borderId="0"/>
    <xf numFmtId="0" fontId="33" fillId="0" borderId="0"/>
    <xf numFmtId="4" fontId="80" fillId="77" borderId="53" applyNumberFormat="0" applyProtection="0">
      <alignment horizontal="left" vertical="center" indent="1"/>
    </xf>
    <xf numFmtId="4" fontId="80" fillId="77" borderId="53" applyNumberFormat="0" applyProtection="0">
      <alignment horizontal="left" vertical="center" indent="1"/>
    </xf>
    <xf numFmtId="0" fontId="33" fillId="0" borderId="0"/>
    <xf numFmtId="0" fontId="33" fillId="0" borderId="0"/>
    <xf numFmtId="0" fontId="33" fillId="0" borderId="0"/>
    <xf numFmtId="4" fontId="108" fillId="78" borderId="1" applyNumberFormat="0" applyProtection="0">
      <alignment horizontal="left" vertical="center" indent="1"/>
    </xf>
    <xf numFmtId="4" fontId="68" fillId="77" borderId="35" applyNumberFormat="0" applyProtection="0">
      <alignment horizontal="left" vertical="center" indent="1"/>
    </xf>
    <xf numFmtId="0" fontId="33" fillId="0" borderId="0"/>
    <xf numFmtId="0" fontId="33" fillId="0" borderId="0"/>
    <xf numFmtId="4" fontId="68" fillId="77" borderId="35" applyNumberFormat="0" applyProtection="0">
      <alignment horizontal="left" vertical="center" indent="1"/>
    </xf>
    <xf numFmtId="4" fontId="112" fillId="76" borderId="36" applyNumberFormat="0" applyProtection="0">
      <alignment horizontal="left" vertical="center" indent="1"/>
    </xf>
    <xf numFmtId="0" fontId="33" fillId="0" borderId="0"/>
    <xf numFmtId="0" fontId="33" fillId="0" borderId="0"/>
    <xf numFmtId="0" fontId="33" fillId="0" borderId="0"/>
    <xf numFmtId="0" fontId="33" fillId="0" borderId="0"/>
    <xf numFmtId="0" fontId="170" fillId="76" borderId="36" applyNumberFormat="0" applyProtection="0">
      <alignment horizontal="left" vertical="top" indent="1"/>
    </xf>
    <xf numFmtId="0" fontId="170" fillId="76" borderId="36" applyNumberFormat="0" applyProtection="0">
      <alignment horizontal="left" vertical="top" indent="1"/>
    </xf>
    <xf numFmtId="0" fontId="33" fillId="0" borderId="0"/>
    <xf numFmtId="0" fontId="33" fillId="0" borderId="0"/>
    <xf numFmtId="0" fontId="33" fillId="0" borderId="0"/>
    <xf numFmtId="0" fontId="112" fillId="77" borderId="36" applyNumberFormat="0" applyProtection="0">
      <alignment horizontal="left" vertical="top" indent="1"/>
    </xf>
    <xf numFmtId="4" fontId="68" fillId="77" borderId="35" applyNumberFormat="0" applyProtection="0">
      <alignment horizontal="left" vertical="center" indent="1"/>
    </xf>
    <xf numFmtId="0" fontId="33" fillId="0" borderId="0"/>
    <xf numFmtId="0" fontId="33" fillId="0" borderId="0"/>
    <xf numFmtId="4" fontId="68" fillId="77" borderId="35" applyNumberFormat="0" applyProtection="0">
      <alignment horizontal="left" vertical="center" indent="1"/>
    </xf>
    <xf numFmtId="0" fontId="112" fillId="76"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4" fontId="113" fillId="81" borderId="1" applyNumberFormat="0" applyProtection="0">
      <alignment horizontal="left" vertical="center"/>
    </xf>
    <xf numFmtId="0" fontId="33" fillId="0" borderId="0"/>
    <xf numFmtId="0" fontId="33" fillId="0" borderId="0"/>
    <xf numFmtId="0" fontId="33" fillId="0" borderId="0"/>
    <xf numFmtId="4" fontId="80" fillId="52" borderId="53" applyNumberFormat="0" applyProtection="0">
      <alignment horizontal="left" vertical="center" indent="1"/>
    </xf>
    <xf numFmtId="4" fontId="80" fillId="52" borderId="53"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4" fontId="113" fillId="81" borderId="1" applyNumberFormat="0" applyProtection="0">
      <alignment horizontal="left" vertical="center"/>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4" fontId="112" fillId="104" borderId="0"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4" fontId="80" fillId="36" borderId="53" applyNumberFormat="0" applyProtection="0">
      <alignment horizontal="right" vertical="center"/>
    </xf>
    <xf numFmtId="0" fontId="33" fillId="0" borderId="0"/>
    <xf numFmtId="0" fontId="33" fillId="0" borderId="0"/>
    <xf numFmtId="0" fontId="33" fillId="0" borderId="0"/>
    <xf numFmtId="4" fontId="80" fillId="36" borderId="53" applyNumberFormat="0" applyProtection="0">
      <alignment horizontal="right" vertical="center"/>
    </xf>
    <xf numFmtId="0" fontId="33" fillId="0" borderId="0"/>
    <xf numFmtId="0" fontId="33" fillId="0" borderId="0"/>
    <xf numFmtId="4" fontId="80" fillId="36" borderId="53" applyNumberFormat="0" applyProtection="0">
      <alignment horizontal="right" vertical="center"/>
    </xf>
    <xf numFmtId="4" fontId="80" fillId="36" borderId="53" applyNumberFormat="0" applyProtection="0">
      <alignment horizontal="right" vertical="center"/>
    </xf>
    <xf numFmtId="0" fontId="33" fillId="0" borderId="0"/>
    <xf numFmtId="0" fontId="33" fillId="0" borderId="0"/>
    <xf numFmtId="0" fontId="33" fillId="0" borderId="0"/>
    <xf numFmtId="4" fontId="68" fillId="36" borderId="36" applyNumberFormat="0" applyProtection="0">
      <alignment horizontal="right" vertical="center"/>
    </xf>
    <xf numFmtId="4" fontId="68" fillId="98" borderId="35" applyNumberFormat="0" applyProtection="0">
      <alignment horizontal="right" vertical="center"/>
    </xf>
    <xf numFmtId="0" fontId="33" fillId="0" borderId="0"/>
    <xf numFmtId="0" fontId="33" fillId="0" borderId="0"/>
    <xf numFmtId="4" fontId="68" fillId="98" borderId="35" applyNumberFormat="0" applyProtection="0">
      <alignment horizontal="right" vertical="center"/>
    </xf>
    <xf numFmtId="4" fontId="68" fillId="36"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131" borderId="53" applyNumberFormat="0" applyProtection="0">
      <alignment horizontal="right" vertical="center"/>
    </xf>
    <xf numFmtId="0" fontId="33" fillId="0" borderId="0"/>
    <xf numFmtId="0" fontId="33" fillId="0" borderId="0"/>
    <xf numFmtId="0" fontId="33" fillId="0" borderId="0"/>
    <xf numFmtId="4" fontId="80" fillId="131" borderId="53" applyNumberFormat="0" applyProtection="0">
      <alignment horizontal="right" vertical="center"/>
    </xf>
    <xf numFmtId="0" fontId="33" fillId="0" borderId="0"/>
    <xf numFmtId="0" fontId="33" fillId="0" borderId="0"/>
    <xf numFmtId="4" fontId="80" fillId="131" borderId="53" applyNumberFormat="0" applyProtection="0">
      <alignment horizontal="right" vertical="center"/>
    </xf>
    <xf numFmtId="4" fontId="80" fillId="131" borderId="53" applyNumberFormat="0" applyProtection="0">
      <alignment horizontal="right" vertical="center"/>
    </xf>
    <xf numFmtId="0" fontId="33" fillId="0" borderId="0"/>
    <xf numFmtId="0" fontId="33" fillId="0" borderId="0"/>
    <xf numFmtId="0" fontId="33" fillId="0" borderId="0"/>
    <xf numFmtId="4" fontId="68" fillId="37" borderId="36" applyNumberFormat="0" applyProtection="0">
      <alignment horizontal="right" vertical="center"/>
    </xf>
    <xf numFmtId="4" fontId="68" fillId="132" borderId="35" applyNumberFormat="0" applyProtection="0">
      <alignment horizontal="right" vertical="center"/>
    </xf>
    <xf numFmtId="0" fontId="33" fillId="0" borderId="0"/>
    <xf numFmtId="0" fontId="33" fillId="0" borderId="0"/>
    <xf numFmtId="4" fontId="68" fillId="132" borderId="35" applyNumberFormat="0" applyProtection="0">
      <alignment horizontal="right" vertical="center"/>
    </xf>
    <xf numFmtId="4" fontId="68" fillId="37"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61" borderId="63" applyNumberFormat="0" applyProtection="0">
      <alignment horizontal="right" vertical="center"/>
    </xf>
    <xf numFmtId="0" fontId="33" fillId="0" borderId="0"/>
    <xf numFmtId="0" fontId="33" fillId="0" borderId="0"/>
    <xf numFmtId="0" fontId="33" fillId="0" borderId="0"/>
    <xf numFmtId="4" fontId="80" fillId="61" borderId="63" applyNumberFormat="0" applyProtection="0">
      <alignment horizontal="right" vertical="center"/>
    </xf>
    <xf numFmtId="0" fontId="33" fillId="0" borderId="0"/>
    <xf numFmtId="0" fontId="33" fillId="0" borderId="0"/>
    <xf numFmtId="4" fontId="80" fillId="61" borderId="63" applyNumberFormat="0" applyProtection="0">
      <alignment horizontal="right" vertical="center"/>
    </xf>
    <xf numFmtId="4" fontId="80" fillId="61" borderId="63" applyNumberFormat="0" applyProtection="0">
      <alignment horizontal="right" vertical="center"/>
    </xf>
    <xf numFmtId="0" fontId="33" fillId="0" borderId="0"/>
    <xf numFmtId="0" fontId="33" fillId="0" borderId="0"/>
    <xf numFmtId="0" fontId="33" fillId="0" borderId="0"/>
    <xf numFmtId="4" fontId="68" fillId="61" borderId="36" applyNumberFormat="0" applyProtection="0">
      <alignment horizontal="right" vertical="center"/>
    </xf>
    <xf numFmtId="4" fontId="68" fillId="90" borderId="35" applyNumberFormat="0" applyProtection="0">
      <alignment horizontal="right" vertical="center"/>
    </xf>
    <xf numFmtId="0" fontId="33" fillId="0" borderId="0"/>
    <xf numFmtId="0" fontId="33" fillId="0" borderId="0"/>
    <xf numFmtId="4" fontId="68" fillId="90" borderId="35" applyNumberFormat="0" applyProtection="0">
      <alignment horizontal="right" vertical="center"/>
    </xf>
    <xf numFmtId="4" fontId="68" fillId="61"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49" borderId="53" applyNumberFormat="0" applyProtection="0">
      <alignment horizontal="right" vertical="center"/>
    </xf>
    <xf numFmtId="0" fontId="33" fillId="0" borderId="0"/>
    <xf numFmtId="0" fontId="33" fillId="0" borderId="0"/>
    <xf numFmtId="0" fontId="33" fillId="0" borderId="0"/>
    <xf numFmtId="4" fontId="80" fillId="49" borderId="53" applyNumberFormat="0" applyProtection="0">
      <alignment horizontal="right" vertical="center"/>
    </xf>
    <xf numFmtId="0" fontId="33" fillId="0" borderId="0"/>
    <xf numFmtId="0" fontId="33" fillId="0" borderId="0"/>
    <xf numFmtId="4" fontId="80" fillId="49" borderId="53" applyNumberFormat="0" applyProtection="0">
      <alignment horizontal="right" vertical="center"/>
    </xf>
    <xf numFmtId="4" fontId="80" fillId="49" borderId="53" applyNumberFormat="0" applyProtection="0">
      <alignment horizontal="right" vertical="center"/>
    </xf>
    <xf numFmtId="0" fontId="33" fillId="0" borderId="0"/>
    <xf numFmtId="0" fontId="33" fillId="0" borderId="0"/>
    <xf numFmtId="0" fontId="33" fillId="0" borderId="0"/>
    <xf numFmtId="4" fontId="68" fillId="49" borderId="36" applyNumberFormat="0" applyProtection="0">
      <alignment horizontal="right" vertical="center"/>
    </xf>
    <xf numFmtId="4" fontId="68" fillId="95" borderId="35" applyNumberFormat="0" applyProtection="0">
      <alignment horizontal="right" vertical="center"/>
    </xf>
    <xf numFmtId="0" fontId="33" fillId="0" borderId="0"/>
    <xf numFmtId="0" fontId="33" fillId="0" borderId="0"/>
    <xf numFmtId="4" fontId="68" fillId="95" borderId="35" applyNumberFormat="0" applyProtection="0">
      <alignment horizontal="right" vertical="center"/>
    </xf>
    <xf numFmtId="4" fontId="68" fillId="49"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53" borderId="53" applyNumberFormat="0" applyProtection="0">
      <alignment horizontal="right" vertical="center"/>
    </xf>
    <xf numFmtId="0" fontId="33" fillId="0" borderId="0"/>
    <xf numFmtId="0" fontId="33" fillId="0" borderId="0"/>
    <xf numFmtId="0" fontId="33" fillId="0" borderId="0"/>
    <xf numFmtId="4" fontId="80" fillId="53" borderId="53" applyNumberFormat="0" applyProtection="0">
      <alignment horizontal="right" vertical="center"/>
    </xf>
    <xf numFmtId="0" fontId="33" fillId="0" borderId="0"/>
    <xf numFmtId="0" fontId="33" fillId="0" borderId="0"/>
    <xf numFmtId="4" fontId="80" fillId="53" borderId="53" applyNumberFormat="0" applyProtection="0">
      <alignment horizontal="right" vertical="center"/>
    </xf>
    <xf numFmtId="4" fontId="80" fillId="53" borderId="53" applyNumberFormat="0" applyProtection="0">
      <alignment horizontal="right" vertical="center"/>
    </xf>
    <xf numFmtId="0" fontId="33" fillId="0" borderId="0"/>
    <xf numFmtId="0" fontId="33" fillId="0" borderId="0"/>
    <xf numFmtId="0" fontId="33" fillId="0" borderId="0"/>
    <xf numFmtId="4" fontId="68" fillId="53" borderId="36" applyNumberFormat="0" applyProtection="0">
      <alignment horizontal="right" vertical="center"/>
    </xf>
    <xf numFmtId="4" fontId="68" fillId="133" borderId="35" applyNumberFormat="0" applyProtection="0">
      <alignment horizontal="right" vertical="center"/>
    </xf>
    <xf numFmtId="0" fontId="33" fillId="0" borderId="0"/>
    <xf numFmtId="0" fontId="33" fillId="0" borderId="0"/>
    <xf numFmtId="4" fontId="68" fillId="133" borderId="35" applyNumberFormat="0" applyProtection="0">
      <alignment horizontal="right" vertical="center"/>
    </xf>
    <xf numFmtId="4" fontId="68" fillId="53"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68" borderId="53" applyNumberFormat="0" applyProtection="0">
      <alignment horizontal="right" vertical="center"/>
    </xf>
    <xf numFmtId="0" fontId="33" fillId="0" borderId="0"/>
    <xf numFmtId="0" fontId="33" fillId="0" borderId="0"/>
    <xf numFmtId="0" fontId="33" fillId="0" borderId="0"/>
    <xf numFmtId="4" fontId="80" fillId="68" borderId="53" applyNumberFormat="0" applyProtection="0">
      <alignment horizontal="right" vertical="center"/>
    </xf>
    <xf numFmtId="0" fontId="33" fillId="0" borderId="0"/>
    <xf numFmtId="0" fontId="33" fillId="0" borderId="0"/>
    <xf numFmtId="4" fontId="80" fillId="68" borderId="53" applyNumberFormat="0" applyProtection="0">
      <alignment horizontal="right" vertical="center"/>
    </xf>
    <xf numFmtId="4" fontId="80" fillId="68" borderId="53" applyNumberFormat="0" applyProtection="0">
      <alignment horizontal="right" vertical="center"/>
    </xf>
    <xf numFmtId="0" fontId="33" fillId="0" borderId="0"/>
    <xf numFmtId="0" fontId="33" fillId="0" borderId="0"/>
    <xf numFmtId="0" fontId="33" fillId="0" borderId="0"/>
    <xf numFmtId="4" fontId="68" fillId="68" borderId="36" applyNumberFormat="0" applyProtection="0">
      <alignment horizontal="right" vertical="center"/>
    </xf>
    <xf numFmtId="4" fontId="68" fillId="99" borderId="35" applyNumberFormat="0" applyProtection="0">
      <alignment horizontal="right" vertical="center"/>
    </xf>
    <xf numFmtId="0" fontId="33" fillId="0" borderId="0"/>
    <xf numFmtId="0" fontId="33" fillId="0" borderId="0"/>
    <xf numFmtId="4" fontId="68" fillId="99" borderId="35" applyNumberFormat="0" applyProtection="0">
      <alignment horizontal="right" vertical="center"/>
    </xf>
    <xf numFmtId="4" fontId="68" fillId="68"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47" borderId="53" applyNumberFormat="0" applyProtection="0">
      <alignment horizontal="right" vertical="center"/>
    </xf>
    <xf numFmtId="0" fontId="33" fillId="0" borderId="0"/>
    <xf numFmtId="0" fontId="33" fillId="0" borderId="0"/>
    <xf numFmtId="0" fontId="33" fillId="0" borderId="0"/>
    <xf numFmtId="4" fontId="80" fillId="47" borderId="53" applyNumberFormat="0" applyProtection="0">
      <alignment horizontal="right" vertical="center"/>
    </xf>
    <xf numFmtId="0" fontId="33" fillId="0" borderId="0"/>
    <xf numFmtId="0" fontId="33" fillId="0" borderId="0"/>
    <xf numFmtId="4" fontId="80" fillId="47" borderId="53" applyNumberFormat="0" applyProtection="0">
      <alignment horizontal="right" vertical="center"/>
    </xf>
    <xf numFmtId="4" fontId="80" fillId="47" borderId="53" applyNumberFormat="0" applyProtection="0">
      <alignment horizontal="right" vertical="center"/>
    </xf>
    <xf numFmtId="0" fontId="33" fillId="0" borderId="0"/>
    <xf numFmtId="0" fontId="33" fillId="0" borderId="0"/>
    <xf numFmtId="0" fontId="33" fillId="0" borderId="0"/>
    <xf numFmtId="4" fontId="68" fillId="47" borderId="36" applyNumberFormat="0" applyProtection="0">
      <alignment horizontal="right" vertical="center"/>
    </xf>
    <xf numFmtId="4" fontId="68" fillId="134" borderId="35" applyNumberFormat="0" applyProtection="0">
      <alignment horizontal="right" vertical="center"/>
    </xf>
    <xf numFmtId="0" fontId="33" fillId="0" borderId="0"/>
    <xf numFmtId="0" fontId="33" fillId="0" borderId="0"/>
    <xf numFmtId="4" fontId="68" fillId="134" borderId="35" applyNumberFormat="0" applyProtection="0">
      <alignment horizontal="right" vertical="center"/>
    </xf>
    <xf numFmtId="4" fontId="68" fillId="47"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72" borderId="53" applyNumberFormat="0" applyProtection="0">
      <alignment horizontal="right" vertical="center"/>
    </xf>
    <xf numFmtId="0" fontId="33" fillId="0" borderId="0"/>
    <xf numFmtId="0" fontId="33" fillId="0" borderId="0"/>
    <xf numFmtId="0" fontId="33" fillId="0" borderId="0"/>
    <xf numFmtId="4" fontId="80" fillId="72" borderId="53" applyNumberFormat="0" applyProtection="0">
      <alignment horizontal="right" vertical="center"/>
    </xf>
    <xf numFmtId="0" fontId="33" fillId="0" borderId="0"/>
    <xf numFmtId="0" fontId="33" fillId="0" borderId="0"/>
    <xf numFmtId="4" fontId="80" fillId="72" borderId="53" applyNumberFormat="0" applyProtection="0">
      <alignment horizontal="right" vertical="center"/>
    </xf>
    <xf numFmtId="4" fontId="80" fillId="72" borderId="53" applyNumberFormat="0" applyProtection="0">
      <alignment horizontal="right" vertical="center"/>
    </xf>
    <xf numFmtId="0" fontId="33" fillId="0" borderId="0"/>
    <xf numFmtId="0" fontId="33" fillId="0" borderId="0"/>
    <xf numFmtId="0" fontId="33" fillId="0" borderId="0"/>
    <xf numFmtId="4" fontId="68" fillId="72" borderId="36" applyNumberFormat="0" applyProtection="0">
      <alignment horizontal="right" vertical="center"/>
    </xf>
    <xf numFmtId="4" fontId="68" fillId="135" borderId="35" applyNumberFormat="0" applyProtection="0">
      <alignment horizontal="right" vertical="center"/>
    </xf>
    <xf numFmtId="0" fontId="33" fillId="0" borderId="0"/>
    <xf numFmtId="0" fontId="33" fillId="0" borderId="0"/>
    <xf numFmtId="4" fontId="68" fillId="135" borderId="35" applyNumberFormat="0" applyProtection="0">
      <alignment horizontal="right" vertical="center"/>
    </xf>
    <xf numFmtId="4" fontId="68" fillId="72"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46" borderId="53" applyNumberFormat="0" applyProtection="0">
      <alignment horizontal="right" vertical="center"/>
    </xf>
    <xf numFmtId="0" fontId="33" fillId="0" borderId="0"/>
    <xf numFmtId="0" fontId="33" fillId="0" borderId="0"/>
    <xf numFmtId="0" fontId="33" fillId="0" borderId="0"/>
    <xf numFmtId="4" fontId="80" fillId="46" borderId="53" applyNumberFormat="0" applyProtection="0">
      <alignment horizontal="right" vertical="center"/>
    </xf>
    <xf numFmtId="0" fontId="33" fillId="0" borderId="0"/>
    <xf numFmtId="0" fontId="33" fillId="0" borderId="0"/>
    <xf numFmtId="4" fontId="80" fillId="46" borderId="53" applyNumberFormat="0" applyProtection="0">
      <alignment horizontal="right" vertical="center"/>
    </xf>
    <xf numFmtId="4" fontId="80" fillId="46" borderId="53" applyNumberFormat="0" applyProtection="0">
      <alignment horizontal="right" vertical="center"/>
    </xf>
    <xf numFmtId="0" fontId="33" fillId="0" borderId="0"/>
    <xf numFmtId="0" fontId="33" fillId="0" borderId="0"/>
    <xf numFmtId="0" fontId="33" fillId="0" borderId="0"/>
    <xf numFmtId="4" fontId="68" fillId="46" borderId="36" applyNumberFormat="0" applyProtection="0">
      <alignment horizontal="right" vertical="center"/>
    </xf>
    <xf numFmtId="4" fontId="68" fillId="94" borderId="35" applyNumberFormat="0" applyProtection="0">
      <alignment horizontal="right" vertical="center"/>
    </xf>
    <xf numFmtId="0" fontId="33" fillId="0" borderId="0"/>
    <xf numFmtId="0" fontId="33" fillId="0" borderId="0"/>
    <xf numFmtId="4" fontId="68" fillId="94" borderId="35" applyNumberFormat="0" applyProtection="0">
      <alignment horizontal="right" vertical="center"/>
    </xf>
    <xf numFmtId="4" fontId="68" fillId="46"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136" borderId="63" applyNumberFormat="0" applyProtection="0">
      <alignment horizontal="left" vertical="center" indent="1"/>
    </xf>
    <xf numFmtId="0" fontId="33" fillId="0" borderId="0"/>
    <xf numFmtId="0" fontId="33" fillId="0" borderId="0"/>
    <xf numFmtId="0" fontId="33" fillId="0" borderId="0"/>
    <xf numFmtId="4" fontId="80" fillId="136" borderId="63" applyNumberFormat="0" applyProtection="0">
      <alignment horizontal="left" vertical="center" indent="1"/>
    </xf>
    <xf numFmtId="0" fontId="33" fillId="0" borderId="0"/>
    <xf numFmtId="0" fontId="33" fillId="0" borderId="0"/>
    <xf numFmtId="4" fontId="80" fillId="136" borderId="63" applyNumberFormat="0" applyProtection="0">
      <alignment horizontal="left" vertical="center" indent="1"/>
    </xf>
    <xf numFmtId="4" fontId="80" fillId="136" borderId="63" applyNumberFormat="0" applyProtection="0">
      <alignment horizontal="left" vertical="center" indent="1"/>
    </xf>
    <xf numFmtId="0" fontId="33" fillId="0" borderId="0"/>
    <xf numFmtId="0" fontId="33" fillId="0" borderId="0"/>
    <xf numFmtId="0" fontId="33" fillId="0" borderId="0"/>
    <xf numFmtId="4" fontId="112" fillId="0" borderId="1" applyNumberFormat="0" applyProtection="0">
      <alignment horizontal="left" vertical="center" indent="1"/>
    </xf>
    <xf numFmtId="4" fontId="112" fillId="137" borderId="35" applyNumberFormat="0" applyProtection="0">
      <alignment horizontal="left" vertical="center" indent="1"/>
    </xf>
    <xf numFmtId="0" fontId="33" fillId="0" borderId="0"/>
    <xf numFmtId="0" fontId="33" fillId="0" borderId="0"/>
    <xf numFmtId="4" fontId="112" fillId="137" borderId="35" applyNumberFormat="0" applyProtection="0">
      <alignment horizontal="left" vertical="center" indent="1"/>
    </xf>
    <xf numFmtId="4" fontId="112" fillId="136" borderId="64" applyNumberFormat="0" applyProtection="0">
      <alignment horizontal="left" vertical="center" indent="1"/>
    </xf>
    <xf numFmtId="0" fontId="33" fillId="0" borderId="0"/>
    <xf numFmtId="0" fontId="33" fillId="0" borderId="0"/>
    <xf numFmtId="0" fontId="33" fillId="0" borderId="0"/>
    <xf numFmtId="0" fontId="33" fillId="0" borderId="0"/>
    <xf numFmtId="4" fontId="33" fillId="65" borderId="63" applyNumberFormat="0" applyProtection="0">
      <alignment horizontal="left" vertical="center" indent="1"/>
    </xf>
    <xf numFmtId="4" fontId="33" fillId="65" borderId="63" applyNumberFormat="0" applyProtection="0">
      <alignment horizontal="left" vertical="center" indent="1"/>
    </xf>
    <xf numFmtId="0" fontId="33" fillId="0" borderId="0"/>
    <xf numFmtId="0" fontId="33" fillId="0" borderId="0"/>
    <xf numFmtId="0" fontId="33" fillId="0" borderId="0"/>
    <xf numFmtId="4" fontId="68" fillId="0" borderId="1" applyNumberFormat="0" applyProtection="0">
      <alignment horizontal="left" vertical="center" indent="1"/>
    </xf>
    <xf numFmtId="4" fontId="68" fillId="88" borderId="65" applyNumberFormat="0" applyProtection="0">
      <alignment horizontal="left" vertical="center" indent="1"/>
    </xf>
    <xf numFmtId="0" fontId="33" fillId="0" borderId="0"/>
    <xf numFmtId="0" fontId="33" fillId="0" borderId="0"/>
    <xf numFmtId="4" fontId="68" fillId="88" borderId="65" applyNumberFormat="0" applyProtection="0">
      <alignment horizontal="left" vertical="center" indent="1"/>
    </xf>
    <xf numFmtId="4" fontId="68" fillId="89" borderId="0" applyNumberFormat="0" applyProtection="0">
      <alignment horizontal="left" vertical="center" indent="1"/>
    </xf>
    <xf numFmtId="0" fontId="33" fillId="0" borderId="0"/>
    <xf numFmtId="0" fontId="33" fillId="0" borderId="0"/>
    <xf numFmtId="0" fontId="33" fillId="0" borderId="0"/>
    <xf numFmtId="0" fontId="33" fillId="0" borderId="0"/>
    <xf numFmtId="4" fontId="33" fillId="65" borderId="63" applyNumberFormat="0" applyProtection="0">
      <alignment horizontal="left" vertical="center" indent="1"/>
    </xf>
    <xf numFmtId="4" fontId="33" fillId="65" borderId="63" applyNumberFormat="0" applyProtection="0">
      <alignment horizontal="left" vertical="center" indent="1"/>
    </xf>
    <xf numFmtId="0" fontId="33" fillId="0" borderId="0"/>
    <xf numFmtId="4" fontId="115" fillId="83" borderId="0" applyNumberFormat="0" applyProtection="0">
      <alignment horizontal="left" vertical="center" indent="1"/>
    </xf>
    <xf numFmtId="0" fontId="33" fillId="0" borderId="0"/>
    <xf numFmtId="0" fontId="33" fillId="0" borderId="0"/>
    <xf numFmtId="4" fontId="115" fillId="65" borderId="0"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4" fontId="80" fillId="104" borderId="53" applyNumberFormat="0" applyProtection="0">
      <alignment horizontal="right" vertical="center"/>
    </xf>
    <xf numFmtId="0" fontId="33" fillId="0" borderId="0"/>
    <xf numFmtId="0" fontId="33" fillId="0" borderId="0"/>
    <xf numFmtId="0" fontId="33" fillId="0" borderId="0"/>
    <xf numFmtId="4" fontId="80" fillId="104" borderId="53" applyNumberFormat="0" applyProtection="0">
      <alignment horizontal="right" vertical="center"/>
    </xf>
    <xf numFmtId="0" fontId="33" fillId="0" borderId="0"/>
    <xf numFmtId="0" fontId="33" fillId="0" borderId="0"/>
    <xf numFmtId="4" fontId="80" fillId="104" borderId="53" applyNumberFormat="0" applyProtection="0">
      <alignment horizontal="right" vertical="center"/>
    </xf>
    <xf numFmtId="4" fontId="80" fillId="104" borderId="53" applyNumberFormat="0" applyProtection="0">
      <alignment horizontal="right" vertical="center"/>
    </xf>
    <xf numFmtId="0" fontId="33" fillId="0" borderId="0"/>
    <xf numFmtId="0" fontId="33" fillId="0" borderId="0"/>
    <xf numFmtId="0" fontId="33" fillId="0" borderId="0"/>
    <xf numFmtId="0" fontId="33" fillId="130" borderId="35" applyNumberFormat="0" applyProtection="0">
      <alignment horizontal="left" vertical="center" indent="1"/>
    </xf>
    <xf numFmtId="4" fontId="116" fillId="48" borderId="36" applyNumberFormat="0" applyProtection="0">
      <alignment horizontal="center" vertical="center"/>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4" fontId="68" fillId="104" borderId="36" applyNumberFormat="0" applyProtection="0">
      <alignment horizontal="right" vertical="center"/>
    </xf>
    <xf numFmtId="0" fontId="33" fillId="130" borderId="35" applyNumberFormat="0" applyProtection="0">
      <alignment horizontal="left" vertical="center" indent="1"/>
    </xf>
    <xf numFmtId="0" fontId="33" fillId="0" borderId="0"/>
    <xf numFmtId="0" fontId="33" fillId="0" borderId="0"/>
    <xf numFmtId="4" fontId="117" fillId="75" borderId="37">
      <alignment horizontal="left" vertical="center" indent="1"/>
    </xf>
    <xf numFmtId="0" fontId="33" fillId="0" borderId="0"/>
    <xf numFmtId="0" fontId="33" fillId="0" borderId="0"/>
    <xf numFmtId="0" fontId="33" fillId="0" borderId="0"/>
    <xf numFmtId="0" fontId="33" fillId="0" borderId="0"/>
    <xf numFmtId="0" fontId="33" fillId="0" borderId="0"/>
    <xf numFmtId="0" fontId="33" fillId="0" borderId="0"/>
    <xf numFmtId="4" fontId="80" fillId="89" borderId="63" applyNumberFormat="0" applyProtection="0">
      <alignment horizontal="left" vertical="center" indent="1"/>
    </xf>
    <xf numFmtId="0" fontId="33" fillId="0" borderId="0"/>
    <xf numFmtId="0" fontId="33" fillId="0" borderId="0"/>
    <xf numFmtId="0" fontId="33" fillId="0" borderId="0"/>
    <xf numFmtId="4" fontId="80" fillId="89" borderId="63" applyNumberFormat="0" applyProtection="0">
      <alignment horizontal="left" vertical="center" indent="1"/>
    </xf>
    <xf numFmtId="0" fontId="33" fillId="0" borderId="0"/>
    <xf numFmtId="0" fontId="33" fillId="0" borderId="0"/>
    <xf numFmtId="4" fontId="113" fillId="0" borderId="0" applyNumberFormat="0" applyProtection="0">
      <alignment horizontal="left" vertical="center" indent="1"/>
    </xf>
    <xf numFmtId="0" fontId="33" fillId="0" borderId="0"/>
    <xf numFmtId="0" fontId="33" fillId="0" borderId="0"/>
    <xf numFmtId="0" fontId="33" fillId="0" borderId="0"/>
    <xf numFmtId="4" fontId="80" fillId="89" borderId="63" applyNumberFormat="0" applyProtection="0">
      <alignment horizontal="left" vertical="center" indent="1"/>
    </xf>
    <xf numFmtId="4" fontId="80" fillId="89" borderId="63" applyNumberFormat="0" applyProtection="0">
      <alignment horizontal="left" vertical="center" indent="1"/>
    </xf>
    <xf numFmtId="0" fontId="33" fillId="0" borderId="0"/>
    <xf numFmtId="0" fontId="33" fillId="0" borderId="0"/>
    <xf numFmtId="0" fontId="33" fillId="0" borderId="0"/>
    <xf numFmtId="4" fontId="113" fillId="0" borderId="0" applyNumberFormat="0" applyProtection="0">
      <alignment horizontal="left" vertical="center" indent="1"/>
    </xf>
    <xf numFmtId="4" fontId="68" fillId="88" borderId="35" applyNumberFormat="0" applyProtection="0">
      <alignment horizontal="left" vertical="center" indent="1"/>
    </xf>
    <xf numFmtId="0" fontId="33" fillId="0" borderId="0"/>
    <xf numFmtId="0" fontId="33" fillId="0" borderId="0"/>
    <xf numFmtId="4" fontId="68" fillId="88" borderId="35" applyNumberFormat="0" applyProtection="0">
      <alignment horizontal="left" vertical="center" indent="1"/>
    </xf>
    <xf numFmtId="4" fontId="68" fillId="89" borderId="0"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4" fontId="80" fillId="104" borderId="63" applyNumberFormat="0" applyProtection="0">
      <alignment horizontal="left" vertical="center" indent="1"/>
    </xf>
    <xf numFmtId="0" fontId="33" fillId="0" borderId="0"/>
    <xf numFmtId="0" fontId="33" fillId="0" borderId="0"/>
    <xf numFmtId="0" fontId="33" fillId="0" borderId="0"/>
    <xf numFmtId="4" fontId="80" fillId="104" borderId="63" applyNumberFormat="0" applyProtection="0">
      <alignment horizontal="left" vertical="center" indent="1"/>
    </xf>
    <xf numFmtId="0" fontId="33" fillId="0" borderId="0"/>
    <xf numFmtId="0" fontId="33" fillId="0" borderId="0"/>
    <xf numFmtId="4" fontId="113" fillId="0" borderId="0" applyNumberFormat="0" applyProtection="0">
      <alignment horizontal="left" vertical="center" indent="1"/>
    </xf>
    <xf numFmtId="0" fontId="33" fillId="0" borderId="0"/>
    <xf numFmtId="0" fontId="33" fillId="0" borderId="0"/>
    <xf numFmtId="0" fontId="33" fillId="0" borderId="0"/>
    <xf numFmtId="4" fontId="80" fillId="104" borderId="63" applyNumberFormat="0" applyProtection="0">
      <alignment horizontal="left" vertical="center" indent="1"/>
    </xf>
    <xf numFmtId="4" fontId="80" fillId="104" borderId="63" applyNumberFormat="0" applyProtection="0">
      <alignment horizontal="left" vertical="center" indent="1"/>
    </xf>
    <xf numFmtId="0" fontId="33" fillId="0" borderId="0"/>
    <xf numFmtId="0" fontId="33" fillId="0" borderId="0"/>
    <xf numFmtId="0" fontId="33" fillId="0" borderId="0"/>
    <xf numFmtId="4" fontId="113" fillId="0" borderId="0" applyNumberFormat="0" applyProtection="0">
      <alignment horizontal="left" vertical="center" indent="1"/>
    </xf>
    <xf numFmtId="4" fontId="68" fillId="138" borderId="35" applyNumberFormat="0" applyProtection="0">
      <alignment horizontal="left" vertical="center" indent="1"/>
    </xf>
    <xf numFmtId="0" fontId="33" fillId="0" borderId="0"/>
    <xf numFmtId="0" fontId="33" fillId="0" borderId="0"/>
    <xf numFmtId="4" fontId="68" fillId="138" borderId="35" applyNumberFormat="0" applyProtection="0">
      <alignment horizontal="left" vertical="center" indent="1"/>
    </xf>
    <xf numFmtId="4" fontId="68" fillId="104" borderId="0"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0" fontId="80" fillId="48" borderId="53" applyNumberFormat="0" applyProtection="0">
      <alignment horizontal="left" vertical="center" indent="1"/>
    </xf>
    <xf numFmtId="0" fontId="33" fillId="0" borderId="0"/>
    <xf numFmtId="0" fontId="33" fillId="0" borderId="0"/>
    <xf numFmtId="0" fontId="33" fillId="0" borderId="0"/>
    <xf numFmtId="0" fontId="80" fillId="48" borderId="53" applyNumberFormat="0" applyProtection="0">
      <alignment horizontal="left" vertical="center" indent="1"/>
    </xf>
    <xf numFmtId="0" fontId="33" fillId="0" borderId="0"/>
    <xf numFmtId="0" fontId="33" fillId="0" borderId="0"/>
    <xf numFmtId="0" fontId="113" fillId="84" borderId="1" applyNumberFormat="0" applyProtection="0">
      <alignment horizontal="left" vertical="center" indent="2"/>
    </xf>
    <xf numFmtId="0" fontId="33" fillId="0" borderId="0"/>
    <xf numFmtId="0" fontId="33" fillId="0" borderId="0"/>
    <xf numFmtId="0" fontId="33" fillId="0" borderId="0"/>
    <xf numFmtId="0" fontId="80" fillId="48" borderId="53" applyNumberFormat="0" applyProtection="0">
      <alignment horizontal="left" vertical="center" indent="1"/>
    </xf>
    <xf numFmtId="0" fontId="80" fillId="48" borderId="53" applyNumberFormat="0" applyProtection="0">
      <alignment horizontal="left" vertical="center" indent="1"/>
    </xf>
    <xf numFmtId="0" fontId="33" fillId="0" borderId="0"/>
    <xf numFmtId="0" fontId="33" fillId="0" borderId="0"/>
    <xf numFmtId="0" fontId="33" fillId="0" borderId="0"/>
    <xf numFmtId="0" fontId="33" fillId="138" borderId="35" applyNumberFormat="0" applyProtection="0">
      <alignment horizontal="left" vertical="center" indent="1"/>
    </xf>
    <xf numFmtId="0" fontId="113" fillId="84" borderId="1" applyNumberFormat="0" applyProtection="0">
      <alignment horizontal="left" vertical="center" indent="2"/>
    </xf>
    <xf numFmtId="0" fontId="33" fillId="138" borderId="35" applyNumberFormat="0" applyProtection="0">
      <alignment horizontal="left" vertical="center" indent="1"/>
    </xf>
    <xf numFmtId="0" fontId="33" fillId="138" borderId="35" applyNumberFormat="0" applyProtection="0">
      <alignment horizontal="left" vertical="center" indent="1"/>
    </xf>
    <xf numFmtId="0" fontId="33" fillId="0" borderId="0"/>
    <xf numFmtId="0" fontId="33" fillId="0" borderId="0"/>
    <xf numFmtId="0" fontId="33" fillId="138" borderId="35" applyNumberFormat="0" applyProtection="0">
      <alignment horizontal="left" vertical="center" indent="1"/>
    </xf>
    <xf numFmtId="0" fontId="33" fillId="65" borderId="36" applyNumberFormat="0" applyProtection="0">
      <alignment horizontal="left" vertical="center" indent="1"/>
    </xf>
    <xf numFmtId="0" fontId="33" fillId="138"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83" borderId="36" applyNumberFormat="0" applyProtection="0">
      <alignment horizontal="left" vertical="top" indent="1"/>
    </xf>
    <xf numFmtId="0" fontId="33" fillId="0" borderId="0"/>
    <xf numFmtId="0" fontId="33" fillId="0" borderId="0"/>
    <xf numFmtId="0" fontId="33" fillId="0" borderId="0"/>
    <xf numFmtId="0" fontId="80" fillId="65" borderId="36" applyNumberFormat="0" applyProtection="0">
      <alignment horizontal="left" vertical="top" indent="1"/>
    </xf>
    <xf numFmtId="0" fontId="80" fillId="65" borderId="36" applyNumberFormat="0" applyProtection="0">
      <alignment horizontal="left" vertical="top" indent="1"/>
    </xf>
    <xf numFmtId="0" fontId="33" fillId="0" borderId="0"/>
    <xf numFmtId="0" fontId="33" fillId="0" borderId="0"/>
    <xf numFmtId="0" fontId="33" fillId="0" borderId="0"/>
    <xf numFmtId="0" fontId="33" fillId="138" borderId="35" applyNumberFormat="0" applyProtection="0">
      <alignment horizontal="left" vertical="center" indent="1"/>
    </xf>
    <xf numFmtId="0" fontId="33" fillId="83" borderId="36" applyNumberFormat="0" applyProtection="0">
      <alignment horizontal="left" vertical="top" indent="1"/>
    </xf>
    <xf numFmtId="0" fontId="33" fillId="138" borderId="35" applyNumberFormat="0" applyProtection="0">
      <alignment horizontal="left" vertical="center" indent="1"/>
    </xf>
    <xf numFmtId="0" fontId="33" fillId="138" borderId="35" applyNumberFormat="0" applyProtection="0">
      <alignment horizontal="left" vertical="center" indent="1"/>
    </xf>
    <xf numFmtId="0" fontId="33" fillId="0" borderId="0"/>
    <xf numFmtId="0" fontId="33" fillId="0" borderId="0"/>
    <xf numFmtId="0" fontId="33" fillId="83" borderId="36" applyNumberFormat="0" applyProtection="0">
      <alignment horizontal="left" vertical="top" indent="1"/>
    </xf>
    <xf numFmtId="0" fontId="33" fillId="138" borderId="35" applyNumberFormat="0" applyProtection="0">
      <alignment horizontal="left" vertical="center" indent="1"/>
    </xf>
    <xf numFmtId="0" fontId="33" fillId="0" borderId="0"/>
    <xf numFmtId="0" fontId="33" fillId="0" borderId="0"/>
    <xf numFmtId="0" fontId="33" fillId="0" borderId="0"/>
    <xf numFmtId="0" fontId="33" fillId="138" borderId="35" applyNumberFormat="0" applyProtection="0">
      <alignment horizontal="left" vertical="center" indent="1"/>
    </xf>
    <xf numFmtId="0" fontId="33" fillId="65"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80" fillId="70" borderId="53" applyNumberFormat="0" applyProtection="0">
      <alignment horizontal="left" vertical="center" indent="1"/>
    </xf>
    <xf numFmtId="0" fontId="33" fillId="0" borderId="0"/>
    <xf numFmtId="0" fontId="33" fillId="0" borderId="0"/>
    <xf numFmtId="0" fontId="33" fillId="0" borderId="0"/>
    <xf numFmtId="0" fontId="80" fillId="70" borderId="53" applyNumberFormat="0" applyProtection="0">
      <alignment horizontal="left" vertical="center" indent="1"/>
    </xf>
    <xf numFmtId="0" fontId="33" fillId="0" borderId="0"/>
    <xf numFmtId="0" fontId="33" fillId="0" borderId="0"/>
    <xf numFmtId="0" fontId="80" fillId="70" borderId="53" applyNumberFormat="0" applyProtection="0">
      <alignment horizontal="left" vertical="center" indent="1"/>
    </xf>
    <xf numFmtId="0" fontId="80" fillId="70" borderId="53" applyNumberFormat="0" applyProtection="0">
      <alignment horizontal="left" vertical="center" indent="1"/>
    </xf>
    <xf numFmtId="0" fontId="33" fillId="0" borderId="0"/>
    <xf numFmtId="0" fontId="33" fillId="0" borderId="0"/>
    <xf numFmtId="0" fontId="33" fillId="0" borderId="0"/>
    <xf numFmtId="0" fontId="33" fillId="82" borderId="35" applyNumberFormat="0" applyProtection="0">
      <alignment horizontal="left" vertical="center" indent="1"/>
    </xf>
    <xf numFmtId="0" fontId="100" fillId="0" borderId="1" applyNumberFormat="0" applyProtection="0">
      <alignment horizontal="left" vertical="center" indent="2"/>
    </xf>
    <xf numFmtId="0" fontId="33" fillId="82" borderId="35" applyNumberFormat="0" applyProtection="0">
      <alignment horizontal="left" vertical="center" indent="1"/>
    </xf>
    <xf numFmtId="0" fontId="33" fillId="82" borderId="35" applyNumberFormat="0" applyProtection="0">
      <alignment horizontal="left" vertical="center" indent="1"/>
    </xf>
    <xf numFmtId="0" fontId="33" fillId="0" borderId="0"/>
    <xf numFmtId="0" fontId="33" fillId="0" borderId="0"/>
    <xf numFmtId="0" fontId="33" fillId="82" borderId="35" applyNumberFormat="0" applyProtection="0">
      <alignment horizontal="left" vertical="center" indent="1"/>
    </xf>
    <xf numFmtId="0" fontId="33" fillId="104" borderId="36" applyNumberFormat="0" applyProtection="0">
      <alignment horizontal="left" vertical="center" indent="1"/>
    </xf>
    <xf numFmtId="0" fontId="33" fillId="82"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85" borderId="36" applyNumberFormat="0" applyProtection="0">
      <alignment horizontal="left" vertical="top" indent="1"/>
    </xf>
    <xf numFmtId="0" fontId="33" fillId="0" borderId="0"/>
    <xf numFmtId="0" fontId="33" fillId="0" borderId="0"/>
    <xf numFmtId="0" fontId="33" fillId="0" borderId="0"/>
    <xf numFmtId="0" fontId="80" fillId="104" borderId="36" applyNumberFormat="0" applyProtection="0">
      <alignment horizontal="left" vertical="top" indent="1"/>
    </xf>
    <xf numFmtId="0" fontId="80" fillId="104" borderId="36" applyNumberFormat="0" applyProtection="0">
      <alignment horizontal="left" vertical="top" indent="1"/>
    </xf>
    <xf numFmtId="0" fontId="33" fillId="0" borderId="0"/>
    <xf numFmtId="0" fontId="33" fillId="0" borderId="0"/>
    <xf numFmtId="0" fontId="33" fillId="0" borderId="0"/>
    <xf numFmtId="0" fontId="33" fillId="82" borderId="35" applyNumberFormat="0" applyProtection="0">
      <alignment horizontal="left" vertical="center" indent="1"/>
    </xf>
    <xf numFmtId="0" fontId="33" fillId="85" borderId="36" applyNumberFormat="0" applyProtection="0">
      <alignment horizontal="left" vertical="top" indent="1"/>
    </xf>
    <xf numFmtId="0" fontId="33" fillId="82" borderId="35" applyNumberFormat="0" applyProtection="0">
      <alignment horizontal="left" vertical="center" indent="1"/>
    </xf>
    <xf numFmtId="0" fontId="33" fillId="82" borderId="35" applyNumberFormat="0" applyProtection="0">
      <alignment horizontal="left" vertical="center" indent="1"/>
    </xf>
    <xf numFmtId="0" fontId="33" fillId="0" borderId="0"/>
    <xf numFmtId="0" fontId="33" fillId="0" borderId="0"/>
    <xf numFmtId="0" fontId="33" fillId="85" borderId="36" applyNumberFormat="0" applyProtection="0">
      <alignment horizontal="left" vertical="top" indent="1"/>
    </xf>
    <xf numFmtId="0" fontId="33" fillId="82" borderId="35" applyNumberFormat="0" applyProtection="0">
      <alignment horizontal="left" vertical="center" indent="1"/>
    </xf>
    <xf numFmtId="0" fontId="33" fillId="0" borderId="0"/>
    <xf numFmtId="0" fontId="33" fillId="0" borderId="0"/>
    <xf numFmtId="0" fontId="33" fillId="0" borderId="0"/>
    <xf numFmtId="0" fontId="33" fillId="82" borderId="35" applyNumberFormat="0" applyProtection="0">
      <alignment horizontal="left" vertical="center" indent="1"/>
    </xf>
    <xf numFmtId="0" fontId="33" fillId="104"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80" fillId="44" borderId="53" applyNumberFormat="0" applyProtection="0">
      <alignment horizontal="left" vertical="center" indent="1"/>
    </xf>
    <xf numFmtId="0" fontId="33" fillId="0" borderId="0"/>
    <xf numFmtId="0" fontId="33" fillId="0" borderId="0"/>
    <xf numFmtId="0" fontId="33" fillId="0" borderId="0"/>
    <xf numFmtId="0" fontId="80" fillId="44" borderId="53" applyNumberFormat="0" applyProtection="0">
      <alignment horizontal="left" vertical="center" indent="1"/>
    </xf>
    <xf numFmtId="0" fontId="33" fillId="0" borderId="0"/>
    <xf numFmtId="0" fontId="33" fillId="0" borderId="0"/>
    <xf numFmtId="0" fontId="80" fillId="44" borderId="53" applyNumberFormat="0" applyProtection="0">
      <alignment horizontal="left" vertical="center" indent="1"/>
    </xf>
    <xf numFmtId="0" fontId="80" fillId="44" borderId="53" applyNumberFormat="0" applyProtection="0">
      <alignment horizontal="left" vertical="center" indent="1"/>
    </xf>
    <xf numFmtId="0" fontId="33" fillId="0" borderId="0"/>
    <xf numFmtId="0" fontId="33" fillId="0" borderId="0"/>
    <xf numFmtId="0" fontId="33" fillId="0" borderId="0"/>
    <xf numFmtId="0" fontId="33" fillId="73" borderId="35" applyNumberFormat="0" applyProtection="0">
      <alignment horizontal="left" vertical="center" indent="1"/>
    </xf>
    <xf numFmtId="0" fontId="100" fillId="0" borderId="1" applyNumberFormat="0" applyProtection="0">
      <alignment horizontal="left" vertical="center" indent="2"/>
    </xf>
    <xf numFmtId="0" fontId="33" fillId="73" borderId="35" applyNumberFormat="0" applyProtection="0">
      <alignment horizontal="left" vertical="center" indent="1"/>
    </xf>
    <xf numFmtId="0" fontId="33" fillId="73" borderId="35" applyNumberFormat="0" applyProtection="0">
      <alignment horizontal="left" vertical="center" indent="1"/>
    </xf>
    <xf numFmtId="0" fontId="33" fillId="0" borderId="0"/>
    <xf numFmtId="0" fontId="33" fillId="0" borderId="0"/>
    <xf numFmtId="0" fontId="33" fillId="73" borderId="35" applyNumberFormat="0" applyProtection="0">
      <alignment horizontal="left" vertical="center" indent="1"/>
    </xf>
    <xf numFmtId="0" fontId="33" fillId="44" borderId="36" applyNumberFormat="0" applyProtection="0">
      <alignment horizontal="left" vertical="center" indent="1"/>
    </xf>
    <xf numFmtId="0" fontId="33" fillId="73"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69" borderId="36" applyNumberFormat="0" applyProtection="0">
      <alignment horizontal="left" vertical="top" indent="1"/>
    </xf>
    <xf numFmtId="0" fontId="33" fillId="0" borderId="0"/>
    <xf numFmtId="0" fontId="33" fillId="0" borderId="0"/>
    <xf numFmtId="0" fontId="33" fillId="0" borderId="0"/>
    <xf numFmtId="0" fontId="80" fillId="44" borderId="36" applyNumberFormat="0" applyProtection="0">
      <alignment horizontal="left" vertical="top" indent="1"/>
    </xf>
    <xf numFmtId="0" fontId="80" fillId="44" borderId="36" applyNumberFormat="0" applyProtection="0">
      <alignment horizontal="left" vertical="top" indent="1"/>
    </xf>
    <xf numFmtId="0" fontId="33" fillId="0" borderId="0"/>
    <xf numFmtId="0" fontId="33" fillId="0" borderId="0"/>
    <xf numFmtId="0" fontId="33" fillId="0" borderId="0"/>
    <xf numFmtId="0" fontId="33" fillId="73" borderId="35" applyNumberFormat="0" applyProtection="0">
      <alignment horizontal="left" vertical="center" indent="1"/>
    </xf>
    <xf numFmtId="0" fontId="33" fillId="69" borderId="36" applyNumberFormat="0" applyProtection="0">
      <alignment horizontal="left" vertical="top" indent="1"/>
    </xf>
    <xf numFmtId="0" fontId="33" fillId="73" borderId="35" applyNumberFormat="0" applyProtection="0">
      <alignment horizontal="left" vertical="center" indent="1"/>
    </xf>
    <xf numFmtId="0" fontId="33" fillId="73" borderId="35" applyNumberFormat="0" applyProtection="0">
      <alignment horizontal="left" vertical="center" indent="1"/>
    </xf>
    <xf numFmtId="0" fontId="33" fillId="0" borderId="0"/>
    <xf numFmtId="0" fontId="33" fillId="0" borderId="0"/>
    <xf numFmtId="0" fontId="33" fillId="69" borderId="36" applyNumberFormat="0" applyProtection="0">
      <alignment horizontal="left" vertical="top" indent="1"/>
    </xf>
    <xf numFmtId="0" fontId="33" fillId="73" borderId="35" applyNumberFormat="0" applyProtection="0">
      <alignment horizontal="left" vertical="center" indent="1"/>
    </xf>
    <xf numFmtId="0" fontId="33" fillId="0" borderId="0"/>
    <xf numFmtId="0" fontId="33" fillId="0" borderId="0"/>
    <xf numFmtId="0" fontId="33" fillId="0" borderId="0"/>
    <xf numFmtId="0" fontId="33" fillId="73" borderId="35" applyNumberFormat="0" applyProtection="0">
      <alignment horizontal="left" vertical="center" indent="1"/>
    </xf>
    <xf numFmtId="0" fontId="33" fillId="44"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80" fillId="89" borderId="53" applyNumberFormat="0" applyProtection="0">
      <alignment horizontal="left" vertical="center" indent="1"/>
    </xf>
    <xf numFmtId="0" fontId="33" fillId="0" borderId="0"/>
    <xf numFmtId="0" fontId="33" fillId="0" borderId="0"/>
    <xf numFmtId="0" fontId="33" fillId="0" borderId="0"/>
    <xf numFmtId="0" fontId="80" fillId="89" borderId="53" applyNumberFormat="0" applyProtection="0">
      <alignment horizontal="left" vertical="center" indent="1"/>
    </xf>
    <xf numFmtId="0" fontId="33" fillId="0" borderId="0"/>
    <xf numFmtId="0" fontId="33" fillId="0" borderId="0"/>
    <xf numFmtId="0" fontId="80" fillId="89" borderId="53" applyNumberFormat="0" applyProtection="0">
      <alignment horizontal="left" vertical="center" indent="1"/>
    </xf>
    <xf numFmtId="0" fontId="80" fillId="89" borderId="53"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100" fillId="0" borderId="1" applyNumberFormat="0" applyProtection="0">
      <alignment horizontal="left" vertical="center" indent="2"/>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0" fontId="33" fillId="89" borderId="36"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86" borderId="36" applyNumberFormat="0" applyProtection="0">
      <alignment horizontal="left" vertical="top" indent="1"/>
    </xf>
    <xf numFmtId="0" fontId="33" fillId="0" borderId="0"/>
    <xf numFmtId="0" fontId="33" fillId="0" borderId="0"/>
    <xf numFmtId="0" fontId="33" fillId="0" borderId="0"/>
    <xf numFmtId="0" fontId="80" fillId="89" borderId="36" applyNumberFormat="0" applyProtection="0">
      <alignment horizontal="left" vertical="top" indent="1"/>
    </xf>
    <xf numFmtId="0" fontId="80" fillId="89" borderId="36" applyNumberFormat="0" applyProtection="0">
      <alignment horizontal="left" vertical="top"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33" fillId="86" borderId="36" applyNumberFormat="0" applyProtection="0">
      <alignment horizontal="left" vertical="top" indent="1"/>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86" borderId="36" applyNumberFormat="0" applyProtection="0">
      <alignment horizontal="left" vertical="top"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33" fillId="89"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80" fillId="87" borderId="66" applyNumberFormat="0">
      <protection locked="0"/>
    </xf>
    <xf numFmtId="0" fontId="25" fillId="0" borderId="0"/>
    <xf numFmtId="0" fontId="33" fillId="87" borderId="1" applyNumberFormat="0">
      <protection locked="0"/>
    </xf>
    <xf numFmtId="0" fontId="33" fillId="0" borderId="0"/>
    <xf numFmtId="0" fontId="33" fillId="0" borderId="0"/>
    <xf numFmtId="0" fontId="33" fillId="0" borderId="0"/>
    <xf numFmtId="0" fontId="33" fillId="87" borderId="1" applyNumberFormat="0">
      <protection locked="0"/>
    </xf>
    <xf numFmtId="0" fontId="33" fillId="0" borderId="0"/>
    <xf numFmtId="0" fontId="33" fillId="0" borderId="0"/>
    <xf numFmtId="0" fontId="33" fillId="0" borderId="0"/>
    <xf numFmtId="0" fontId="80" fillId="87" borderId="66" applyNumberFormat="0">
      <protection locked="0"/>
    </xf>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87" borderId="1" applyNumberFormat="0">
      <protection locked="0"/>
    </xf>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87" borderId="1" applyNumberFormat="0">
      <protection locked="0"/>
    </xf>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114" fillId="65" borderId="67" applyBorder="0"/>
    <xf numFmtId="0" fontId="114" fillId="65" borderId="67" applyBorder="0"/>
    <xf numFmtId="0" fontId="33" fillId="0" borderId="0"/>
    <xf numFmtId="0" fontId="33" fillId="0" borderId="0"/>
    <xf numFmtId="0" fontId="33" fillId="0" borderId="0"/>
    <xf numFmtId="0" fontId="33" fillId="0" borderId="0"/>
    <xf numFmtId="4" fontId="104" fillId="39" borderId="36" applyNumberFormat="0" applyProtection="0">
      <alignment vertical="center"/>
    </xf>
    <xf numFmtId="4" fontId="104" fillId="39" borderId="36" applyNumberFormat="0" applyProtection="0">
      <alignment vertical="center"/>
    </xf>
    <xf numFmtId="0" fontId="33" fillId="0" borderId="0"/>
    <xf numFmtId="0" fontId="33" fillId="0" borderId="0"/>
    <xf numFmtId="0" fontId="33" fillId="0" borderId="0"/>
    <xf numFmtId="4" fontId="68" fillId="74" borderId="36" applyNumberFormat="0" applyProtection="0">
      <alignment vertical="center"/>
    </xf>
    <xf numFmtId="4" fontId="68" fillId="74" borderId="35" applyNumberFormat="0" applyProtection="0">
      <alignment vertical="center"/>
    </xf>
    <xf numFmtId="0" fontId="33" fillId="0" borderId="0"/>
    <xf numFmtId="0" fontId="33" fillId="0" borderId="0"/>
    <xf numFmtId="4" fontId="68" fillId="74" borderId="35" applyNumberFormat="0" applyProtection="0">
      <alignment vertical="center"/>
    </xf>
    <xf numFmtId="4" fontId="68" fillId="39" borderId="36" applyNumberFormat="0" applyProtection="0">
      <alignment vertical="center"/>
    </xf>
    <xf numFmtId="0" fontId="33" fillId="0" borderId="0"/>
    <xf numFmtId="0" fontId="33" fillId="0" borderId="0"/>
    <xf numFmtId="0" fontId="33" fillId="0" borderId="0"/>
    <xf numFmtId="0" fontId="33" fillId="0" borderId="0"/>
    <xf numFmtId="4" fontId="169" fillId="74" borderId="1" applyNumberFormat="0" applyProtection="0">
      <alignment vertical="center"/>
    </xf>
    <xf numFmtId="4" fontId="169" fillId="74" borderId="1" applyNumberFormat="0" applyProtection="0">
      <alignment vertical="center"/>
    </xf>
    <xf numFmtId="0" fontId="33" fillId="0" borderId="0"/>
    <xf numFmtId="0" fontId="33" fillId="0" borderId="0"/>
    <xf numFmtId="0" fontId="33" fillId="0" borderId="0"/>
    <xf numFmtId="4" fontId="118" fillId="74" borderId="36" applyNumberFormat="0" applyProtection="0">
      <alignment vertical="center"/>
    </xf>
    <xf numFmtId="4" fontId="118" fillId="74" borderId="35" applyNumberFormat="0" applyProtection="0">
      <alignment vertical="center"/>
    </xf>
    <xf numFmtId="0" fontId="33" fillId="0" borderId="0"/>
    <xf numFmtId="0" fontId="33" fillId="0" borderId="0"/>
    <xf numFmtId="4" fontId="118" fillId="74" borderId="35" applyNumberFormat="0" applyProtection="0">
      <alignment vertical="center"/>
    </xf>
    <xf numFmtId="4" fontId="118" fillId="39" borderId="36" applyNumberFormat="0" applyProtection="0">
      <alignment vertical="center"/>
    </xf>
    <xf numFmtId="0" fontId="33" fillId="0" borderId="0"/>
    <xf numFmtId="0" fontId="33" fillId="0" borderId="0"/>
    <xf numFmtId="4" fontId="119" fillId="79" borderId="37">
      <alignment vertical="center"/>
    </xf>
    <xf numFmtId="0" fontId="33" fillId="0" borderId="0"/>
    <xf numFmtId="0" fontId="33" fillId="0" borderId="0"/>
    <xf numFmtId="0" fontId="33" fillId="0" borderId="0"/>
    <xf numFmtId="4" fontId="120" fillId="79" borderId="37">
      <alignment vertical="center"/>
    </xf>
    <xf numFmtId="0" fontId="33" fillId="0" borderId="0"/>
    <xf numFmtId="0" fontId="33" fillId="0" borderId="0"/>
    <xf numFmtId="0" fontId="33" fillId="0" borderId="0"/>
    <xf numFmtId="4" fontId="119" fillId="80" borderId="37">
      <alignment vertical="center"/>
    </xf>
    <xf numFmtId="0" fontId="33" fillId="0" borderId="0"/>
    <xf numFmtId="0" fontId="33" fillId="0" borderId="0"/>
    <xf numFmtId="0" fontId="33" fillId="0" borderId="0"/>
    <xf numFmtId="4" fontId="120" fillId="80" borderId="37">
      <alignment vertical="center"/>
    </xf>
    <xf numFmtId="0" fontId="33" fillId="0" borderId="0"/>
    <xf numFmtId="0" fontId="33" fillId="0" borderId="0"/>
    <xf numFmtId="0" fontId="33" fillId="0" borderId="0"/>
    <xf numFmtId="0" fontId="33" fillId="0" borderId="0"/>
    <xf numFmtId="0" fontId="33" fillId="0" borderId="0"/>
    <xf numFmtId="4" fontId="104" fillId="48" borderId="36" applyNumberFormat="0" applyProtection="0">
      <alignment horizontal="left" vertical="center" indent="1"/>
    </xf>
    <xf numFmtId="4" fontId="104" fillId="48" borderId="36" applyNumberFormat="0" applyProtection="0">
      <alignment horizontal="left" vertical="center" indent="1"/>
    </xf>
    <xf numFmtId="0" fontId="33" fillId="0" borderId="0"/>
    <xf numFmtId="0" fontId="33" fillId="0" borderId="0"/>
    <xf numFmtId="0" fontId="33" fillId="0" borderId="0"/>
    <xf numFmtId="4" fontId="104" fillId="0" borderId="0" applyNumberFormat="0" applyProtection="0">
      <alignment horizontal="left" vertical="center" indent="1"/>
    </xf>
    <xf numFmtId="4" fontId="68" fillId="74" borderId="35" applyNumberFormat="0" applyProtection="0">
      <alignment horizontal="left" vertical="center" indent="1"/>
    </xf>
    <xf numFmtId="0" fontId="33" fillId="0" borderId="0"/>
    <xf numFmtId="0" fontId="33" fillId="0" borderId="0"/>
    <xf numFmtId="4" fontId="68" fillId="74" borderId="35" applyNumberFormat="0" applyProtection="0">
      <alignment horizontal="left" vertical="center" indent="1"/>
    </xf>
    <xf numFmtId="4" fontId="68" fillId="39" borderId="36" applyNumberFormat="0" applyProtection="0">
      <alignment horizontal="left" vertical="center" indent="1"/>
    </xf>
    <xf numFmtId="0" fontId="33" fillId="0" borderId="0"/>
    <xf numFmtId="0" fontId="33" fillId="0" borderId="0"/>
    <xf numFmtId="0" fontId="33" fillId="0" borderId="0"/>
    <xf numFmtId="0" fontId="33" fillId="0" borderId="0"/>
    <xf numFmtId="0" fontId="104" fillId="39" borderId="36" applyNumberFormat="0" applyProtection="0">
      <alignment horizontal="left" vertical="top" indent="1"/>
    </xf>
    <xf numFmtId="0" fontId="104" fillId="39" borderId="36" applyNumberFormat="0" applyProtection="0">
      <alignment horizontal="left" vertical="top" indent="1"/>
    </xf>
    <xf numFmtId="0" fontId="33" fillId="0" borderId="0"/>
    <xf numFmtId="0" fontId="33" fillId="0" borderId="0"/>
    <xf numFmtId="0" fontId="33" fillId="0" borderId="0"/>
    <xf numFmtId="0" fontId="68" fillId="74" borderId="36" applyNumberFormat="0" applyProtection="0">
      <alignment horizontal="left" vertical="top" indent="1"/>
    </xf>
    <xf numFmtId="4" fontId="68" fillId="74" borderId="35" applyNumberFormat="0" applyProtection="0">
      <alignment horizontal="left" vertical="center" indent="1"/>
    </xf>
    <xf numFmtId="0" fontId="33" fillId="0" borderId="0"/>
    <xf numFmtId="0" fontId="33" fillId="0" borderId="0"/>
    <xf numFmtId="4" fontId="68" fillId="74" borderId="35" applyNumberFormat="0" applyProtection="0">
      <alignment horizontal="left" vertical="center" indent="1"/>
    </xf>
    <xf numFmtId="0" fontId="68" fillId="39"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4" fontId="80" fillId="0" borderId="53" applyNumberFormat="0" applyProtection="0">
      <alignment horizontal="right" vertical="center"/>
    </xf>
    <xf numFmtId="0" fontId="33" fillId="0" borderId="0"/>
    <xf numFmtId="0" fontId="33" fillId="0" borderId="0"/>
    <xf numFmtId="4" fontId="68" fillId="88" borderId="35" applyNumberFormat="0" applyProtection="0">
      <alignment horizontal="right" vertical="center"/>
    </xf>
    <xf numFmtId="4" fontId="80" fillId="0" borderId="53" applyNumberFormat="0" applyProtection="0">
      <alignment horizontal="right" vertical="center"/>
    </xf>
    <xf numFmtId="0" fontId="33" fillId="0" borderId="0"/>
    <xf numFmtId="0" fontId="33" fillId="0" borderId="0"/>
    <xf numFmtId="0" fontId="33" fillId="0" borderId="0"/>
    <xf numFmtId="4" fontId="80" fillId="0" borderId="53" applyNumberFormat="0" applyProtection="0">
      <alignment horizontal="right" vertical="center"/>
    </xf>
    <xf numFmtId="0" fontId="33" fillId="0" borderId="0"/>
    <xf numFmtId="0" fontId="33" fillId="0" borderId="0"/>
    <xf numFmtId="4" fontId="121" fillId="0" borderId="1" applyNumberFormat="0" applyProtection="0">
      <alignment horizontal="right" vertical="center" wrapText="1"/>
    </xf>
    <xf numFmtId="0" fontId="33" fillId="0" borderId="0"/>
    <xf numFmtId="0" fontId="33" fillId="0" borderId="0"/>
    <xf numFmtId="0" fontId="33" fillId="0" borderId="0"/>
    <xf numFmtId="4" fontId="80" fillId="0" borderId="53" applyNumberFormat="0" applyProtection="0">
      <alignment horizontal="right" vertical="center"/>
    </xf>
    <xf numFmtId="4" fontId="68" fillId="88" borderId="35" applyNumberFormat="0" applyProtection="0">
      <alignment horizontal="right" vertical="center"/>
    </xf>
    <xf numFmtId="0" fontId="33" fillId="0" borderId="0"/>
    <xf numFmtId="0" fontId="33" fillId="0" borderId="0"/>
    <xf numFmtId="0" fontId="33" fillId="0" borderId="0"/>
    <xf numFmtId="4" fontId="80" fillId="0" borderId="53" applyNumberFormat="0" applyProtection="0">
      <alignment horizontal="right" vertical="center"/>
    </xf>
    <xf numFmtId="4" fontId="121" fillId="0" borderId="1" applyNumberFormat="0" applyProtection="0">
      <alignment horizontal="right" vertical="center" wrapText="1"/>
    </xf>
    <xf numFmtId="4" fontId="68" fillId="88" borderId="35" applyNumberFormat="0" applyProtection="0">
      <alignment horizontal="right" vertical="center"/>
    </xf>
    <xf numFmtId="0" fontId="33" fillId="0" borderId="0"/>
    <xf numFmtId="4" fontId="68" fillId="88" borderId="35" applyNumberFormat="0" applyProtection="0">
      <alignment horizontal="right" vertical="center"/>
    </xf>
    <xf numFmtId="0" fontId="33" fillId="0" borderId="0"/>
    <xf numFmtId="0" fontId="33" fillId="0" borderId="0"/>
    <xf numFmtId="4" fontId="68" fillId="89" borderId="36" applyNumberFormat="0" applyProtection="0">
      <alignment horizontal="right" vertical="center"/>
    </xf>
    <xf numFmtId="0" fontId="33" fillId="0" borderId="0"/>
    <xf numFmtId="0" fontId="33" fillId="0" borderId="0"/>
    <xf numFmtId="0" fontId="33" fillId="0" borderId="0"/>
    <xf numFmtId="0" fontId="33" fillId="0" borderId="0"/>
    <xf numFmtId="4" fontId="169" fillId="75" borderId="53" applyNumberFormat="0" applyProtection="0">
      <alignment horizontal="right" vertical="center"/>
    </xf>
    <xf numFmtId="4" fontId="169" fillId="75" borderId="53" applyNumberFormat="0" applyProtection="0">
      <alignment horizontal="right" vertical="center"/>
    </xf>
    <xf numFmtId="0" fontId="33" fillId="0" borderId="0"/>
    <xf numFmtId="0" fontId="33" fillId="0" borderId="0"/>
    <xf numFmtId="0" fontId="33" fillId="0" borderId="0"/>
    <xf numFmtId="4" fontId="118" fillId="89" borderId="36" applyNumberFormat="0" applyProtection="0">
      <alignment horizontal="right" vertical="center"/>
    </xf>
    <xf numFmtId="4" fontId="118" fillId="88" borderId="35" applyNumberFormat="0" applyProtection="0">
      <alignment horizontal="right" vertical="center"/>
    </xf>
    <xf numFmtId="0" fontId="33" fillId="0" borderId="0"/>
    <xf numFmtId="0" fontId="33" fillId="0" borderId="0"/>
    <xf numFmtId="4" fontId="118" fillId="88" borderId="35" applyNumberFormat="0" applyProtection="0">
      <alignment horizontal="right" vertical="center"/>
    </xf>
    <xf numFmtId="4" fontId="118" fillId="89" borderId="36" applyNumberFormat="0" applyProtection="0">
      <alignment horizontal="right" vertical="center"/>
    </xf>
    <xf numFmtId="0" fontId="33" fillId="0" borderId="0"/>
    <xf numFmtId="0" fontId="33" fillId="0" borderId="0"/>
    <xf numFmtId="4" fontId="122" fillId="79" borderId="37">
      <alignment vertical="center"/>
    </xf>
    <xf numFmtId="0" fontId="33" fillId="0" borderId="0"/>
    <xf numFmtId="0" fontId="33" fillId="0" borderId="0"/>
    <xf numFmtId="0" fontId="33" fillId="0" borderId="0"/>
    <xf numFmtId="4" fontId="123" fillId="79" borderId="37">
      <alignment vertical="center"/>
    </xf>
    <xf numFmtId="0" fontId="33" fillId="0" borderId="0"/>
    <xf numFmtId="0" fontId="33" fillId="0" borderId="0"/>
    <xf numFmtId="0" fontId="33" fillId="0" borderId="0"/>
    <xf numFmtId="4" fontId="122" fillId="80" borderId="37">
      <alignment vertical="center"/>
    </xf>
    <xf numFmtId="0" fontId="33" fillId="0" borderId="0"/>
    <xf numFmtId="0" fontId="33" fillId="0" borderId="0"/>
    <xf numFmtId="0" fontId="33" fillId="0" borderId="0"/>
    <xf numFmtId="4" fontId="123" fillId="90" borderId="37">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4" fontId="121" fillId="0" borderId="1" applyNumberFormat="0" applyProtection="0">
      <alignment horizontal="left" vertical="center" indent="1"/>
    </xf>
    <xf numFmtId="0" fontId="33" fillId="0" borderId="0"/>
    <xf numFmtId="0" fontId="33" fillId="0" borderId="0"/>
    <xf numFmtId="0" fontId="33" fillId="0" borderId="0"/>
    <xf numFmtId="4" fontId="80" fillId="52" borderId="53" applyNumberFormat="0" applyProtection="0">
      <alignment horizontal="left" vertical="center" indent="1"/>
    </xf>
    <xf numFmtId="4" fontId="80" fillId="52" borderId="53"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4" fontId="121" fillId="0" borderId="1" applyNumberFormat="0" applyProtection="0">
      <alignment horizontal="left" vertical="center" indent="1"/>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4" fontId="68" fillId="104" borderId="36"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0" borderId="0"/>
    <xf numFmtId="0" fontId="113" fillId="91" borderId="1" applyNumberFormat="0" applyProtection="0">
      <alignment horizontal="center" vertical="top" wrapText="1"/>
    </xf>
    <xf numFmtId="0" fontId="33" fillId="0" borderId="0"/>
    <xf numFmtId="0" fontId="33" fillId="0" borderId="0"/>
    <xf numFmtId="0" fontId="33" fillId="0" borderId="0"/>
    <xf numFmtId="0" fontId="104" fillId="104" borderId="36" applyNumberFormat="0" applyProtection="0">
      <alignment horizontal="left" vertical="top" indent="1"/>
    </xf>
    <xf numFmtId="0" fontId="104" fillId="104" borderId="36" applyNumberFormat="0" applyProtection="0">
      <alignment horizontal="left" vertical="top"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113" fillId="91" borderId="1" applyNumberFormat="0" applyProtection="0">
      <alignment horizontal="center" vertical="top" wrapText="1"/>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0" fontId="68" fillId="104" borderId="36" applyNumberFormat="0" applyProtection="0">
      <alignment horizontal="left" vertical="top" indent="1"/>
    </xf>
    <xf numFmtId="0" fontId="33" fillId="130" borderId="35" applyNumberFormat="0" applyProtection="0">
      <alignment horizontal="left" vertical="center" indent="1"/>
    </xf>
    <xf numFmtId="0" fontId="33" fillId="0" borderId="0"/>
    <xf numFmtId="0" fontId="33" fillId="0" borderId="0"/>
    <xf numFmtId="4" fontId="124" fillId="75" borderId="38">
      <alignment vertical="center"/>
    </xf>
    <xf numFmtId="0" fontId="33" fillId="0" borderId="0"/>
    <xf numFmtId="0" fontId="33" fillId="0" borderId="0"/>
    <xf numFmtId="0" fontId="33" fillId="0" borderId="0"/>
    <xf numFmtId="4" fontId="125" fillId="75" borderId="38">
      <alignment vertical="center"/>
    </xf>
    <xf numFmtId="0" fontId="33" fillId="0" borderId="0"/>
    <xf numFmtId="0" fontId="33" fillId="0" borderId="0"/>
    <xf numFmtId="0" fontId="33" fillId="0" borderId="0"/>
    <xf numFmtId="4" fontId="110" fillId="79" borderId="38">
      <alignment vertical="center"/>
    </xf>
    <xf numFmtId="0" fontId="33" fillId="0" borderId="0"/>
    <xf numFmtId="0" fontId="33" fillId="0" borderId="0"/>
    <xf numFmtId="0" fontId="33" fillId="0" borderId="0"/>
    <xf numFmtId="4" fontId="111" fillId="79" borderId="38">
      <alignment vertical="center"/>
    </xf>
    <xf numFmtId="0" fontId="33" fillId="0" borderId="0"/>
    <xf numFmtId="0" fontId="33" fillId="0" borderId="0"/>
    <xf numFmtId="0" fontId="33" fillId="0" borderId="0"/>
    <xf numFmtId="4" fontId="110" fillId="80" borderId="37">
      <alignment vertical="center"/>
    </xf>
    <xf numFmtId="0" fontId="33" fillId="0" borderId="0"/>
    <xf numFmtId="0" fontId="33" fillId="0" borderId="0"/>
    <xf numFmtId="0" fontId="33" fillId="0" borderId="0"/>
    <xf numFmtId="4" fontId="111" fillId="80" borderId="37">
      <alignment vertical="center"/>
    </xf>
    <xf numFmtId="0" fontId="33" fillId="0" borderId="0"/>
    <xf numFmtId="0" fontId="33" fillId="0" borderId="0"/>
    <xf numFmtId="0" fontId="33" fillId="0" borderId="0"/>
    <xf numFmtId="4" fontId="126" fillId="74" borderId="38">
      <alignment horizontal="left" vertical="center" indent="1"/>
    </xf>
    <xf numFmtId="0" fontId="33" fillId="0" borderId="0"/>
    <xf numFmtId="0" fontId="33" fillId="0" borderId="0"/>
    <xf numFmtId="0" fontId="33" fillId="0" borderId="0"/>
    <xf numFmtId="0" fontId="33" fillId="0" borderId="0"/>
    <xf numFmtId="0" fontId="33" fillId="0" borderId="0"/>
    <xf numFmtId="4" fontId="171" fillId="139" borderId="63" applyNumberFormat="0" applyProtection="0">
      <alignment horizontal="left" vertical="center" indent="1"/>
    </xf>
    <xf numFmtId="4" fontId="171" fillId="139" borderId="63" applyNumberFormat="0" applyProtection="0">
      <alignment horizontal="left" vertical="center" indent="1"/>
    </xf>
    <xf numFmtId="0" fontId="33" fillId="0" borderId="0"/>
    <xf numFmtId="0" fontId="33" fillId="0" borderId="0"/>
    <xf numFmtId="0" fontId="33" fillId="0" borderId="0"/>
    <xf numFmtId="4" fontId="127" fillId="0" borderId="0" applyNumberFormat="0" applyProtection="0">
      <alignment vertical="center"/>
    </xf>
    <xf numFmtId="0" fontId="172" fillId="0" borderId="0"/>
    <xf numFmtId="0" fontId="33" fillId="0" borderId="0"/>
    <xf numFmtId="0" fontId="33" fillId="0" borderId="0"/>
    <xf numFmtId="0" fontId="172" fillId="0" borderId="0"/>
    <xf numFmtId="4" fontId="173" fillId="139" borderId="0" applyNumberFormat="0" applyProtection="0">
      <alignment horizontal="left" vertical="center" indent="1"/>
    </xf>
    <xf numFmtId="0" fontId="33" fillId="0" borderId="0"/>
    <xf numFmtId="0" fontId="33" fillId="0" borderId="0"/>
    <xf numFmtId="0" fontId="33" fillId="0" borderId="0"/>
    <xf numFmtId="0" fontId="33" fillId="0" borderId="0"/>
    <xf numFmtId="0" fontId="80" fillId="140" borderId="1"/>
    <xf numFmtId="0" fontId="80" fillId="140" borderId="1"/>
    <xf numFmtId="0" fontId="33" fillId="0" borderId="0"/>
    <xf numFmtId="0" fontId="33" fillId="0" borderId="0"/>
    <xf numFmtId="0" fontId="33" fillId="0" borderId="0"/>
    <xf numFmtId="0" fontId="80" fillId="140" borderId="1"/>
    <xf numFmtId="0" fontId="33" fillId="0" borderId="0"/>
    <xf numFmtId="0" fontId="33" fillId="0" borderId="0"/>
    <xf numFmtId="0" fontId="80" fillId="140" borderId="1"/>
    <xf numFmtId="0" fontId="80" fillId="140" borderId="1"/>
    <xf numFmtId="0" fontId="33" fillId="0" borderId="0"/>
    <xf numFmtId="0" fontId="33" fillId="0" borderId="0"/>
    <xf numFmtId="0" fontId="33" fillId="0" borderId="0"/>
    <xf numFmtId="0" fontId="33" fillId="0" borderId="0"/>
    <xf numFmtId="4" fontId="174" fillId="87" borderId="53" applyNumberFormat="0" applyProtection="0">
      <alignment horizontal="right" vertical="center"/>
    </xf>
    <xf numFmtId="4" fontId="174" fillId="87" borderId="53" applyNumberFormat="0" applyProtection="0">
      <alignment horizontal="right" vertical="center"/>
    </xf>
    <xf numFmtId="0" fontId="33" fillId="0" borderId="0"/>
    <xf numFmtId="0" fontId="33" fillId="0" borderId="0"/>
    <xf numFmtId="0" fontId="33" fillId="0" borderId="0"/>
    <xf numFmtId="4" fontId="128" fillId="0" borderId="36" applyNumberFormat="0" applyProtection="0">
      <alignment horizontal="right" vertical="center"/>
    </xf>
    <xf numFmtId="4" fontId="128" fillId="88" borderId="35" applyNumberFormat="0" applyProtection="0">
      <alignment horizontal="right" vertical="center"/>
    </xf>
    <xf numFmtId="0" fontId="33" fillId="0" borderId="0"/>
    <xf numFmtId="0" fontId="33" fillId="0" borderId="0"/>
    <xf numFmtId="4" fontId="128" fillId="88" borderId="35" applyNumberFormat="0" applyProtection="0">
      <alignment horizontal="right" vertical="center"/>
    </xf>
    <xf numFmtId="4" fontId="128" fillId="89" borderId="36" applyNumberFormat="0" applyProtection="0">
      <alignment horizontal="right" vertical="center"/>
    </xf>
    <xf numFmtId="0" fontId="33" fillId="0" borderId="0"/>
    <xf numFmtId="0" fontId="33" fillId="0" borderId="0"/>
    <xf numFmtId="1" fontId="33" fillId="0" borderId="2" applyFill="0" applyBorder="0">
      <alignment horizontal="center"/>
    </xf>
    <xf numFmtId="0" fontId="33" fillId="0" borderId="0"/>
    <xf numFmtId="0" fontId="33" fillId="0" borderId="0"/>
    <xf numFmtId="0" fontId="33" fillId="0" borderId="0"/>
    <xf numFmtId="0" fontId="129" fillId="92" borderId="0"/>
    <xf numFmtId="0" fontId="33" fillId="0" borderId="0"/>
    <xf numFmtId="0" fontId="33" fillId="0" borderId="0"/>
    <xf numFmtId="0" fontId="33" fillId="0" borderId="0"/>
    <xf numFmtId="49" fontId="130" fillId="92" borderId="0"/>
    <xf numFmtId="0" fontId="33" fillId="0" borderId="0"/>
    <xf numFmtId="0" fontId="33" fillId="0" borderId="0"/>
    <xf numFmtId="0" fontId="33" fillId="0" borderId="0"/>
    <xf numFmtId="49" fontId="131" fillId="92" borderId="68"/>
    <xf numFmtId="0" fontId="33" fillId="0" borderId="0"/>
    <xf numFmtId="0" fontId="33" fillId="0" borderId="0"/>
    <xf numFmtId="0" fontId="33" fillId="0" borderId="0"/>
    <xf numFmtId="49" fontId="131" fillId="92" borderId="0"/>
    <xf numFmtId="0" fontId="33" fillId="0" borderId="0"/>
    <xf numFmtId="0" fontId="33" fillId="0" borderId="0"/>
    <xf numFmtId="0" fontId="33" fillId="0" borderId="0"/>
    <xf numFmtId="0" fontId="129" fillId="75" borderId="68">
      <protection locked="0"/>
    </xf>
    <xf numFmtId="0" fontId="33" fillId="0" borderId="0"/>
    <xf numFmtId="0" fontId="33" fillId="0" borderId="0"/>
    <xf numFmtId="0" fontId="33" fillId="0" borderId="0"/>
    <xf numFmtId="0" fontId="129" fillId="92" borderId="0"/>
    <xf numFmtId="0" fontId="33" fillId="0" borderId="0"/>
    <xf numFmtId="0" fontId="33" fillId="0" borderId="0"/>
    <xf numFmtId="0" fontId="33" fillId="0" borderId="0"/>
    <xf numFmtId="0" fontId="132" fillId="93" borderId="0"/>
    <xf numFmtId="0" fontId="33" fillId="0" borderId="0"/>
    <xf numFmtId="0" fontId="33" fillId="0" borderId="0"/>
    <xf numFmtId="0" fontId="33" fillId="0" borderId="0"/>
    <xf numFmtId="0" fontId="132" fillId="94" borderId="0"/>
    <xf numFmtId="0" fontId="33" fillId="0" borderId="0"/>
    <xf numFmtId="0" fontId="33" fillId="0" borderId="0"/>
    <xf numFmtId="0" fontId="33" fillId="0" borderId="0"/>
    <xf numFmtId="0" fontId="132" fillId="95" borderId="0"/>
    <xf numFmtId="0" fontId="33" fillId="0" borderId="0"/>
    <xf numFmtId="0" fontId="33" fillId="0" borderId="0"/>
    <xf numFmtId="0" fontId="33" fillId="0" borderId="0"/>
    <xf numFmtId="0" fontId="33" fillId="0" borderId="0"/>
    <xf numFmtId="0" fontId="133" fillId="0" borderId="0" applyNumberFormat="0" applyFill="0" applyBorder="0" applyAlignment="0" applyProtection="0"/>
    <xf numFmtId="0" fontId="133" fillId="0" borderId="0" applyNumberFormat="0" applyFill="0" applyBorder="0" applyAlignment="0" applyProtection="0"/>
    <xf numFmtId="0" fontId="33" fillId="0" borderId="0"/>
    <xf numFmtId="0" fontId="33" fillId="0" borderId="0"/>
    <xf numFmtId="195" fontId="134" fillId="0" borderId="49">
      <alignment horizontal="center"/>
    </xf>
    <xf numFmtId="0" fontId="33" fillId="0" borderId="0"/>
    <xf numFmtId="0" fontId="33" fillId="0" borderId="0"/>
    <xf numFmtId="0" fontId="33" fillId="0" borderId="0"/>
    <xf numFmtId="0" fontId="56" fillId="0" borderId="0"/>
    <xf numFmtId="0" fontId="33" fillId="0" borderId="0"/>
    <xf numFmtId="0" fontId="33" fillId="0" borderId="0"/>
    <xf numFmtId="0" fontId="33" fillId="0" borderId="0"/>
    <xf numFmtId="0" fontId="33" fillId="0" borderId="0"/>
    <xf numFmtId="0" fontId="175" fillId="0" borderId="0" applyNumberFormat="0" applyFill="0" applyBorder="0" applyProtection="0">
      <alignment vertical="center"/>
    </xf>
    <xf numFmtId="0" fontId="176" fillId="0" borderId="0" applyNumberFormat="0" applyFill="0" applyBorder="0" applyProtection="0">
      <alignment horizontal="center" wrapText="1"/>
    </xf>
    <xf numFmtId="0" fontId="176" fillId="0" borderId="0" applyNumberFormat="0" applyFill="0" applyBorder="0" applyProtection="0">
      <alignment horizontal="center" wrapText="1"/>
    </xf>
    <xf numFmtId="0" fontId="177" fillId="0" borderId="0" applyNumberFormat="0" applyFill="0" applyBorder="0" applyAlignment="0" applyProtection="0"/>
    <xf numFmtId="0" fontId="177"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33" fillId="0" borderId="0"/>
    <xf numFmtId="0" fontId="33" fillId="0" borderId="0"/>
    <xf numFmtId="0" fontId="135" fillId="0" borderId="0" applyNumberFormat="0" applyFont="0" applyFill="0" applyBorder="0" applyAlignment="0" applyProtection="0"/>
    <xf numFmtId="0" fontId="33" fillId="0" borderId="0"/>
    <xf numFmtId="203" fontId="176" fillId="0" borderId="0" applyFill="0" applyBorder="0" applyProtection="0">
      <alignment horizontal="center"/>
    </xf>
    <xf numFmtId="203" fontId="176" fillId="0" borderId="0" applyFill="0" applyBorder="0" applyProtection="0">
      <alignment horizontal="center"/>
    </xf>
    <xf numFmtId="0" fontId="33" fillId="0" borderId="0"/>
    <xf numFmtId="203" fontId="178" fillId="0" borderId="0" applyFill="0" applyBorder="0" applyProtection="0">
      <alignment horizontal="center"/>
    </xf>
    <xf numFmtId="0" fontId="33" fillId="0" borderId="0"/>
    <xf numFmtId="0" fontId="33" fillId="0" borderId="0"/>
    <xf numFmtId="205" fontId="33" fillId="0" borderId="0" applyFill="0" applyBorder="0" applyAlignment="0" applyProtection="0">
      <alignment wrapText="1"/>
    </xf>
    <xf numFmtId="203" fontId="178" fillId="0" borderId="0" applyFill="0" applyBorder="0" applyProtection="0">
      <alignment horizontal="center"/>
    </xf>
    <xf numFmtId="0" fontId="33" fillId="0" borderId="0"/>
    <xf numFmtId="212" fontId="176" fillId="0" borderId="0" applyFill="0" applyBorder="0" applyProtection="0">
      <alignment horizontal="center"/>
    </xf>
    <xf numFmtId="212" fontId="176" fillId="0" borderId="0" applyFill="0" applyBorder="0" applyProtection="0">
      <alignment horizontal="center"/>
    </xf>
    <xf numFmtId="0" fontId="33" fillId="0" borderId="0"/>
    <xf numFmtId="41" fontId="34" fillId="0" borderId="0" applyFont="0" applyFill="0" applyBorder="0" applyAlignment="0" applyProtection="0"/>
    <xf numFmtId="0" fontId="33" fillId="0" borderId="0"/>
    <xf numFmtId="0" fontId="33" fillId="0" borderId="0"/>
    <xf numFmtId="212" fontId="178" fillId="0" borderId="0" applyFill="0" applyBorder="0" applyProtection="0">
      <alignment horizontal="center"/>
    </xf>
    <xf numFmtId="212" fontId="178" fillId="0" borderId="0" applyFill="0" applyBorder="0" applyProtection="0">
      <alignment horizontal="center"/>
    </xf>
    <xf numFmtId="0" fontId="178" fillId="0" borderId="0" applyNumberFormat="0" applyFill="0" applyBorder="0" applyProtection="0">
      <alignment wrapText="1"/>
    </xf>
    <xf numFmtId="0" fontId="178" fillId="0" borderId="0" applyNumberFormat="0" applyFill="0" applyBorder="0" applyProtection="0">
      <alignment wrapText="1"/>
    </xf>
    <xf numFmtId="0" fontId="178" fillId="0" borderId="1" applyNumberFormat="0" applyFill="0" applyProtection="0">
      <alignment wrapText="1"/>
    </xf>
    <xf numFmtId="0" fontId="178" fillId="0" borderId="1" applyNumberFormat="0" applyFill="0" applyProtection="0">
      <alignment wrapText="1"/>
    </xf>
    <xf numFmtId="0" fontId="178" fillId="0" borderId="0" applyNumberFormat="0" applyFill="0" applyBorder="0" applyAlignment="0" applyProtection="0"/>
    <xf numFmtId="0" fontId="178" fillId="0" borderId="0" applyNumberFormat="0" applyFill="0" applyBorder="0" applyAlignment="0" applyProtection="0"/>
    <xf numFmtId="0" fontId="33" fillId="0" borderId="50" applyNumberFormat="0" applyFont="0" applyFill="0" applyAlignment="0" applyProtection="0"/>
    <xf numFmtId="0" fontId="33" fillId="0" borderId="50" applyNumberFormat="0" applyFont="0" applyFill="0" applyAlignment="0" applyProtection="0"/>
    <xf numFmtId="0" fontId="33" fillId="0" borderId="50" applyNumberFormat="0" applyFont="0" applyFill="0" applyAlignment="0" applyProtection="0"/>
    <xf numFmtId="0" fontId="33" fillId="0" borderId="50" applyNumberFormat="0" applyFont="0" applyFill="0" applyAlignment="0" applyProtection="0"/>
    <xf numFmtId="0" fontId="33" fillId="0" borderId="0"/>
    <xf numFmtId="0" fontId="33" fillId="0" borderId="3" applyNumberFormat="0" applyFont="0" applyFill="0" applyAlignment="0" applyProtection="0"/>
    <xf numFmtId="0" fontId="33" fillId="0" borderId="3" applyNumberFormat="0" applyFont="0" applyFill="0" applyAlignment="0" applyProtection="0"/>
    <xf numFmtId="0" fontId="33" fillId="0" borderId="0"/>
    <xf numFmtId="0" fontId="33" fillId="0" borderId="3" applyNumberFormat="0" applyFont="0" applyFill="0" applyAlignment="0" applyProtection="0"/>
    <xf numFmtId="0" fontId="33" fillId="0" borderId="0"/>
    <xf numFmtId="0" fontId="36" fillId="0" borderId="0" applyNumberFormat="0" applyFill="0" applyBorder="0">
      <alignment horizontal="center" wrapText="1"/>
    </xf>
    <xf numFmtId="0" fontId="33" fillId="0" borderId="3" applyNumberFormat="0" applyFont="0" applyFill="0" applyAlignment="0" applyProtection="0"/>
    <xf numFmtId="0" fontId="33" fillId="0" borderId="0"/>
    <xf numFmtId="0" fontId="33" fillId="0" borderId="0"/>
    <xf numFmtId="0" fontId="33" fillId="0" borderId="48" applyNumberFormat="0" applyFont="0" applyFill="0" applyAlignment="0" applyProtection="0"/>
    <xf numFmtId="0" fontId="33" fillId="0" borderId="48" applyNumberFormat="0" applyFont="0" applyFill="0" applyAlignment="0" applyProtection="0"/>
    <xf numFmtId="0" fontId="33" fillId="0" borderId="0"/>
    <xf numFmtId="0" fontId="33" fillId="0" borderId="48" applyNumberFormat="0" applyFont="0" applyFill="0" applyAlignment="0" applyProtection="0"/>
    <xf numFmtId="0" fontId="33" fillId="0" borderId="0"/>
    <xf numFmtId="0" fontId="36" fillId="0" borderId="0" applyNumberFormat="0" applyFill="0" applyBorder="0">
      <alignment horizontal="center" wrapText="1"/>
    </xf>
    <xf numFmtId="0" fontId="33" fillId="0" borderId="48" applyNumberFormat="0" applyFont="0" applyFill="0" applyAlignment="0" applyProtection="0"/>
    <xf numFmtId="0" fontId="33" fillId="0" borderId="0"/>
    <xf numFmtId="0" fontId="33" fillId="0" borderId="9" applyNumberFormat="0" applyFont="0" applyFill="0" applyAlignment="0" applyProtection="0"/>
    <xf numFmtId="0" fontId="33" fillId="0" borderId="9" applyNumberFormat="0" applyFont="0" applyFill="0" applyAlignment="0" applyProtection="0"/>
    <xf numFmtId="0" fontId="33" fillId="0" borderId="9" applyNumberFormat="0" applyFont="0" applyFill="0" applyAlignment="0" applyProtection="0"/>
    <xf numFmtId="0" fontId="33" fillId="0" borderId="9" applyNumberFormat="0" applyFont="0" applyFill="0" applyAlignment="0" applyProtection="0"/>
    <xf numFmtId="0" fontId="33" fillId="0" borderId="47" applyNumberFormat="0" applyFont="0" applyFill="0" applyAlignment="0" applyProtection="0"/>
    <xf numFmtId="0" fontId="33" fillId="0" borderId="47" applyNumberFormat="0" applyFont="0" applyFill="0" applyAlignment="0" applyProtection="0"/>
    <xf numFmtId="0" fontId="33" fillId="0" borderId="47" applyNumberFormat="0" applyFont="0" applyFill="0" applyAlignment="0" applyProtection="0"/>
    <xf numFmtId="0" fontId="33" fillId="0" borderId="47" applyNumberFormat="0" applyFont="0" applyFill="0" applyAlignment="0" applyProtection="0"/>
    <xf numFmtId="0" fontId="33" fillId="0" borderId="52" applyNumberFormat="0" applyFont="0" applyFill="0" applyAlignment="0" applyProtection="0"/>
    <xf numFmtId="0" fontId="33" fillId="0" borderId="52" applyNumberFormat="0" applyFont="0" applyFill="0" applyAlignment="0" applyProtection="0"/>
    <xf numFmtId="0" fontId="33" fillId="0" borderId="52" applyNumberFormat="0" applyFont="0" applyFill="0" applyAlignment="0" applyProtection="0"/>
    <xf numFmtId="0" fontId="33" fillId="0" borderId="52" applyNumberFormat="0" applyFont="0" applyFill="0" applyAlignment="0" applyProtection="0"/>
    <xf numFmtId="0" fontId="33" fillId="0" borderId="49" applyNumberFormat="0" applyFont="0" applyFill="0" applyAlignment="0" applyProtection="0"/>
    <xf numFmtId="0" fontId="33" fillId="0" borderId="49" applyNumberFormat="0" applyFont="0" applyFill="0" applyAlignment="0" applyProtection="0"/>
    <xf numFmtId="0" fontId="33" fillId="0" borderId="49" applyNumberFormat="0" applyFont="0" applyFill="0" applyAlignment="0" applyProtection="0"/>
    <xf numFmtId="0" fontId="33" fillId="0" borderId="49" applyNumberFormat="0" applyFont="0" applyFill="0" applyAlignment="0" applyProtection="0"/>
    <xf numFmtId="0" fontId="33" fillId="0" borderId="51" applyNumberFormat="0" applyFont="0" applyFill="0" applyAlignment="0" applyProtection="0"/>
    <xf numFmtId="0" fontId="33" fillId="0" borderId="51" applyNumberFormat="0" applyFont="0" applyFill="0" applyAlignment="0" applyProtection="0"/>
    <xf numFmtId="0" fontId="33" fillId="0" borderId="51" applyNumberFormat="0" applyFont="0" applyFill="0" applyAlignment="0" applyProtection="0"/>
    <xf numFmtId="0" fontId="33" fillId="0" borderId="51" applyNumberFormat="0" applyFont="0" applyFill="0" applyAlignment="0" applyProtection="0"/>
    <xf numFmtId="0" fontId="33" fillId="0" borderId="0"/>
    <xf numFmtId="49" fontId="37" fillId="0" borderId="0" applyFont="0" applyFill="0" applyBorder="0" applyAlignment="0" applyProtection="0"/>
    <xf numFmtId="0" fontId="33" fillId="0" borderId="0"/>
    <xf numFmtId="0" fontId="33" fillId="0" borderId="0"/>
    <xf numFmtId="0" fontId="33" fillId="0" borderId="0"/>
    <xf numFmtId="206" fontId="37" fillId="0" borderId="0" applyFont="0" applyFill="0" applyBorder="0" applyAlignment="0" applyProtection="0"/>
    <xf numFmtId="0" fontId="33" fillId="0" borderId="0"/>
    <xf numFmtId="0" fontId="33" fillId="0" borderId="0"/>
    <xf numFmtId="0" fontId="33" fillId="0" borderId="0"/>
    <xf numFmtId="207" fontId="34" fillId="0" borderId="0" applyFon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8" fillId="0" borderId="0" applyNumberFormat="0" applyFill="0" applyBorder="0" applyAlignment="0" applyProtection="0"/>
    <xf numFmtId="0" fontId="138"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149" fillId="0" borderId="0" applyNumberFormat="0" applyFill="0" applyBorder="0" applyAlignment="0" applyProtection="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149" fillId="0" borderId="0" applyNumberFormat="0" applyFill="0" applyBorder="0" applyAlignment="0" applyProtection="0"/>
    <xf numFmtId="0" fontId="33" fillId="0" borderId="0"/>
    <xf numFmtId="0" fontId="33" fillId="0" borderId="0"/>
    <xf numFmtId="0" fontId="33" fillId="0" borderId="41" applyNumberFormat="0" applyFill="0" applyBorder="0" applyAlignment="0" applyProtection="0"/>
    <xf numFmtId="0" fontId="33" fillId="0" borderId="0"/>
    <xf numFmtId="0" fontId="33" fillId="0" borderId="41" applyNumberFormat="0" applyFill="0" applyBorder="0" applyAlignment="0" applyProtection="0"/>
    <xf numFmtId="0" fontId="139" fillId="0" borderId="69" applyNumberFormat="0" applyFill="0" applyAlignment="0" applyProtection="0"/>
    <xf numFmtId="0" fontId="33" fillId="0" borderId="0"/>
    <xf numFmtId="0" fontId="33" fillId="0" borderId="0"/>
    <xf numFmtId="0" fontId="139" fillId="0" borderId="70" applyNumberFormat="0" applyFill="0" applyAlignment="0" applyProtection="0"/>
    <xf numFmtId="0" fontId="33" fillId="0" borderId="0"/>
    <xf numFmtId="0" fontId="139" fillId="0" borderId="69" applyNumberFormat="0" applyFill="0" applyAlignment="0" applyProtection="0"/>
    <xf numFmtId="0" fontId="139" fillId="0" borderId="70" applyNumberFormat="0" applyFill="0" applyAlignment="0" applyProtection="0"/>
    <xf numFmtId="0" fontId="33" fillId="0" borderId="0"/>
    <xf numFmtId="0" fontId="33" fillId="0" borderId="41" applyNumberFormat="0" applyFill="0" applyBorder="0" applyAlignment="0" applyProtection="0"/>
    <xf numFmtId="0" fontId="33" fillId="0" borderId="0"/>
    <xf numFmtId="0" fontId="139" fillId="0" borderId="70" applyNumberFormat="0" applyFill="0" applyAlignment="0" applyProtection="0"/>
    <xf numFmtId="0" fontId="33" fillId="0" borderId="0"/>
    <xf numFmtId="0" fontId="33" fillId="0" borderId="41" applyNumberFormat="0" applyFill="0" applyBorder="0" applyAlignment="0" applyProtection="0"/>
    <xf numFmtId="0" fontId="33" fillId="0" borderId="0"/>
    <xf numFmtId="0" fontId="33" fillId="0" borderId="0"/>
    <xf numFmtId="193" fontId="33" fillId="0" borderId="45">
      <protection locked="0"/>
    </xf>
    <xf numFmtId="0" fontId="53" fillId="0" borderId="18" applyNumberFormat="0" applyFill="0" applyAlignment="0" applyProtection="0"/>
    <xf numFmtId="0" fontId="33" fillId="0" borderId="0"/>
    <xf numFmtId="0" fontId="33" fillId="0" borderId="0"/>
    <xf numFmtId="193" fontId="33" fillId="0" borderId="45">
      <protection locked="0"/>
    </xf>
    <xf numFmtId="0" fontId="33" fillId="0" borderId="0"/>
    <xf numFmtId="0" fontId="33" fillId="0" borderId="0"/>
    <xf numFmtId="0" fontId="33" fillId="0" borderId="0"/>
    <xf numFmtId="193" fontId="33" fillId="0" borderId="45">
      <protection locked="0"/>
    </xf>
    <xf numFmtId="0" fontId="33" fillId="0" borderId="0"/>
    <xf numFmtId="0" fontId="33" fillId="0" borderId="0"/>
    <xf numFmtId="0" fontId="33" fillId="0" borderId="0"/>
    <xf numFmtId="193" fontId="33" fillId="0" borderId="45">
      <protection locked="0"/>
    </xf>
    <xf numFmtId="0" fontId="33" fillId="0" borderId="0"/>
    <xf numFmtId="0" fontId="33" fillId="0" borderId="0"/>
    <xf numFmtId="0" fontId="33" fillId="0" borderId="0"/>
    <xf numFmtId="193" fontId="33" fillId="0" borderId="45">
      <protection locked="0"/>
    </xf>
    <xf numFmtId="0" fontId="33" fillId="0" borderId="0"/>
    <xf numFmtId="0" fontId="33" fillId="0" borderId="0"/>
    <xf numFmtId="0" fontId="33" fillId="0" borderId="0"/>
    <xf numFmtId="0" fontId="33" fillId="0" borderId="0"/>
    <xf numFmtId="0" fontId="33" fillId="0" borderId="0"/>
    <xf numFmtId="0" fontId="53" fillId="0" borderId="18" applyNumberFormat="0" applyFill="0" applyAlignment="0" applyProtection="0"/>
    <xf numFmtId="0" fontId="33" fillId="0" borderId="0"/>
    <xf numFmtId="0" fontId="33" fillId="0" borderId="0"/>
    <xf numFmtId="37" fontId="80" fillId="77" borderId="0" applyNumberFormat="0" applyBorder="0" applyAlignment="0" applyProtection="0"/>
    <xf numFmtId="0" fontId="33" fillId="0" borderId="0"/>
    <xf numFmtId="0" fontId="33" fillId="0" borderId="0"/>
    <xf numFmtId="0" fontId="33" fillId="0" borderId="0"/>
    <xf numFmtId="37" fontId="80" fillId="77" borderId="0" applyNumberFormat="0" applyBorder="0" applyAlignment="0" applyProtection="0"/>
    <xf numFmtId="0" fontId="33" fillId="0" borderId="0"/>
    <xf numFmtId="0" fontId="33" fillId="0" borderId="0"/>
    <xf numFmtId="0" fontId="33" fillId="0" borderId="0"/>
    <xf numFmtId="37" fontId="80" fillId="0" borderId="0"/>
    <xf numFmtId="0" fontId="33" fillId="0" borderId="0"/>
    <xf numFmtId="0" fontId="33" fillId="0" borderId="0"/>
    <xf numFmtId="3" fontId="140" fillId="0" borderId="31" applyProtection="0"/>
    <xf numFmtId="0" fontId="33" fillId="0" borderId="0"/>
    <xf numFmtId="0" fontId="33" fillId="0" borderId="0"/>
    <xf numFmtId="166" fontId="141" fillId="0" borderId="0" applyFont="0" applyFill="0" applyBorder="0" applyAlignment="0" applyProtection="0"/>
    <xf numFmtId="0" fontId="33" fillId="0" borderId="0"/>
    <xf numFmtId="0" fontId="33" fillId="0" borderId="0"/>
    <xf numFmtId="0" fontId="33" fillId="0" borderId="0"/>
    <xf numFmtId="208" fontId="81" fillId="0" borderId="0" applyFont="0" applyFill="0" applyBorder="0" applyAlignment="0" applyProtection="0"/>
    <xf numFmtId="0" fontId="33" fillId="0" borderId="0"/>
    <xf numFmtId="0" fontId="33" fillId="0" borderId="0"/>
    <xf numFmtId="0" fontId="33" fillId="0" borderId="0"/>
    <xf numFmtId="209" fontId="81" fillId="0" borderId="0" applyFont="0" applyFill="0" applyBorder="0" applyAlignment="0" applyProtection="0"/>
    <xf numFmtId="0" fontId="33" fillId="0" borderId="0"/>
    <xf numFmtId="0" fontId="33" fillId="0" borderId="0"/>
    <xf numFmtId="0" fontId="33" fillId="0" borderId="0"/>
    <xf numFmtId="210" fontId="81" fillId="0" borderId="0" applyFon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33" fillId="0" borderId="0"/>
    <xf numFmtId="0" fontId="179" fillId="0" borderId="0" applyNumberFormat="0" applyFill="0" applyBorder="0" applyAlignment="0" applyProtection="0"/>
    <xf numFmtId="0" fontId="142" fillId="0" borderId="0" applyNumberFormat="0" applyFill="0" applyBorder="0" applyAlignment="0" applyProtection="0"/>
    <xf numFmtId="0" fontId="33" fillId="0" borderId="0"/>
    <xf numFmtId="0" fontId="179" fillId="0" borderId="0" applyNumberFormat="0" applyFill="0" applyBorder="0" applyAlignment="0" applyProtection="0"/>
    <xf numFmtId="0" fontId="142" fillId="0" borderId="0" applyNumberFormat="0" applyFill="0" applyBorder="0" applyAlignment="0" applyProtection="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2" fillId="0" borderId="0" applyNumberFormat="0" applyFill="0" applyBorder="0" applyAlignment="0" applyProtection="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2" fillId="0" borderId="0" applyNumberFormat="0" applyFill="0" applyBorder="0" applyAlignment="0" applyProtection="0"/>
    <xf numFmtId="0" fontId="33" fillId="0" borderId="0"/>
    <xf numFmtId="0" fontId="33" fillId="0" borderId="0"/>
    <xf numFmtId="1" fontId="33" fillId="0" borderId="0" applyFont="0" applyFill="0" applyBorder="0">
      <alignment horizontal="center"/>
    </xf>
    <xf numFmtId="0" fontId="33" fillId="0" borderId="0"/>
    <xf numFmtId="0" fontId="33" fillId="0" borderId="0"/>
    <xf numFmtId="0" fontId="33" fillId="0" borderId="0"/>
    <xf numFmtId="0" fontId="144" fillId="0" borderId="0" applyFill="0" applyBorder="0" applyAlignment="0" applyProtection="0"/>
    <xf numFmtId="0" fontId="33" fillId="0" borderId="0"/>
    <xf numFmtId="0" fontId="33" fillId="0" borderId="0"/>
    <xf numFmtId="0" fontId="33" fillId="0" borderId="0"/>
    <xf numFmtId="0" fontId="145" fillId="0" borderId="0"/>
    <xf numFmtId="0" fontId="33" fillId="0" borderId="0"/>
    <xf numFmtId="0" fontId="33" fillId="0" borderId="0"/>
    <xf numFmtId="0" fontId="25" fillId="0" borderId="0"/>
    <xf numFmtId="0" fontId="25" fillId="0" borderId="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44" fontId="33" fillId="0" borderId="0" applyFont="0" applyFill="0" applyBorder="0" applyAlignment="0" applyProtection="0"/>
    <xf numFmtId="0" fontId="69" fillId="48" borderId="80" applyNumberFormat="0" applyAlignment="0" applyProtection="0"/>
    <xf numFmtId="0" fontId="70" fillId="121" borderId="80" applyNumberFormat="0" applyAlignment="0" applyProtection="0"/>
    <xf numFmtId="0" fontId="154" fillId="122" borderId="81" applyNumberFormat="0" applyAlignment="0" applyProtection="0"/>
    <xf numFmtId="0" fontId="69" fillId="48" borderId="80" applyNumberFormat="0" applyAlignment="0" applyProtection="0"/>
    <xf numFmtId="0" fontId="154" fillId="122" borderId="81" applyNumberFormat="0" applyAlignment="0" applyProtection="0"/>
    <xf numFmtId="0" fontId="154" fillId="122" borderId="81"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10" fontId="80" fillId="74" borderId="71" applyNumberFormat="0" applyBorder="0" applyAlignment="0" applyProtection="0"/>
    <xf numFmtId="0" fontId="93" fillId="43" borderId="80" applyNumberFormat="0" applyAlignment="0" applyProtection="0"/>
    <xf numFmtId="0" fontId="165" fillId="67" borderId="81" applyNumberFormat="0" applyAlignment="0" applyProtection="0"/>
    <xf numFmtId="0" fontId="93" fillId="43" borderId="80" applyNumberFormat="0" applyAlignment="0" applyProtection="0"/>
    <xf numFmtId="0" fontId="165" fillId="67" borderId="81" applyNumberFormat="0" applyAlignment="0" applyProtection="0"/>
    <xf numFmtId="0" fontId="165" fillId="67" borderId="81"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165" fillId="67" borderId="80" applyNumberFormat="0" applyAlignment="0" applyProtection="0"/>
    <xf numFmtId="0" fontId="93" fillId="43" borderId="80" applyNumberFormat="0" applyAlignment="0" applyProtection="0"/>
    <xf numFmtId="0" fontId="165" fillId="67"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33" fillId="66" borderId="82" applyNumberFormat="0" applyFont="0" applyAlignment="0" applyProtection="0"/>
    <xf numFmtId="0" fontId="33" fillId="39" borderId="82" applyNumberFormat="0" applyFont="0" applyAlignment="0" applyProtection="0"/>
    <xf numFmtId="0" fontId="80" fillId="66" borderId="81" applyNumberFormat="0" applyFont="0" applyAlignment="0" applyProtection="0"/>
    <xf numFmtId="0" fontId="68" fillId="39" borderId="82" applyNumberFormat="0" applyFont="0" applyAlignment="0" applyProtection="0"/>
    <xf numFmtId="0" fontId="80" fillId="66" borderId="81" applyNumberFormat="0" applyFont="0" applyAlignment="0" applyProtection="0"/>
    <xf numFmtId="0" fontId="68" fillId="39" borderId="82" applyNumberFormat="0" applyFont="0" applyAlignment="0" applyProtection="0"/>
    <xf numFmtId="0" fontId="68" fillId="39" borderId="82" applyNumberFormat="0" applyFont="0" applyAlignment="0" applyProtection="0"/>
    <xf numFmtId="0" fontId="33" fillId="39" borderId="82" applyNumberFormat="0" applyFont="0" applyAlignment="0" applyProtection="0"/>
    <xf numFmtId="0" fontId="80" fillId="66" borderId="81" applyNumberFormat="0" applyFont="0" applyAlignment="0" applyProtection="0"/>
    <xf numFmtId="0" fontId="33" fillId="39" borderId="80" applyNumberFormat="0" applyFont="0" applyAlignment="0" applyProtection="0"/>
    <xf numFmtId="0" fontId="33" fillId="39" borderId="80" applyNumberFormat="0" applyFont="0" applyAlignment="0" applyProtection="0"/>
    <xf numFmtId="0" fontId="80" fillId="66" borderId="81" applyNumberFormat="0" applyFont="0" applyAlignment="0" applyProtection="0"/>
    <xf numFmtId="0" fontId="33" fillId="39" borderId="80" applyNumberFormat="0" applyFont="0" applyAlignment="0" applyProtection="0"/>
    <xf numFmtId="0" fontId="33" fillId="39" borderId="80" applyNumberFormat="0" applyFont="0" applyAlignment="0" applyProtection="0"/>
    <xf numFmtId="0" fontId="33" fillId="39" borderId="80" applyNumberFormat="0" applyFont="0" applyAlignment="0" applyProtection="0"/>
    <xf numFmtId="0" fontId="102" fillId="121" borderId="76" applyNumberFormat="0" applyAlignment="0" applyProtection="0"/>
    <xf numFmtId="0" fontId="102" fillId="122" borderId="76" applyNumberFormat="0" applyAlignment="0" applyProtection="0"/>
    <xf numFmtId="0" fontId="102" fillId="48" borderId="76" applyNumberFormat="0" applyAlignment="0" applyProtection="0"/>
    <xf numFmtId="0" fontId="102" fillId="122" borderId="76" applyNumberFormat="0" applyAlignment="0" applyProtection="0"/>
    <xf numFmtId="0" fontId="102" fillId="48" borderId="76" applyNumberFormat="0" applyAlignment="0" applyProtection="0"/>
    <xf numFmtId="0" fontId="102" fillId="48" borderId="76" applyNumberFormat="0" applyAlignment="0" applyProtection="0"/>
    <xf numFmtId="0" fontId="102" fillId="41" borderId="76" applyNumberFormat="0" applyAlignment="0" applyProtection="0"/>
    <xf numFmtId="0" fontId="102" fillId="41" borderId="76" applyNumberFormat="0" applyAlignment="0" applyProtection="0"/>
    <xf numFmtId="0" fontId="102" fillId="41" borderId="76" applyNumberFormat="0" applyAlignment="0" applyProtection="0"/>
    <xf numFmtId="0" fontId="102" fillId="41" borderId="76" applyNumberFormat="0" applyAlignment="0" applyProtection="0"/>
    <xf numFmtId="0" fontId="102" fillId="41" borderId="76" applyNumberFormat="0" applyAlignment="0" applyProtection="0"/>
    <xf numFmtId="0" fontId="105" fillId="0" borderId="20" applyNumberFormat="0" applyFill="0" applyBorder="0" applyAlignment="0" applyProtection="0">
      <protection hidden="1"/>
    </xf>
    <xf numFmtId="4" fontId="80" fillId="76" borderId="81" applyNumberFormat="0" applyProtection="0">
      <alignment vertical="center"/>
    </xf>
    <xf numFmtId="4" fontId="68" fillId="77" borderId="76" applyNumberFormat="0" applyProtection="0">
      <alignment vertical="center"/>
    </xf>
    <xf numFmtId="4" fontId="80" fillId="76" borderId="81" applyNumberFormat="0" applyProtection="0">
      <alignment vertical="center"/>
    </xf>
    <xf numFmtId="4" fontId="80" fillId="76" borderId="81" applyNumberFormat="0" applyProtection="0">
      <alignment vertical="center"/>
    </xf>
    <xf numFmtId="4" fontId="80" fillId="76" borderId="81" applyNumberFormat="0" applyProtection="0">
      <alignment vertical="center"/>
    </xf>
    <xf numFmtId="4" fontId="68" fillId="77" borderId="76" applyNumberFormat="0" applyProtection="0">
      <alignment vertical="center"/>
    </xf>
    <xf numFmtId="4" fontId="80" fillId="76" borderId="81" applyNumberFormat="0" applyProtection="0">
      <alignment vertical="center"/>
    </xf>
    <xf numFmtId="4" fontId="108" fillId="78" borderId="71" applyNumberFormat="0" applyProtection="0">
      <alignment horizontal="right" vertical="center" wrapText="1"/>
    </xf>
    <xf numFmtId="4" fontId="68" fillId="77" borderId="76" applyNumberFormat="0" applyProtection="0">
      <alignment vertical="center"/>
    </xf>
    <xf numFmtId="4" fontId="68" fillId="77" borderId="76" applyNumberFormat="0" applyProtection="0">
      <alignment vertical="center"/>
    </xf>
    <xf numFmtId="4" fontId="112" fillId="76" borderId="83" applyNumberFormat="0" applyProtection="0">
      <alignment vertical="center"/>
    </xf>
    <xf numFmtId="4" fontId="169" fillId="77" borderId="81" applyNumberFormat="0" applyProtection="0">
      <alignment vertical="center"/>
    </xf>
    <xf numFmtId="4" fontId="169" fillId="77" borderId="81" applyNumberFormat="0" applyProtection="0">
      <alignment vertical="center"/>
    </xf>
    <xf numFmtId="4" fontId="109" fillId="77" borderId="83" applyNumberFormat="0" applyProtection="0">
      <alignment vertical="center"/>
    </xf>
    <xf numFmtId="4" fontId="118" fillId="77" borderId="76" applyNumberFormat="0" applyProtection="0">
      <alignment vertical="center"/>
    </xf>
    <xf numFmtId="4" fontId="118" fillId="77" borderId="76" applyNumberFormat="0" applyProtection="0">
      <alignment vertical="center"/>
    </xf>
    <xf numFmtId="4" fontId="109" fillId="76" borderId="83" applyNumberFormat="0" applyProtection="0">
      <alignment vertical="center"/>
    </xf>
    <xf numFmtId="4" fontId="80" fillId="77" borderId="81" applyNumberFormat="0" applyProtection="0">
      <alignment horizontal="left" vertical="center" indent="1"/>
    </xf>
    <xf numFmtId="4" fontId="80" fillId="77" borderId="81" applyNumberFormat="0" applyProtection="0">
      <alignment horizontal="left" vertical="center" indent="1"/>
    </xf>
    <xf numFmtId="4" fontId="80" fillId="77" borderId="81" applyNumberFormat="0" applyProtection="0">
      <alignment horizontal="left" vertical="center" indent="1"/>
    </xf>
    <xf numFmtId="4" fontId="80" fillId="77" borderId="81" applyNumberFormat="0" applyProtection="0">
      <alignment horizontal="left" vertical="center" indent="1"/>
    </xf>
    <xf numFmtId="4" fontId="108" fillId="78" borderId="71" applyNumberFormat="0" applyProtection="0">
      <alignment horizontal="left" vertical="center" indent="1"/>
    </xf>
    <xf numFmtId="4" fontId="68" fillId="77" borderId="76" applyNumberFormat="0" applyProtection="0">
      <alignment horizontal="left" vertical="center" indent="1"/>
    </xf>
    <xf numFmtId="4" fontId="68" fillId="77" borderId="76" applyNumberFormat="0" applyProtection="0">
      <alignment horizontal="left" vertical="center" indent="1"/>
    </xf>
    <xf numFmtId="4" fontId="112" fillId="76" borderId="83" applyNumberFormat="0" applyProtection="0">
      <alignment horizontal="left" vertical="center" indent="1"/>
    </xf>
    <xf numFmtId="0" fontId="170" fillId="76" borderId="83" applyNumberFormat="0" applyProtection="0">
      <alignment horizontal="left" vertical="top" indent="1"/>
    </xf>
    <xf numFmtId="0" fontId="170" fillId="76" borderId="83" applyNumberFormat="0" applyProtection="0">
      <alignment horizontal="left" vertical="top" indent="1"/>
    </xf>
    <xf numFmtId="0" fontId="112" fillId="77" borderId="83" applyNumberFormat="0" applyProtection="0">
      <alignment horizontal="left" vertical="top" indent="1"/>
    </xf>
    <xf numFmtId="4" fontId="68" fillId="77" borderId="76" applyNumberFormat="0" applyProtection="0">
      <alignment horizontal="left" vertical="center" indent="1"/>
    </xf>
    <xf numFmtId="4" fontId="68" fillId="77" borderId="76" applyNumberFormat="0" applyProtection="0">
      <alignment horizontal="left" vertical="center" indent="1"/>
    </xf>
    <xf numFmtId="0" fontId="112" fillId="76" borderId="83" applyNumberFormat="0" applyProtection="0">
      <alignment horizontal="left" vertical="top" indent="1"/>
    </xf>
    <xf numFmtId="4" fontId="80" fillId="52" borderId="81" applyNumberFormat="0" applyProtection="0">
      <alignment horizontal="left" vertical="center" indent="1"/>
    </xf>
    <xf numFmtId="4" fontId="80" fillId="52" borderId="81" applyNumberFormat="0" applyProtection="0">
      <alignment horizontal="left" vertical="center" indent="1"/>
    </xf>
    <xf numFmtId="4" fontId="113" fillId="81" borderId="71" applyNumberFormat="0" applyProtection="0">
      <alignment horizontal="left" vertical="center"/>
    </xf>
    <xf numFmtId="4" fontId="80" fillId="52" borderId="81" applyNumberFormat="0" applyProtection="0">
      <alignment horizontal="left" vertical="center" indent="1"/>
    </xf>
    <xf numFmtId="4" fontId="80" fillId="52" borderId="81" applyNumberFormat="0" applyProtection="0">
      <alignment horizontal="left" vertical="center" indent="1"/>
    </xf>
    <xf numFmtId="0" fontId="33" fillId="130" borderId="76" applyNumberFormat="0" applyProtection="0">
      <alignment horizontal="left" vertical="center" indent="1"/>
    </xf>
    <xf numFmtId="4" fontId="113" fillId="81" borderId="71" applyNumberFormat="0" applyProtection="0">
      <alignment horizontal="left" vertical="center"/>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4" fontId="80" fillId="36" borderId="81" applyNumberFormat="0" applyProtection="0">
      <alignment horizontal="right" vertical="center"/>
    </xf>
    <xf numFmtId="4" fontId="80" fillId="36" borderId="81" applyNumberFormat="0" applyProtection="0">
      <alignment horizontal="right" vertical="center"/>
    </xf>
    <xf numFmtId="4" fontId="80" fillId="36" borderId="81" applyNumberFormat="0" applyProtection="0">
      <alignment horizontal="right" vertical="center"/>
    </xf>
    <xf numFmtId="4" fontId="80" fillId="36" borderId="81" applyNumberFormat="0" applyProtection="0">
      <alignment horizontal="right" vertical="center"/>
    </xf>
    <xf numFmtId="4" fontId="68" fillId="36" borderId="83" applyNumberFormat="0" applyProtection="0">
      <alignment horizontal="right" vertical="center"/>
    </xf>
    <xf numFmtId="4" fontId="68" fillId="98" borderId="76" applyNumberFormat="0" applyProtection="0">
      <alignment horizontal="right" vertical="center"/>
    </xf>
    <xf numFmtId="4" fontId="68" fillId="98" borderId="76" applyNumberFormat="0" applyProtection="0">
      <alignment horizontal="right" vertical="center"/>
    </xf>
    <xf numFmtId="4" fontId="68" fillId="36" borderId="83" applyNumberFormat="0" applyProtection="0">
      <alignment horizontal="right" vertical="center"/>
    </xf>
    <xf numFmtId="4" fontId="80" fillId="131" borderId="81" applyNumberFormat="0" applyProtection="0">
      <alignment horizontal="right" vertical="center"/>
    </xf>
    <xf numFmtId="4" fontId="80" fillId="131" borderId="81" applyNumberFormat="0" applyProtection="0">
      <alignment horizontal="right" vertical="center"/>
    </xf>
    <xf numFmtId="4" fontId="80" fillId="131" borderId="81" applyNumberFormat="0" applyProtection="0">
      <alignment horizontal="right" vertical="center"/>
    </xf>
    <xf numFmtId="4" fontId="80" fillId="131" borderId="81" applyNumberFormat="0" applyProtection="0">
      <alignment horizontal="right" vertical="center"/>
    </xf>
    <xf numFmtId="4" fontId="68" fillId="37" borderId="83" applyNumberFormat="0" applyProtection="0">
      <alignment horizontal="right" vertical="center"/>
    </xf>
    <xf numFmtId="4" fontId="68" fillId="132" borderId="76" applyNumberFormat="0" applyProtection="0">
      <alignment horizontal="right" vertical="center"/>
    </xf>
    <xf numFmtId="4" fontId="68" fillId="132" borderId="76" applyNumberFormat="0" applyProtection="0">
      <alignment horizontal="right" vertical="center"/>
    </xf>
    <xf numFmtId="4" fontId="68" fillId="37" borderId="83" applyNumberFormat="0" applyProtection="0">
      <alignment horizontal="right" vertical="center"/>
    </xf>
    <xf numFmtId="4" fontId="80" fillId="61" borderId="84" applyNumberFormat="0" applyProtection="0">
      <alignment horizontal="right" vertical="center"/>
    </xf>
    <xf numFmtId="4" fontId="80" fillId="61" borderId="84" applyNumberFormat="0" applyProtection="0">
      <alignment horizontal="right" vertical="center"/>
    </xf>
    <xf numFmtId="4" fontId="80" fillId="61" borderId="84" applyNumberFormat="0" applyProtection="0">
      <alignment horizontal="right" vertical="center"/>
    </xf>
    <xf numFmtId="4" fontId="80" fillId="61" borderId="84" applyNumberFormat="0" applyProtection="0">
      <alignment horizontal="right" vertical="center"/>
    </xf>
    <xf numFmtId="4" fontId="68" fillId="61" borderId="83" applyNumberFormat="0" applyProtection="0">
      <alignment horizontal="right" vertical="center"/>
    </xf>
    <xf numFmtId="4" fontId="68" fillId="90" borderId="76" applyNumberFormat="0" applyProtection="0">
      <alignment horizontal="right" vertical="center"/>
    </xf>
    <xf numFmtId="4" fontId="68" fillId="90" borderId="76" applyNumberFormat="0" applyProtection="0">
      <alignment horizontal="right" vertical="center"/>
    </xf>
    <xf numFmtId="4" fontId="68" fillId="61" borderId="83" applyNumberFormat="0" applyProtection="0">
      <alignment horizontal="right" vertical="center"/>
    </xf>
    <xf numFmtId="4" fontId="80" fillId="49" borderId="81" applyNumberFormat="0" applyProtection="0">
      <alignment horizontal="right" vertical="center"/>
    </xf>
    <xf numFmtId="4" fontId="80" fillId="49" borderId="81" applyNumberFormat="0" applyProtection="0">
      <alignment horizontal="right" vertical="center"/>
    </xf>
    <xf numFmtId="4" fontId="80" fillId="49" borderId="81" applyNumberFormat="0" applyProtection="0">
      <alignment horizontal="right" vertical="center"/>
    </xf>
    <xf numFmtId="4" fontId="80" fillId="49" borderId="81" applyNumberFormat="0" applyProtection="0">
      <alignment horizontal="right" vertical="center"/>
    </xf>
    <xf numFmtId="4" fontId="68" fillId="49" borderId="83" applyNumberFormat="0" applyProtection="0">
      <alignment horizontal="right" vertical="center"/>
    </xf>
    <xf numFmtId="4" fontId="68" fillId="95" borderId="76" applyNumberFormat="0" applyProtection="0">
      <alignment horizontal="right" vertical="center"/>
    </xf>
    <xf numFmtId="4" fontId="68" fillId="95" borderId="76" applyNumberFormat="0" applyProtection="0">
      <alignment horizontal="right" vertical="center"/>
    </xf>
    <xf numFmtId="4" fontId="68" fillId="49" borderId="83" applyNumberFormat="0" applyProtection="0">
      <alignment horizontal="right" vertical="center"/>
    </xf>
    <xf numFmtId="4" fontId="80" fillId="53" borderId="81" applyNumberFormat="0" applyProtection="0">
      <alignment horizontal="right" vertical="center"/>
    </xf>
    <xf numFmtId="4" fontId="80" fillId="53" borderId="81" applyNumberFormat="0" applyProtection="0">
      <alignment horizontal="right" vertical="center"/>
    </xf>
    <xf numFmtId="4" fontId="80" fillId="53" borderId="81" applyNumberFormat="0" applyProtection="0">
      <alignment horizontal="right" vertical="center"/>
    </xf>
    <xf numFmtId="4" fontId="80" fillId="53" borderId="81" applyNumberFormat="0" applyProtection="0">
      <alignment horizontal="right" vertical="center"/>
    </xf>
    <xf numFmtId="4" fontId="68" fillId="53" borderId="83" applyNumberFormat="0" applyProtection="0">
      <alignment horizontal="right" vertical="center"/>
    </xf>
    <xf numFmtId="4" fontId="68" fillId="133" borderId="76" applyNumberFormat="0" applyProtection="0">
      <alignment horizontal="right" vertical="center"/>
    </xf>
    <xf numFmtId="4" fontId="68" fillId="133" borderId="76" applyNumberFormat="0" applyProtection="0">
      <alignment horizontal="right" vertical="center"/>
    </xf>
    <xf numFmtId="4" fontId="68" fillId="53" borderId="83" applyNumberFormat="0" applyProtection="0">
      <alignment horizontal="right" vertical="center"/>
    </xf>
    <xf numFmtId="4" fontId="80" fillId="68" borderId="81" applyNumberFormat="0" applyProtection="0">
      <alignment horizontal="right" vertical="center"/>
    </xf>
    <xf numFmtId="4" fontId="80" fillId="68" borderId="81" applyNumberFormat="0" applyProtection="0">
      <alignment horizontal="right" vertical="center"/>
    </xf>
    <xf numFmtId="4" fontId="80" fillId="68" borderId="81" applyNumberFormat="0" applyProtection="0">
      <alignment horizontal="right" vertical="center"/>
    </xf>
    <xf numFmtId="4" fontId="80" fillId="68" borderId="81" applyNumberFormat="0" applyProtection="0">
      <alignment horizontal="right" vertical="center"/>
    </xf>
    <xf numFmtId="4" fontId="68" fillId="68" borderId="83" applyNumberFormat="0" applyProtection="0">
      <alignment horizontal="right" vertical="center"/>
    </xf>
    <xf numFmtId="4" fontId="68" fillId="99" borderId="76" applyNumberFormat="0" applyProtection="0">
      <alignment horizontal="right" vertical="center"/>
    </xf>
    <xf numFmtId="4" fontId="68" fillId="99" borderId="76" applyNumberFormat="0" applyProtection="0">
      <alignment horizontal="right" vertical="center"/>
    </xf>
    <xf numFmtId="4" fontId="68" fillId="68" borderId="83" applyNumberFormat="0" applyProtection="0">
      <alignment horizontal="right" vertical="center"/>
    </xf>
    <xf numFmtId="4" fontId="80" fillId="47" borderId="81" applyNumberFormat="0" applyProtection="0">
      <alignment horizontal="right" vertical="center"/>
    </xf>
    <xf numFmtId="4" fontId="80" fillId="47" borderId="81" applyNumberFormat="0" applyProtection="0">
      <alignment horizontal="right" vertical="center"/>
    </xf>
    <xf numFmtId="4" fontId="80" fillId="47" borderId="81" applyNumberFormat="0" applyProtection="0">
      <alignment horizontal="right" vertical="center"/>
    </xf>
    <xf numFmtId="4" fontId="80" fillId="47" borderId="81" applyNumberFormat="0" applyProtection="0">
      <alignment horizontal="right" vertical="center"/>
    </xf>
    <xf numFmtId="4" fontId="68" fillId="47" borderId="83" applyNumberFormat="0" applyProtection="0">
      <alignment horizontal="right" vertical="center"/>
    </xf>
    <xf numFmtId="4" fontId="68" fillId="134" borderId="76" applyNumberFormat="0" applyProtection="0">
      <alignment horizontal="right" vertical="center"/>
    </xf>
    <xf numFmtId="4" fontId="68" fillId="134" borderId="76" applyNumberFormat="0" applyProtection="0">
      <alignment horizontal="right" vertical="center"/>
    </xf>
    <xf numFmtId="4" fontId="68" fillId="47" borderId="83" applyNumberFormat="0" applyProtection="0">
      <alignment horizontal="right" vertical="center"/>
    </xf>
    <xf numFmtId="4" fontId="80" fillId="72" borderId="81" applyNumberFormat="0" applyProtection="0">
      <alignment horizontal="right" vertical="center"/>
    </xf>
    <xf numFmtId="4" fontId="80" fillId="72" borderId="81" applyNumberFormat="0" applyProtection="0">
      <alignment horizontal="right" vertical="center"/>
    </xf>
    <xf numFmtId="4" fontId="80" fillId="72" borderId="81" applyNumberFormat="0" applyProtection="0">
      <alignment horizontal="right" vertical="center"/>
    </xf>
    <xf numFmtId="4" fontId="80" fillId="72" borderId="81" applyNumberFormat="0" applyProtection="0">
      <alignment horizontal="right" vertical="center"/>
    </xf>
    <xf numFmtId="4" fontId="68" fillId="72" borderId="83" applyNumberFormat="0" applyProtection="0">
      <alignment horizontal="right" vertical="center"/>
    </xf>
    <xf numFmtId="4" fontId="68" fillId="135" borderId="76" applyNumberFormat="0" applyProtection="0">
      <alignment horizontal="right" vertical="center"/>
    </xf>
    <xf numFmtId="4" fontId="68" fillId="135" borderId="76" applyNumberFormat="0" applyProtection="0">
      <alignment horizontal="right" vertical="center"/>
    </xf>
    <xf numFmtId="4" fontId="68" fillId="72" borderId="83" applyNumberFormat="0" applyProtection="0">
      <alignment horizontal="right" vertical="center"/>
    </xf>
    <xf numFmtId="4" fontId="80" fillId="46" borderId="81" applyNumberFormat="0" applyProtection="0">
      <alignment horizontal="right" vertical="center"/>
    </xf>
    <xf numFmtId="4" fontId="80" fillId="46" borderId="81" applyNumberFormat="0" applyProtection="0">
      <alignment horizontal="right" vertical="center"/>
    </xf>
    <xf numFmtId="4" fontId="80" fillId="46" borderId="81" applyNumberFormat="0" applyProtection="0">
      <alignment horizontal="right" vertical="center"/>
    </xf>
    <xf numFmtId="4" fontId="80" fillId="46" borderId="81" applyNumberFormat="0" applyProtection="0">
      <alignment horizontal="right" vertical="center"/>
    </xf>
    <xf numFmtId="4" fontId="68" fillId="46" borderId="83" applyNumberFormat="0" applyProtection="0">
      <alignment horizontal="right" vertical="center"/>
    </xf>
    <xf numFmtId="4" fontId="68" fillId="94" borderId="76" applyNumberFormat="0" applyProtection="0">
      <alignment horizontal="right" vertical="center"/>
    </xf>
    <xf numFmtId="4" fontId="68" fillId="94" borderId="76" applyNumberFormat="0" applyProtection="0">
      <alignment horizontal="right" vertical="center"/>
    </xf>
    <xf numFmtId="4" fontId="68" fillId="46" borderId="83" applyNumberFormat="0" applyProtection="0">
      <alignment horizontal="right" vertical="center"/>
    </xf>
    <xf numFmtId="4" fontId="80" fillId="136" borderId="84" applyNumberFormat="0" applyProtection="0">
      <alignment horizontal="left" vertical="center" indent="1"/>
    </xf>
    <xf numFmtId="4" fontId="80" fillId="136" borderId="84" applyNumberFormat="0" applyProtection="0">
      <alignment horizontal="left" vertical="center" indent="1"/>
    </xf>
    <xf numFmtId="4" fontId="80" fillId="136" borderId="84" applyNumberFormat="0" applyProtection="0">
      <alignment horizontal="left" vertical="center" indent="1"/>
    </xf>
    <xf numFmtId="4" fontId="80" fillId="136" borderId="84" applyNumberFormat="0" applyProtection="0">
      <alignment horizontal="left" vertical="center" indent="1"/>
    </xf>
    <xf numFmtId="4" fontId="112" fillId="0" borderId="71" applyNumberFormat="0" applyProtection="0">
      <alignment horizontal="left" vertical="center" indent="1"/>
    </xf>
    <xf numFmtId="4" fontId="112" fillId="137" borderId="76" applyNumberFormat="0" applyProtection="0">
      <alignment horizontal="left" vertical="center" indent="1"/>
    </xf>
    <xf numFmtId="4" fontId="112" fillId="137" borderId="76" applyNumberFormat="0" applyProtection="0">
      <alignment horizontal="left" vertical="center" indent="1"/>
    </xf>
    <xf numFmtId="4" fontId="33" fillId="65" borderId="84" applyNumberFormat="0" applyProtection="0">
      <alignment horizontal="left" vertical="center" indent="1"/>
    </xf>
    <xf numFmtId="4" fontId="33" fillId="65" borderId="84" applyNumberFormat="0" applyProtection="0">
      <alignment horizontal="left" vertical="center" indent="1"/>
    </xf>
    <xf numFmtId="4" fontId="68" fillId="0" borderId="71" applyNumberFormat="0" applyProtection="0">
      <alignment horizontal="left" vertical="center" indent="1"/>
    </xf>
    <xf numFmtId="4" fontId="68" fillId="88" borderId="85" applyNumberFormat="0" applyProtection="0">
      <alignment horizontal="left" vertical="center" indent="1"/>
    </xf>
    <xf numFmtId="4" fontId="68" fillId="88" borderId="85" applyNumberFormat="0" applyProtection="0">
      <alignment horizontal="left" vertical="center" indent="1"/>
    </xf>
    <xf numFmtId="4" fontId="33" fillId="65" borderId="84" applyNumberFormat="0" applyProtection="0">
      <alignment horizontal="left" vertical="center" indent="1"/>
    </xf>
    <xf numFmtId="4" fontId="33" fillId="65" borderId="84" applyNumberFormat="0" applyProtection="0">
      <alignment horizontal="left" vertical="center" indent="1"/>
    </xf>
    <xf numFmtId="4" fontId="80" fillId="104" borderId="81" applyNumberFormat="0" applyProtection="0">
      <alignment horizontal="right" vertical="center"/>
    </xf>
    <xf numFmtId="4" fontId="80" fillId="104" borderId="81" applyNumberFormat="0" applyProtection="0">
      <alignment horizontal="right" vertical="center"/>
    </xf>
    <xf numFmtId="4" fontId="80" fillId="104" borderId="81" applyNumberFormat="0" applyProtection="0">
      <alignment horizontal="right" vertical="center"/>
    </xf>
    <xf numFmtId="4" fontId="80" fillId="104" borderId="81" applyNumberFormat="0" applyProtection="0">
      <alignment horizontal="right" vertical="center"/>
    </xf>
    <xf numFmtId="0" fontId="33" fillId="130" borderId="76" applyNumberFormat="0" applyProtection="0">
      <alignment horizontal="left" vertical="center" indent="1"/>
    </xf>
    <xf numFmtId="4" fontId="116" fillId="48" borderId="83" applyNumberFormat="0" applyProtection="0">
      <alignment horizontal="center" vertical="center"/>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4" fontId="68" fillId="104" borderId="83" applyNumberFormat="0" applyProtection="0">
      <alignment horizontal="right" vertical="center"/>
    </xf>
    <xf numFmtId="0" fontId="33" fillId="130" borderId="76" applyNumberFormat="0" applyProtection="0">
      <alignment horizontal="left" vertical="center" indent="1"/>
    </xf>
    <xf numFmtId="4" fontId="80" fillId="89" borderId="84" applyNumberFormat="0" applyProtection="0">
      <alignment horizontal="left" vertical="center" indent="1"/>
    </xf>
    <xf numFmtId="4" fontId="80" fillId="89" borderId="84" applyNumberFormat="0" applyProtection="0">
      <alignment horizontal="left" vertical="center" indent="1"/>
    </xf>
    <xf numFmtId="4" fontId="80" fillId="89" borderId="84" applyNumberFormat="0" applyProtection="0">
      <alignment horizontal="left" vertical="center" indent="1"/>
    </xf>
    <xf numFmtId="4" fontId="80" fillId="89" borderId="84" applyNumberFormat="0" applyProtection="0">
      <alignment horizontal="left" vertical="center" indent="1"/>
    </xf>
    <xf numFmtId="4" fontId="68" fillId="88" borderId="76" applyNumberFormat="0" applyProtection="0">
      <alignment horizontal="left" vertical="center" indent="1"/>
    </xf>
    <xf numFmtId="4" fontId="68" fillId="88" borderId="76" applyNumberFormat="0" applyProtection="0">
      <alignment horizontal="left" vertical="center" indent="1"/>
    </xf>
    <xf numFmtId="4" fontId="80" fillId="104" borderId="84" applyNumberFormat="0" applyProtection="0">
      <alignment horizontal="left" vertical="center" indent="1"/>
    </xf>
    <xf numFmtId="4" fontId="80" fillId="104" borderId="84" applyNumberFormat="0" applyProtection="0">
      <alignment horizontal="left" vertical="center" indent="1"/>
    </xf>
    <xf numFmtId="4" fontId="80" fillId="104" borderId="84" applyNumberFormat="0" applyProtection="0">
      <alignment horizontal="left" vertical="center" indent="1"/>
    </xf>
    <xf numFmtId="4" fontId="80" fillId="104" borderId="84" applyNumberFormat="0" applyProtection="0">
      <alignment horizontal="left" vertical="center" indent="1"/>
    </xf>
    <xf numFmtId="4" fontId="68" fillId="138" borderId="76" applyNumberFormat="0" applyProtection="0">
      <alignment horizontal="left" vertical="center" indent="1"/>
    </xf>
    <xf numFmtId="4" fontId="68" fillId="138" borderId="76" applyNumberFormat="0" applyProtection="0">
      <alignment horizontal="left" vertical="center" indent="1"/>
    </xf>
    <xf numFmtId="0" fontId="80" fillId="48" borderId="81" applyNumberFormat="0" applyProtection="0">
      <alignment horizontal="left" vertical="center" indent="1"/>
    </xf>
    <xf numFmtId="0" fontId="80" fillId="48" borderId="81" applyNumberFormat="0" applyProtection="0">
      <alignment horizontal="left" vertical="center" indent="1"/>
    </xf>
    <xf numFmtId="0" fontId="113" fillId="84" borderId="71" applyNumberFormat="0" applyProtection="0">
      <alignment horizontal="left" vertical="center" indent="2"/>
    </xf>
    <xf numFmtId="0" fontId="80" fillId="48" borderId="81" applyNumberFormat="0" applyProtection="0">
      <alignment horizontal="left" vertical="center" indent="1"/>
    </xf>
    <xf numFmtId="0" fontId="80" fillId="48" borderId="81" applyNumberFormat="0" applyProtection="0">
      <alignment horizontal="left" vertical="center" indent="1"/>
    </xf>
    <xf numFmtId="0" fontId="33" fillId="138" borderId="76" applyNumberFormat="0" applyProtection="0">
      <alignment horizontal="left" vertical="center" indent="1"/>
    </xf>
    <xf numFmtId="0" fontId="113" fillId="84" borderId="71" applyNumberFormat="0" applyProtection="0">
      <alignment horizontal="left" vertical="center" indent="2"/>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65" borderId="83" applyNumberFormat="0" applyProtection="0">
      <alignment horizontal="left" vertical="center" indent="1"/>
    </xf>
    <xf numFmtId="0" fontId="33" fillId="138" borderId="76" applyNumberFormat="0" applyProtection="0">
      <alignment horizontal="left" vertical="center" indent="1"/>
    </xf>
    <xf numFmtId="0" fontId="33" fillId="83" borderId="83" applyNumberFormat="0" applyProtection="0">
      <alignment horizontal="left" vertical="top" indent="1"/>
    </xf>
    <xf numFmtId="0" fontId="80" fillId="65" borderId="83" applyNumberFormat="0" applyProtection="0">
      <alignment horizontal="left" vertical="top" indent="1"/>
    </xf>
    <xf numFmtId="0" fontId="80" fillId="65" borderId="83" applyNumberFormat="0" applyProtection="0">
      <alignment horizontal="left" vertical="top" indent="1"/>
    </xf>
    <xf numFmtId="0" fontId="33" fillId="138" borderId="76" applyNumberFormat="0" applyProtection="0">
      <alignment horizontal="left" vertical="center" indent="1"/>
    </xf>
    <xf numFmtId="0" fontId="33" fillId="83" borderId="83" applyNumberFormat="0" applyProtection="0">
      <alignment horizontal="left" vertical="top" indent="1"/>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83" borderId="83" applyNumberFormat="0" applyProtection="0">
      <alignment horizontal="left" vertical="top" indent="1"/>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65" borderId="83" applyNumberFormat="0" applyProtection="0">
      <alignment horizontal="left" vertical="top" indent="1"/>
    </xf>
    <xf numFmtId="0" fontId="80" fillId="70" borderId="81" applyNumberFormat="0" applyProtection="0">
      <alignment horizontal="left" vertical="center" indent="1"/>
    </xf>
    <xf numFmtId="0" fontId="80" fillId="70" borderId="81" applyNumberFormat="0" applyProtection="0">
      <alignment horizontal="left" vertical="center" indent="1"/>
    </xf>
    <xf numFmtId="0" fontId="80" fillId="70" borderId="81" applyNumberFormat="0" applyProtection="0">
      <alignment horizontal="left" vertical="center" indent="1"/>
    </xf>
    <xf numFmtId="0" fontId="80" fillId="70" borderId="81" applyNumberFormat="0" applyProtection="0">
      <alignment horizontal="left" vertical="center" indent="1"/>
    </xf>
    <xf numFmtId="0" fontId="33" fillId="82" borderId="76" applyNumberFormat="0" applyProtection="0">
      <alignment horizontal="left" vertical="center" indent="1"/>
    </xf>
    <xf numFmtId="0" fontId="100" fillId="0" borderId="71" applyNumberFormat="0" applyProtection="0">
      <alignment horizontal="left" vertical="center" indent="2"/>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104" borderId="83" applyNumberFormat="0" applyProtection="0">
      <alignment horizontal="left" vertical="center" indent="1"/>
    </xf>
    <xf numFmtId="0" fontId="33" fillId="82" borderId="76" applyNumberFormat="0" applyProtection="0">
      <alignment horizontal="left" vertical="center" indent="1"/>
    </xf>
    <xf numFmtId="0" fontId="33" fillId="85" borderId="83" applyNumberFormat="0" applyProtection="0">
      <alignment horizontal="left" vertical="top" indent="1"/>
    </xf>
    <xf numFmtId="0" fontId="80" fillId="104" borderId="83" applyNumberFormat="0" applyProtection="0">
      <alignment horizontal="left" vertical="top" indent="1"/>
    </xf>
    <xf numFmtId="0" fontId="80" fillId="104" borderId="83" applyNumberFormat="0" applyProtection="0">
      <alignment horizontal="left" vertical="top" indent="1"/>
    </xf>
    <xf numFmtId="0" fontId="33" fillId="82" borderId="76" applyNumberFormat="0" applyProtection="0">
      <alignment horizontal="left" vertical="center" indent="1"/>
    </xf>
    <xf numFmtId="0" fontId="33" fillId="85" borderId="83" applyNumberFormat="0" applyProtection="0">
      <alignment horizontal="left" vertical="top" indent="1"/>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85" borderId="83" applyNumberFormat="0" applyProtection="0">
      <alignment horizontal="left" vertical="top" indent="1"/>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104" borderId="83" applyNumberFormat="0" applyProtection="0">
      <alignment horizontal="left" vertical="top" indent="1"/>
    </xf>
    <xf numFmtId="0" fontId="80" fillId="44" borderId="81" applyNumberFormat="0" applyProtection="0">
      <alignment horizontal="left" vertical="center" indent="1"/>
    </xf>
    <xf numFmtId="0" fontId="80" fillId="44" borderId="81" applyNumberFormat="0" applyProtection="0">
      <alignment horizontal="left" vertical="center" indent="1"/>
    </xf>
    <xf numFmtId="0" fontId="80" fillId="44" borderId="81" applyNumberFormat="0" applyProtection="0">
      <alignment horizontal="left" vertical="center" indent="1"/>
    </xf>
    <xf numFmtId="0" fontId="80" fillId="44" borderId="81" applyNumberFormat="0" applyProtection="0">
      <alignment horizontal="left" vertical="center" indent="1"/>
    </xf>
    <xf numFmtId="0" fontId="33" fillId="73" borderId="76" applyNumberFormat="0" applyProtection="0">
      <alignment horizontal="left" vertical="center" indent="1"/>
    </xf>
    <xf numFmtId="0" fontId="100" fillId="0" borderId="71" applyNumberFormat="0" applyProtection="0">
      <alignment horizontal="left" vertical="center" indent="2"/>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44" borderId="83" applyNumberFormat="0" applyProtection="0">
      <alignment horizontal="left" vertical="center" indent="1"/>
    </xf>
    <xf numFmtId="0" fontId="33" fillId="73" borderId="76" applyNumberFormat="0" applyProtection="0">
      <alignment horizontal="left" vertical="center" indent="1"/>
    </xf>
    <xf numFmtId="0" fontId="33" fillId="69" borderId="83" applyNumberFormat="0" applyProtection="0">
      <alignment horizontal="left" vertical="top" indent="1"/>
    </xf>
    <xf numFmtId="0" fontId="80" fillId="44" borderId="83" applyNumberFormat="0" applyProtection="0">
      <alignment horizontal="left" vertical="top" indent="1"/>
    </xf>
    <xf numFmtId="0" fontId="80" fillId="44" borderId="83" applyNumberFormat="0" applyProtection="0">
      <alignment horizontal="left" vertical="top" indent="1"/>
    </xf>
    <xf numFmtId="0" fontId="33" fillId="73" borderId="76" applyNumberFormat="0" applyProtection="0">
      <alignment horizontal="left" vertical="center" indent="1"/>
    </xf>
    <xf numFmtId="0" fontId="33" fillId="69" borderId="83" applyNumberFormat="0" applyProtection="0">
      <alignment horizontal="left" vertical="top" indent="1"/>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69" borderId="83" applyNumberFormat="0" applyProtection="0">
      <alignment horizontal="left" vertical="top" indent="1"/>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44" borderId="83" applyNumberFormat="0" applyProtection="0">
      <alignment horizontal="left" vertical="top" indent="1"/>
    </xf>
    <xf numFmtId="0" fontId="80" fillId="89" borderId="81" applyNumberFormat="0" applyProtection="0">
      <alignment horizontal="left" vertical="center" indent="1"/>
    </xf>
    <xf numFmtId="0" fontId="80" fillId="89" borderId="81" applyNumberFormat="0" applyProtection="0">
      <alignment horizontal="left" vertical="center" indent="1"/>
    </xf>
    <xf numFmtId="0" fontId="80" fillId="89" borderId="81" applyNumberFormat="0" applyProtection="0">
      <alignment horizontal="left" vertical="center" indent="1"/>
    </xf>
    <xf numFmtId="0" fontId="80" fillId="89" borderId="81" applyNumberFormat="0" applyProtection="0">
      <alignment horizontal="left" vertical="center" indent="1"/>
    </xf>
    <xf numFmtId="0" fontId="33" fillId="130" borderId="76" applyNumberFormat="0" applyProtection="0">
      <alignment horizontal="left" vertical="center" indent="1"/>
    </xf>
    <xf numFmtId="0" fontId="100" fillId="0" borderId="71" applyNumberFormat="0" applyProtection="0">
      <alignment horizontal="left" vertical="center" indent="2"/>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89" borderId="83" applyNumberFormat="0" applyProtection="0">
      <alignment horizontal="left" vertical="center" indent="1"/>
    </xf>
    <xf numFmtId="0" fontId="33" fillId="130" borderId="76" applyNumberFormat="0" applyProtection="0">
      <alignment horizontal="left" vertical="center" indent="1"/>
    </xf>
    <xf numFmtId="0" fontId="33" fillId="86" borderId="83" applyNumberFormat="0" applyProtection="0">
      <alignment horizontal="left" vertical="top" indent="1"/>
    </xf>
    <xf numFmtId="0" fontId="80" fillId="89" borderId="83" applyNumberFormat="0" applyProtection="0">
      <alignment horizontal="left" vertical="top" indent="1"/>
    </xf>
    <xf numFmtId="0" fontId="80" fillId="89" borderId="83" applyNumberFormat="0" applyProtection="0">
      <alignment horizontal="left" vertical="top" indent="1"/>
    </xf>
    <xf numFmtId="0" fontId="33" fillId="130" borderId="76" applyNumberFormat="0" applyProtection="0">
      <alignment horizontal="left" vertical="center" indent="1"/>
    </xf>
    <xf numFmtId="0" fontId="33" fillId="86" borderId="83" applyNumberFormat="0" applyProtection="0">
      <alignment horizontal="left" vertical="top"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86" borderId="83" applyNumberFormat="0" applyProtection="0">
      <alignment horizontal="left" vertical="top"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89" borderId="83" applyNumberFormat="0" applyProtection="0">
      <alignment horizontal="left" vertical="top" indent="1"/>
    </xf>
    <xf numFmtId="0" fontId="33" fillId="87" borderId="71" applyNumberFormat="0">
      <protection locked="0"/>
    </xf>
    <xf numFmtId="0" fontId="33" fillId="87" borderId="71" applyNumberFormat="0">
      <protection locked="0"/>
    </xf>
    <xf numFmtId="0" fontId="33" fillId="87" borderId="71" applyNumberFormat="0">
      <protection locked="0"/>
    </xf>
    <xf numFmtId="0" fontId="33" fillId="87" borderId="71" applyNumberFormat="0">
      <protection locked="0"/>
    </xf>
    <xf numFmtId="0" fontId="114" fillId="65" borderId="86" applyBorder="0"/>
    <xf numFmtId="0" fontId="114" fillId="65" borderId="86" applyBorder="0"/>
    <xf numFmtId="4" fontId="104" fillId="39" borderId="83" applyNumberFormat="0" applyProtection="0">
      <alignment vertical="center"/>
    </xf>
    <xf numFmtId="4" fontId="104" fillId="39" borderId="83" applyNumberFormat="0" applyProtection="0">
      <alignment vertical="center"/>
    </xf>
    <xf numFmtId="4" fontId="68" fillId="74" borderId="83" applyNumberFormat="0" applyProtection="0">
      <alignment vertical="center"/>
    </xf>
    <xf numFmtId="4" fontId="68" fillId="74" borderId="76" applyNumberFormat="0" applyProtection="0">
      <alignment vertical="center"/>
    </xf>
    <xf numFmtId="4" fontId="68" fillId="74" borderId="76" applyNumberFormat="0" applyProtection="0">
      <alignment vertical="center"/>
    </xf>
    <xf numFmtId="4" fontId="68" fillId="39" borderId="83" applyNumberFormat="0" applyProtection="0">
      <alignment vertical="center"/>
    </xf>
    <xf numFmtId="4" fontId="169" fillId="74" borderId="71" applyNumberFormat="0" applyProtection="0">
      <alignment vertical="center"/>
    </xf>
    <xf numFmtId="4" fontId="169" fillId="74" borderId="71" applyNumberFormat="0" applyProtection="0">
      <alignment vertical="center"/>
    </xf>
    <xf numFmtId="4" fontId="118" fillId="74" borderId="83" applyNumberFormat="0" applyProtection="0">
      <alignment vertical="center"/>
    </xf>
    <xf numFmtId="4" fontId="118" fillId="74" borderId="76" applyNumberFormat="0" applyProtection="0">
      <alignment vertical="center"/>
    </xf>
    <xf numFmtId="4" fontId="118" fillId="74" borderId="76" applyNumberFormat="0" applyProtection="0">
      <alignment vertical="center"/>
    </xf>
    <xf numFmtId="4" fontId="118" fillId="39" borderId="83" applyNumberFormat="0" applyProtection="0">
      <alignment vertical="center"/>
    </xf>
    <xf numFmtId="4" fontId="104" fillId="48" borderId="83" applyNumberFormat="0" applyProtection="0">
      <alignment horizontal="left" vertical="center" indent="1"/>
    </xf>
    <xf numFmtId="4" fontId="104" fillId="48" borderId="83" applyNumberFormat="0" applyProtection="0">
      <alignment horizontal="left" vertical="center" indent="1"/>
    </xf>
    <xf numFmtId="4" fontId="68" fillId="74" borderId="76" applyNumberFormat="0" applyProtection="0">
      <alignment horizontal="left" vertical="center" indent="1"/>
    </xf>
    <xf numFmtId="4" fontId="68" fillId="74" borderId="76" applyNumberFormat="0" applyProtection="0">
      <alignment horizontal="left" vertical="center" indent="1"/>
    </xf>
    <xf numFmtId="4" fontId="68" fillId="39" borderId="83" applyNumberFormat="0" applyProtection="0">
      <alignment horizontal="left" vertical="center" indent="1"/>
    </xf>
    <xf numFmtId="0" fontId="104" fillId="39" borderId="83" applyNumberFormat="0" applyProtection="0">
      <alignment horizontal="left" vertical="top" indent="1"/>
    </xf>
    <xf numFmtId="0" fontId="104" fillId="39" borderId="83" applyNumberFormat="0" applyProtection="0">
      <alignment horizontal="left" vertical="top" indent="1"/>
    </xf>
    <xf numFmtId="0" fontId="68" fillId="74" borderId="83" applyNumberFormat="0" applyProtection="0">
      <alignment horizontal="left" vertical="top" indent="1"/>
    </xf>
    <xf numFmtId="4" fontId="68" fillId="74" borderId="76" applyNumberFormat="0" applyProtection="0">
      <alignment horizontal="left" vertical="center" indent="1"/>
    </xf>
    <xf numFmtId="4" fontId="68" fillId="74" borderId="76" applyNumberFormat="0" applyProtection="0">
      <alignment horizontal="left" vertical="center" indent="1"/>
    </xf>
    <xf numFmtId="0" fontId="68" fillId="39" borderId="83" applyNumberFormat="0" applyProtection="0">
      <alignment horizontal="left" vertical="top" indent="1"/>
    </xf>
    <xf numFmtId="4" fontId="80" fillId="0" borderId="81" applyNumberFormat="0" applyProtection="0">
      <alignment horizontal="right" vertical="center"/>
    </xf>
    <xf numFmtId="4" fontId="68" fillId="88" borderId="76" applyNumberFormat="0" applyProtection="0">
      <alignment horizontal="right" vertical="center"/>
    </xf>
    <xf numFmtId="4" fontId="80" fillId="0" borderId="81" applyNumberFormat="0" applyProtection="0">
      <alignment horizontal="right" vertical="center"/>
    </xf>
    <xf numFmtId="4" fontId="80" fillId="0" borderId="81" applyNumberFormat="0" applyProtection="0">
      <alignment horizontal="right" vertical="center"/>
    </xf>
    <xf numFmtId="4" fontId="121" fillId="0" borderId="71" applyNumberFormat="0" applyProtection="0">
      <alignment horizontal="right" vertical="center" wrapText="1"/>
    </xf>
    <xf numFmtId="4" fontId="80" fillId="0" borderId="81" applyNumberFormat="0" applyProtection="0">
      <alignment horizontal="right" vertical="center"/>
    </xf>
    <xf numFmtId="4" fontId="68" fillId="88" borderId="76" applyNumberFormat="0" applyProtection="0">
      <alignment horizontal="right" vertical="center"/>
    </xf>
    <xf numFmtId="4" fontId="80" fillId="0" borderId="81" applyNumberFormat="0" applyProtection="0">
      <alignment horizontal="right" vertical="center"/>
    </xf>
    <xf numFmtId="4" fontId="121" fillId="0" borderId="71" applyNumberFormat="0" applyProtection="0">
      <alignment horizontal="right" vertical="center" wrapText="1"/>
    </xf>
    <xf numFmtId="4" fontId="68" fillId="88" borderId="76" applyNumberFormat="0" applyProtection="0">
      <alignment horizontal="right" vertical="center"/>
    </xf>
    <xf numFmtId="4" fontId="68" fillId="88" borderId="76" applyNumberFormat="0" applyProtection="0">
      <alignment horizontal="right" vertical="center"/>
    </xf>
    <xf numFmtId="4" fontId="68" fillId="89" borderId="83" applyNumberFormat="0" applyProtection="0">
      <alignment horizontal="right" vertical="center"/>
    </xf>
    <xf numFmtId="4" fontId="169" fillId="75" borderId="81" applyNumberFormat="0" applyProtection="0">
      <alignment horizontal="right" vertical="center"/>
    </xf>
    <xf numFmtId="4" fontId="169" fillId="75" borderId="81" applyNumberFormat="0" applyProtection="0">
      <alignment horizontal="right" vertical="center"/>
    </xf>
    <xf numFmtId="4" fontId="118" fillId="89" borderId="83" applyNumberFormat="0" applyProtection="0">
      <alignment horizontal="right" vertical="center"/>
    </xf>
    <xf numFmtId="4" fontId="118" fillId="88" borderId="76" applyNumberFormat="0" applyProtection="0">
      <alignment horizontal="right" vertical="center"/>
    </xf>
    <xf numFmtId="4" fontId="118" fillId="88" borderId="76" applyNumberFormat="0" applyProtection="0">
      <alignment horizontal="right" vertical="center"/>
    </xf>
    <xf numFmtId="4" fontId="118" fillId="89" borderId="83" applyNumberFormat="0" applyProtection="0">
      <alignment horizontal="right" vertical="center"/>
    </xf>
    <xf numFmtId="4" fontId="80" fillId="52" borderId="81" applyNumberFormat="0" applyProtection="0">
      <alignment horizontal="left" vertical="center" indent="1"/>
    </xf>
    <xf numFmtId="4" fontId="80" fillId="52" borderId="81" applyNumberFormat="0" applyProtection="0">
      <alignment horizontal="left" vertical="center" indent="1"/>
    </xf>
    <xf numFmtId="4" fontId="121" fillId="0" borderId="71" applyNumberFormat="0" applyProtection="0">
      <alignment horizontal="left" vertical="center" indent="1"/>
    </xf>
    <xf numFmtId="4" fontId="80" fillId="52" borderId="81" applyNumberFormat="0" applyProtection="0">
      <alignment horizontal="left" vertical="center" indent="1"/>
    </xf>
    <xf numFmtId="4" fontId="80" fillId="52" borderId="81" applyNumberFormat="0" applyProtection="0">
      <alignment horizontal="left" vertical="center" indent="1"/>
    </xf>
    <xf numFmtId="0" fontId="33" fillId="130" borderId="76" applyNumberFormat="0" applyProtection="0">
      <alignment horizontal="left" vertical="center" indent="1"/>
    </xf>
    <xf numFmtId="4" fontId="121" fillId="0" borderId="71"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4" fontId="68" fillId="104" borderId="83" applyNumberFormat="0" applyProtection="0">
      <alignment horizontal="left" vertical="center" indent="1"/>
    </xf>
    <xf numFmtId="0" fontId="33" fillId="130" borderId="76" applyNumberFormat="0" applyProtection="0">
      <alignment horizontal="left" vertical="center" indent="1"/>
    </xf>
    <xf numFmtId="0" fontId="113" fillId="91" borderId="71" applyNumberFormat="0" applyProtection="0">
      <alignment horizontal="center" vertical="top" wrapText="1"/>
    </xf>
    <xf numFmtId="0" fontId="104" fillId="104" borderId="83" applyNumberFormat="0" applyProtection="0">
      <alignment horizontal="left" vertical="top" indent="1"/>
    </xf>
    <xf numFmtId="0" fontId="104" fillId="104" borderId="83" applyNumberFormat="0" applyProtection="0">
      <alignment horizontal="left" vertical="top" indent="1"/>
    </xf>
    <xf numFmtId="0" fontId="33" fillId="130" borderId="76" applyNumberFormat="0" applyProtection="0">
      <alignment horizontal="left" vertical="center" indent="1"/>
    </xf>
    <xf numFmtId="0" fontId="113" fillId="91" borderId="71" applyNumberFormat="0" applyProtection="0">
      <alignment horizontal="center" vertical="top" wrapTex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68" fillId="104" borderId="83" applyNumberFormat="0" applyProtection="0">
      <alignment horizontal="left" vertical="top" indent="1"/>
    </xf>
    <xf numFmtId="0" fontId="33" fillId="130" borderId="76" applyNumberFormat="0" applyProtection="0">
      <alignment horizontal="left" vertical="center" indent="1"/>
    </xf>
    <xf numFmtId="4" fontId="171" fillId="139" borderId="84" applyNumberFormat="0" applyProtection="0">
      <alignment horizontal="left" vertical="center" indent="1"/>
    </xf>
    <xf numFmtId="4" fontId="171" fillId="139" borderId="84" applyNumberFormat="0" applyProtection="0">
      <alignment horizontal="left" vertical="center" indent="1"/>
    </xf>
    <xf numFmtId="0" fontId="80" fillId="140" borderId="71"/>
    <xf numFmtId="0" fontId="80" fillId="140" borderId="71"/>
    <xf numFmtId="0" fontId="80" fillId="140" borderId="71"/>
    <xf numFmtId="0" fontId="80" fillId="140" borderId="71"/>
    <xf numFmtId="0" fontId="80" fillId="140" borderId="71"/>
    <xf numFmtId="4" fontId="174" fillId="87" borderId="81" applyNumberFormat="0" applyProtection="0">
      <alignment horizontal="right" vertical="center"/>
    </xf>
    <xf numFmtId="4" fontId="174" fillId="87" borderId="81" applyNumberFormat="0" applyProtection="0">
      <alignment horizontal="right" vertical="center"/>
    </xf>
    <xf numFmtId="4" fontId="128" fillId="0" borderId="83" applyNumberFormat="0" applyProtection="0">
      <alignment horizontal="right" vertical="center"/>
    </xf>
    <xf numFmtId="4" fontId="128" fillId="88" borderId="76" applyNumberFormat="0" applyProtection="0">
      <alignment horizontal="right" vertical="center"/>
    </xf>
    <xf numFmtId="4" fontId="128" fillId="88" borderId="76" applyNumberFormat="0" applyProtection="0">
      <alignment horizontal="right" vertical="center"/>
    </xf>
    <xf numFmtId="4" fontId="128" fillId="89" borderId="83" applyNumberFormat="0" applyProtection="0">
      <alignment horizontal="right" vertical="center"/>
    </xf>
    <xf numFmtId="195" fontId="134" fillId="0" borderId="77">
      <alignment horizontal="center"/>
    </xf>
    <xf numFmtId="0" fontId="178" fillId="0" borderId="71" applyNumberFormat="0" applyFill="0" applyProtection="0">
      <alignment wrapText="1"/>
    </xf>
    <xf numFmtId="0" fontId="178" fillId="0" borderId="71" applyNumberFormat="0" applyFill="0" applyProtection="0">
      <alignment wrapText="1"/>
    </xf>
    <xf numFmtId="0" fontId="33" fillId="0" borderId="78" applyNumberFormat="0" applyFont="0" applyFill="0" applyAlignment="0" applyProtection="0"/>
    <xf numFmtId="0" fontId="33" fillId="0" borderId="78" applyNumberFormat="0" applyFont="0" applyFill="0" applyAlignment="0" applyProtection="0"/>
    <xf numFmtId="0" fontId="33" fillId="0" borderId="78" applyNumberFormat="0" applyFont="0" applyFill="0" applyAlignment="0" applyProtection="0"/>
    <xf numFmtId="0" fontId="33" fillId="0" borderId="78" applyNumberFormat="0" applyFont="0" applyFill="0" applyAlignment="0" applyProtection="0"/>
    <xf numFmtId="0" fontId="33" fillId="0" borderId="77" applyNumberFormat="0" applyFont="0" applyFill="0" applyAlignment="0" applyProtection="0"/>
    <xf numFmtId="0" fontId="33" fillId="0" borderId="77" applyNumberFormat="0" applyFont="0" applyFill="0" applyAlignment="0" applyProtection="0"/>
    <xf numFmtId="0" fontId="33" fillId="0" borderId="77" applyNumberFormat="0" applyFont="0" applyFill="0" applyAlignment="0" applyProtection="0"/>
    <xf numFmtId="0" fontId="33" fillId="0" borderId="77" applyNumberFormat="0" applyFont="0" applyFill="0" applyAlignment="0" applyProtection="0"/>
    <xf numFmtId="0" fontId="33" fillId="0" borderId="79" applyNumberFormat="0" applyFont="0" applyFill="0" applyAlignment="0" applyProtection="0"/>
    <xf numFmtId="0" fontId="33" fillId="0" borderId="79" applyNumberFormat="0" applyFont="0" applyFill="0" applyAlignment="0" applyProtection="0"/>
    <xf numFmtId="0" fontId="33" fillId="0" borderId="79" applyNumberFormat="0" applyFont="0" applyFill="0" applyAlignment="0" applyProtection="0"/>
    <xf numFmtId="0" fontId="33" fillId="0" borderId="79" applyNumberFormat="0" applyFont="0" applyFill="0" applyAlignment="0" applyProtection="0"/>
    <xf numFmtId="0" fontId="139" fillId="0" borderId="87" applyNumberFormat="0" applyFill="0" applyAlignment="0" applyProtection="0"/>
    <xf numFmtId="0" fontId="139" fillId="0" borderId="88" applyNumberFormat="0" applyFill="0" applyAlignment="0" applyProtection="0"/>
    <xf numFmtId="0" fontId="139" fillId="0" borderId="87" applyNumberFormat="0" applyFill="0" applyAlignment="0" applyProtection="0"/>
    <xf numFmtId="0" fontId="139" fillId="0" borderId="88" applyNumberFormat="0" applyFill="0" applyAlignment="0" applyProtection="0"/>
    <xf numFmtId="0" fontId="139" fillId="0" borderId="88" applyNumberFormat="0" applyFill="0" applyAlignment="0" applyProtection="0"/>
    <xf numFmtId="3" fontId="140" fillId="0" borderId="74" applyProtection="0"/>
    <xf numFmtId="0" fontId="25" fillId="0" borderId="0"/>
    <xf numFmtId="0" fontId="25" fillId="0" borderId="0"/>
    <xf numFmtId="0" fontId="25" fillId="0" borderId="0"/>
    <xf numFmtId="44" fontId="33" fillId="0" borderId="0" applyFont="0" applyFill="0" applyBorder="0" applyAlignment="0" applyProtection="0"/>
    <xf numFmtId="44" fontId="38"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4" fontId="23" fillId="0" borderId="0" applyFont="0" applyFill="0" applyBorder="0" applyAlignment="0" applyProtection="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9" fontId="38" fillId="0" borderId="0" applyFont="0" applyFill="0" applyBorder="0" applyAlignment="0" applyProtection="0"/>
    <xf numFmtId="44" fontId="22" fillId="0" borderId="0" applyFont="0" applyFill="0" applyBorder="0" applyAlignment="0" applyProtection="0"/>
    <xf numFmtId="43" fontId="38" fillId="0" borderId="0" applyFont="0" applyFill="0" applyBorder="0" applyAlignment="0" applyProtection="0"/>
    <xf numFmtId="0" fontId="22" fillId="0" borderId="0"/>
    <xf numFmtId="0" fontId="22" fillId="0" borderId="0"/>
    <xf numFmtId="0" fontId="38"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44" fontId="38" fillId="0" borderId="0" applyFont="0" applyFill="0" applyBorder="0" applyAlignment="0" applyProtection="0"/>
    <xf numFmtId="44" fontId="22" fillId="0" borderId="0" applyFont="0" applyFill="0" applyBorder="0" applyAlignment="0" applyProtection="0"/>
    <xf numFmtId="9" fontId="22" fillId="0" borderId="0" applyFont="0" applyFill="0" applyBorder="0" applyAlignment="0" applyProtection="0"/>
    <xf numFmtId="0" fontId="33" fillId="0" borderId="0"/>
    <xf numFmtId="0" fontId="34" fillId="0" borderId="0"/>
    <xf numFmtId="0" fontId="33" fillId="0" borderId="0"/>
    <xf numFmtId="214" fontId="33" fillId="0" borderId="0" applyFont="0" applyFill="0" applyBorder="0" applyAlignment="0" applyProtection="0"/>
    <xf numFmtId="0" fontId="33" fillId="0" borderId="0"/>
    <xf numFmtId="0" fontId="21" fillId="0" borderId="0"/>
    <xf numFmtId="0" fontId="21" fillId="0" borderId="0"/>
    <xf numFmtId="44" fontId="21" fillId="0" borderId="0" applyFont="0" applyFill="0" applyBorder="0" applyAlignment="0" applyProtection="0"/>
    <xf numFmtId="43" fontId="21" fillId="0" borderId="0" applyFont="0" applyFill="0" applyBorder="0" applyAlignment="0" applyProtection="0"/>
    <xf numFmtId="0" fontId="38" fillId="0" borderId="0"/>
    <xf numFmtId="43" fontId="38" fillId="0" borderId="0" applyFont="0" applyFill="0" applyBorder="0" applyAlignment="0" applyProtection="0"/>
    <xf numFmtId="9" fontId="33" fillId="0" borderId="0" applyFont="0" applyFill="0" applyBorder="0" applyAlignment="0" applyProtection="0"/>
    <xf numFmtId="0" fontId="20" fillId="0" borderId="0"/>
    <xf numFmtId="0" fontId="187" fillId="6" borderId="0" applyNumberFormat="0" applyBorder="0" applyAlignment="0" applyProtection="0"/>
    <xf numFmtId="0" fontId="188" fillId="4" borderId="0" applyNumberFormat="0" applyBorder="0" applyAlignment="0" applyProtection="0"/>
    <xf numFmtId="0" fontId="20" fillId="0" borderId="0"/>
    <xf numFmtId="0" fontId="19" fillId="0" borderId="0"/>
    <xf numFmtId="0" fontId="18" fillId="0" borderId="0"/>
    <xf numFmtId="0" fontId="17" fillId="0" borderId="0"/>
    <xf numFmtId="43" fontId="17" fillId="0" borderId="0" applyFont="0" applyFill="0" applyBorder="0" applyAlignment="0" applyProtection="0"/>
    <xf numFmtId="0" fontId="16" fillId="0" borderId="0"/>
    <xf numFmtId="0" fontId="15" fillId="0" borderId="0"/>
    <xf numFmtId="0" fontId="15" fillId="0" borderId="0"/>
    <xf numFmtId="0" fontId="15" fillId="0" borderId="0"/>
    <xf numFmtId="9" fontId="15" fillId="0" borderId="0" applyFont="0" applyFill="0" applyBorder="0" applyAlignment="0" applyProtection="0"/>
    <xf numFmtId="44" fontId="15" fillId="0" borderId="0" applyFont="0" applyFill="0" applyBorder="0" applyAlignment="0" applyProtection="0"/>
    <xf numFmtId="0" fontId="14" fillId="0" borderId="0"/>
    <xf numFmtId="0" fontId="13" fillId="0" borderId="0"/>
    <xf numFmtId="44"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92" fillId="0" borderId="0" applyNumberForma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2"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9" fontId="11" fillId="0" borderId="0" applyFont="0" applyFill="0" applyBorder="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11" fillId="42" borderId="0" applyNumberFormat="0" applyBorder="0" applyAlignment="0" applyProtection="0"/>
    <xf numFmtId="0" fontId="11" fillId="39" borderId="0" applyNumberFormat="0" applyBorder="0" applyAlignment="0" applyProtection="0"/>
    <xf numFmtId="0" fontId="37" fillId="0" borderId="115">
      <alignment horizontal="left" vertical="center"/>
    </xf>
    <xf numFmtId="0" fontId="37" fillId="0" borderId="115">
      <alignment horizontal="left" vertical="center"/>
    </xf>
    <xf numFmtId="0" fontId="89" fillId="0" borderId="116"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9" borderId="0" applyNumberFormat="0" applyBorder="0" applyAlignment="0" applyProtection="0"/>
    <xf numFmtId="0" fontId="11" fillId="0" borderId="0"/>
    <xf numFmtId="0" fontId="11" fillId="0" borderId="0"/>
    <xf numFmtId="0" fontId="11" fillId="0" borderId="0"/>
    <xf numFmtId="0" fontId="11" fillId="0" borderId="0"/>
    <xf numFmtId="0" fontId="33" fillId="39" borderId="80" applyNumberFormat="0" applyFont="0" applyAlignment="0" applyProtection="0"/>
    <xf numFmtId="0" fontId="102" fillId="41" borderId="7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 fontId="108" fillId="78" borderId="114" applyNumberFormat="0" applyProtection="0">
      <alignment horizontal="right" vertical="center" wrapText="1"/>
    </xf>
    <xf numFmtId="4" fontId="109" fillId="77" borderId="83" applyNumberFormat="0" applyProtection="0">
      <alignment vertical="center"/>
    </xf>
    <xf numFmtId="4" fontId="108" fillId="78" borderId="114" applyNumberFormat="0" applyProtection="0">
      <alignment horizontal="left" vertical="center" indent="1"/>
    </xf>
    <xf numFmtId="0" fontId="112" fillId="77" borderId="83" applyNumberFormat="0" applyProtection="0">
      <alignment horizontal="left" vertical="top" indent="1"/>
    </xf>
    <xf numFmtId="4" fontId="113" fillId="81" borderId="114" applyNumberFormat="0" applyProtection="0">
      <alignment horizontal="left" vertical="center"/>
    </xf>
    <xf numFmtId="4" fontId="113" fillId="81" borderId="114" applyNumberFormat="0" applyProtection="0">
      <alignment horizontal="left" vertical="center"/>
    </xf>
    <xf numFmtId="4" fontId="68" fillId="36" borderId="83" applyNumberFormat="0" applyProtection="0">
      <alignment horizontal="right" vertical="center"/>
    </xf>
    <xf numFmtId="4" fontId="68" fillId="37" borderId="83" applyNumberFormat="0" applyProtection="0">
      <alignment horizontal="right" vertical="center"/>
    </xf>
    <xf numFmtId="4" fontId="68" fillId="61" borderId="83" applyNumberFormat="0" applyProtection="0">
      <alignment horizontal="right" vertical="center"/>
    </xf>
    <xf numFmtId="4" fontId="68" fillId="49" borderId="83" applyNumberFormat="0" applyProtection="0">
      <alignment horizontal="right" vertical="center"/>
    </xf>
    <xf numFmtId="4" fontId="68" fillId="53" borderId="83" applyNumberFormat="0" applyProtection="0">
      <alignment horizontal="right" vertical="center"/>
    </xf>
    <xf numFmtId="4" fontId="68" fillId="68" borderId="83" applyNumberFormat="0" applyProtection="0">
      <alignment horizontal="right" vertical="center"/>
    </xf>
    <xf numFmtId="4" fontId="68" fillId="47" borderId="83" applyNumberFormat="0" applyProtection="0">
      <alignment horizontal="right" vertical="center"/>
    </xf>
    <xf numFmtId="4" fontId="68" fillId="72" borderId="83" applyNumberFormat="0" applyProtection="0">
      <alignment horizontal="right" vertical="center"/>
    </xf>
    <xf numFmtId="4" fontId="68" fillId="46" borderId="83" applyNumberFormat="0" applyProtection="0">
      <alignment horizontal="right" vertical="center"/>
    </xf>
    <xf numFmtId="4" fontId="112" fillId="0" borderId="114" applyNumberFormat="0" applyProtection="0">
      <alignment horizontal="left" vertical="center" indent="1"/>
    </xf>
    <xf numFmtId="4" fontId="68" fillId="0" borderId="114" applyNumberFormat="0" applyProtection="0">
      <alignment horizontal="left" vertical="center" indent="1"/>
    </xf>
    <xf numFmtId="4" fontId="116" fillId="48" borderId="83" applyNumberFormat="0" applyProtection="0">
      <alignment horizontal="center" vertical="center"/>
    </xf>
    <xf numFmtId="4" fontId="117" fillId="75" borderId="118">
      <alignment horizontal="left" vertical="center" indent="1"/>
    </xf>
    <xf numFmtId="0" fontId="113" fillId="84" borderId="114" applyNumberFormat="0" applyProtection="0">
      <alignment horizontal="left" vertical="center" indent="2"/>
    </xf>
    <xf numFmtId="0" fontId="113" fillId="84" borderId="114" applyNumberFormat="0" applyProtection="0">
      <alignment horizontal="left" vertical="center" indent="2"/>
    </xf>
    <xf numFmtId="0" fontId="33" fillId="83" borderId="83" applyNumberFormat="0" applyProtection="0">
      <alignment horizontal="left" vertical="top" indent="1"/>
    </xf>
    <xf numFmtId="0" fontId="100" fillId="0" borderId="114" applyNumberFormat="0" applyProtection="0">
      <alignment horizontal="left" vertical="center" indent="2"/>
    </xf>
    <xf numFmtId="0" fontId="33" fillId="85" borderId="83" applyNumberFormat="0" applyProtection="0">
      <alignment horizontal="left" vertical="top" indent="1"/>
    </xf>
    <xf numFmtId="0" fontId="100" fillId="0" borderId="114" applyNumberFormat="0" applyProtection="0">
      <alignment horizontal="left" vertical="center" indent="2"/>
    </xf>
    <xf numFmtId="0" fontId="33" fillId="69" borderId="83" applyNumberFormat="0" applyProtection="0">
      <alignment horizontal="left" vertical="top" indent="1"/>
    </xf>
    <xf numFmtId="0" fontId="100" fillId="0" borderId="114" applyNumberFormat="0" applyProtection="0">
      <alignment horizontal="left" vertical="center" indent="2"/>
    </xf>
    <xf numFmtId="0" fontId="33" fillId="86" borderId="83" applyNumberFormat="0" applyProtection="0">
      <alignment horizontal="left" vertical="top" indent="1"/>
    </xf>
    <xf numFmtId="0" fontId="33" fillId="87" borderId="114" applyNumberFormat="0">
      <protection locked="0"/>
    </xf>
    <xf numFmtId="0" fontId="33" fillId="87" borderId="114" applyNumberFormat="0">
      <protection locked="0"/>
    </xf>
    <xf numFmtId="0" fontId="33" fillId="87" borderId="114" applyNumberFormat="0">
      <protection locked="0"/>
    </xf>
    <xf numFmtId="4" fontId="68" fillId="74" borderId="83" applyNumberFormat="0" applyProtection="0">
      <alignment vertical="center"/>
    </xf>
    <xf numFmtId="4" fontId="118" fillId="74" borderId="83" applyNumberFormat="0" applyProtection="0">
      <alignment vertical="center"/>
    </xf>
    <xf numFmtId="4" fontId="119" fillId="79" borderId="118">
      <alignment vertical="center"/>
    </xf>
    <xf numFmtId="4" fontId="120" fillId="79" borderId="118">
      <alignment vertical="center"/>
    </xf>
    <xf numFmtId="4" fontId="119" fillId="80" borderId="118">
      <alignment vertical="center"/>
    </xf>
    <xf numFmtId="4" fontId="120" fillId="80" borderId="118">
      <alignment vertical="center"/>
    </xf>
    <xf numFmtId="0" fontId="68" fillId="74" borderId="83" applyNumberFormat="0" applyProtection="0">
      <alignment horizontal="left" vertical="top" indent="1"/>
    </xf>
    <xf numFmtId="4" fontId="121" fillId="0" borderId="114" applyNumberFormat="0" applyProtection="0">
      <alignment horizontal="right" vertical="center" wrapText="1"/>
    </xf>
    <xf numFmtId="4" fontId="118" fillId="89" borderId="83" applyNumberFormat="0" applyProtection="0">
      <alignment horizontal="right" vertical="center"/>
    </xf>
    <xf numFmtId="4" fontId="122" fillId="79" borderId="118">
      <alignment vertical="center"/>
    </xf>
    <xf numFmtId="4" fontId="123" fillId="79" borderId="118">
      <alignment vertical="center"/>
    </xf>
    <xf numFmtId="4" fontId="122" fillId="80" borderId="118">
      <alignment vertical="center"/>
    </xf>
    <xf numFmtId="4" fontId="123" fillId="90" borderId="118">
      <alignment vertical="center"/>
    </xf>
    <xf numFmtId="4" fontId="121" fillId="0" borderId="114" applyNumberFormat="0" applyProtection="0">
      <alignment horizontal="left" vertical="center" indent="1"/>
    </xf>
    <xf numFmtId="4" fontId="121" fillId="0" borderId="114" applyNumberFormat="0" applyProtection="0">
      <alignment horizontal="left" vertical="center" indent="1"/>
    </xf>
    <xf numFmtId="0" fontId="113" fillId="91" borderId="114" applyNumberFormat="0" applyProtection="0">
      <alignment horizontal="center" vertical="top" wrapText="1"/>
    </xf>
    <xf numFmtId="0" fontId="113" fillId="91" borderId="114" applyNumberFormat="0" applyProtection="0">
      <alignment horizontal="center" vertical="top" wrapText="1"/>
    </xf>
    <xf numFmtId="4" fontId="110" fillId="80" borderId="118">
      <alignment vertical="center"/>
    </xf>
    <xf numFmtId="4" fontId="111" fillId="80" borderId="118">
      <alignment vertical="center"/>
    </xf>
    <xf numFmtId="4" fontId="128" fillId="0" borderId="83" applyNumberFormat="0" applyProtection="0">
      <alignment horizontal="right" vertical="center"/>
    </xf>
    <xf numFmtId="195" fontId="134" fillId="0" borderId="119">
      <alignment horizontal="center"/>
    </xf>
    <xf numFmtId="195" fontId="134" fillId="0" borderId="119">
      <alignment horizontal="center"/>
    </xf>
    <xf numFmtId="0" fontId="33" fillId="0" borderId="120" applyNumberFormat="0" applyFill="0" applyBorder="0" applyAlignment="0" applyProtection="0"/>
    <xf numFmtId="193" fontId="33" fillId="0" borderId="121">
      <protection locked="0"/>
    </xf>
    <xf numFmtId="193" fontId="33" fillId="0" borderId="121">
      <protection locked="0"/>
    </xf>
    <xf numFmtId="193" fontId="33" fillId="0" borderId="121">
      <protection locked="0"/>
    </xf>
    <xf numFmtId="193" fontId="33" fillId="0" borderId="121">
      <protection locked="0"/>
    </xf>
    <xf numFmtId="193" fontId="33" fillId="0" borderId="121">
      <protection locked="0"/>
    </xf>
    <xf numFmtId="0" fontId="33" fillId="0" borderId="122" applyNumberFormat="0" applyAlignment="0">
      <alignment horizontal="center"/>
    </xf>
    <xf numFmtId="0" fontId="33" fillId="0" borderId="122" applyNumberFormat="0" applyAlignment="0">
      <alignment horizontal="center"/>
    </xf>
    <xf numFmtId="1" fontId="36" fillId="93" borderId="114" applyNumberFormat="0" applyAlignment="0">
      <alignment horizontal="center"/>
    </xf>
    <xf numFmtId="1" fontId="36" fillId="93" borderId="114" applyNumberFormat="0" applyAlignment="0">
      <alignment horizontal="center"/>
    </xf>
    <xf numFmtId="1" fontId="36" fillId="69" borderId="114" applyNumberFormat="0" applyAlignment="0">
      <alignment horizontal="left"/>
    </xf>
    <xf numFmtId="1" fontId="36" fillId="69" borderId="114" applyNumberFormat="0" applyAlignment="0">
      <alignment horizontal="left"/>
    </xf>
    <xf numFmtId="0" fontId="36" fillId="69" borderId="114" applyNumberFormat="0" applyAlignment="0"/>
    <xf numFmtId="0" fontId="36" fillId="69" borderId="114" applyNumberFormat="0" applyAlignment="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39"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13" borderId="0" applyNumberFormat="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 fontId="108" fillId="78" borderId="114" applyNumberFormat="0" applyProtection="0">
      <alignment horizontal="right" vertical="center" wrapText="1"/>
    </xf>
    <xf numFmtId="4" fontId="108" fillId="78" borderId="114" applyNumberFormat="0" applyProtection="0">
      <alignment horizontal="left" vertical="center" indent="1"/>
    </xf>
    <xf numFmtId="4" fontId="113" fillId="81" borderId="114" applyNumberFormat="0" applyProtection="0">
      <alignment horizontal="left" vertical="center"/>
    </xf>
    <xf numFmtId="4" fontId="113" fillId="81" borderId="114" applyNumberFormat="0" applyProtection="0">
      <alignment horizontal="left" vertical="center"/>
    </xf>
    <xf numFmtId="4" fontId="112" fillId="0" borderId="114" applyNumberFormat="0" applyProtection="0">
      <alignment horizontal="left" vertical="center" indent="1"/>
    </xf>
    <xf numFmtId="4" fontId="68" fillId="0" borderId="114" applyNumberFormat="0" applyProtection="0">
      <alignment horizontal="left" vertical="center" indent="1"/>
    </xf>
    <xf numFmtId="0" fontId="113" fillId="84" borderId="114" applyNumberFormat="0" applyProtection="0">
      <alignment horizontal="left" vertical="center" indent="2"/>
    </xf>
    <xf numFmtId="0" fontId="113" fillId="84" borderId="114" applyNumberFormat="0" applyProtection="0">
      <alignment horizontal="left" vertical="center" indent="2"/>
    </xf>
    <xf numFmtId="0" fontId="100" fillId="0" borderId="114" applyNumberFormat="0" applyProtection="0">
      <alignment horizontal="left" vertical="center" indent="2"/>
    </xf>
    <xf numFmtId="0" fontId="100" fillId="0" borderId="114" applyNumberFormat="0" applyProtection="0">
      <alignment horizontal="left" vertical="center" indent="2"/>
    </xf>
    <xf numFmtId="0" fontId="100" fillId="0" borderId="114" applyNumberFormat="0" applyProtection="0">
      <alignment horizontal="left" vertical="center" indent="2"/>
    </xf>
    <xf numFmtId="0" fontId="33" fillId="87" borderId="114" applyNumberFormat="0">
      <protection locked="0"/>
    </xf>
    <xf numFmtId="0" fontId="33" fillId="87" borderId="114" applyNumberFormat="0">
      <protection locked="0"/>
    </xf>
    <xf numFmtId="0" fontId="33" fillId="87" borderId="114" applyNumberFormat="0">
      <protection locked="0"/>
    </xf>
    <xf numFmtId="4" fontId="121" fillId="0" borderId="114" applyNumberFormat="0" applyProtection="0">
      <alignment horizontal="right" vertical="center" wrapText="1"/>
    </xf>
    <xf numFmtId="4" fontId="121" fillId="0" borderId="114" applyNumberFormat="0" applyProtection="0">
      <alignment horizontal="left" vertical="center" indent="1"/>
    </xf>
    <xf numFmtId="4" fontId="121" fillId="0" borderId="114" applyNumberFormat="0" applyProtection="0">
      <alignment horizontal="left" vertical="center" indent="1"/>
    </xf>
    <xf numFmtId="0" fontId="113" fillId="91" borderId="114" applyNumberFormat="0" applyProtection="0">
      <alignment horizontal="center" vertical="top" wrapText="1"/>
    </xf>
    <xf numFmtId="0" fontId="113" fillId="91" borderId="114" applyNumberFormat="0" applyProtection="0">
      <alignment horizontal="center" vertical="top" wrapText="1"/>
    </xf>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1" fontId="36" fillId="93" borderId="114" applyNumberFormat="0" applyAlignment="0">
      <alignment horizontal="center"/>
    </xf>
    <xf numFmtId="1" fontId="36" fillId="93" borderId="114" applyNumberFormat="0" applyAlignment="0">
      <alignment horizontal="center"/>
    </xf>
    <xf numFmtId="1" fontId="36" fillId="69" borderId="114" applyNumberFormat="0" applyAlignment="0">
      <alignment horizontal="left"/>
    </xf>
    <xf numFmtId="1" fontId="36" fillId="69" borderId="114" applyNumberFormat="0" applyAlignment="0">
      <alignment horizontal="left"/>
    </xf>
    <xf numFmtId="0" fontId="36" fillId="69" borderId="114" applyNumberFormat="0" applyAlignment="0"/>
    <xf numFmtId="0" fontId="36" fillId="69" borderId="114" applyNumberFormat="0" applyAlignment="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39"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32" borderId="0" applyNumberFormat="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0" fontId="11" fillId="42" borderId="0" applyNumberFormat="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3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33" fillId="0" borderId="120" applyNumberFormat="0" applyFill="0" applyBorder="0" applyAlignment="0" applyProtection="0"/>
    <xf numFmtId="0" fontId="33" fillId="0" borderId="120" applyNumberFormat="0" applyFill="0" applyBorder="0" applyAlignment="0" applyProtection="0"/>
    <xf numFmtId="0" fontId="37" fillId="0" borderId="115">
      <alignment horizontal="left" vertical="center"/>
    </xf>
    <xf numFmtId="10" fontId="80" fillId="74" borderId="114" applyNumberFormat="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33" fillId="0" borderId="0"/>
    <xf numFmtId="0" fontId="33" fillId="0" borderId="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8"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44" fontId="11" fillId="0" borderId="0" applyFont="0" applyFill="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54" fillId="122" borderId="124" applyNumberFormat="0" applyAlignment="0" applyProtection="0"/>
    <xf numFmtId="0" fontId="154" fillId="122" borderId="124" applyNumberFormat="0" applyAlignment="0" applyProtection="0"/>
    <xf numFmtId="0" fontId="154" fillId="122" borderId="124"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89" fillId="0" borderId="116" applyNumberFormat="0" applyFill="0" applyAlignment="0" applyProtection="0"/>
    <xf numFmtId="0" fontId="90" fillId="0" borderId="125" applyNumberFormat="0" applyFill="0" applyAlignment="0" applyProtection="0"/>
    <xf numFmtId="0" fontId="90" fillId="0" borderId="126" applyNumberFormat="0" applyFill="0" applyAlignment="0" applyProtection="0"/>
    <xf numFmtId="0" fontId="89" fillId="0" borderId="116" applyNumberFormat="0" applyFill="0" applyAlignment="0" applyProtection="0"/>
    <xf numFmtId="0" fontId="90" fillId="0" borderId="126" applyNumberFormat="0" applyFill="0" applyAlignment="0" applyProtection="0"/>
    <xf numFmtId="0" fontId="90" fillId="0" borderId="126" applyNumberFormat="0" applyFill="0" applyAlignment="0" applyProtection="0"/>
    <xf numFmtId="0" fontId="90" fillId="0" borderId="117" applyNumberFormat="0" applyFill="0" applyAlignment="0" applyProtection="0"/>
    <xf numFmtId="0" fontId="160" fillId="0" borderId="127" applyNumberFormat="0" applyFill="0" applyAlignment="0" applyProtection="0"/>
    <xf numFmtId="0" fontId="165" fillId="67" borderId="124" applyNumberFormat="0" applyAlignment="0" applyProtection="0"/>
    <xf numFmtId="0" fontId="165" fillId="67" borderId="124" applyNumberFormat="0" applyAlignment="0" applyProtection="0"/>
    <xf numFmtId="0" fontId="165" fillId="67" borderId="1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33" fillId="0" borderId="113" applyNumberFormat="0" applyAlignment="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0" fontId="11" fillId="0" borderId="0"/>
    <xf numFmtId="0"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69" borderId="114" applyNumberFormat="0" applyAlignment="0"/>
    <xf numFmtId="1" fontId="36" fillId="69" borderId="114" applyNumberFormat="0" applyAlignment="0">
      <alignment horizontal="left"/>
    </xf>
    <xf numFmtId="1" fontId="36" fillId="93" borderId="114" applyNumberFormat="0" applyAlignment="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113" applyNumberFormat="0" applyAlignment="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80" fillId="66" borderId="124" applyNumberFormat="0" applyFont="0" applyAlignment="0" applyProtection="0"/>
    <xf numFmtId="0" fontId="80" fillId="66" borderId="124"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80" fillId="66" borderId="124"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80" fillId="66" borderId="124"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108" fillId="78" borderId="114" applyNumberFormat="0" applyProtection="0">
      <alignment horizontal="right" vertical="center" wrapText="1"/>
    </xf>
    <xf numFmtId="4" fontId="169" fillId="77" borderId="124" applyNumberFormat="0" applyProtection="0">
      <alignment vertical="center"/>
    </xf>
    <xf numFmtId="4" fontId="169" fillId="77" borderId="124" applyNumberFormat="0" applyProtection="0">
      <alignment vertical="center"/>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108" fillId="78" borderId="114" applyNumberFormat="0" applyProtection="0">
      <alignment horizontal="left" vertical="center"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112" fillId="0" borderId="114"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68" fillId="0" borderId="114" applyNumberFormat="0" applyProtection="0">
      <alignment horizontal="left" vertical="center" indent="1"/>
    </xf>
    <xf numFmtId="4" fontId="68" fillId="88" borderId="129" applyNumberFormat="0" applyProtection="0">
      <alignment horizontal="left" vertical="center" indent="1"/>
    </xf>
    <xf numFmtId="4" fontId="68" fillId="88" borderId="129"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117" fillId="75" borderId="118">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100" fillId="0" borderId="114" applyNumberFormat="0" applyProtection="0">
      <alignment horizontal="left" vertical="center" indent="2"/>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100" fillId="0" borderId="114" applyNumberFormat="0" applyProtection="0">
      <alignment horizontal="left" vertical="center" indent="2"/>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100" fillId="0" borderId="114" applyNumberFormat="0" applyProtection="0">
      <alignment horizontal="left" vertical="center" indent="2"/>
    </xf>
    <xf numFmtId="0" fontId="11" fillId="0" borderId="0"/>
    <xf numFmtId="0" fontId="11" fillId="0" borderId="0"/>
    <xf numFmtId="0" fontId="11" fillId="0" borderId="0"/>
    <xf numFmtId="0" fontId="33" fillId="87" borderId="114" applyNumberFormat="0">
      <protection locked="0"/>
    </xf>
    <xf numFmtId="0" fontId="33" fillId="87" borderId="114" applyNumberFormat="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87" borderId="114" applyNumberFormat="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87" borderId="114" applyNumberFormat="0">
      <protection locked="0"/>
    </xf>
    <xf numFmtId="0" fontId="11" fillId="0" borderId="0"/>
    <xf numFmtId="0" fontId="11" fillId="0" borderId="0"/>
    <xf numFmtId="0" fontId="11" fillId="0" borderId="0"/>
    <xf numFmtId="4" fontId="169" fillId="74" borderId="114" applyNumberFormat="0" applyProtection="0">
      <alignment vertical="center"/>
    </xf>
    <xf numFmtId="4" fontId="169" fillId="74" borderId="114" applyNumberFormat="0" applyProtection="0">
      <alignment vertical="center"/>
    </xf>
    <xf numFmtId="4" fontId="119" fillId="79" borderId="118">
      <alignment vertical="center"/>
    </xf>
    <xf numFmtId="4" fontId="120" fillId="79" borderId="118">
      <alignment vertical="center"/>
    </xf>
    <xf numFmtId="4" fontId="119" fillId="80" borderId="118">
      <alignment vertical="center"/>
    </xf>
    <xf numFmtId="4" fontId="120" fillId="80" borderId="118">
      <alignment vertical="center"/>
    </xf>
    <xf numFmtId="4" fontId="80" fillId="0" borderId="124" applyNumberFormat="0" applyProtection="0">
      <alignment horizontal="right" vertical="center"/>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169" fillId="75" borderId="124" applyNumberFormat="0" applyProtection="0">
      <alignment horizontal="right" vertical="center"/>
    </xf>
    <xf numFmtId="4" fontId="169" fillId="75" borderId="124" applyNumberFormat="0" applyProtection="0">
      <alignment horizontal="right" vertical="center"/>
    </xf>
    <xf numFmtId="4" fontId="122" fillId="79" borderId="118">
      <alignment vertical="center"/>
    </xf>
    <xf numFmtId="4" fontId="123" fillId="79" borderId="118">
      <alignment vertical="center"/>
    </xf>
    <xf numFmtId="4" fontId="122" fillId="80" borderId="118">
      <alignment vertical="center"/>
    </xf>
    <xf numFmtId="4" fontId="123" fillId="90" borderId="118">
      <alignmen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0" fontId="113" fillId="91" borderId="114" applyNumberFormat="0" applyProtection="0">
      <alignment horizontal="center" vertical="top" wrapText="1"/>
    </xf>
    <xf numFmtId="0" fontId="113" fillId="91" borderId="114" applyNumberFormat="0" applyProtection="0">
      <alignment horizontal="center" vertical="top" wrapText="1"/>
    </xf>
    <xf numFmtId="4" fontId="110" fillId="80" borderId="118">
      <alignment vertical="center"/>
    </xf>
    <xf numFmtId="4" fontId="111" fillId="80" borderId="118">
      <alignment vertical="center"/>
    </xf>
    <xf numFmtId="4" fontId="171" fillId="139" borderId="128" applyNumberFormat="0" applyProtection="0">
      <alignment horizontal="left" vertical="center" indent="1"/>
    </xf>
    <xf numFmtId="4" fontId="171" fillId="139" borderId="128" applyNumberFormat="0" applyProtection="0">
      <alignment horizontal="left" vertical="center" indent="1"/>
    </xf>
    <xf numFmtId="0" fontId="80" fillId="140" borderId="114"/>
    <xf numFmtId="0" fontId="80" fillId="140" borderId="114"/>
    <xf numFmtId="0" fontId="80" fillId="140" borderId="114"/>
    <xf numFmtId="0" fontId="80" fillId="140" borderId="114"/>
    <xf numFmtId="0" fontId="80" fillId="140" borderId="114"/>
    <xf numFmtId="4" fontId="174" fillId="87" borderId="124" applyNumberFormat="0" applyProtection="0">
      <alignment horizontal="right" vertical="center"/>
    </xf>
    <xf numFmtId="4" fontId="174" fillId="87" borderId="124" applyNumberFormat="0" applyProtection="0">
      <alignment horizontal="right" vertical="center"/>
    </xf>
    <xf numFmtId="195" fontId="134" fillId="0" borderId="119">
      <alignment horizontal="center"/>
    </xf>
    <xf numFmtId="0" fontId="178" fillId="0" borderId="114" applyNumberFormat="0" applyFill="0" applyProtection="0">
      <alignment wrapText="1"/>
    </xf>
    <xf numFmtId="0" fontId="178" fillId="0" borderId="114" applyNumberFormat="0" applyFill="0" applyProtection="0">
      <alignment wrapText="1"/>
    </xf>
    <xf numFmtId="0" fontId="33" fillId="0" borderId="89" applyNumberFormat="0" applyFont="0" applyFill="0" applyAlignment="0" applyProtection="0"/>
    <xf numFmtId="0" fontId="33" fillId="0" borderId="89" applyNumberFormat="0" applyFont="0" applyFill="0" applyAlignment="0" applyProtection="0"/>
    <xf numFmtId="0" fontId="33" fillId="0" borderId="89" applyNumberFormat="0" applyFont="0" applyFill="0" applyAlignment="0" applyProtection="0"/>
    <xf numFmtId="0" fontId="33" fillId="0" borderId="89" applyNumberFormat="0" applyFont="0" applyFill="0" applyAlignment="0" applyProtection="0"/>
    <xf numFmtId="0" fontId="33" fillId="0" borderId="119" applyNumberFormat="0" applyFont="0" applyFill="0" applyAlignment="0" applyProtection="0"/>
    <xf numFmtId="0" fontId="33" fillId="0" borderId="119" applyNumberFormat="0" applyFont="0" applyFill="0" applyAlignment="0" applyProtection="0"/>
    <xf numFmtId="0" fontId="33" fillId="0" borderId="119" applyNumberFormat="0" applyFont="0" applyFill="0" applyAlignment="0" applyProtection="0"/>
    <xf numFmtId="0" fontId="33" fillId="0" borderId="119" applyNumberFormat="0" applyFont="0" applyFill="0" applyAlignment="0" applyProtection="0"/>
    <xf numFmtId="0" fontId="33" fillId="0" borderId="123" applyNumberFormat="0" applyFont="0" applyFill="0" applyAlignment="0" applyProtection="0"/>
    <xf numFmtId="0" fontId="33" fillId="0" borderId="123" applyNumberFormat="0" applyFont="0" applyFill="0" applyAlignment="0" applyProtection="0"/>
    <xf numFmtId="0" fontId="33" fillId="0" borderId="123" applyNumberFormat="0" applyFont="0" applyFill="0" applyAlignment="0" applyProtection="0"/>
    <xf numFmtId="0" fontId="33" fillId="0" borderId="123" applyNumberFormat="0" applyFont="0" applyFill="0" applyAlignment="0" applyProtection="0"/>
    <xf numFmtId="0" fontId="33" fillId="0" borderId="120" applyNumberFormat="0" applyFill="0" applyBorder="0" applyAlignment="0" applyProtection="0"/>
    <xf numFmtId="0" fontId="33" fillId="0" borderId="120" applyNumberFormat="0" applyFill="0" applyBorder="0" applyAlignment="0" applyProtection="0"/>
    <xf numFmtId="0" fontId="139" fillId="0" borderId="130" applyNumberFormat="0" applyFill="0" applyAlignment="0" applyProtection="0"/>
    <xf numFmtId="0" fontId="139" fillId="0" borderId="131" applyNumberFormat="0" applyFill="0" applyAlignment="0" applyProtection="0"/>
    <xf numFmtId="0" fontId="139" fillId="0" borderId="130" applyNumberFormat="0" applyFill="0" applyAlignment="0" applyProtection="0"/>
    <xf numFmtId="0" fontId="139" fillId="0" borderId="131" applyNumberFormat="0" applyFill="0" applyAlignment="0" applyProtection="0"/>
    <xf numFmtId="0" fontId="33" fillId="0" borderId="120" applyNumberFormat="0" applyFill="0" applyBorder="0" applyAlignment="0" applyProtection="0"/>
    <xf numFmtId="0" fontId="139" fillId="0" borderId="131" applyNumberFormat="0" applyFill="0" applyAlignment="0" applyProtection="0"/>
    <xf numFmtId="0" fontId="33" fillId="0" borderId="120" applyNumberFormat="0" applyFill="0" applyBorder="0" applyAlignment="0" applyProtection="0"/>
    <xf numFmtId="193" fontId="33" fillId="0" borderId="121">
      <protection locked="0"/>
    </xf>
    <xf numFmtId="193" fontId="33" fillId="0" borderId="121">
      <protection locked="0"/>
    </xf>
    <xf numFmtId="193" fontId="33" fillId="0" borderId="121">
      <protection locked="0"/>
    </xf>
    <xf numFmtId="193" fontId="33" fillId="0" borderId="121">
      <protection locked="0"/>
    </xf>
    <xf numFmtId="193" fontId="33" fillId="0" borderId="121">
      <protection locked="0"/>
    </xf>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69" fillId="48" borderId="132" applyNumberFormat="0" applyAlignment="0" applyProtection="0"/>
    <xf numFmtId="0" fontId="70" fillId="121" borderId="132" applyNumberFormat="0" applyAlignment="0" applyProtection="0"/>
    <xf numFmtId="0" fontId="154" fillId="122" borderId="124" applyNumberFormat="0" applyAlignment="0" applyProtection="0"/>
    <xf numFmtId="0" fontId="69" fillId="48" borderId="132" applyNumberFormat="0" applyAlignment="0" applyProtection="0"/>
    <xf numFmtId="0" fontId="154" fillId="122" borderId="124" applyNumberFormat="0" applyAlignment="0" applyProtection="0"/>
    <xf numFmtId="0" fontId="154" fillId="122" borderId="124"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10" fontId="80" fillId="74" borderId="114" applyNumberFormat="0" applyBorder="0" applyAlignment="0" applyProtection="0"/>
    <xf numFmtId="0" fontId="93" fillId="43" borderId="132" applyNumberFormat="0" applyAlignment="0" applyProtection="0"/>
    <xf numFmtId="0" fontId="165" fillId="67" borderId="124" applyNumberFormat="0" applyAlignment="0" applyProtection="0"/>
    <xf numFmtId="0" fontId="93" fillId="43" borderId="132" applyNumberFormat="0" applyAlignment="0" applyProtection="0"/>
    <xf numFmtId="0" fontId="165" fillId="67" borderId="124" applyNumberFormat="0" applyAlignment="0" applyProtection="0"/>
    <xf numFmtId="0" fontId="165" fillId="67" borderId="124"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165" fillId="67" borderId="132" applyNumberFormat="0" applyAlignment="0" applyProtection="0"/>
    <xf numFmtId="0" fontId="93" fillId="43" borderId="132" applyNumberFormat="0" applyAlignment="0" applyProtection="0"/>
    <xf numFmtId="0" fontId="165" fillId="67"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33" fillId="66" borderId="133" applyNumberFormat="0" applyFont="0" applyAlignment="0" applyProtection="0"/>
    <xf numFmtId="0" fontId="33" fillId="39" borderId="133" applyNumberFormat="0" applyFont="0" applyAlignment="0" applyProtection="0"/>
    <xf numFmtId="0" fontId="80" fillId="66" borderId="124" applyNumberFormat="0" applyFont="0" applyAlignment="0" applyProtection="0"/>
    <xf numFmtId="0" fontId="68" fillId="39" borderId="133" applyNumberFormat="0" applyFont="0" applyAlignment="0" applyProtection="0"/>
    <xf numFmtId="0" fontId="80" fillId="66" borderId="124" applyNumberFormat="0" applyFont="0" applyAlignment="0" applyProtection="0"/>
    <xf numFmtId="0" fontId="68" fillId="39" borderId="133" applyNumberFormat="0" applyFont="0" applyAlignment="0" applyProtection="0"/>
    <xf numFmtId="0" fontId="68" fillId="39" borderId="133" applyNumberFormat="0" applyFont="0" applyAlignment="0" applyProtection="0"/>
    <xf numFmtId="0" fontId="33" fillId="39" borderId="133" applyNumberFormat="0" applyFont="0" applyAlignment="0" applyProtection="0"/>
    <xf numFmtId="0" fontId="80" fillId="66" borderId="124" applyNumberFormat="0" applyFont="0" applyAlignment="0" applyProtection="0"/>
    <xf numFmtId="0" fontId="33" fillId="39" borderId="132" applyNumberFormat="0" applyFont="0" applyAlignment="0" applyProtection="0"/>
    <xf numFmtId="0" fontId="33" fillId="39" borderId="132" applyNumberFormat="0" applyFont="0" applyAlignment="0" applyProtection="0"/>
    <xf numFmtId="0" fontId="80" fillId="66" borderId="124" applyNumberFormat="0" applyFont="0" applyAlignment="0" applyProtection="0"/>
    <xf numFmtId="0" fontId="33" fillId="39" borderId="132" applyNumberFormat="0" applyFont="0" applyAlignment="0" applyProtection="0"/>
    <xf numFmtId="0" fontId="33" fillId="39" borderId="132" applyNumberFormat="0" applyFont="0" applyAlignment="0" applyProtection="0"/>
    <xf numFmtId="0" fontId="33" fillId="39" borderId="132" applyNumberFormat="0" applyFont="0" applyAlignment="0" applyProtection="0"/>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108" fillId="78" borderId="114" applyNumberFormat="0" applyProtection="0">
      <alignment horizontal="right" vertical="center" wrapText="1"/>
    </xf>
    <xf numFmtId="4" fontId="112" fillId="76" borderId="134" applyNumberFormat="0" applyProtection="0">
      <alignment vertical="center"/>
    </xf>
    <xf numFmtId="4" fontId="169" fillId="77" borderId="124" applyNumberFormat="0" applyProtection="0">
      <alignment vertical="center"/>
    </xf>
    <xf numFmtId="4" fontId="169" fillId="77" borderId="124" applyNumberFormat="0" applyProtection="0">
      <alignment vertical="center"/>
    </xf>
    <xf numFmtId="4" fontId="109" fillId="77" borderId="134" applyNumberFormat="0" applyProtection="0">
      <alignment vertical="center"/>
    </xf>
    <xf numFmtId="4" fontId="109" fillId="76" borderId="134" applyNumberFormat="0" applyProtection="0">
      <alignment vertical="center"/>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108" fillId="78" borderId="114" applyNumberFormat="0" applyProtection="0">
      <alignment horizontal="left" vertical="center" indent="1"/>
    </xf>
    <xf numFmtId="4" fontId="112" fillId="76" borderId="134" applyNumberFormat="0" applyProtection="0">
      <alignment horizontal="left" vertical="center" indent="1"/>
    </xf>
    <xf numFmtId="0" fontId="170" fillId="76" borderId="134" applyNumberFormat="0" applyProtection="0">
      <alignment horizontal="left" vertical="top" indent="1"/>
    </xf>
    <xf numFmtId="0" fontId="170" fillId="76" borderId="134" applyNumberFormat="0" applyProtection="0">
      <alignment horizontal="left" vertical="top" indent="1"/>
    </xf>
    <xf numFmtId="0" fontId="112" fillId="77" borderId="134" applyNumberFormat="0" applyProtection="0">
      <alignment horizontal="left" vertical="top" indent="1"/>
    </xf>
    <xf numFmtId="0" fontId="112" fillId="76" borderId="134" applyNumberFormat="0" applyProtection="0">
      <alignment horizontal="left" vertical="top"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68" fillId="36" borderId="134" applyNumberFormat="0" applyProtection="0">
      <alignment horizontal="right" vertical="center"/>
    </xf>
    <xf numFmtId="4" fontId="68" fillId="36" borderId="13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68" fillId="37" borderId="134" applyNumberFormat="0" applyProtection="0">
      <alignment horizontal="right" vertical="center"/>
    </xf>
    <xf numFmtId="4" fontId="68" fillId="37" borderId="134"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68" fillId="61" borderId="134" applyNumberFormat="0" applyProtection="0">
      <alignment horizontal="right" vertical="center"/>
    </xf>
    <xf numFmtId="4" fontId="68" fillId="61" borderId="13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68" fillId="49" borderId="134" applyNumberFormat="0" applyProtection="0">
      <alignment horizontal="right" vertical="center"/>
    </xf>
    <xf numFmtId="4" fontId="68" fillId="49" borderId="13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68" fillId="53" borderId="134" applyNumberFormat="0" applyProtection="0">
      <alignment horizontal="right" vertical="center"/>
    </xf>
    <xf numFmtId="4" fontId="68" fillId="53" borderId="13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68" fillId="68" borderId="134" applyNumberFormat="0" applyProtection="0">
      <alignment horizontal="right" vertical="center"/>
    </xf>
    <xf numFmtId="4" fontId="68" fillId="68" borderId="13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68" fillId="47" borderId="134" applyNumberFormat="0" applyProtection="0">
      <alignment horizontal="right" vertical="center"/>
    </xf>
    <xf numFmtId="4" fontId="68" fillId="47" borderId="13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68" fillId="72" borderId="134" applyNumberFormat="0" applyProtection="0">
      <alignment horizontal="right" vertical="center"/>
    </xf>
    <xf numFmtId="4" fontId="68" fillId="72" borderId="13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68" fillId="46" borderId="134" applyNumberFormat="0" applyProtection="0">
      <alignment horizontal="right" vertical="center"/>
    </xf>
    <xf numFmtId="4" fontId="68" fillId="46" borderId="134" applyNumberFormat="0" applyProtection="0">
      <alignment horizontal="right" vertical="center"/>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112" fillId="0" borderId="114"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68" fillId="0" borderId="114"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116" fillId="48" borderId="134" applyNumberFormat="0" applyProtection="0">
      <alignment horizontal="center" vertical="center"/>
    </xf>
    <xf numFmtId="4" fontId="68" fillId="104" borderId="134" applyNumberFormat="0" applyProtection="0">
      <alignment horizontal="right" vertical="center"/>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33" fillId="65" borderId="134" applyNumberFormat="0" applyProtection="0">
      <alignment horizontal="left" vertical="center" indent="1"/>
    </xf>
    <xf numFmtId="0" fontId="33" fillId="83" borderId="134" applyNumberFormat="0" applyProtection="0">
      <alignment horizontal="left" vertical="top" indent="1"/>
    </xf>
    <xf numFmtId="0" fontId="80" fillId="65" borderId="134" applyNumberFormat="0" applyProtection="0">
      <alignment horizontal="left" vertical="top" indent="1"/>
    </xf>
    <xf numFmtId="0" fontId="80" fillId="65" borderId="134" applyNumberFormat="0" applyProtection="0">
      <alignment horizontal="left" vertical="top" indent="1"/>
    </xf>
    <xf numFmtId="0" fontId="33" fillId="83" borderId="134" applyNumberFormat="0" applyProtection="0">
      <alignment horizontal="left" vertical="top" indent="1"/>
    </xf>
    <xf numFmtId="0" fontId="33" fillId="83" borderId="134" applyNumberFormat="0" applyProtection="0">
      <alignment horizontal="left" vertical="top" indent="1"/>
    </xf>
    <xf numFmtId="0" fontId="33" fillId="65" borderId="134" applyNumberFormat="0" applyProtection="0">
      <alignment horizontal="left" vertical="top"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100" fillId="0" borderId="114" applyNumberFormat="0" applyProtection="0">
      <alignment horizontal="left" vertical="center" indent="2"/>
    </xf>
    <xf numFmtId="0" fontId="33" fillId="104" borderId="134" applyNumberFormat="0" applyProtection="0">
      <alignment horizontal="left" vertical="center" indent="1"/>
    </xf>
    <xf numFmtId="0" fontId="33" fillId="85" borderId="134" applyNumberFormat="0" applyProtection="0">
      <alignment horizontal="left" vertical="top" indent="1"/>
    </xf>
    <xf numFmtId="0" fontId="80" fillId="104" borderId="134" applyNumberFormat="0" applyProtection="0">
      <alignment horizontal="left" vertical="top" indent="1"/>
    </xf>
    <xf numFmtId="0" fontId="80" fillId="104" borderId="134" applyNumberFormat="0" applyProtection="0">
      <alignment horizontal="left" vertical="top" indent="1"/>
    </xf>
    <xf numFmtId="0" fontId="33" fillId="85" borderId="134" applyNumberFormat="0" applyProtection="0">
      <alignment horizontal="left" vertical="top" indent="1"/>
    </xf>
    <xf numFmtId="0" fontId="33" fillId="85" borderId="134" applyNumberFormat="0" applyProtection="0">
      <alignment horizontal="left" vertical="top" indent="1"/>
    </xf>
    <xf numFmtId="0" fontId="33" fillId="104" borderId="134" applyNumberFormat="0" applyProtection="0">
      <alignment horizontal="left" vertical="top"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100" fillId="0" borderId="114" applyNumberFormat="0" applyProtection="0">
      <alignment horizontal="left" vertical="center" indent="2"/>
    </xf>
    <xf numFmtId="0" fontId="33" fillId="44" borderId="134" applyNumberFormat="0" applyProtection="0">
      <alignment horizontal="left" vertical="center" indent="1"/>
    </xf>
    <xf numFmtId="0" fontId="33" fillId="69" borderId="134" applyNumberFormat="0" applyProtection="0">
      <alignment horizontal="left" vertical="top" indent="1"/>
    </xf>
    <xf numFmtId="0" fontId="80" fillId="44" borderId="134" applyNumberFormat="0" applyProtection="0">
      <alignment horizontal="left" vertical="top" indent="1"/>
    </xf>
    <xf numFmtId="0" fontId="80" fillId="44" borderId="134" applyNumberFormat="0" applyProtection="0">
      <alignment horizontal="left" vertical="top" indent="1"/>
    </xf>
    <xf numFmtId="0" fontId="33" fillId="69" borderId="134" applyNumberFormat="0" applyProtection="0">
      <alignment horizontal="left" vertical="top" indent="1"/>
    </xf>
    <xf numFmtId="0" fontId="33" fillId="69" borderId="134" applyNumberFormat="0" applyProtection="0">
      <alignment horizontal="left" vertical="top" indent="1"/>
    </xf>
    <xf numFmtId="0" fontId="33" fillId="44" borderId="134" applyNumberFormat="0" applyProtection="0">
      <alignment horizontal="left" vertical="top"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100" fillId="0" borderId="114" applyNumberFormat="0" applyProtection="0">
      <alignment horizontal="left" vertical="center" indent="2"/>
    </xf>
    <xf numFmtId="0" fontId="33" fillId="89" borderId="134" applyNumberFormat="0" applyProtection="0">
      <alignment horizontal="left" vertical="center" indent="1"/>
    </xf>
    <xf numFmtId="0" fontId="33" fillId="86" borderId="134" applyNumberFormat="0" applyProtection="0">
      <alignment horizontal="left" vertical="top" indent="1"/>
    </xf>
    <xf numFmtId="0" fontId="80" fillId="89" borderId="134" applyNumberFormat="0" applyProtection="0">
      <alignment horizontal="left" vertical="top" indent="1"/>
    </xf>
    <xf numFmtId="0" fontId="80" fillId="89" borderId="134" applyNumberFormat="0" applyProtection="0">
      <alignment horizontal="left" vertical="top" indent="1"/>
    </xf>
    <xf numFmtId="0" fontId="33" fillId="86" borderId="134" applyNumberFormat="0" applyProtection="0">
      <alignment horizontal="left" vertical="top" indent="1"/>
    </xf>
    <xf numFmtId="0" fontId="33" fillId="86" borderId="134" applyNumberFormat="0" applyProtection="0">
      <alignment horizontal="left" vertical="top" indent="1"/>
    </xf>
    <xf numFmtId="0" fontId="33" fillId="89" borderId="134" applyNumberFormat="0" applyProtection="0">
      <alignment horizontal="left" vertical="top" indent="1"/>
    </xf>
    <xf numFmtId="0" fontId="33" fillId="87" borderId="114" applyNumberFormat="0">
      <protection locked="0"/>
    </xf>
    <xf numFmtId="0" fontId="33" fillId="87" borderId="114" applyNumberFormat="0">
      <protection locked="0"/>
    </xf>
    <xf numFmtId="0" fontId="33" fillId="87" borderId="114" applyNumberFormat="0">
      <protection locked="0"/>
    </xf>
    <xf numFmtId="0" fontId="33" fillId="87" borderId="114" applyNumberFormat="0">
      <protection locked="0"/>
    </xf>
    <xf numFmtId="0" fontId="114" fillId="65" borderId="135" applyBorder="0"/>
    <xf numFmtId="0" fontId="114" fillId="65" borderId="135" applyBorder="0"/>
    <xf numFmtId="4" fontId="104" fillId="39" borderId="134" applyNumberFormat="0" applyProtection="0">
      <alignment vertical="center"/>
    </xf>
    <xf numFmtId="4" fontId="104" fillId="39" borderId="134" applyNumberFormat="0" applyProtection="0">
      <alignment vertical="center"/>
    </xf>
    <xf numFmtId="4" fontId="68" fillId="74" borderId="134" applyNumberFormat="0" applyProtection="0">
      <alignment vertical="center"/>
    </xf>
    <xf numFmtId="4" fontId="68" fillId="39" borderId="134" applyNumberFormat="0" applyProtection="0">
      <alignment vertical="center"/>
    </xf>
    <xf numFmtId="4" fontId="169" fillId="74" borderId="114" applyNumberFormat="0" applyProtection="0">
      <alignment vertical="center"/>
    </xf>
    <xf numFmtId="4" fontId="169" fillId="74" borderId="114" applyNumberFormat="0" applyProtection="0">
      <alignment vertical="center"/>
    </xf>
    <xf numFmtId="4" fontId="118" fillId="74" borderId="134" applyNumberFormat="0" applyProtection="0">
      <alignment vertical="center"/>
    </xf>
    <xf numFmtId="4" fontId="118" fillId="39" borderId="134" applyNumberFormat="0" applyProtection="0">
      <alignment vertical="center"/>
    </xf>
    <xf numFmtId="4" fontId="104" fillId="48" borderId="134" applyNumberFormat="0" applyProtection="0">
      <alignment horizontal="left" vertical="center" indent="1"/>
    </xf>
    <xf numFmtId="4" fontId="104" fillId="48" borderId="134" applyNumberFormat="0" applyProtection="0">
      <alignment horizontal="left" vertical="center" indent="1"/>
    </xf>
    <xf numFmtId="4" fontId="68" fillId="39" borderId="134" applyNumberFormat="0" applyProtection="0">
      <alignment horizontal="left" vertical="center" indent="1"/>
    </xf>
    <xf numFmtId="0" fontId="104" fillId="39" borderId="134" applyNumberFormat="0" applyProtection="0">
      <alignment horizontal="left" vertical="top" indent="1"/>
    </xf>
    <xf numFmtId="0" fontId="104" fillId="39" borderId="134" applyNumberFormat="0" applyProtection="0">
      <alignment horizontal="left" vertical="top" indent="1"/>
    </xf>
    <xf numFmtId="0" fontId="68" fillId="74" borderId="134" applyNumberFormat="0" applyProtection="0">
      <alignment horizontal="left" vertical="top" indent="1"/>
    </xf>
    <xf numFmtId="0" fontId="68" fillId="39" borderId="134" applyNumberFormat="0" applyProtection="0">
      <alignment horizontal="left" vertical="top" indent="1"/>
    </xf>
    <xf numFmtId="4" fontId="80" fillId="0" borderId="124" applyNumberFormat="0" applyProtection="0">
      <alignment horizontal="right" vertical="center"/>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68" fillId="89" borderId="134" applyNumberFormat="0" applyProtection="0">
      <alignment horizontal="right" vertical="center"/>
    </xf>
    <xf numFmtId="4" fontId="169" fillId="75" borderId="124" applyNumberFormat="0" applyProtection="0">
      <alignment horizontal="right" vertical="center"/>
    </xf>
    <xf numFmtId="4" fontId="169" fillId="75" borderId="124" applyNumberFormat="0" applyProtection="0">
      <alignment horizontal="right" vertical="center"/>
    </xf>
    <xf numFmtId="4" fontId="118" fillId="89" borderId="134" applyNumberFormat="0" applyProtection="0">
      <alignment horizontal="right" vertical="center"/>
    </xf>
    <xf numFmtId="4" fontId="118" fillId="89" borderId="134" applyNumberFormat="0" applyProtection="0">
      <alignment horizontal="righ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4" fontId="68" fillId="104" borderId="134" applyNumberFormat="0" applyProtection="0">
      <alignment horizontal="left" vertical="center" indent="1"/>
    </xf>
    <xf numFmtId="0" fontId="113" fillId="91" borderId="114" applyNumberFormat="0" applyProtection="0">
      <alignment horizontal="center" vertical="top" wrapText="1"/>
    </xf>
    <xf numFmtId="0" fontId="104" fillId="104" borderId="134" applyNumberFormat="0" applyProtection="0">
      <alignment horizontal="left" vertical="top" indent="1"/>
    </xf>
    <xf numFmtId="0" fontId="104" fillId="104" borderId="134" applyNumberFormat="0" applyProtection="0">
      <alignment horizontal="left" vertical="top" indent="1"/>
    </xf>
    <xf numFmtId="0" fontId="113" fillId="91" borderId="114" applyNumberFormat="0" applyProtection="0">
      <alignment horizontal="center" vertical="top" wrapText="1"/>
    </xf>
    <xf numFmtId="0" fontId="68" fillId="104" borderId="134" applyNumberFormat="0" applyProtection="0">
      <alignment horizontal="left" vertical="top" indent="1"/>
    </xf>
    <xf numFmtId="4" fontId="171" fillId="139" borderId="128" applyNumberFormat="0" applyProtection="0">
      <alignment horizontal="left" vertical="center" indent="1"/>
    </xf>
    <xf numFmtId="4" fontId="171" fillId="139" borderId="128" applyNumberFormat="0" applyProtection="0">
      <alignment horizontal="left" vertical="center" indent="1"/>
    </xf>
    <xf numFmtId="0" fontId="80" fillId="140" borderId="114"/>
    <xf numFmtId="0" fontId="80" fillId="140" borderId="114"/>
    <xf numFmtId="0" fontId="80" fillId="140" borderId="114"/>
    <xf numFmtId="0" fontId="80" fillId="140" borderId="114"/>
    <xf numFmtId="0" fontId="80" fillId="140" borderId="114"/>
    <xf numFmtId="4" fontId="174" fillId="87" borderId="124" applyNumberFormat="0" applyProtection="0">
      <alignment horizontal="right" vertical="center"/>
    </xf>
    <xf numFmtId="4" fontId="174" fillId="87" borderId="124" applyNumberFormat="0" applyProtection="0">
      <alignment horizontal="right" vertical="center"/>
    </xf>
    <xf numFmtId="4" fontId="128" fillId="0" borderId="134" applyNumberFormat="0" applyProtection="0">
      <alignment horizontal="right" vertical="center"/>
    </xf>
    <xf numFmtId="4" fontId="128" fillId="89" borderId="134" applyNumberFormat="0" applyProtection="0">
      <alignment horizontal="right" vertical="center"/>
    </xf>
    <xf numFmtId="195" fontId="134" fillId="0" borderId="104">
      <alignment horizontal="center"/>
    </xf>
    <xf numFmtId="0" fontId="178" fillId="0" borderId="114" applyNumberFormat="0" applyFill="0" applyProtection="0">
      <alignment wrapText="1"/>
    </xf>
    <xf numFmtId="0" fontId="178" fillId="0" borderId="114" applyNumberFormat="0" applyFill="0" applyProtection="0">
      <alignment wrapText="1"/>
    </xf>
    <xf numFmtId="0" fontId="33" fillId="0" borderId="104" applyNumberFormat="0" applyFont="0" applyFill="0" applyAlignment="0" applyProtection="0"/>
    <xf numFmtId="0" fontId="33" fillId="0" borderId="104" applyNumberFormat="0" applyFont="0" applyFill="0" applyAlignment="0" applyProtection="0"/>
    <xf numFmtId="0" fontId="33" fillId="0" borderId="104" applyNumberFormat="0" applyFont="0" applyFill="0" applyAlignment="0" applyProtection="0"/>
    <xf numFmtId="0" fontId="33" fillId="0" borderId="104" applyNumberFormat="0" applyFont="0" applyFill="0" applyAlignment="0" applyProtection="0"/>
    <xf numFmtId="0" fontId="139" fillId="0" borderId="130" applyNumberFormat="0" applyFill="0" applyAlignment="0" applyProtection="0"/>
    <xf numFmtId="0" fontId="139" fillId="0" borderId="131" applyNumberFormat="0" applyFill="0" applyAlignment="0" applyProtection="0"/>
    <xf numFmtId="0" fontId="139" fillId="0" borderId="130" applyNumberFormat="0" applyFill="0" applyAlignment="0" applyProtection="0"/>
    <xf numFmtId="0" fontId="139" fillId="0" borderId="131" applyNumberFormat="0" applyFill="0" applyAlignment="0" applyProtection="0"/>
    <xf numFmtId="0" fontId="139" fillId="0" borderId="131" applyNumberFormat="0" applyFill="0" applyAlignment="0" applyProtection="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12" borderId="0" applyNumberFormat="0" applyBorder="0" applyAlignment="0" applyProtection="0"/>
    <xf numFmtId="0" fontId="7" fillId="0" borderId="0"/>
    <xf numFmtId="0" fontId="6" fillId="12" borderId="0" applyNumberFormat="0" applyBorder="0" applyAlignment="0" applyProtection="0"/>
    <xf numFmtId="0" fontId="6" fillId="44" borderId="0" applyNumberFormat="0" applyBorder="0" applyAlignment="0" applyProtection="0"/>
    <xf numFmtId="0" fontId="6" fillId="0" borderId="0"/>
    <xf numFmtId="44" fontId="6" fillId="0" borderId="0" applyFont="0" applyFill="0" applyBorder="0" applyAlignment="0" applyProtection="0"/>
    <xf numFmtId="44" fontId="6" fillId="0" borderId="0" applyFont="0" applyFill="0" applyBorder="0" applyAlignment="0" applyProtection="0"/>
    <xf numFmtId="0" fontId="6"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2"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9" fontId="4" fillId="0" borderId="0" applyFont="0" applyFill="0" applyBorder="0" applyAlignment="0" applyProtection="0"/>
    <xf numFmtId="0" fontId="69" fillId="48" borderId="164" applyNumberFormat="0" applyAlignment="0" applyProtection="0"/>
    <xf numFmtId="0" fontId="69" fillId="48"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4" fillId="42" borderId="0" applyNumberFormat="0" applyBorder="0" applyAlignment="0" applyProtection="0"/>
    <xf numFmtId="0" fontId="4" fillId="39" borderId="0" applyNumberFormat="0" applyBorder="0" applyAlignment="0" applyProtection="0"/>
    <xf numFmtId="0" fontId="91" fillId="0" borderId="165" applyNumberFormat="0" applyFill="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4" fillId="39" borderId="0" applyNumberFormat="0" applyBorder="0" applyAlignment="0" applyProtection="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33" fillId="39" borderId="166"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102" fillId="48" borderId="167" applyNumberFormat="0" applyAlignment="0" applyProtection="0"/>
    <xf numFmtId="0" fontId="102" fillId="48"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68" fillId="77" borderId="167" applyNumberFormat="0" applyProtection="0">
      <alignment vertical="center"/>
    </xf>
    <xf numFmtId="4" fontId="108" fillId="78" borderId="140" applyNumberFormat="0" applyProtection="0">
      <alignment horizontal="right" vertical="center" wrapText="1"/>
    </xf>
    <xf numFmtId="4" fontId="109" fillId="77" borderId="168" applyNumberFormat="0" applyProtection="0">
      <alignment vertical="center"/>
    </xf>
    <xf numFmtId="4" fontId="109" fillId="77" borderId="168" applyNumberFormat="0" applyProtection="0">
      <alignment vertical="center"/>
    </xf>
    <xf numFmtId="4" fontId="108" fillId="78" borderId="140" applyNumberFormat="0" applyProtection="0">
      <alignment horizontal="left" vertical="center" indent="1"/>
    </xf>
    <xf numFmtId="0" fontId="112" fillId="77" borderId="168" applyNumberFormat="0" applyProtection="0">
      <alignment horizontal="left" vertical="top" indent="1"/>
    </xf>
    <xf numFmtId="0" fontId="112" fillId="77" borderId="168" applyNumberFormat="0" applyProtection="0">
      <alignment horizontal="left" vertical="top" indent="1"/>
    </xf>
    <xf numFmtId="4" fontId="113" fillId="81" borderId="140" applyNumberFormat="0" applyProtection="0">
      <alignment horizontal="left" vertical="center"/>
    </xf>
    <xf numFmtId="4" fontId="113" fillId="81" borderId="140" applyNumberFormat="0" applyProtection="0">
      <alignment horizontal="left" vertical="center"/>
    </xf>
    <xf numFmtId="4" fontId="68" fillId="36" borderId="168" applyNumberFormat="0" applyProtection="0">
      <alignment horizontal="right" vertical="center"/>
    </xf>
    <xf numFmtId="4" fontId="68" fillId="36" borderId="168" applyNumberFormat="0" applyProtection="0">
      <alignment horizontal="right" vertical="center"/>
    </xf>
    <xf numFmtId="4" fontId="68" fillId="37" borderId="168" applyNumberFormat="0" applyProtection="0">
      <alignment horizontal="right" vertical="center"/>
    </xf>
    <xf numFmtId="4" fontId="68" fillId="37" borderId="168" applyNumberFormat="0" applyProtection="0">
      <alignment horizontal="right" vertical="center"/>
    </xf>
    <xf numFmtId="4" fontId="68" fillId="61" borderId="168" applyNumberFormat="0" applyProtection="0">
      <alignment horizontal="right" vertical="center"/>
    </xf>
    <xf numFmtId="4" fontId="68" fillId="61" borderId="168" applyNumberFormat="0" applyProtection="0">
      <alignment horizontal="right" vertical="center"/>
    </xf>
    <xf numFmtId="4" fontId="68" fillId="49" borderId="168" applyNumberFormat="0" applyProtection="0">
      <alignment horizontal="right" vertical="center"/>
    </xf>
    <xf numFmtId="4" fontId="68" fillId="49" borderId="168" applyNumberFormat="0" applyProtection="0">
      <alignment horizontal="right" vertical="center"/>
    </xf>
    <xf numFmtId="4" fontId="68" fillId="53" borderId="168" applyNumberFormat="0" applyProtection="0">
      <alignment horizontal="right" vertical="center"/>
    </xf>
    <xf numFmtId="4" fontId="68" fillId="53" borderId="168" applyNumberFormat="0" applyProtection="0">
      <alignment horizontal="right" vertical="center"/>
    </xf>
    <xf numFmtId="4" fontId="68" fillId="68" borderId="168" applyNumberFormat="0" applyProtection="0">
      <alignment horizontal="right" vertical="center"/>
    </xf>
    <xf numFmtId="4" fontId="68" fillId="68" borderId="168" applyNumberFormat="0" applyProtection="0">
      <alignment horizontal="right" vertical="center"/>
    </xf>
    <xf numFmtId="4" fontId="68" fillId="47" borderId="168" applyNumberFormat="0" applyProtection="0">
      <alignment horizontal="right" vertical="center"/>
    </xf>
    <xf numFmtId="4" fontId="68" fillId="47" borderId="168" applyNumberFormat="0" applyProtection="0">
      <alignment horizontal="right" vertical="center"/>
    </xf>
    <xf numFmtId="4" fontId="68" fillId="72" borderId="168" applyNumberFormat="0" applyProtection="0">
      <alignment horizontal="right" vertical="center"/>
    </xf>
    <xf numFmtId="4" fontId="68" fillId="72" borderId="168" applyNumberFormat="0" applyProtection="0">
      <alignment horizontal="right" vertical="center"/>
    </xf>
    <xf numFmtId="4" fontId="68" fillId="46" borderId="168" applyNumberFormat="0" applyProtection="0">
      <alignment horizontal="right" vertical="center"/>
    </xf>
    <xf numFmtId="4" fontId="68" fillId="46" borderId="168" applyNumberFormat="0" applyProtection="0">
      <alignment horizontal="righ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4" fontId="116" fillId="48" borderId="168" applyNumberFormat="0" applyProtection="0">
      <alignment horizontal="center" vertical="center"/>
    </xf>
    <xf numFmtId="4" fontId="116" fillId="48" borderId="168" applyNumberFormat="0" applyProtection="0">
      <alignment horizontal="center" vertical="center"/>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100" fillId="0" borderId="140" applyNumberFormat="0" applyProtection="0">
      <alignment horizontal="left" vertical="center" indent="2"/>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100" fillId="0" borderId="140" applyNumberFormat="0" applyProtection="0">
      <alignment horizontal="left" vertical="center" indent="2"/>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100" fillId="0" borderId="140" applyNumberFormat="0" applyProtection="0">
      <alignment horizontal="left" vertical="center" indent="2"/>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4" fontId="68" fillId="74" borderId="168" applyNumberFormat="0" applyProtection="0">
      <alignment vertical="center"/>
    </xf>
    <xf numFmtId="4" fontId="68" fillId="74" borderId="168" applyNumberFormat="0" applyProtection="0">
      <alignment vertical="center"/>
    </xf>
    <xf numFmtId="4" fontId="118" fillId="74" borderId="168" applyNumberFormat="0" applyProtection="0">
      <alignment vertical="center"/>
    </xf>
    <xf numFmtId="4" fontId="118" fillId="74" borderId="168" applyNumberFormat="0" applyProtection="0">
      <alignment vertical="center"/>
    </xf>
    <xf numFmtId="0" fontId="68" fillId="74" borderId="168" applyNumberFormat="0" applyProtection="0">
      <alignment horizontal="left" vertical="top" indent="1"/>
    </xf>
    <xf numFmtId="0" fontId="68" fillId="74" borderId="168" applyNumberFormat="0" applyProtection="0">
      <alignment horizontal="left" vertical="top" indent="1"/>
    </xf>
    <xf numFmtId="4" fontId="68" fillId="88" borderId="167" applyNumberFormat="0" applyProtection="0">
      <alignment horizontal="right" vertical="center"/>
    </xf>
    <xf numFmtId="4" fontId="121" fillId="0" borderId="140" applyNumberFormat="0" applyProtection="0">
      <alignment horizontal="right" vertical="center" wrapText="1"/>
    </xf>
    <xf numFmtId="4" fontId="118" fillId="89" borderId="168" applyNumberFormat="0" applyProtection="0">
      <alignment horizontal="right" vertical="center"/>
    </xf>
    <xf numFmtId="4" fontId="118" fillId="89" borderId="168" applyNumberFormat="0" applyProtection="0">
      <alignment horizontal="right" vertical="center"/>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 fontId="124" fillId="75" borderId="169">
      <alignment vertical="center"/>
    </xf>
    <xf numFmtId="4" fontId="125" fillId="75" borderId="169">
      <alignment vertical="center"/>
    </xf>
    <xf numFmtId="4" fontId="110" fillId="79" borderId="169">
      <alignment vertical="center"/>
    </xf>
    <xf numFmtId="4" fontId="111" fillId="79" borderId="169">
      <alignment vertical="center"/>
    </xf>
    <xf numFmtId="4" fontId="126" fillId="74" borderId="169">
      <alignment horizontal="left" vertical="center" indent="1"/>
    </xf>
    <xf numFmtId="4" fontId="128" fillId="0" borderId="168" applyNumberFormat="0" applyProtection="0">
      <alignment horizontal="right" vertical="center"/>
    </xf>
    <xf numFmtId="4" fontId="128" fillId="0" borderId="168" applyNumberFormat="0" applyProtection="0">
      <alignment horizontal="right" vertical="center"/>
    </xf>
    <xf numFmtId="195" fontId="134" fillId="0" borderId="170">
      <alignment horizontal="center"/>
    </xf>
    <xf numFmtId="195" fontId="134" fillId="0" borderId="170">
      <alignment horizontal="center"/>
    </xf>
    <xf numFmtId="0" fontId="139" fillId="0" borderId="171" applyNumberFormat="0" applyFill="0" applyAlignment="0" applyProtection="0"/>
    <xf numFmtId="193" fontId="33" fillId="0" borderId="172">
      <protection locked="0"/>
    </xf>
    <xf numFmtId="193" fontId="33" fillId="0" borderId="172">
      <protection locked="0"/>
    </xf>
    <xf numFmtId="193" fontId="33" fillId="0" borderId="172">
      <protection locked="0"/>
    </xf>
    <xf numFmtId="193" fontId="33" fillId="0" borderId="172">
      <protection locked="0"/>
    </xf>
    <xf numFmtId="193" fontId="33" fillId="0" borderId="172">
      <protection locked="0"/>
    </xf>
    <xf numFmtId="3" fontId="140" fillId="0" borderId="165" applyProtection="0"/>
    <xf numFmtId="0" fontId="33" fillId="0" borderId="173" applyNumberFormat="0" applyAlignment="0">
      <alignment horizontal="center"/>
    </xf>
    <xf numFmtId="0" fontId="33" fillId="0" borderId="173" applyNumberFormat="0" applyAlignment="0">
      <alignment horizontal="center"/>
    </xf>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0" fontId="4" fillId="42" borderId="0" applyNumberFormat="0" applyBorder="0" applyAlignment="0" applyProtection="0"/>
    <xf numFmtId="0" fontId="4" fillId="42"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13"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108" fillId="78" borderId="140" applyNumberFormat="0" applyProtection="0">
      <alignment horizontal="right" vertical="center" wrapText="1"/>
    </xf>
    <xf numFmtId="4" fontId="108" fillId="78" borderId="140" applyNumberFormat="0" applyProtection="0">
      <alignment horizontal="left" vertical="center" indent="1"/>
    </xf>
    <xf numFmtId="4" fontId="113" fillId="81" borderId="140" applyNumberFormat="0" applyProtection="0">
      <alignment horizontal="left" vertical="center"/>
    </xf>
    <xf numFmtId="4" fontId="113" fillId="81" borderId="140" applyNumberFormat="0" applyProtection="0">
      <alignment horizontal="lef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33" fillId="87" borderId="140" applyNumberFormat="0">
      <protection locked="0"/>
    </xf>
    <xf numFmtId="0" fontId="33" fillId="87" borderId="140" applyNumberFormat="0">
      <protection locked="0"/>
    </xf>
    <xf numFmtId="0" fontId="33" fillId="87" borderId="140" applyNumberFormat="0">
      <protection locked="0"/>
    </xf>
    <xf numFmtId="4" fontId="121" fillId="0" borderId="140" applyNumberFormat="0" applyProtection="0">
      <alignment horizontal="right" vertical="center" wrapText="1"/>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42"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91" fillId="0" borderId="165" applyNumberFormat="0" applyFill="0" applyAlignment="0" applyProtection="0"/>
    <xf numFmtId="10" fontId="80" fillId="74" borderId="14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44" fontId="4" fillId="0" borderId="0" applyFont="0" applyFill="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69" fillId="48" borderId="164" applyNumberFormat="0" applyAlignment="0" applyProtection="0"/>
    <xf numFmtId="0" fontId="70" fillId="121" borderId="164" applyNumberFormat="0" applyAlignment="0" applyProtection="0"/>
    <xf numFmtId="0" fontId="154" fillId="122" borderId="175" applyNumberFormat="0" applyAlignment="0" applyProtection="0"/>
    <xf numFmtId="0" fontId="154" fillId="122" borderId="175" applyNumberFormat="0" applyAlignment="0" applyProtection="0"/>
    <xf numFmtId="0" fontId="154" fillId="122" borderId="175"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93" fillId="43" borderId="164" applyNumberFormat="0" applyAlignment="0" applyProtection="0"/>
    <xf numFmtId="0" fontId="165" fillId="67" borderId="175" applyNumberFormat="0" applyAlignment="0" applyProtection="0"/>
    <xf numFmtId="0" fontId="165" fillId="67" borderId="175" applyNumberFormat="0" applyAlignment="0" applyProtection="0"/>
    <xf numFmtId="0" fontId="165" fillId="67" borderId="175" applyNumberFormat="0" applyAlignment="0" applyProtection="0"/>
    <xf numFmtId="0" fontId="93" fillId="43"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165" fillId="67" borderId="16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3" fillId="0" borderId="163" applyNumberFormat="0" applyAlignment="0">
      <alignment horizontal="center"/>
    </xf>
    <xf numFmtId="0" fontId="33" fillId="0" borderId="46" applyNumberFormat="0" applyAlignment="0"/>
    <xf numFmtId="49" fontId="33" fillId="0" borderId="46"/>
    <xf numFmtId="4" fontId="68" fillId="88" borderId="167" applyNumberFormat="0" applyProtection="0">
      <alignment horizontal="right" vertical="center"/>
    </xf>
    <xf numFmtId="4" fontId="68" fillId="77" borderId="167" applyNumberFormat="0" applyProtection="0">
      <alignment vertical="center"/>
    </xf>
    <xf numFmtId="0" fontId="33" fillId="0" borderId="46"/>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9" fontId="33" fillId="0" borderId="46"/>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9" fontId="33" fillId="0" borderId="46"/>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69" borderId="140" applyNumberFormat="0" applyAlignment="0"/>
    <xf numFmtId="1" fontId="36" fillId="69" borderId="140" applyNumberFormat="0" applyAlignment="0">
      <alignment horizontal="left"/>
    </xf>
    <xf numFmtId="1" fontId="36" fillId="93" borderId="140"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163" applyNumberFormat="0" applyAlignment="0">
      <alignment horizontal="center"/>
    </xf>
    <xf numFmtId="3" fontId="140" fillId="0" borderId="165"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66"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68" fillId="39"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102" fillId="121"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48" borderId="167" applyNumberFormat="0" applyAlignment="0" applyProtection="0"/>
    <xf numFmtId="0" fontId="102" fillId="41" borderId="16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68" fillId="77" borderId="167" applyNumberFormat="0" applyProtection="0">
      <alignment vertical="center"/>
    </xf>
    <xf numFmtId="4" fontId="68" fillId="77" borderId="167" applyNumberFormat="0" applyProtection="0">
      <alignment vertical="center"/>
    </xf>
    <xf numFmtId="4" fontId="112" fillId="76" borderId="168" applyNumberFormat="0" applyProtection="0">
      <alignment vertical="center"/>
    </xf>
    <xf numFmtId="4" fontId="169" fillId="77" borderId="175" applyNumberFormat="0" applyProtection="0">
      <alignment vertical="center"/>
    </xf>
    <xf numFmtId="4" fontId="169" fillId="77" borderId="175" applyNumberFormat="0" applyProtection="0">
      <alignment vertical="center"/>
    </xf>
    <xf numFmtId="4" fontId="109" fillId="77" borderId="168" applyNumberFormat="0" applyProtection="0">
      <alignment vertical="center"/>
    </xf>
    <xf numFmtId="4" fontId="118" fillId="77" borderId="167" applyNumberFormat="0" applyProtection="0">
      <alignment vertical="center"/>
    </xf>
    <xf numFmtId="4" fontId="118" fillId="77" borderId="167" applyNumberFormat="0" applyProtection="0">
      <alignment vertical="center"/>
    </xf>
    <xf numFmtId="4" fontId="109" fillId="76" borderId="168"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4" fontId="112" fillId="76" borderId="168" applyNumberFormat="0" applyProtection="0">
      <alignment horizontal="left" vertical="center" indent="1"/>
    </xf>
    <xf numFmtId="0" fontId="170" fillId="76" borderId="168" applyNumberFormat="0" applyProtection="0">
      <alignment horizontal="left" vertical="top" indent="1"/>
    </xf>
    <xf numFmtId="0" fontId="170" fillId="76" borderId="168" applyNumberFormat="0" applyProtection="0">
      <alignment horizontal="left" vertical="top" indent="1"/>
    </xf>
    <xf numFmtId="0" fontId="112" fillId="77" borderId="168" applyNumberFormat="0" applyProtection="0">
      <alignment horizontal="left" vertical="top"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0" fontId="112" fillId="76" borderId="168" applyNumberFormat="0" applyProtection="0">
      <alignment horizontal="left" vertical="top"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13" fillId="81" borderId="140" applyNumberFormat="0" applyProtection="0">
      <alignment horizontal="left"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68" fillId="36" borderId="168" applyNumberFormat="0" applyProtection="0">
      <alignment horizontal="right" vertical="center"/>
    </xf>
    <xf numFmtId="4" fontId="68" fillId="98" borderId="167" applyNumberFormat="0" applyProtection="0">
      <alignment horizontal="right" vertical="center"/>
    </xf>
    <xf numFmtId="4" fontId="68" fillId="98" borderId="167" applyNumberFormat="0" applyProtection="0">
      <alignment horizontal="right" vertical="center"/>
    </xf>
    <xf numFmtId="4" fontId="68" fillId="36" borderId="168"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68" fillId="37" borderId="168" applyNumberFormat="0" applyProtection="0">
      <alignment horizontal="right" vertical="center"/>
    </xf>
    <xf numFmtId="4" fontId="68" fillId="132" borderId="167" applyNumberFormat="0" applyProtection="0">
      <alignment horizontal="right" vertical="center"/>
    </xf>
    <xf numFmtId="4" fontId="68" fillId="132" borderId="167" applyNumberFormat="0" applyProtection="0">
      <alignment horizontal="right" vertical="center"/>
    </xf>
    <xf numFmtId="4" fontId="68" fillId="37" borderId="168"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68" fillId="61" borderId="168" applyNumberFormat="0" applyProtection="0">
      <alignment horizontal="right" vertical="center"/>
    </xf>
    <xf numFmtId="4" fontId="68" fillId="90" borderId="167" applyNumberFormat="0" applyProtection="0">
      <alignment horizontal="right" vertical="center"/>
    </xf>
    <xf numFmtId="4" fontId="68" fillId="90" borderId="167" applyNumberFormat="0" applyProtection="0">
      <alignment horizontal="right" vertical="center"/>
    </xf>
    <xf numFmtId="4" fontId="68" fillId="61" borderId="168"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68" fillId="49" borderId="168" applyNumberFormat="0" applyProtection="0">
      <alignment horizontal="right" vertical="center"/>
    </xf>
    <xf numFmtId="4" fontId="68" fillId="95" borderId="167" applyNumberFormat="0" applyProtection="0">
      <alignment horizontal="right" vertical="center"/>
    </xf>
    <xf numFmtId="4" fontId="68" fillId="95" borderId="167" applyNumberFormat="0" applyProtection="0">
      <alignment horizontal="right" vertical="center"/>
    </xf>
    <xf numFmtId="4" fontId="68" fillId="49" borderId="168"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68" fillId="53" borderId="168" applyNumberFormat="0" applyProtection="0">
      <alignment horizontal="right" vertical="center"/>
    </xf>
    <xf numFmtId="4" fontId="68" fillId="133" borderId="167" applyNumberFormat="0" applyProtection="0">
      <alignment horizontal="right" vertical="center"/>
    </xf>
    <xf numFmtId="4" fontId="68" fillId="133" borderId="167" applyNumberFormat="0" applyProtection="0">
      <alignment horizontal="right" vertical="center"/>
    </xf>
    <xf numFmtId="4" fontId="68" fillId="53" borderId="168"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68" fillId="68" borderId="168" applyNumberFormat="0" applyProtection="0">
      <alignment horizontal="right" vertical="center"/>
    </xf>
    <xf numFmtId="4" fontId="68" fillId="99" borderId="167" applyNumberFormat="0" applyProtection="0">
      <alignment horizontal="right" vertical="center"/>
    </xf>
    <xf numFmtId="4" fontId="68" fillId="99" borderId="167" applyNumberFormat="0" applyProtection="0">
      <alignment horizontal="right" vertical="center"/>
    </xf>
    <xf numFmtId="4" fontId="68" fillId="68" borderId="168"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68" fillId="47" borderId="168" applyNumberFormat="0" applyProtection="0">
      <alignment horizontal="right" vertical="center"/>
    </xf>
    <xf numFmtId="4" fontId="68" fillId="134" borderId="167" applyNumberFormat="0" applyProtection="0">
      <alignment horizontal="right" vertical="center"/>
    </xf>
    <xf numFmtId="4" fontId="68" fillId="134" borderId="167" applyNumberFormat="0" applyProtection="0">
      <alignment horizontal="right" vertical="center"/>
    </xf>
    <xf numFmtId="4" fontId="68" fillId="47" borderId="168"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68" fillId="72" borderId="168" applyNumberFormat="0" applyProtection="0">
      <alignment horizontal="right" vertical="center"/>
    </xf>
    <xf numFmtId="4" fontId="68" fillId="135" borderId="167" applyNumberFormat="0" applyProtection="0">
      <alignment horizontal="right" vertical="center"/>
    </xf>
    <xf numFmtId="4" fontId="68" fillId="135" borderId="167" applyNumberFormat="0" applyProtection="0">
      <alignment horizontal="right" vertical="center"/>
    </xf>
    <xf numFmtId="4" fontId="68" fillId="72" borderId="168"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68" fillId="46" borderId="168" applyNumberFormat="0" applyProtection="0">
      <alignment horizontal="right" vertical="center"/>
    </xf>
    <xf numFmtId="4" fontId="68" fillId="94" borderId="167" applyNumberFormat="0" applyProtection="0">
      <alignment horizontal="right" vertical="center"/>
    </xf>
    <xf numFmtId="4" fontId="68" fillId="94" borderId="167" applyNumberFormat="0" applyProtection="0">
      <alignment horizontal="right" vertical="center"/>
    </xf>
    <xf numFmtId="4" fontId="68" fillId="46" borderId="168"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112" fillId="137" borderId="167" applyNumberFormat="0" applyProtection="0">
      <alignment horizontal="left" vertical="center" indent="1"/>
    </xf>
    <xf numFmtId="4" fontId="112" fillId="137" borderId="167" applyNumberFormat="0" applyProtection="0">
      <alignment horizontal="left" vertical="center" indent="1"/>
    </xf>
    <xf numFmtId="4" fontId="112" fillId="136" borderId="177"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0" fontId="33" fillId="130" borderId="167" applyNumberFormat="0" applyProtection="0">
      <alignment horizontal="left" vertical="center" indent="1"/>
    </xf>
    <xf numFmtId="4" fontId="116" fillId="48" borderId="168" applyNumberFormat="0" applyProtection="0">
      <alignment horizontal="center"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right" vertical="center"/>
    </xf>
    <xf numFmtId="0" fontId="33" fillId="130" borderId="167"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68" fillId="88" borderId="167" applyNumberFormat="0" applyProtection="0">
      <alignment horizontal="left" vertical="center" indent="1"/>
    </xf>
    <xf numFmtId="4" fontId="68" fillId="88" borderId="167"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68" fillId="138" borderId="167" applyNumberFormat="0" applyProtection="0">
      <alignment horizontal="left" vertical="center" indent="1"/>
    </xf>
    <xf numFmtId="4" fontId="68" fillId="138" borderId="167"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33" fillId="138" borderId="167" applyNumberFormat="0" applyProtection="0">
      <alignment horizontal="left" vertical="center" indent="1"/>
    </xf>
    <xf numFmtId="0" fontId="113" fillId="84" borderId="140" applyNumberFormat="0" applyProtection="0">
      <alignment horizontal="left" vertical="center" indent="2"/>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80" fillId="65" borderId="168" applyNumberFormat="0" applyProtection="0">
      <alignment horizontal="left" vertical="top" indent="1"/>
    </xf>
    <xf numFmtId="0" fontId="80" fillId="65" borderId="168" applyNumberFormat="0" applyProtection="0">
      <alignment horizontal="left" vertical="top"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top"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33" fillId="82" borderId="167" applyNumberFormat="0" applyProtection="0">
      <alignment horizontal="left" vertical="center" indent="1"/>
    </xf>
    <xf numFmtId="0" fontId="100" fillId="0" borderId="140" applyNumberFormat="0" applyProtection="0">
      <alignment horizontal="left" vertical="center" indent="2"/>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80" fillId="104" borderId="168" applyNumberFormat="0" applyProtection="0">
      <alignment horizontal="left" vertical="top" indent="1"/>
    </xf>
    <xf numFmtId="0" fontId="80" fillId="104" borderId="168" applyNumberFormat="0" applyProtection="0">
      <alignment horizontal="left" vertical="top"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top"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33" fillId="73" borderId="167" applyNumberFormat="0" applyProtection="0">
      <alignment horizontal="left" vertical="center" indent="1"/>
    </xf>
    <xf numFmtId="0" fontId="100" fillId="0" borderId="140" applyNumberFormat="0" applyProtection="0">
      <alignment horizontal="left" vertical="center" indent="2"/>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80" fillId="44" borderId="168" applyNumberFormat="0" applyProtection="0">
      <alignment horizontal="left" vertical="top" indent="1"/>
    </xf>
    <xf numFmtId="0" fontId="80" fillId="44" borderId="168" applyNumberFormat="0" applyProtection="0">
      <alignment horizontal="left" vertical="top"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top"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33" fillId="130" borderId="167" applyNumberFormat="0" applyProtection="0">
      <alignment horizontal="left" vertical="center" indent="1"/>
    </xf>
    <xf numFmtId="0" fontId="100" fillId="0" borderId="140" applyNumberFormat="0" applyProtection="0">
      <alignment horizontal="left" vertical="center" indent="2"/>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80" fillId="89" borderId="168" applyNumberFormat="0" applyProtection="0">
      <alignment horizontal="left" vertical="top" indent="1"/>
    </xf>
    <xf numFmtId="0" fontId="80" fillId="89" borderId="168" applyNumberFormat="0" applyProtection="0">
      <alignment horizontal="left" vertical="top"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top" indent="1"/>
    </xf>
    <xf numFmtId="0" fontId="4" fillId="0" borderId="0"/>
    <xf numFmtId="0" fontId="4" fillId="0" borderId="0"/>
    <xf numFmtId="0" fontId="80" fillId="87" borderId="178" applyNumberFormat="0">
      <protection locked="0"/>
    </xf>
    <xf numFmtId="0" fontId="4" fillId="0" borderId="0"/>
    <xf numFmtId="0" fontId="33" fillId="87" borderId="140" applyNumberFormat="0">
      <protection locked="0"/>
    </xf>
    <xf numFmtId="0" fontId="33" fillId="87" borderId="140" applyNumberFormat="0">
      <protection locked="0"/>
    </xf>
    <xf numFmtId="0" fontId="80" fillId="87" borderId="178"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0" fontId="114" fillId="65" borderId="179" applyBorder="0"/>
    <xf numFmtId="0" fontId="114" fillId="65" borderId="179" applyBorder="0"/>
    <xf numFmtId="4" fontId="104" fillId="39" borderId="168" applyNumberFormat="0" applyProtection="0">
      <alignment vertical="center"/>
    </xf>
    <xf numFmtId="4" fontId="104" fillId="39" borderId="168" applyNumberFormat="0" applyProtection="0">
      <alignment vertical="center"/>
    </xf>
    <xf numFmtId="4" fontId="68" fillId="74" borderId="168" applyNumberFormat="0" applyProtection="0">
      <alignment vertical="center"/>
    </xf>
    <xf numFmtId="4" fontId="68" fillId="74" borderId="167" applyNumberFormat="0" applyProtection="0">
      <alignment vertical="center"/>
    </xf>
    <xf numFmtId="4" fontId="68" fillId="74" borderId="167" applyNumberFormat="0" applyProtection="0">
      <alignment vertical="center"/>
    </xf>
    <xf numFmtId="4" fontId="68" fillId="39" borderId="168" applyNumberFormat="0" applyProtection="0">
      <alignment vertical="center"/>
    </xf>
    <xf numFmtId="4" fontId="169" fillId="74" borderId="140" applyNumberFormat="0" applyProtection="0">
      <alignment vertical="center"/>
    </xf>
    <xf numFmtId="4" fontId="169" fillId="74" borderId="140" applyNumberFormat="0" applyProtection="0">
      <alignment vertical="center"/>
    </xf>
    <xf numFmtId="4" fontId="118" fillId="74" borderId="168" applyNumberFormat="0" applyProtection="0">
      <alignment vertical="center"/>
    </xf>
    <xf numFmtId="4" fontId="118" fillId="74" borderId="167" applyNumberFormat="0" applyProtection="0">
      <alignment vertical="center"/>
    </xf>
    <xf numFmtId="4" fontId="118" fillId="74" borderId="167" applyNumberFormat="0" applyProtection="0">
      <alignment vertical="center"/>
    </xf>
    <xf numFmtId="4" fontId="118" fillId="39" borderId="168" applyNumberFormat="0" applyProtection="0">
      <alignment vertical="center"/>
    </xf>
    <xf numFmtId="4" fontId="104" fillId="48" borderId="168" applyNumberFormat="0" applyProtection="0">
      <alignment horizontal="left" vertical="center" indent="1"/>
    </xf>
    <xf numFmtId="4" fontId="104" fillId="48" borderId="168" applyNumberFormat="0" applyProtection="0">
      <alignment horizontal="left" vertical="center"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4" fontId="68" fillId="39" borderId="168" applyNumberFormat="0" applyProtection="0">
      <alignment horizontal="left" vertical="center" indent="1"/>
    </xf>
    <xf numFmtId="0" fontId="104" fillId="39" borderId="168" applyNumberFormat="0" applyProtection="0">
      <alignment horizontal="left" vertical="top" indent="1"/>
    </xf>
    <xf numFmtId="0" fontId="104" fillId="39" borderId="168" applyNumberFormat="0" applyProtection="0">
      <alignment horizontal="left" vertical="top" indent="1"/>
    </xf>
    <xf numFmtId="0" fontId="68" fillId="74" borderId="168" applyNumberFormat="0" applyProtection="0">
      <alignment horizontal="left" vertical="top"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0" fontId="68" fillId="39" borderId="168" applyNumberFormat="0" applyProtection="0">
      <alignment horizontal="left" vertical="top" inden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68" fillId="88" borderId="167" applyNumberFormat="0" applyProtection="0">
      <alignment horizontal="right" vertical="center"/>
    </xf>
    <xf numFmtId="4" fontId="68" fillId="88" borderId="167" applyNumberFormat="0" applyProtection="0">
      <alignment horizontal="right" vertical="center"/>
    </xf>
    <xf numFmtId="4" fontId="68" fillId="89" borderId="168" applyNumberFormat="0" applyProtection="0">
      <alignment horizontal="right" vertical="center"/>
    </xf>
    <xf numFmtId="4" fontId="169" fillId="75" borderId="175" applyNumberFormat="0" applyProtection="0">
      <alignment horizontal="right" vertical="center"/>
    </xf>
    <xf numFmtId="4" fontId="169" fillId="75" borderId="175" applyNumberFormat="0" applyProtection="0">
      <alignment horizontal="right" vertical="center"/>
    </xf>
    <xf numFmtId="4" fontId="118" fillId="89" borderId="168" applyNumberFormat="0" applyProtection="0">
      <alignment horizontal="right" vertical="center"/>
    </xf>
    <xf numFmtId="4" fontId="118" fillId="88" borderId="167" applyNumberFormat="0" applyProtection="0">
      <alignment horizontal="right" vertical="center"/>
    </xf>
    <xf numFmtId="4" fontId="118" fillId="88" borderId="167" applyNumberFormat="0" applyProtection="0">
      <alignment horizontal="right" vertical="center"/>
    </xf>
    <xf numFmtId="4" fontId="118" fillId="89" borderId="168"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21" fillId="0" borderId="140"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left" vertical="center"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104" fillId="104" borderId="168" applyNumberFormat="0" applyProtection="0">
      <alignment horizontal="left" vertical="top" indent="1"/>
    </xf>
    <xf numFmtId="0" fontId="104" fillId="104" borderId="168" applyNumberFormat="0" applyProtection="0">
      <alignment horizontal="left" vertical="top"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68" fillId="104" borderId="168" applyNumberFormat="0" applyProtection="0">
      <alignment horizontal="left" vertical="top" indent="1"/>
    </xf>
    <xf numFmtId="0" fontId="33" fillId="130" borderId="167" applyNumberFormat="0" applyProtection="0">
      <alignment horizontal="left" vertical="center" indent="1"/>
    </xf>
    <xf numFmtId="4" fontId="124" fillId="75" borderId="169">
      <alignment vertical="center"/>
    </xf>
    <xf numFmtId="4" fontId="125" fillId="75" borderId="169">
      <alignment vertical="center"/>
    </xf>
    <xf numFmtId="4" fontId="110" fillId="79" borderId="169">
      <alignment vertical="center"/>
    </xf>
    <xf numFmtId="4" fontId="111" fillId="79" borderId="169">
      <alignment vertical="center"/>
    </xf>
    <xf numFmtId="4" fontId="126" fillId="74" borderId="169">
      <alignment horizontal="left" vertical="center" inden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4" fontId="128" fillId="0" borderId="168" applyNumberFormat="0" applyProtection="0">
      <alignment horizontal="right" vertical="center"/>
    </xf>
    <xf numFmtId="4" fontId="128" fillId="88" borderId="167" applyNumberFormat="0" applyProtection="0">
      <alignment horizontal="right" vertical="center"/>
    </xf>
    <xf numFmtId="4" fontId="128" fillId="88" borderId="167" applyNumberFormat="0" applyProtection="0">
      <alignment horizontal="right" vertical="center"/>
    </xf>
    <xf numFmtId="4" fontId="128" fillId="89" borderId="168" applyNumberFormat="0" applyProtection="0">
      <alignment horizontal="right" vertical="center"/>
    </xf>
    <xf numFmtId="195" fontId="134" fillId="0" borderId="170">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11" applyNumberFormat="0" applyFont="0" applyFill="0" applyAlignment="0" applyProtection="0"/>
    <xf numFmtId="0" fontId="33" fillId="0" borderId="111" applyNumberFormat="0" applyFont="0" applyFill="0" applyAlignment="0" applyProtection="0"/>
    <xf numFmtId="0" fontId="33" fillId="0" borderId="111" applyNumberFormat="0" applyFont="0" applyFill="0" applyAlignment="0" applyProtection="0"/>
    <xf numFmtId="0" fontId="33" fillId="0" borderId="111" applyNumberFormat="0" applyFont="0" applyFill="0" applyAlignment="0" applyProtection="0"/>
    <xf numFmtId="0" fontId="33" fillId="0" borderId="170" applyNumberFormat="0" applyFont="0" applyFill="0" applyAlignment="0" applyProtection="0"/>
    <xf numFmtId="0" fontId="33" fillId="0" borderId="170" applyNumberFormat="0" applyFont="0" applyFill="0" applyAlignment="0" applyProtection="0"/>
    <xf numFmtId="0" fontId="33" fillId="0" borderId="170" applyNumberFormat="0" applyFont="0" applyFill="0" applyAlignment="0" applyProtection="0"/>
    <xf numFmtId="0" fontId="33" fillId="0" borderId="170" applyNumberFormat="0" applyFont="0" applyFill="0" applyAlignment="0" applyProtection="0"/>
    <xf numFmtId="0" fontId="33" fillId="0" borderId="174" applyNumberFormat="0" applyFont="0" applyFill="0" applyAlignment="0" applyProtection="0"/>
    <xf numFmtId="0" fontId="33" fillId="0" borderId="174" applyNumberFormat="0" applyFont="0" applyFill="0" applyAlignment="0" applyProtection="0"/>
    <xf numFmtId="0" fontId="33" fillId="0" borderId="174" applyNumberFormat="0" applyFont="0" applyFill="0" applyAlignment="0" applyProtection="0"/>
    <xf numFmtId="0" fontId="33" fillId="0" borderId="174" applyNumberFormat="0" applyFont="0" applyFill="0" applyAlignment="0" applyProtection="0"/>
    <xf numFmtId="0" fontId="139" fillId="0" borderId="180" applyNumberFormat="0" applyFill="0" applyAlignment="0" applyProtection="0"/>
    <xf numFmtId="0" fontId="139" fillId="0" borderId="181" applyNumberFormat="0" applyFill="0" applyAlignment="0" applyProtection="0"/>
    <xf numFmtId="0" fontId="139" fillId="0" borderId="180" applyNumberFormat="0" applyFill="0" applyAlignment="0" applyProtection="0"/>
    <xf numFmtId="0" fontId="139" fillId="0" borderId="181" applyNumberFormat="0" applyFill="0" applyAlignment="0" applyProtection="0"/>
    <xf numFmtId="0" fontId="139" fillId="0" borderId="181" applyNumberFormat="0" applyFill="0" applyAlignment="0" applyProtection="0"/>
    <xf numFmtId="193" fontId="33" fillId="0" borderId="172">
      <protection locked="0"/>
    </xf>
    <xf numFmtId="193" fontId="33" fillId="0" borderId="172">
      <protection locked="0"/>
    </xf>
    <xf numFmtId="193" fontId="33" fillId="0" borderId="172">
      <protection locked="0"/>
    </xf>
    <xf numFmtId="193" fontId="33" fillId="0" borderId="172">
      <protection locked="0"/>
    </xf>
    <xf numFmtId="193" fontId="33" fillId="0" borderId="172">
      <protection locked="0"/>
    </xf>
    <xf numFmtId="3" fontId="140" fillId="0" borderId="165" applyProtection="0"/>
    <xf numFmtId="0" fontId="4" fillId="0" borderId="0"/>
    <xf numFmtId="0" fontId="4" fillId="0" borderId="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69" fillId="48" borderId="164" applyNumberFormat="0" applyAlignment="0" applyProtection="0"/>
    <xf numFmtId="0" fontId="70" fillId="121" borderId="164" applyNumberFormat="0" applyAlignment="0" applyProtection="0"/>
    <xf numFmtId="0" fontId="154" fillId="122" borderId="175" applyNumberFormat="0" applyAlignment="0" applyProtection="0"/>
    <xf numFmtId="0" fontId="69" fillId="48" borderId="164" applyNumberFormat="0" applyAlignment="0" applyProtection="0"/>
    <xf numFmtId="0" fontId="154" fillId="122" borderId="175" applyNumberFormat="0" applyAlignment="0" applyProtection="0"/>
    <xf numFmtId="0" fontId="154" fillId="122" borderId="175"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10" fontId="80" fillId="74" borderId="140" applyNumberFormat="0" applyBorder="0" applyAlignment="0" applyProtection="0"/>
    <xf numFmtId="0" fontId="93" fillId="43" borderId="164" applyNumberFormat="0" applyAlignment="0" applyProtection="0"/>
    <xf numFmtId="0" fontId="165" fillId="67" borderId="175" applyNumberFormat="0" applyAlignment="0" applyProtection="0"/>
    <xf numFmtId="0" fontId="93" fillId="43" borderId="164" applyNumberFormat="0" applyAlignment="0" applyProtection="0"/>
    <xf numFmtId="0" fontId="165" fillId="67" borderId="175" applyNumberFormat="0" applyAlignment="0" applyProtection="0"/>
    <xf numFmtId="0" fontId="165" fillId="67" borderId="175"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33" fillId="66"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68" fillId="39"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102" fillId="121"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48"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5" fillId="0" borderId="46" applyNumberFormat="0" applyFill="0" applyBorder="0" applyAlignment="0" applyProtection="0">
      <protection hidden="1"/>
    </xf>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68" fillId="77" borderId="167" applyNumberFormat="0" applyProtection="0">
      <alignment vertical="center"/>
    </xf>
    <xf numFmtId="4" fontId="68" fillId="77" borderId="167" applyNumberFormat="0" applyProtection="0">
      <alignment vertical="center"/>
    </xf>
    <xf numFmtId="4" fontId="112" fillId="76" borderId="168" applyNumberFormat="0" applyProtection="0">
      <alignment vertical="center"/>
    </xf>
    <xf numFmtId="4" fontId="169" fillId="77" borderId="175" applyNumberFormat="0" applyProtection="0">
      <alignment vertical="center"/>
    </xf>
    <xf numFmtId="4" fontId="169" fillId="77" borderId="175" applyNumberFormat="0" applyProtection="0">
      <alignment vertical="center"/>
    </xf>
    <xf numFmtId="4" fontId="109" fillId="77" borderId="168" applyNumberFormat="0" applyProtection="0">
      <alignment vertical="center"/>
    </xf>
    <xf numFmtId="4" fontId="118" fillId="77" borderId="167" applyNumberFormat="0" applyProtection="0">
      <alignment vertical="center"/>
    </xf>
    <xf numFmtId="4" fontId="118" fillId="77" borderId="167" applyNumberFormat="0" applyProtection="0">
      <alignment vertical="center"/>
    </xf>
    <xf numFmtId="4" fontId="109" fillId="76" borderId="168"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4" fontId="112" fillId="76" borderId="168" applyNumberFormat="0" applyProtection="0">
      <alignment horizontal="left" vertical="center" indent="1"/>
    </xf>
    <xf numFmtId="0" fontId="170" fillId="76" borderId="168" applyNumberFormat="0" applyProtection="0">
      <alignment horizontal="left" vertical="top" indent="1"/>
    </xf>
    <xf numFmtId="0" fontId="170" fillId="76" borderId="168" applyNumberFormat="0" applyProtection="0">
      <alignment horizontal="left" vertical="top" indent="1"/>
    </xf>
    <xf numFmtId="0" fontId="112" fillId="77" borderId="168" applyNumberFormat="0" applyProtection="0">
      <alignment horizontal="left" vertical="top"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0" fontId="112" fillId="76" borderId="168" applyNumberFormat="0" applyProtection="0">
      <alignment horizontal="left" vertical="top"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13" fillId="81" borderId="140" applyNumberFormat="0" applyProtection="0">
      <alignment horizontal="left"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68" fillId="36" borderId="168" applyNumberFormat="0" applyProtection="0">
      <alignment horizontal="right" vertical="center"/>
    </xf>
    <xf numFmtId="4" fontId="68" fillId="98" borderId="167" applyNumberFormat="0" applyProtection="0">
      <alignment horizontal="right" vertical="center"/>
    </xf>
    <xf numFmtId="4" fontId="68" fillId="98" borderId="167" applyNumberFormat="0" applyProtection="0">
      <alignment horizontal="right" vertical="center"/>
    </xf>
    <xf numFmtId="4" fontId="68" fillId="36" borderId="168"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68" fillId="37" borderId="168" applyNumberFormat="0" applyProtection="0">
      <alignment horizontal="right" vertical="center"/>
    </xf>
    <xf numFmtId="4" fontId="68" fillId="132" borderId="167" applyNumberFormat="0" applyProtection="0">
      <alignment horizontal="right" vertical="center"/>
    </xf>
    <xf numFmtId="4" fontId="68" fillId="132" borderId="167" applyNumberFormat="0" applyProtection="0">
      <alignment horizontal="right" vertical="center"/>
    </xf>
    <xf numFmtId="4" fontId="68" fillId="37" borderId="168"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68" fillId="61" borderId="168" applyNumberFormat="0" applyProtection="0">
      <alignment horizontal="right" vertical="center"/>
    </xf>
    <xf numFmtId="4" fontId="68" fillId="90" borderId="167" applyNumberFormat="0" applyProtection="0">
      <alignment horizontal="right" vertical="center"/>
    </xf>
    <xf numFmtId="4" fontId="68" fillId="90" borderId="167" applyNumberFormat="0" applyProtection="0">
      <alignment horizontal="right" vertical="center"/>
    </xf>
    <xf numFmtId="4" fontId="68" fillId="61" borderId="168"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68" fillId="49" borderId="168" applyNumberFormat="0" applyProtection="0">
      <alignment horizontal="right" vertical="center"/>
    </xf>
    <xf numFmtId="4" fontId="68" fillId="95" borderId="167" applyNumberFormat="0" applyProtection="0">
      <alignment horizontal="right" vertical="center"/>
    </xf>
    <xf numFmtId="4" fontId="68" fillId="95" borderId="167" applyNumberFormat="0" applyProtection="0">
      <alignment horizontal="right" vertical="center"/>
    </xf>
    <xf numFmtId="4" fontId="68" fillId="49" borderId="168"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68" fillId="53" borderId="168" applyNumberFormat="0" applyProtection="0">
      <alignment horizontal="right" vertical="center"/>
    </xf>
    <xf numFmtId="4" fontId="68" fillId="133" borderId="167" applyNumberFormat="0" applyProtection="0">
      <alignment horizontal="right" vertical="center"/>
    </xf>
    <xf numFmtId="4" fontId="68" fillId="133" borderId="167" applyNumberFormat="0" applyProtection="0">
      <alignment horizontal="right" vertical="center"/>
    </xf>
    <xf numFmtId="4" fontId="68" fillId="53" borderId="168"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68" fillId="68" borderId="168" applyNumberFormat="0" applyProtection="0">
      <alignment horizontal="right" vertical="center"/>
    </xf>
    <xf numFmtId="4" fontId="68" fillId="99" borderId="167" applyNumberFormat="0" applyProtection="0">
      <alignment horizontal="right" vertical="center"/>
    </xf>
    <xf numFmtId="4" fontId="68" fillId="99" borderId="167" applyNumberFormat="0" applyProtection="0">
      <alignment horizontal="right" vertical="center"/>
    </xf>
    <xf numFmtId="4" fontId="68" fillId="68" borderId="168"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68" fillId="47" borderId="168" applyNumberFormat="0" applyProtection="0">
      <alignment horizontal="right" vertical="center"/>
    </xf>
    <xf numFmtId="4" fontId="68" fillId="134" borderId="167" applyNumberFormat="0" applyProtection="0">
      <alignment horizontal="right" vertical="center"/>
    </xf>
    <xf numFmtId="4" fontId="68" fillId="134" borderId="167" applyNumberFormat="0" applyProtection="0">
      <alignment horizontal="right" vertical="center"/>
    </xf>
    <xf numFmtId="4" fontId="68" fillId="47" borderId="168"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68" fillId="72" borderId="168" applyNumberFormat="0" applyProtection="0">
      <alignment horizontal="right" vertical="center"/>
    </xf>
    <xf numFmtId="4" fontId="68" fillId="135" borderId="167" applyNumberFormat="0" applyProtection="0">
      <alignment horizontal="right" vertical="center"/>
    </xf>
    <xf numFmtId="4" fontId="68" fillId="135" borderId="167" applyNumberFormat="0" applyProtection="0">
      <alignment horizontal="right" vertical="center"/>
    </xf>
    <xf numFmtId="4" fontId="68" fillId="72" borderId="168"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68" fillId="46" borderId="168" applyNumberFormat="0" applyProtection="0">
      <alignment horizontal="right" vertical="center"/>
    </xf>
    <xf numFmtId="4" fontId="68" fillId="94" borderId="167" applyNumberFormat="0" applyProtection="0">
      <alignment horizontal="right" vertical="center"/>
    </xf>
    <xf numFmtId="4" fontId="68" fillId="94" borderId="167" applyNumberFormat="0" applyProtection="0">
      <alignment horizontal="right" vertical="center"/>
    </xf>
    <xf numFmtId="4" fontId="68" fillId="46" borderId="168"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112" fillId="137" borderId="167" applyNumberFormat="0" applyProtection="0">
      <alignment horizontal="left" vertical="center" indent="1"/>
    </xf>
    <xf numFmtId="4" fontId="112" fillId="137" borderId="167"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68" fillId="88" borderId="129" applyNumberFormat="0" applyProtection="0">
      <alignment horizontal="left" vertical="center" indent="1"/>
    </xf>
    <xf numFmtId="4" fontId="68" fillId="88" borderId="129"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0" fontId="33" fillId="130" borderId="167" applyNumberFormat="0" applyProtection="0">
      <alignment horizontal="left" vertical="center" indent="1"/>
    </xf>
    <xf numFmtId="4" fontId="116" fillId="48" borderId="168" applyNumberFormat="0" applyProtection="0">
      <alignment horizontal="center"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right" vertical="center"/>
    </xf>
    <xf numFmtId="0" fontId="33" fillId="130" borderId="167"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68" fillId="88" borderId="167" applyNumberFormat="0" applyProtection="0">
      <alignment horizontal="left" vertical="center" indent="1"/>
    </xf>
    <xf numFmtId="4" fontId="68" fillId="88" borderId="167"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68" fillId="138" borderId="167" applyNumberFormat="0" applyProtection="0">
      <alignment horizontal="left" vertical="center" indent="1"/>
    </xf>
    <xf numFmtId="4" fontId="68" fillId="138" borderId="167"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33" fillId="138" borderId="167" applyNumberFormat="0" applyProtection="0">
      <alignment horizontal="left" vertical="center" indent="1"/>
    </xf>
    <xf numFmtId="0" fontId="113" fillId="84" borderId="140" applyNumberFormat="0" applyProtection="0">
      <alignment horizontal="left" vertical="center" indent="2"/>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80" fillId="65" borderId="168" applyNumberFormat="0" applyProtection="0">
      <alignment horizontal="left" vertical="top" indent="1"/>
    </xf>
    <xf numFmtId="0" fontId="80" fillId="65" borderId="168" applyNumberFormat="0" applyProtection="0">
      <alignment horizontal="left" vertical="top"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top"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33" fillId="82" borderId="167" applyNumberFormat="0" applyProtection="0">
      <alignment horizontal="left" vertical="center" indent="1"/>
    </xf>
    <xf numFmtId="0" fontId="100" fillId="0" borderId="140" applyNumberFormat="0" applyProtection="0">
      <alignment horizontal="left" vertical="center" indent="2"/>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80" fillId="104" borderId="168" applyNumberFormat="0" applyProtection="0">
      <alignment horizontal="left" vertical="top" indent="1"/>
    </xf>
    <xf numFmtId="0" fontId="80" fillId="104" borderId="168" applyNumberFormat="0" applyProtection="0">
      <alignment horizontal="left" vertical="top"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top"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33" fillId="73" borderId="167" applyNumberFormat="0" applyProtection="0">
      <alignment horizontal="left" vertical="center" indent="1"/>
    </xf>
    <xf numFmtId="0" fontId="100" fillId="0" borderId="140" applyNumberFormat="0" applyProtection="0">
      <alignment horizontal="left" vertical="center" indent="2"/>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80" fillId="44" borderId="168" applyNumberFormat="0" applyProtection="0">
      <alignment horizontal="left" vertical="top" indent="1"/>
    </xf>
    <xf numFmtId="0" fontId="80" fillId="44" borderId="168" applyNumberFormat="0" applyProtection="0">
      <alignment horizontal="left" vertical="top"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top"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33" fillId="130" borderId="167" applyNumberFormat="0" applyProtection="0">
      <alignment horizontal="left" vertical="center" indent="1"/>
    </xf>
    <xf numFmtId="0" fontId="100" fillId="0" borderId="140" applyNumberFormat="0" applyProtection="0">
      <alignment horizontal="left" vertical="center" indent="2"/>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80" fillId="89" borderId="168" applyNumberFormat="0" applyProtection="0">
      <alignment horizontal="left" vertical="top" indent="1"/>
    </xf>
    <xf numFmtId="0" fontId="80" fillId="89" borderId="168" applyNumberFormat="0" applyProtection="0">
      <alignment horizontal="left" vertical="top"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0" fontId="33" fillId="87" borderId="140" applyNumberFormat="0">
      <protection locked="0"/>
    </xf>
    <xf numFmtId="0" fontId="114" fillId="65" borderId="184" applyBorder="0"/>
    <xf numFmtId="0" fontId="114" fillId="65" borderId="184" applyBorder="0"/>
    <xf numFmtId="4" fontId="104" fillId="39" borderId="168" applyNumberFormat="0" applyProtection="0">
      <alignment vertical="center"/>
    </xf>
    <xf numFmtId="4" fontId="104" fillId="39" borderId="168" applyNumberFormat="0" applyProtection="0">
      <alignment vertical="center"/>
    </xf>
    <xf numFmtId="4" fontId="68" fillId="74" borderId="168" applyNumberFormat="0" applyProtection="0">
      <alignment vertical="center"/>
    </xf>
    <xf numFmtId="4" fontId="68" fillId="74" borderId="167" applyNumberFormat="0" applyProtection="0">
      <alignment vertical="center"/>
    </xf>
    <xf numFmtId="4" fontId="68" fillId="74" borderId="167" applyNumberFormat="0" applyProtection="0">
      <alignment vertical="center"/>
    </xf>
    <xf numFmtId="4" fontId="68" fillId="39" borderId="168" applyNumberFormat="0" applyProtection="0">
      <alignment vertical="center"/>
    </xf>
    <xf numFmtId="4" fontId="169" fillId="74" borderId="140" applyNumberFormat="0" applyProtection="0">
      <alignment vertical="center"/>
    </xf>
    <xf numFmtId="4" fontId="169" fillId="74" borderId="140" applyNumberFormat="0" applyProtection="0">
      <alignment vertical="center"/>
    </xf>
    <xf numFmtId="4" fontId="118" fillId="74" borderId="168" applyNumberFormat="0" applyProtection="0">
      <alignment vertical="center"/>
    </xf>
    <xf numFmtId="4" fontId="118" fillId="74" borderId="167" applyNumberFormat="0" applyProtection="0">
      <alignment vertical="center"/>
    </xf>
    <xf numFmtId="4" fontId="118" fillId="74" borderId="167" applyNumberFormat="0" applyProtection="0">
      <alignment vertical="center"/>
    </xf>
    <xf numFmtId="4" fontId="118" fillId="39" borderId="168" applyNumberFormat="0" applyProtection="0">
      <alignment vertical="center"/>
    </xf>
    <xf numFmtId="4" fontId="104" fillId="48" borderId="168" applyNumberFormat="0" applyProtection="0">
      <alignment horizontal="left" vertical="center" indent="1"/>
    </xf>
    <xf numFmtId="4" fontId="104" fillId="48" borderId="168" applyNumberFormat="0" applyProtection="0">
      <alignment horizontal="left" vertical="center"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4" fontId="68" fillId="39" borderId="168" applyNumberFormat="0" applyProtection="0">
      <alignment horizontal="left" vertical="center" indent="1"/>
    </xf>
    <xf numFmtId="0" fontId="104" fillId="39" borderId="168" applyNumberFormat="0" applyProtection="0">
      <alignment horizontal="left" vertical="top" indent="1"/>
    </xf>
    <xf numFmtId="0" fontId="104" fillId="39" borderId="168" applyNumberFormat="0" applyProtection="0">
      <alignment horizontal="left" vertical="top" indent="1"/>
    </xf>
    <xf numFmtId="0" fontId="68" fillId="74" borderId="168" applyNumberFormat="0" applyProtection="0">
      <alignment horizontal="left" vertical="top"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0" fontId="68" fillId="39" borderId="168" applyNumberFormat="0" applyProtection="0">
      <alignment horizontal="left" vertical="top" inden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68" fillId="88" borderId="167" applyNumberFormat="0" applyProtection="0">
      <alignment horizontal="right" vertical="center"/>
    </xf>
    <xf numFmtId="4" fontId="68" fillId="88" borderId="167" applyNumberFormat="0" applyProtection="0">
      <alignment horizontal="right" vertical="center"/>
    </xf>
    <xf numFmtId="4" fontId="68" fillId="89" borderId="168" applyNumberFormat="0" applyProtection="0">
      <alignment horizontal="right" vertical="center"/>
    </xf>
    <xf numFmtId="4" fontId="169" fillId="75" borderId="175" applyNumberFormat="0" applyProtection="0">
      <alignment horizontal="right" vertical="center"/>
    </xf>
    <xf numFmtId="4" fontId="169" fillId="75" borderId="175" applyNumberFormat="0" applyProtection="0">
      <alignment horizontal="right" vertical="center"/>
    </xf>
    <xf numFmtId="4" fontId="118" fillId="89" borderId="168" applyNumberFormat="0" applyProtection="0">
      <alignment horizontal="right" vertical="center"/>
    </xf>
    <xf numFmtId="4" fontId="118" fillId="88" borderId="167" applyNumberFormat="0" applyProtection="0">
      <alignment horizontal="right" vertical="center"/>
    </xf>
    <xf numFmtId="4" fontId="118" fillId="88" borderId="167" applyNumberFormat="0" applyProtection="0">
      <alignment horizontal="right" vertical="center"/>
    </xf>
    <xf numFmtId="4" fontId="118" fillId="89" borderId="168"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21" fillId="0" borderId="140"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left" vertical="center"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104" fillId="104" borderId="168" applyNumberFormat="0" applyProtection="0">
      <alignment horizontal="left" vertical="top" indent="1"/>
    </xf>
    <xf numFmtId="0" fontId="104" fillId="104" borderId="168" applyNumberFormat="0" applyProtection="0">
      <alignment horizontal="left" vertical="top"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68" fillId="104" borderId="168" applyNumberFormat="0" applyProtection="0">
      <alignment horizontal="left" vertical="top" indent="1"/>
    </xf>
    <xf numFmtId="0" fontId="33" fillId="130" borderId="167" applyNumberFormat="0" applyProtection="0">
      <alignment horizontal="left" vertical="center" inden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4" fontId="128" fillId="0" borderId="168" applyNumberFormat="0" applyProtection="0">
      <alignment horizontal="right" vertical="center"/>
    </xf>
    <xf numFmtId="4" fontId="128" fillId="88" borderId="167" applyNumberFormat="0" applyProtection="0">
      <alignment horizontal="right" vertical="center"/>
    </xf>
    <xf numFmtId="4" fontId="128" fillId="88" borderId="167" applyNumberFormat="0" applyProtection="0">
      <alignment horizontal="right" vertical="center"/>
    </xf>
    <xf numFmtId="4" fontId="128" fillId="89" borderId="168" applyNumberFormat="0" applyProtection="0">
      <alignment horizontal="right" vertical="center"/>
    </xf>
    <xf numFmtId="195" fontId="134" fillId="0" borderId="182">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83" applyNumberFormat="0" applyFont="0" applyFill="0" applyAlignment="0" applyProtection="0"/>
    <xf numFmtId="0" fontId="33" fillId="0" borderId="183" applyNumberFormat="0" applyFont="0" applyFill="0" applyAlignment="0" applyProtection="0"/>
    <xf numFmtId="0" fontId="33" fillId="0" borderId="183" applyNumberFormat="0" applyFont="0" applyFill="0" applyAlignment="0" applyProtection="0"/>
    <xf numFmtId="0" fontId="33" fillId="0" borderId="183"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71" applyNumberFormat="0" applyFill="0" applyAlignment="0" applyProtection="0"/>
    <xf numFmtId="3" fontId="140" fillId="0" borderId="165" applyProtection="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2"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9" fontId="4" fillId="0" borderId="0" applyFont="0" applyFill="0" applyBorder="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4" fillId="42" borderId="0" applyNumberFormat="0" applyBorder="0" applyAlignment="0" applyProtection="0"/>
    <xf numFmtId="0" fontId="4" fillId="39" borderId="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33" fillId="39" borderId="164" applyNumberFormat="0" applyFont="0" applyAlignment="0" applyProtection="0"/>
    <xf numFmtId="0" fontId="102" fillId="41" borderId="16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108" fillId="78" borderId="140" applyNumberFormat="0" applyProtection="0">
      <alignment horizontal="right" vertical="center" wrapText="1"/>
    </xf>
    <xf numFmtId="4" fontId="109" fillId="77" borderId="168" applyNumberFormat="0" applyProtection="0">
      <alignment vertical="center"/>
    </xf>
    <xf numFmtId="4" fontId="108" fillId="78" borderId="140" applyNumberFormat="0" applyProtection="0">
      <alignment horizontal="left" vertical="center" indent="1"/>
    </xf>
    <xf numFmtId="0" fontId="112" fillId="77" borderId="168" applyNumberFormat="0" applyProtection="0">
      <alignment horizontal="left" vertical="top" indent="1"/>
    </xf>
    <xf numFmtId="4" fontId="113" fillId="81" borderId="140" applyNumberFormat="0" applyProtection="0">
      <alignment horizontal="left" vertical="center"/>
    </xf>
    <xf numFmtId="4" fontId="113" fillId="81" borderId="140" applyNumberFormat="0" applyProtection="0">
      <alignment horizontal="left" vertical="center"/>
    </xf>
    <xf numFmtId="4" fontId="68" fillId="36" borderId="168" applyNumberFormat="0" applyProtection="0">
      <alignment horizontal="right" vertical="center"/>
    </xf>
    <xf numFmtId="4" fontId="68" fillId="37" borderId="168" applyNumberFormat="0" applyProtection="0">
      <alignment horizontal="right" vertical="center"/>
    </xf>
    <xf numFmtId="4" fontId="68" fillId="61" borderId="168" applyNumberFormat="0" applyProtection="0">
      <alignment horizontal="right" vertical="center"/>
    </xf>
    <xf numFmtId="4" fontId="68" fillId="49" borderId="168" applyNumberFormat="0" applyProtection="0">
      <alignment horizontal="right" vertical="center"/>
    </xf>
    <xf numFmtId="4" fontId="68" fillId="53" borderId="168" applyNumberFormat="0" applyProtection="0">
      <alignment horizontal="right" vertical="center"/>
    </xf>
    <xf numFmtId="4" fontId="68" fillId="68" borderId="168" applyNumberFormat="0" applyProtection="0">
      <alignment horizontal="right" vertical="center"/>
    </xf>
    <xf numFmtId="4" fontId="68" fillId="47" borderId="168" applyNumberFormat="0" applyProtection="0">
      <alignment horizontal="right" vertical="center"/>
    </xf>
    <xf numFmtId="4" fontId="68" fillId="72" borderId="168" applyNumberFormat="0" applyProtection="0">
      <alignment horizontal="right" vertical="center"/>
    </xf>
    <xf numFmtId="4" fontId="68" fillId="46" borderId="168" applyNumberFormat="0" applyProtection="0">
      <alignment horizontal="righ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4" fontId="116" fillId="48" borderId="168" applyNumberFormat="0" applyProtection="0">
      <alignment horizontal="center" vertical="center"/>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33" fillId="83" borderId="168" applyNumberFormat="0" applyProtection="0">
      <alignment horizontal="left" vertical="top" indent="1"/>
    </xf>
    <xf numFmtId="0" fontId="100" fillId="0" borderId="140" applyNumberFormat="0" applyProtection="0">
      <alignment horizontal="left" vertical="center" indent="2"/>
    </xf>
    <xf numFmtId="0" fontId="33" fillId="85" borderId="168" applyNumberFormat="0" applyProtection="0">
      <alignment horizontal="left" vertical="top" indent="1"/>
    </xf>
    <xf numFmtId="0" fontId="100" fillId="0" borderId="140" applyNumberFormat="0" applyProtection="0">
      <alignment horizontal="left" vertical="center" indent="2"/>
    </xf>
    <xf numFmtId="0" fontId="33" fillId="69" borderId="168" applyNumberFormat="0" applyProtection="0">
      <alignment horizontal="left" vertical="top" indent="1"/>
    </xf>
    <xf numFmtId="0" fontId="100" fillId="0" borderId="140" applyNumberFormat="0" applyProtection="0">
      <alignment horizontal="left" vertical="center" indent="2"/>
    </xf>
    <xf numFmtId="0" fontId="33" fillId="86"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4" fontId="68" fillId="74" borderId="168" applyNumberFormat="0" applyProtection="0">
      <alignment vertical="center"/>
    </xf>
    <xf numFmtId="4" fontId="118" fillId="74" borderId="168" applyNumberFormat="0" applyProtection="0">
      <alignment vertical="center"/>
    </xf>
    <xf numFmtId="0" fontId="68" fillId="74" borderId="168" applyNumberFormat="0" applyProtection="0">
      <alignment horizontal="left" vertical="top" indent="1"/>
    </xf>
    <xf numFmtId="4" fontId="121" fillId="0" borderId="140" applyNumberFormat="0" applyProtection="0">
      <alignment horizontal="right" vertical="center" wrapText="1"/>
    </xf>
    <xf numFmtId="4" fontId="118" fillId="89" borderId="168" applyNumberFormat="0" applyProtection="0">
      <alignment horizontal="right" vertical="center"/>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 fontId="128" fillId="0" borderId="168" applyNumberFormat="0" applyProtection="0">
      <alignment horizontal="right" vertical="center"/>
    </xf>
    <xf numFmtId="195" fontId="134" fillId="0" borderId="182">
      <alignment horizontal="center"/>
    </xf>
    <xf numFmtId="195" fontId="134" fillId="0" borderId="182">
      <alignment horizontal="center"/>
    </xf>
    <xf numFmtId="0" fontId="33" fillId="0" borderId="163" applyNumberFormat="0" applyAlignment="0">
      <alignment horizontal="center"/>
    </xf>
    <xf numFmtId="0" fontId="33" fillId="0" borderId="163" applyNumberFormat="0" applyAlignment="0">
      <alignment horizontal="center"/>
    </xf>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0" fontId="4" fillId="42" borderId="0" applyNumberFormat="0" applyBorder="0" applyAlignment="0" applyProtection="0"/>
    <xf numFmtId="0" fontId="4" fillId="42"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13"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108" fillId="78" borderId="140" applyNumberFormat="0" applyProtection="0">
      <alignment horizontal="right" vertical="center" wrapText="1"/>
    </xf>
    <xf numFmtId="4" fontId="108" fillId="78" borderId="140" applyNumberFormat="0" applyProtection="0">
      <alignment horizontal="left" vertical="center" indent="1"/>
    </xf>
    <xf numFmtId="4" fontId="113" fillId="81" borderId="140" applyNumberFormat="0" applyProtection="0">
      <alignment horizontal="left" vertical="center"/>
    </xf>
    <xf numFmtId="4" fontId="113" fillId="81" borderId="140" applyNumberFormat="0" applyProtection="0">
      <alignment horizontal="lef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33" fillId="87" borderId="140" applyNumberFormat="0">
      <protection locked="0"/>
    </xf>
    <xf numFmtId="0" fontId="33" fillId="87" borderId="140" applyNumberFormat="0">
      <protection locked="0"/>
    </xf>
    <xf numFmtId="0" fontId="33" fillId="87" borderId="140" applyNumberFormat="0">
      <protection locked="0"/>
    </xf>
    <xf numFmtId="4" fontId="121" fillId="0" borderId="140" applyNumberFormat="0" applyProtection="0">
      <alignment horizontal="right" vertical="center" wrapText="1"/>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42"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10" fontId="80" fillId="74" borderId="14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44" fontId="4" fillId="0" borderId="0" applyFont="0" applyFill="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154" fillId="122" borderId="175" applyNumberFormat="0" applyAlignment="0" applyProtection="0"/>
    <xf numFmtId="0" fontId="154" fillId="122" borderId="175" applyNumberFormat="0" applyAlignment="0" applyProtection="0"/>
    <xf numFmtId="0" fontId="154" fillId="122" borderId="175"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65" fillId="67" borderId="175" applyNumberFormat="0" applyAlignment="0" applyProtection="0"/>
    <xf numFmtId="0" fontId="165" fillId="67" borderId="175" applyNumberFormat="0" applyAlignment="0" applyProtection="0"/>
    <xf numFmtId="0" fontId="165" fillId="67" borderId="175"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3" fillId="0" borderId="163"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69" borderId="140" applyNumberFormat="0" applyAlignment="0"/>
    <xf numFmtId="1" fontId="36" fillId="69" borderId="140" applyNumberFormat="0" applyAlignment="0">
      <alignment horizontal="left"/>
    </xf>
    <xf numFmtId="1" fontId="36" fillId="93" borderId="140"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163"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169" fillId="77" borderId="175" applyNumberFormat="0" applyProtection="0">
      <alignment vertical="center"/>
    </xf>
    <xf numFmtId="4" fontId="169" fillId="77" borderId="175"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100" fillId="0" borderId="140" applyNumberFormat="0" applyProtection="0">
      <alignment horizontal="left" vertical="center" indent="2"/>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100" fillId="0" borderId="140" applyNumberFormat="0" applyProtection="0">
      <alignment horizontal="left" vertical="center" indent="2"/>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100" fillId="0" borderId="140" applyNumberFormat="0" applyProtection="0">
      <alignment horizontal="left" vertical="center" indent="2"/>
    </xf>
    <xf numFmtId="0" fontId="4" fillId="0" borderId="0"/>
    <xf numFmtId="0" fontId="4" fillId="0" borderId="0"/>
    <xf numFmtId="0" fontId="4" fillId="0" borderId="0"/>
    <xf numFmtId="0" fontId="33" fillId="87" borderId="140" applyNumberFormat="0">
      <protection locked="0"/>
    </xf>
    <xf numFmtId="0" fontId="33" fillId="87" borderId="140"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4" fontId="169" fillId="74" borderId="140" applyNumberFormat="0" applyProtection="0">
      <alignment vertical="center"/>
    </xf>
    <xf numFmtId="4" fontId="169" fillId="74" borderId="140" applyNumberFormat="0" applyProtection="0">
      <alignmen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169" fillId="75" borderId="175" applyNumberFormat="0" applyProtection="0">
      <alignment horizontal="right" vertical="center"/>
    </xf>
    <xf numFmtId="4" fontId="169" fillId="75" borderId="175"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195" fontId="134" fillId="0" borderId="182">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71" applyNumberFormat="0" applyFill="0" applyAlignment="0" applyProtection="0"/>
    <xf numFmtId="0" fontId="4" fillId="0" borderId="0"/>
    <xf numFmtId="0" fontId="4" fillId="0" borderId="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69" fillId="48" borderId="164" applyNumberFormat="0" applyAlignment="0" applyProtection="0"/>
    <xf numFmtId="0" fontId="70" fillId="121" borderId="164" applyNumberFormat="0" applyAlignment="0" applyProtection="0"/>
    <xf numFmtId="0" fontId="154" fillId="122" borderId="175" applyNumberFormat="0" applyAlignment="0" applyProtection="0"/>
    <xf numFmtId="0" fontId="69" fillId="48" borderId="164" applyNumberFormat="0" applyAlignment="0" applyProtection="0"/>
    <xf numFmtId="0" fontId="154" fillId="122" borderId="175" applyNumberFormat="0" applyAlignment="0" applyProtection="0"/>
    <xf numFmtId="0" fontId="154" fillId="122" borderId="175"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10" fontId="80" fillId="74" borderId="140" applyNumberFormat="0" applyBorder="0" applyAlignment="0" applyProtection="0"/>
    <xf numFmtId="0" fontId="93" fillId="43" borderId="164" applyNumberFormat="0" applyAlignment="0" applyProtection="0"/>
    <xf numFmtId="0" fontId="165" fillId="67" borderId="175" applyNumberFormat="0" applyAlignment="0" applyProtection="0"/>
    <xf numFmtId="0" fontId="93" fillId="43" borderId="164" applyNumberFormat="0" applyAlignment="0" applyProtection="0"/>
    <xf numFmtId="0" fontId="165" fillId="67" borderId="175" applyNumberFormat="0" applyAlignment="0" applyProtection="0"/>
    <xf numFmtId="0" fontId="165" fillId="67" borderId="175"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33" fillId="66"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68" fillId="39"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112" fillId="76" borderId="168" applyNumberFormat="0" applyProtection="0">
      <alignment vertical="center"/>
    </xf>
    <xf numFmtId="4" fontId="169" fillId="77" borderId="175" applyNumberFormat="0" applyProtection="0">
      <alignment vertical="center"/>
    </xf>
    <xf numFmtId="4" fontId="169" fillId="77" borderId="175" applyNumberFormat="0" applyProtection="0">
      <alignment vertical="center"/>
    </xf>
    <xf numFmtId="4" fontId="109" fillId="77" borderId="168" applyNumberFormat="0" applyProtection="0">
      <alignment vertical="center"/>
    </xf>
    <xf numFmtId="4" fontId="109" fillId="76" borderId="168"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112" fillId="76" borderId="168" applyNumberFormat="0" applyProtection="0">
      <alignment horizontal="left" vertical="center" indent="1"/>
    </xf>
    <xf numFmtId="0" fontId="170" fillId="76" borderId="168" applyNumberFormat="0" applyProtection="0">
      <alignment horizontal="left" vertical="top" indent="1"/>
    </xf>
    <xf numFmtId="0" fontId="170" fillId="76" borderId="168" applyNumberFormat="0" applyProtection="0">
      <alignment horizontal="left" vertical="top" indent="1"/>
    </xf>
    <xf numFmtId="0" fontId="112" fillId="77" borderId="168" applyNumberFormat="0" applyProtection="0">
      <alignment horizontal="left" vertical="top" indent="1"/>
    </xf>
    <xf numFmtId="0" fontId="112" fillId="76" borderId="168" applyNumberFormat="0" applyProtection="0">
      <alignment horizontal="left" vertical="top"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68" fillId="36" borderId="168" applyNumberFormat="0" applyProtection="0">
      <alignment horizontal="right" vertical="center"/>
    </xf>
    <xf numFmtId="4" fontId="68" fillId="36" borderId="168"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68" fillId="37" borderId="168" applyNumberFormat="0" applyProtection="0">
      <alignment horizontal="right" vertical="center"/>
    </xf>
    <xf numFmtId="4" fontId="68" fillId="37" borderId="168"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68" fillId="61" borderId="168" applyNumberFormat="0" applyProtection="0">
      <alignment horizontal="right" vertical="center"/>
    </xf>
    <xf numFmtId="4" fontId="68" fillId="61" borderId="168"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68" fillId="49" borderId="168" applyNumberFormat="0" applyProtection="0">
      <alignment horizontal="right" vertical="center"/>
    </xf>
    <xf numFmtId="4" fontId="68" fillId="49" borderId="168"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68" fillId="53" borderId="168" applyNumberFormat="0" applyProtection="0">
      <alignment horizontal="right" vertical="center"/>
    </xf>
    <xf numFmtId="4" fontId="68" fillId="53" borderId="168"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68" fillId="68" borderId="168" applyNumberFormat="0" applyProtection="0">
      <alignment horizontal="right" vertical="center"/>
    </xf>
    <xf numFmtId="4" fontId="68" fillId="68" borderId="168"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68" fillId="47" borderId="168" applyNumberFormat="0" applyProtection="0">
      <alignment horizontal="right" vertical="center"/>
    </xf>
    <xf numFmtId="4" fontId="68" fillId="47" borderId="168"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68" fillId="72" borderId="168" applyNumberFormat="0" applyProtection="0">
      <alignment horizontal="right" vertical="center"/>
    </xf>
    <xf numFmtId="4" fontId="68" fillId="72" borderId="168"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68" fillId="46" borderId="168" applyNumberFormat="0" applyProtection="0">
      <alignment horizontal="right" vertical="center"/>
    </xf>
    <xf numFmtId="4" fontId="68" fillId="46" borderId="168"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116" fillId="48" borderId="168" applyNumberFormat="0" applyProtection="0">
      <alignment horizontal="center" vertical="center"/>
    </xf>
    <xf numFmtId="4" fontId="68" fillId="104" borderId="168" applyNumberFormat="0" applyProtection="0">
      <alignment horizontal="right" vertical="center"/>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33" fillId="65" borderId="168" applyNumberFormat="0" applyProtection="0">
      <alignment horizontal="left" vertical="center" indent="1"/>
    </xf>
    <xf numFmtId="0" fontId="33" fillId="83" borderId="168" applyNumberFormat="0" applyProtection="0">
      <alignment horizontal="left" vertical="top" indent="1"/>
    </xf>
    <xf numFmtId="0" fontId="80" fillId="65" borderId="168" applyNumberFormat="0" applyProtection="0">
      <alignment horizontal="left" vertical="top" indent="1"/>
    </xf>
    <xf numFmtId="0" fontId="80" fillId="65"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65" borderId="168" applyNumberFormat="0" applyProtection="0">
      <alignment horizontal="left" vertical="top"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100" fillId="0" borderId="140" applyNumberFormat="0" applyProtection="0">
      <alignment horizontal="left" vertical="center" indent="2"/>
    </xf>
    <xf numFmtId="0" fontId="33" fillId="104" borderId="168" applyNumberFormat="0" applyProtection="0">
      <alignment horizontal="left" vertical="center" indent="1"/>
    </xf>
    <xf numFmtId="0" fontId="33" fillId="85" borderId="168" applyNumberFormat="0" applyProtection="0">
      <alignment horizontal="left" vertical="top" indent="1"/>
    </xf>
    <xf numFmtId="0" fontId="80" fillId="104" borderId="168" applyNumberFormat="0" applyProtection="0">
      <alignment horizontal="left" vertical="top" indent="1"/>
    </xf>
    <xf numFmtId="0" fontId="80" fillId="104"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104" borderId="168" applyNumberFormat="0" applyProtection="0">
      <alignment horizontal="left" vertical="top"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100" fillId="0" borderId="140" applyNumberFormat="0" applyProtection="0">
      <alignment horizontal="left" vertical="center" indent="2"/>
    </xf>
    <xf numFmtId="0" fontId="33" fillId="44" borderId="168" applyNumberFormat="0" applyProtection="0">
      <alignment horizontal="left" vertical="center" indent="1"/>
    </xf>
    <xf numFmtId="0" fontId="33" fillId="69" borderId="168" applyNumberFormat="0" applyProtection="0">
      <alignment horizontal="left" vertical="top" indent="1"/>
    </xf>
    <xf numFmtId="0" fontId="80" fillId="44" borderId="168" applyNumberFormat="0" applyProtection="0">
      <alignment horizontal="left" vertical="top" indent="1"/>
    </xf>
    <xf numFmtId="0" fontId="80" fillId="44"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44" borderId="168" applyNumberFormat="0" applyProtection="0">
      <alignment horizontal="left" vertical="top"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100" fillId="0" borderId="140" applyNumberFormat="0" applyProtection="0">
      <alignment horizontal="left" vertical="center" indent="2"/>
    </xf>
    <xf numFmtId="0" fontId="33" fillId="89" borderId="168" applyNumberFormat="0" applyProtection="0">
      <alignment horizontal="left" vertical="center" indent="1"/>
    </xf>
    <xf numFmtId="0" fontId="33" fillId="86" borderId="168" applyNumberFormat="0" applyProtection="0">
      <alignment horizontal="left" vertical="top" indent="1"/>
    </xf>
    <xf numFmtId="0" fontId="80" fillId="89" borderId="168" applyNumberFormat="0" applyProtection="0">
      <alignment horizontal="left" vertical="top" indent="1"/>
    </xf>
    <xf numFmtId="0" fontId="80" fillId="89"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9"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0" fontId="33" fillId="87" borderId="140" applyNumberFormat="0">
      <protection locked="0"/>
    </xf>
    <xf numFmtId="0" fontId="114" fillId="65" borderId="184" applyBorder="0"/>
    <xf numFmtId="0" fontId="114" fillId="65" borderId="184" applyBorder="0"/>
    <xf numFmtId="4" fontId="104" fillId="39" borderId="168" applyNumberFormat="0" applyProtection="0">
      <alignment vertical="center"/>
    </xf>
    <xf numFmtId="4" fontId="104" fillId="39" borderId="168" applyNumberFormat="0" applyProtection="0">
      <alignment vertical="center"/>
    </xf>
    <xf numFmtId="4" fontId="68" fillId="74" borderId="168" applyNumberFormat="0" applyProtection="0">
      <alignment vertical="center"/>
    </xf>
    <xf numFmtId="4" fontId="68" fillId="39" borderId="168" applyNumberFormat="0" applyProtection="0">
      <alignment vertical="center"/>
    </xf>
    <xf numFmtId="4" fontId="169" fillId="74" borderId="140" applyNumberFormat="0" applyProtection="0">
      <alignment vertical="center"/>
    </xf>
    <xf numFmtId="4" fontId="169" fillId="74" borderId="140" applyNumberFormat="0" applyProtection="0">
      <alignment vertical="center"/>
    </xf>
    <xf numFmtId="4" fontId="118" fillId="74" borderId="168" applyNumberFormat="0" applyProtection="0">
      <alignment vertical="center"/>
    </xf>
    <xf numFmtId="4" fontId="118" fillId="39" borderId="168" applyNumberFormat="0" applyProtection="0">
      <alignment vertical="center"/>
    </xf>
    <xf numFmtId="4" fontId="104" fillId="48" borderId="168" applyNumberFormat="0" applyProtection="0">
      <alignment horizontal="left" vertical="center" indent="1"/>
    </xf>
    <xf numFmtId="4" fontId="104" fillId="48" borderId="168" applyNumberFormat="0" applyProtection="0">
      <alignment horizontal="left" vertical="center" indent="1"/>
    </xf>
    <xf numFmtId="4" fontId="68" fillId="39" borderId="168" applyNumberFormat="0" applyProtection="0">
      <alignment horizontal="left" vertical="center" indent="1"/>
    </xf>
    <xf numFmtId="0" fontId="104" fillId="39" borderId="168" applyNumberFormat="0" applyProtection="0">
      <alignment horizontal="left" vertical="top" indent="1"/>
    </xf>
    <xf numFmtId="0" fontId="104" fillId="39" borderId="168" applyNumberFormat="0" applyProtection="0">
      <alignment horizontal="left" vertical="top" indent="1"/>
    </xf>
    <xf numFmtId="0" fontId="68" fillId="74" borderId="168" applyNumberFormat="0" applyProtection="0">
      <alignment horizontal="left" vertical="top" indent="1"/>
    </xf>
    <xf numFmtId="0" fontId="68" fillId="39" borderId="168" applyNumberFormat="0" applyProtection="0">
      <alignment horizontal="left" vertical="top" indent="1"/>
    </xf>
    <xf numFmtId="4" fontId="80" fillId="0" borderId="175"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68" fillId="89" borderId="168" applyNumberFormat="0" applyProtection="0">
      <alignment horizontal="right" vertical="center"/>
    </xf>
    <xf numFmtId="4" fontId="169" fillId="75" borderId="175" applyNumberFormat="0" applyProtection="0">
      <alignment horizontal="right" vertical="center"/>
    </xf>
    <xf numFmtId="4" fontId="169" fillId="75" borderId="175" applyNumberFormat="0" applyProtection="0">
      <alignment horizontal="right" vertical="center"/>
    </xf>
    <xf numFmtId="4" fontId="118" fillId="89" borderId="168" applyNumberFormat="0" applyProtection="0">
      <alignment horizontal="right" vertical="center"/>
    </xf>
    <xf numFmtId="4" fontId="118" fillId="89" borderId="168"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68" fillId="104" borderId="168" applyNumberFormat="0" applyProtection="0">
      <alignment horizontal="left" vertical="center" indent="1"/>
    </xf>
    <xf numFmtId="0" fontId="113" fillId="91" borderId="140" applyNumberFormat="0" applyProtection="0">
      <alignment horizontal="center" vertical="top" wrapText="1"/>
    </xf>
    <xf numFmtId="0" fontId="104" fillId="104" borderId="168" applyNumberFormat="0" applyProtection="0">
      <alignment horizontal="left" vertical="top" indent="1"/>
    </xf>
    <xf numFmtId="0" fontId="104" fillId="104" borderId="168" applyNumberFormat="0" applyProtection="0">
      <alignment horizontal="left" vertical="top" indent="1"/>
    </xf>
    <xf numFmtId="0" fontId="113" fillId="91" borderId="140" applyNumberFormat="0" applyProtection="0">
      <alignment horizontal="center" vertical="top" wrapText="1"/>
    </xf>
    <xf numFmtId="0" fontId="68" fillId="104" borderId="168" applyNumberFormat="0" applyProtection="0">
      <alignment horizontal="left" vertical="top" inden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4" fontId="128" fillId="0" borderId="168" applyNumberFormat="0" applyProtection="0">
      <alignment horizontal="right" vertical="center"/>
    </xf>
    <xf numFmtId="4" fontId="128" fillId="89" borderId="168" applyNumberFormat="0" applyProtection="0">
      <alignment horizontal="right" vertical="center"/>
    </xf>
    <xf numFmtId="195" fontId="134" fillId="0" borderId="182">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71" applyNumberFormat="0" applyFill="0" applyAlignment="0" applyProtection="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12" borderId="0" applyNumberFormat="0" applyBorder="0" applyAlignment="0" applyProtection="0"/>
    <xf numFmtId="0" fontId="4" fillId="0" borderId="0"/>
    <xf numFmtId="0" fontId="4" fillId="12" borderId="0" applyNumberFormat="0" applyBorder="0" applyAlignment="0" applyProtection="0"/>
    <xf numFmtId="0" fontId="4" fillId="44" borderId="0" applyNumberFormat="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cellStyleXfs>
  <cellXfs count="1007">
    <xf numFmtId="0" fontId="0" fillId="0" borderId="0" xfId="0"/>
    <xf numFmtId="0" fontId="53" fillId="0" borderId="0" xfId="20532" applyFont="1"/>
    <xf numFmtId="0" fontId="17" fillId="0" borderId="0" xfId="20575"/>
    <xf numFmtId="0" fontId="17" fillId="0" borderId="4" xfId="20575" applyBorder="1" applyAlignment="1">
      <alignment horizontal="center"/>
    </xf>
    <xf numFmtId="0" fontId="32" fillId="0" borderId="0" xfId="20563" applyFont="1"/>
    <xf numFmtId="0" fontId="183" fillId="0" borderId="0" xfId="0" applyFont="1"/>
    <xf numFmtId="0" fontId="191" fillId="2" borderId="0" xfId="10126" applyFont="1" applyFill="1" applyBorder="1" applyAlignment="1">
      <alignment vertical="center"/>
    </xf>
    <xf numFmtId="0" fontId="39" fillId="145" borderId="95" xfId="0" applyFont="1" applyFill="1" applyBorder="1"/>
    <xf numFmtId="0" fontId="146" fillId="141" borderId="98" xfId="20532" applyFont="1" applyFill="1" applyBorder="1" applyAlignment="1">
      <alignment vertical="center" wrapText="1"/>
    </xf>
    <xf numFmtId="0" fontId="186" fillId="2" borderId="0" xfId="6" applyFont="1" applyFill="1"/>
    <xf numFmtId="0" fontId="186" fillId="2" borderId="0" xfId="6" applyFont="1" applyFill="1" applyAlignment="1">
      <alignment horizontal="center"/>
    </xf>
    <xf numFmtId="43" fontId="186" fillId="2" borderId="0" xfId="64" applyFont="1" applyFill="1" applyBorder="1" applyAlignment="1">
      <alignment horizontal="center"/>
    </xf>
    <xf numFmtId="0" fontId="181" fillId="0" borderId="0" xfId="20547" applyFont="1"/>
    <xf numFmtId="43" fontId="195" fillId="2" borderId="0" xfId="64" applyFont="1" applyFill="1" applyBorder="1" applyAlignment="1">
      <alignment horizontal="center"/>
    </xf>
    <xf numFmtId="0" fontId="181" fillId="2" borderId="0" xfId="6" applyFont="1" applyFill="1"/>
    <xf numFmtId="43" fontId="195" fillId="2" borderId="0" xfId="64" applyFont="1" applyFill="1" applyBorder="1" applyAlignment="1">
      <alignment horizontal="center" wrapText="1"/>
    </xf>
    <xf numFmtId="43" fontId="186" fillId="2" borderId="0" xfId="64" applyFont="1" applyFill="1" applyAlignment="1">
      <alignment horizontal="center"/>
    </xf>
    <xf numFmtId="0" fontId="186" fillId="0" borderId="0" xfId="6" applyFont="1"/>
    <xf numFmtId="164" fontId="186" fillId="2" borderId="0" xfId="7" applyNumberFormat="1" applyFont="1" applyFill="1" applyAlignment="1">
      <alignment horizontal="center"/>
    </xf>
    <xf numFmtId="0" fontId="186" fillId="2" borderId="0" xfId="5259" applyFont="1" applyFill="1"/>
    <xf numFmtId="0" fontId="198" fillId="0" borderId="0" xfId="0" applyFont="1"/>
    <xf numFmtId="0" fontId="182" fillId="148" borderId="100" xfId="0" applyFont="1" applyFill="1" applyBorder="1" applyAlignment="1">
      <alignment horizontal="center" vertical="center" wrapText="1"/>
    </xf>
    <xf numFmtId="43" fontId="182" fillId="146" borderId="100" xfId="64" applyFont="1" applyFill="1" applyBorder="1" applyAlignment="1" applyProtection="1">
      <alignment horizontal="center" vertical="center" wrapText="1"/>
      <protection locked="0"/>
    </xf>
    <xf numFmtId="0" fontId="195" fillId="2" borderId="0" xfId="6" applyFont="1" applyFill="1"/>
    <xf numFmtId="164" fontId="195" fillId="2" borderId="0" xfId="7" applyNumberFormat="1" applyFont="1" applyFill="1" applyBorder="1" applyAlignment="1">
      <alignment horizontal="center" wrapText="1"/>
    </xf>
    <xf numFmtId="0" fontId="199" fillId="0" borderId="0" xfId="6" applyFont="1"/>
    <xf numFmtId="0" fontId="182" fillId="146" borderId="100" xfId="9" applyFont="1" applyFill="1" applyBorder="1" applyAlignment="1">
      <alignment horizontal="center" vertical="center" wrapText="1"/>
    </xf>
    <xf numFmtId="0" fontId="182" fillId="146" borderId="100" xfId="6" applyFont="1" applyFill="1" applyBorder="1" applyAlignment="1">
      <alignment horizontal="center" vertical="center" wrapText="1"/>
    </xf>
    <xf numFmtId="164" fontId="182" fillId="146" borderId="99" xfId="7" applyNumberFormat="1" applyFont="1" applyFill="1" applyBorder="1" applyAlignment="1" applyProtection="1">
      <alignment horizontal="center" vertical="center" wrapText="1"/>
      <protection locked="0"/>
    </xf>
    <xf numFmtId="0" fontId="186" fillId="0" borderId="2" xfId="6" applyFont="1" applyBorder="1" applyAlignment="1">
      <alignment horizontal="left" wrapText="1" indent="1"/>
    </xf>
    <xf numFmtId="0" fontId="186" fillId="0" borderId="2" xfId="6" applyFont="1" applyBorder="1" applyAlignment="1">
      <alignment horizontal="center"/>
    </xf>
    <xf numFmtId="0" fontId="186" fillId="0" borderId="2" xfId="6" applyFont="1" applyBorder="1" applyAlignment="1">
      <alignment horizontal="center" wrapText="1"/>
    </xf>
    <xf numFmtId="0" fontId="35" fillId="0" borderId="0" xfId="20586" applyFont="1"/>
    <xf numFmtId="0" fontId="183" fillId="0" borderId="0" xfId="20557" applyFont="1" applyAlignment="1">
      <alignment horizontal="center" vertical="center" wrapText="1"/>
    </xf>
    <xf numFmtId="0" fontId="53" fillId="0" borderId="98" xfId="20532" applyFont="1" applyBorder="1"/>
    <xf numFmtId="0" fontId="183" fillId="0" borderId="2" xfId="20559" applyFont="1" applyBorder="1" applyAlignment="1">
      <alignment horizontal="left" vertical="center"/>
    </xf>
    <xf numFmtId="42" fontId="183" fillId="147" borderId="2" xfId="20559" applyNumberFormat="1" applyFont="1" applyFill="1" applyBorder="1" applyAlignment="1">
      <alignment horizontal="left" vertical="center"/>
    </xf>
    <xf numFmtId="165" fontId="183" fillId="147" borderId="2" xfId="17592" applyNumberFormat="1" applyFont="1" applyFill="1" applyBorder="1" applyAlignment="1">
      <alignment horizontal="left" vertical="center"/>
    </xf>
    <xf numFmtId="0" fontId="183" fillId="147" borderId="2" xfId="20559" applyFont="1" applyFill="1" applyBorder="1" applyAlignment="1">
      <alignment horizontal="left" vertical="center"/>
    </xf>
    <xf numFmtId="0" fontId="193" fillId="0" borderId="0" xfId="20586" applyFont="1" applyAlignment="1">
      <alignment wrapText="1"/>
    </xf>
    <xf numFmtId="0" fontId="9" fillId="0" borderId="0" xfId="20563" applyFont="1"/>
    <xf numFmtId="0" fontId="9" fillId="0" borderId="0" xfId="20563" applyFont="1" applyAlignment="1">
      <alignment horizontal="right"/>
    </xf>
    <xf numFmtId="0" fontId="9" fillId="144" borderId="0" xfId="20563" applyFont="1" applyFill="1"/>
    <xf numFmtId="0" fontId="9" fillId="0" borderId="0" xfId="20532" applyFont="1"/>
    <xf numFmtId="0" fontId="9" fillId="2" borderId="0" xfId="20584" applyFont="1" applyFill="1"/>
    <xf numFmtId="0" fontId="53" fillId="2" borderId="0" xfId="20584" applyFont="1" applyFill="1" applyAlignment="1">
      <alignment horizontal="left"/>
    </xf>
    <xf numFmtId="0" fontId="9" fillId="0" borderId="0" xfId="0" applyFont="1"/>
    <xf numFmtId="0" fontId="35" fillId="0" borderId="4" xfId="20557" applyFont="1" applyBorder="1" applyAlignment="1">
      <alignment horizontal="center" vertical="center"/>
    </xf>
    <xf numFmtId="0" fontId="183" fillId="147" borderId="5" xfId="20559" applyFont="1" applyFill="1" applyBorder="1" applyAlignment="1">
      <alignment horizontal="left" vertical="center"/>
    </xf>
    <xf numFmtId="0" fontId="35" fillId="0" borderId="137" xfId="20557" applyFont="1" applyBorder="1" applyAlignment="1">
      <alignment horizontal="center" vertical="center"/>
    </xf>
    <xf numFmtId="0" fontId="35" fillId="0" borderId="138" xfId="20557" applyFont="1" applyBorder="1" applyAlignment="1">
      <alignment horizontal="center" vertical="center"/>
    </xf>
    <xf numFmtId="0" fontId="183" fillId="2" borderId="138" xfId="20557" applyFont="1" applyFill="1" applyBorder="1" applyAlignment="1">
      <alignment horizontal="left" vertical="center" wrapText="1"/>
    </xf>
    <xf numFmtId="44" fontId="35" fillId="147" borderId="138" xfId="17842" applyNumberFormat="1" applyFont="1" applyFill="1" applyBorder="1" applyAlignment="1">
      <alignment horizontal="center" vertical="center"/>
    </xf>
    <xf numFmtId="42" fontId="35" fillId="147" borderId="138" xfId="20559" applyNumberFormat="1" applyFont="1" applyFill="1" applyBorder="1" applyAlignment="1">
      <alignment horizontal="center" vertical="center"/>
    </xf>
    <xf numFmtId="42" fontId="35" fillId="147" borderId="139" xfId="20559" applyNumberFormat="1" applyFont="1" applyFill="1" applyBorder="1" applyAlignment="1">
      <alignment horizontal="center" vertical="center"/>
    </xf>
    <xf numFmtId="0" fontId="35" fillId="0" borderId="101" xfId="20557" applyFont="1" applyBorder="1" applyAlignment="1">
      <alignment horizontal="center" vertical="center"/>
    </xf>
    <xf numFmtId="0" fontId="183" fillId="147" borderId="136" xfId="20559" applyFont="1" applyFill="1" applyBorder="1" applyAlignment="1">
      <alignment horizontal="left" vertical="center"/>
    </xf>
    <xf numFmtId="0" fontId="35" fillId="0" borderId="141" xfId="20557" applyFont="1" applyBorder="1" applyAlignment="1">
      <alignment horizontal="center" vertical="center"/>
    </xf>
    <xf numFmtId="0" fontId="183" fillId="2" borderId="108" xfId="20557" applyFont="1" applyFill="1" applyBorder="1" applyAlignment="1">
      <alignment horizontal="left" vertical="center" wrapText="1"/>
    </xf>
    <xf numFmtId="44" fontId="35" fillId="147" borderId="108" xfId="17842" applyNumberFormat="1" applyFont="1" applyFill="1" applyBorder="1" applyAlignment="1">
      <alignment horizontal="center" vertical="center"/>
    </xf>
    <xf numFmtId="42" fontId="35" fillId="147" borderId="108" xfId="20559" applyNumberFormat="1" applyFont="1" applyFill="1" applyBorder="1" applyAlignment="1">
      <alignment horizontal="center" vertical="center"/>
    </xf>
    <xf numFmtId="42" fontId="35" fillId="147" borderId="142" xfId="20559" applyNumberFormat="1" applyFont="1" applyFill="1" applyBorder="1" applyAlignment="1">
      <alignment horizontal="center" vertical="center"/>
    </xf>
    <xf numFmtId="42" fontId="35" fillId="3" borderId="2" xfId="20559" applyNumberFormat="1" applyFont="1" applyFill="1" applyBorder="1" applyAlignment="1">
      <alignment horizontal="left" vertical="center"/>
    </xf>
    <xf numFmtId="0" fontId="32" fillId="0" borderId="0" xfId="0" applyFont="1"/>
    <xf numFmtId="0" fontId="53" fillId="0" borderId="0" xfId="0" applyFont="1"/>
    <xf numFmtId="0" fontId="32" fillId="0" borderId="0" xfId="0" applyFont="1" applyAlignment="1">
      <alignment horizontal="center"/>
    </xf>
    <xf numFmtId="41" fontId="32" fillId="0" borderId="0" xfId="0" applyNumberFormat="1" applyFont="1"/>
    <xf numFmtId="43" fontId="32" fillId="0" borderId="0" xfId="0" applyNumberFormat="1" applyFont="1"/>
    <xf numFmtId="0" fontId="9" fillId="0" borderId="0" xfId="20575" applyFont="1"/>
    <xf numFmtId="0" fontId="201" fillId="0" borderId="0" xfId="0" applyFont="1"/>
    <xf numFmtId="0" fontId="146" fillId="0" borderId="0" xfId="0" applyFont="1"/>
    <xf numFmtId="0" fontId="190" fillId="0" borderId="0" xfId="0" applyFont="1"/>
    <xf numFmtId="0" fontId="146" fillId="0" borderId="0" xfId="0" applyFont="1" applyAlignment="1">
      <alignment wrapText="1"/>
    </xf>
    <xf numFmtId="0" fontId="146" fillId="0" borderId="4" xfId="0" applyFont="1" applyBorder="1"/>
    <xf numFmtId="0" fontId="146" fillId="0" borderId="52" xfId="0" applyFont="1" applyBorder="1"/>
    <xf numFmtId="0" fontId="146" fillId="0" borderId="143" xfId="0" applyFont="1" applyBorder="1"/>
    <xf numFmtId="0" fontId="146" fillId="0" borderId="138" xfId="0" applyFont="1" applyBorder="1"/>
    <xf numFmtId="9" fontId="39" fillId="151" borderId="138" xfId="58" applyFont="1" applyFill="1" applyBorder="1"/>
    <xf numFmtId="9" fontId="39" fillId="151" borderId="139" xfId="58" applyFont="1" applyFill="1" applyBorder="1"/>
    <xf numFmtId="0" fontId="146" fillId="0" borderId="145" xfId="0" applyFont="1" applyBorder="1"/>
    <xf numFmtId="0" fontId="146" fillId="0" borderId="146" xfId="0" applyFont="1" applyBorder="1"/>
    <xf numFmtId="9" fontId="39" fillId="151" borderId="147" xfId="58" applyFont="1" applyFill="1" applyBorder="1"/>
    <xf numFmtId="9" fontId="39" fillId="151" borderId="148" xfId="58" applyFont="1" applyFill="1" applyBorder="1"/>
    <xf numFmtId="0" fontId="146" fillId="0" borderId="137" xfId="0" applyFont="1" applyBorder="1"/>
    <xf numFmtId="0" fontId="146" fillId="0" borderId="144" xfId="0" applyFont="1" applyBorder="1"/>
    <xf numFmtId="0" fontId="146" fillId="0" borderId="149" xfId="0" applyFont="1" applyBorder="1"/>
    <xf numFmtId="0" fontId="9" fillId="0" borderId="0" xfId="20586" applyFont="1"/>
    <xf numFmtId="0" fontId="183" fillId="150" borderId="92" xfId="20557" applyFont="1" applyFill="1" applyBorder="1" applyAlignment="1">
      <alignment horizontal="center" vertical="center" wrapText="1"/>
    </xf>
    <xf numFmtId="0" fontId="183" fillId="0" borderId="0" xfId="20532" applyFont="1"/>
    <xf numFmtId="17" fontId="183" fillId="0" borderId="0" xfId="20557" applyNumberFormat="1" applyFont="1"/>
    <xf numFmtId="0" fontId="9" fillId="0" borderId="0" xfId="20548" applyFont="1"/>
    <xf numFmtId="0" fontId="183" fillId="0" borderId="0" xfId="59" applyFont="1"/>
    <xf numFmtId="204" fontId="202" fillId="0" borderId="0" xfId="20548" applyNumberFormat="1" applyFont="1"/>
    <xf numFmtId="0" fontId="201" fillId="0" borderId="0" xfId="0" applyFont="1" applyAlignment="1">
      <alignment horizontal="left" vertical="top" wrapText="1"/>
    </xf>
    <xf numFmtId="164" fontId="9" fillId="0" borderId="0" xfId="20564" applyNumberFormat="1" applyFont="1"/>
    <xf numFmtId="0" fontId="193" fillId="0" borderId="0" xfId="0" applyFont="1"/>
    <xf numFmtId="0" fontId="53" fillId="0" borderId="2" xfId="0" applyFont="1" applyBorder="1" applyAlignment="1">
      <alignment vertical="center"/>
    </xf>
    <xf numFmtId="0" fontId="53" fillId="0" borderId="138" xfId="0" applyFont="1" applyBorder="1" applyAlignment="1">
      <alignment vertical="center"/>
    </xf>
    <xf numFmtId="0" fontId="53" fillId="146" borderId="98" xfId="20532" applyFont="1" applyFill="1" applyBorder="1" applyAlignment="1">
      <alignment vertical="center" wrapText="1"/>
    </xf>
    <xf numFmtId="0" fontId="53" fillId="146" borderId="96" xfId="20532" applyFont="1" applyFill="1" applyBorder="1" applyAlignment="1">
      <alignment vertical="center"/>
    </xf>
    <xf numFmtId="0" fontId="182" fillId="148" borderId="99" xfId="0" applyFont="1" applyFill="1" applyBorder="1" applyAlignment="1">
      <alignment horizontal="center" vertical="center" wrapText="1"/>
    </xf>
    <xf numFmtId="0" fontId="182" fillId="148" borderId="92" xfId="0" applyFont="1" applyFill="1" applyBorder="1" applyAlignment="1">
      <alignment horizontal="left" vertical="center"/>
    </xf>
    <xf numFmtId="0" fontId="182" fillId="148" borderId="93" xfId="0" applyFont="1" applyFill="1" applyBorder="1" applyAlignment="1">
      <alignment horizontal="left" vertical="center"/>
    </xf>
    <xf numFmtId="0" fontId="183" fillId="143" borderId="108" xfId="6" applyFont="1" applyFill="1" applyBorder="1" applyAlignment="1">
      <alignment horizontal="center" vertical="center" wrapText="1"/>
    </xf>
    <xf numFmtId="0" fontId="35" fillId="0" borderId="0" xfId="5259" applyFont="1" applyFill="1"/>
    <xf numFmtId="0" fontId="35" fillId="0" borderId="110" xfId="5259" applyFont="1" applyFill="1" applyBorder="1"/>
    <xf numFmtId="0" fontId="8" fillId="0" borderId="0" xfId="0" applyFont="1"/>
    <xf numFmtId="0" fontId="203" fillId="0" borderId="0" xfId="20548" applyFont="1"/>
    <xf numFmtId="0" fontId="186" fillId="0" borderId="0" xfId="5259" applyFont="1" applyFill="1"/>
    <xf numFmtId="0" fontId="186" fillId="2" borderId="0" xfId="5259" applyFont="1" applyFill="1" applyAlignment="1">
      <alignment horizontal="center"/>
    </xf>
    <xf numFmtId="164" fontId="186" fillId="2" borderId="0" xfId="202" applyNumberFormat="1" applyFont="1" applyFill="1" applyAlignment="1">
      <alignment horizontal="center"/>
    </xf>
    <xf numFmtId="0" fontId="195" fillId="2" borderId="0" xfId="5259" applyFont="1" applyFill="1"/>
    <xf numFmtId="43" fontId="195" fillId="2" borderId="0" xfId="64" applyFont="1" applyFill="1" applyAlignment="1">
      <alignment horizontal="center"/>
    </xf>
    <xf numFmtId="0" fontId="181" fillId="2" borderId="0" xfId="5259" applyFont="1" applyFill="1"/>
    <xf numFmtId="164" fontId="195" fillId="2" borderId="0" xfId="202" applyNumberFormat="1" applyFont="1" applyFill="1" applyAlignment="1">
      <alignment horizontal="center" wrapText="1"/>
    </xf>
    <xf numFmtId="43" fontId="195" fillId="2" borderId="0" xfId="64" applyFont="1" applyFill="1" applyAlignment="1">
      <alignment horizontal="center" wrapText="1"/>
    </xf>
    <xf numFmtId="0" fontId="199" fillId="0" borderId="0" xfId="5259" applyFont="1" applyFill="1"/>
    <xf numFmtId="164" fontId="182" fillId="146" borderId="99" xfId="202" applyNumberFormat="1" applyFont="1" applyFill="1" applyBorder="1" applyAlignment="1" applyProtection="1">
      <alignment horizontal="center" vertical="center" wrapText="1"/>
      <protection locked="0"/>
    </xf>
    <xf numFmtId="0" fontId="35" fillId="0" borderId="0" xfId="198" applyFont="1" applyAlignment="1">
      <alignment horizontal="center"/>
    </xf>
    <xf numFmtId="43" fontId="182" fillId="146" borderId="151" xfId="64" applyFont="1" applyFill="1" applyBorder="1" applyAlignment="1" applyProtection="1">
      <alignment horizontal="center" vertical="center" wrapText="1"/>
      <protection locked="0"/>
    </xf>
    <xf numFmtId="0" fontId="186" fillId="0" borderId="4" xfId="5259" applyFont="1" applyFill="1" applyBorder="1" applyAlignment="1">
      <alignment horizontal="center"/>
    </xf>
    <xf numFmtId="0" fontId="186" fillId="0" borderId="137" xfId="5259" applyFont="1" applyFill="1" applyBorder="1" applyAlignment="1">
      <alignment horizontal="center"/>
    </xf>
    <xf numFmtId="0" fontId="182" fillId="0" borderId="159" xfId="5259" applyFont="1" applyFill="1" applyBorder="1" applyAlignment="1">
      <alignment horizontal="center"/>
    </xf>
    <xf numFmtId="0" fontId="182" fillId="0" borderId="154" xfId="5259" applyFont="1" applyFill="1" applyBorder="1" applyAlignment="1">
      <alignment horizontal="center"/>
    </xf>
    <xf numFmtId="0" fontId="8" fillId="0" borderId="0" xfId="0" applyFont="1" applyAlignment="1">
      <alignment horizontal="center" vertical="center"/>
    </xf>
    <xf numFmtId="0" fontId="35" fillId="0" borderId="0" xfId="198" applyFont="1"/>
    <xf numFmtId="0" fontId="35" fillId="0" borderId="0" xfId="198" applyFont="1" applyAlignment="1">
      <alignment horizontal="center" wrapText="1"/>
    </xf>
    <xf numFmtId="0" fontId="207" fillId="0" borderId="0" xfId="198" applyFont="1" applyAlignment="1">
      <alignment horizontal="left"/>
    </xf>
    <xf numFmtId="0" fontId="32" fillId="0" borderId="0" xfId="198" applyFont="1" applyAlignment="1">
      <alignment horizontal="center"/>
    </xf>
    <xf numFmtId="0" fontId="186" fillId="0" borderId="0" xfId="5259" applyFont="1" applyFill="1" applyAlignment="1">
      <alignment horizontal="center"/>
    </xf>
    <xf numFmtId="164" fontId="182" fillId="146" borderId="100" xfId="202" applyNumberFormat="1" applyFont="1" applyFill="1" applyBorder="1" applyAlignment="1" applyProtection="1">
      <alignment horizontal="center" vertical="center" wrapText="1"/>
      <protection locked="0"/>
    </xf>
    <xf numFmtId="0" fontId="196" fillId="2" borderId="0" xfId="5259" applyFont="1" applyFill="1"/>
    <xf numFmtId="0" fontId="194" fillId="2" borderId="0" xfId="5259" applyFont="1" applyFill="1"/>
    <xf numFmtId="0" fontId="146" fillId="141" borderId="156" xfId="20532" applyFont="1" applyFill="1" applyBorder="1" applyAlignment="1">
      <alignment vertical="center" wrapText="1"/>
    </xf>
    <xf numFmtId="0" fontId="146" fillId="141" borderId="153" xfId="20532" applyFont="1" applyFill="1" applyBorder="1" applyAlignment="1">
      <alignment vertical="center" wrapText="1"/>
    </xf>
    <xf numFmtId="0" fontId="146" fillId="141" borderId="156" xfId="20532" applyFont="1" applyFill="1" applyBorder="1" applyAlignment="1">
      <alignment vertical="center"/>
    </xf>
    <xf numFmtId="0" fontId="146" fillId="0" borderId="152" xfId="20532" applyFont="1" applyBorder="1" applyAlignment="1">
      <alignment vertical="center" wrapText="1"/>
    </xf>
    <xf numFmtId="0" fontId="146" fillId="0" borderId="156" xfId="20532" applyFont="1" applyBorder="1" applyAlignment="1">
      <alignment vertical="center" wrapText="1"/>
    </xf>
    <xf numFmtId="0" fontId="146" fillId="0" borderId="156" xfId="20532" applyFont="1" applyBorder="1" applyAlignment="1">
      <alignment vertical="center"/>
    </xf>
    <xf numFmtId="0" fontId="35" fillId="3" borderId="155" xfId="6" applyFont="1" applyFill="1" applyBorder="1" applyAlignment="1">
      <alignment horizontal="left"/>
    </xf>
    <xf numFmtId="0" fontId="183" fillId="0" borderId="46" xfId="20559" applyFont="1" applyBorder="1" applyAlignment="1">
      <alignment horizontal="left" vertical="center"/>
    </xf>
    <xf numFmtId="42" fontId="183" fillId="147" borderId="46" xfId="20559" applyNumberFormat="1" applyFont="1" applyFill="1" applyBorder="1" applyAlignment="1">
      <alignment horizontal="left" vertical="center"/>
    </xf>
    <xf numFmtId="165" fontId="183" fillId="147" borderId="46" xfId="17592" applyNumberFormat="1" applyFont="1" applyFill="1" applyBorder="1" applyAlignment="1">
      <alignment horizontal="left" vertical="center"/>
    </xf>
    <xf numFmtId="0" fontId="183" fillId="147" borderId="46" xfId="20559" applyFont="1" applyFill="1" applyBorder="1" applyAlignment="1">
      <alignment horizontal="left" vertical="center"/>
    </xf>
    <xf numFmtId="0" fontId="5" fillId="0" borderId="0" xfId="0" applyFont="1"/>
    <xf numFmtId="0" fontId="208" fillId="0" borderId="0" xfId="0" applyFont="1"/>
    <xf numFmtId="0" fontId="209" fillId="0" borderId="0" xfId="0" applyFont="1" applyAlignment="1">
      <alignment wrapText="1"/>
    </xf>
    <xf numFmtId="0" fontId="210" fillId="0" borderId="0" xfId="0" applyFont="1"/>
    <xf numFmtId="0" fontId="208" fillId="150" borderId="0" xfId="0" applyFont="1" applyFill="1"/>
    <xf numFmtId="6" fontId="208" fillId="150" borderId="0" xfId="0" applyNumberFormat="1" applyFont="1" applyFill="1"/>
    <xf numFmtId="0" fontId="208" fillId="0" borderId="0" xfId="0" applyFont="1" applyAlignment="1">
      <alignment wrapText="1"/>
    </xf>
    <xf numFmtId="0" fontId="51" fillId="162" borderId="161" xfId="0" applyFont="1" applyFill="1" applyBorder="1" applyAlignment="1">
      <alignment horizontal="center" wrapText="1"/>
    </xf>
    <xf numFmtId="0" fontId="51" fillId="162" borderId="162" xfId="0" applyFont="1" applyFill="1" applyBorder="1" applyAlignment="1">
      <alignment horizontal="center" wrapText="1"/>
    </xf>
    <xf numFmtId="0" fontId="8" fillId="0" borderId="0" xfId="0" applyFont="1" applyAlignment="1">
      <alignment wrapText="1"/>
    </xf>
    <xf numFmtId="0" fontId="35" fillId="0" borderId="0" xfId="2" applyFont="1" applyProtection="1">
      <protection locked="0"/>
    </xf>
    <xf numFmtId="0" fontId="5" fillId="0" borderId="0" xfId="20575" applyFont="1"/>
    <xf numFmtId="0" fontId="35" fillId="0" borderId="4" xfId="0" applyFont="1" applyBorder="1" applyAlignment="1">
      <alignment horizontal="left" wrapText="1"/>
    </xf>
    <xf numFmtId="0" fontId="212" fillId="0" borderId="0" xfId="0" applyFont="1" applyAlignment="1">
      <alignment wrapText="1"/>
    </xf>
    <xf numFmtId="0" fontId="213" fillId="0" borderId="0" xfId="0" applyFont="1"/>
    <xf numFmtId="0" fontId="146" fillId="161" borderId="4" xfId="0" applyFont="1" applyFill="1" applyBorder="1"/>
    <xf numFmtId="0" fontId="146" fillId="161" borderId="2" xfId="0" applyFont="1" applyFill="1" applyBorder="1"/>
    <xf numFmtId="0" fontId="190" fillId="146" borderId="92" xfId="0" applyFont="1" applyFill="1" applyBorder="1" applyAlignment="1">
      <alignment horizontal="center" vertical="center"/>
    </xf>
    <xf numFmtId="0" fontId="190" fillId="157" borderId="93" xfId="0" applyFont="1" applyFill="1" applyBorder="1" applyAlignment="1">
      <alignment horizontal="center" vertical="center" wrapText="1"/>
    </xf>
    <xf numFmtId="0" fontId="190" fillId="146" borderId="93" xfId="0" applyFont="1" applyFill="1" applyBorder="1" applyAlignment="1">
      <alignment horizontal="center" vertical="center" wrapText="1"/>
    </xf>
    <xf numFmtId="0" fontId="183" fillId="146" borderId="97" xfId="0" applyFont="1" applyFill="1" applyBorder="1" applyAlignment="1">
      <alignment horizontal="center" vertical="center" wrapText="1"/>
    </xf>
    <xf numFmtId="0" fontId="53" fillId="146" borderId="93" xfId="0" applyFont="1" applyFill="1" applyBorder="1" applyAlignment="1">
      <alignment horizontal="center" vertical="center" wrapText="1"/>
    </xf>
    <xf numFmtId="0" fontId="182" fillId="2" borderId="0" xfId="5259" applyFont="1" applyFill="1"/>
    <xf numFmtId="0" fontId="53" fillId="0" borderId="186" xfId="0" applyFont="1" applyBorder="1"/>
    <xf numFmtId="0" fontId="181" fillId="150" borderId="193" xfId="59" applyFont="1" applyFill="1" applyBorder="1"/>
    <xf numFmtId="0" fontId="186" fillId="150" borderId="188" xfId="6" applyFont="1" applyFill="1" applyBorder="1" applyAlignment="1">
      <alignment horizontal="left"/>
    </xf>
    <xf numFmtId="0" fontId="146" fillId="141" borderId="192" xfId="20532" applyFont="1" applyFill="1" applyBorder="1" applyAlignment="1">
      <alignment vertical="center"/>
    </xf>
    <xf numFmtId="0" fontId="146" fillId="0" borderId="186" xfId="20532" applyFont="1" applyBorder="1" applyAlignment="1">
      <alignment vertical="center" wrapText="1"/>
    </xf>
    <xf numFmtId="0" fontId="183" fillId="150" borderId="189" xfId="59" applyFont="1" applyFill="1" applyBorder="1"/>
    <xf numFmtId="0" fontId="35" fillId="150" borderId="195" xfId="6" applyFont="1" applyFill="1" applyBorder="1" applyAlignment="1">
      <alignment horizontal="left"/>
    </xf>
    <xf numFmtId="0" fontId="53" fillId="146" borderId="189" xfId="0" applyFont="1" applyFill="1" applyBorder="1" applyAlignment="1">
      <alignment horizontal="center" vertical="center" wrapText="1"/>
    </xf>
    <xf numFmtId="0" fontId="53" fillId="146" borderId="194" xfId="0" applyFont="1" applyFill="1" applyBorder="1" applyAlignment="1">
      <alignment horizontal="center" vertical="center" wrapText="1"/>
    </xf>
    <xf numFmtId="0" fontId="53" fillId="146" borderId="195" xfId="0" applyFont="1" applyFill="1" applyBorder="1" applyAlignment="1">
      <alignment horizontal="center" vertical="center" wrapText="1"/>
    </xf>
    <xf numFmtId="0" fontId="183" fillId="150" borderId="189" xfId="20557" applyFont="1" applyFill="1" applyBorder="1" applyAlignment="1">
      <alignment horizontal="left" vertical="center" wrapText="1"/>
    </xf>
    <xf numFmtId="0" fontId="35" fillId="152" borderId="198" xfId="0" applyFont="1" applyFill="1" applyBorder="1"/>
    <xf numFmtId="0" fontId="146" fillId="161" borderId="189" xfId="0" applyFont="1" applyFill="1" applyBorder="1"/>
    <xf numFmtId="0" fontId="146" fillId="161" borderId="194" xfId="0" applyFont="1" applyFill="1" applyBorder="1"/>
    <xf numFmtId="0" fontId="35" fillId="152" borderId="195" xfId="0" applyFont="1" applyFill="1" applyBorder="1"/>
    <xf numFmtId="0" fontId="190" fillId="146" borderId="193" xfId="0" applyFont="1" applyFill="1" applyBorder="1" applyAlignment="1">
      <alignment horizontal="center" vertical="center"/>
    </xf>
    <xf numFmtId="0" fontId="190" fillId="157" borderId="199" xfId="0" applyFont="1" applyFill="1" applyBorder="1" applyAlignment="1">
      <alignment horizontal="center" vertical="center" wrapText="1"/>
    </xf>
    <xf numFmtId="0" fontId="35" fillId="0" borderId="189" xfId="0" applyFont="1" applyBorder="1" applyAlignment="1">
      <alignment horizontal="left" wrapText="1"/>
    </xf>
    <xf numFmtId="0" fontId="35" fillId="0" borderId="194" xfId="0" applyFont="1" applyBorder="1" applyAlignment="1">
      <alignment horizontal="left" wrapText="1"/>
    </xf>
    <xf numFmtId="0" fontId="190" fillId="157" borderId="191" xfId="0" applyFont="1" applyFill="1" applyBorder="1" applyAlignment="1">
      <alignment horizontal="center" vertical="center" wrapText="1"/>
    </xf>
    <xf numFmtId="0" fontId="190" fillId="146" borderId="200" xfId="0" applyFont="1" applyFill="1" applyBorder="1" applyAlignment="1">
      <alignment horizontal="center" vertical="center" wrapText="1"/>
    </xf>
    <xf numFmtId="0" fontId="190" fillId="146" borderId="199" xfId="0" applyFont="1" applyFill="1" applyBorder="1" applyAlignment="1">
      <alignment horizontal="center" vertical="center" wrapText="1"/>
    </xf>
    <xf numFmtId="0" fontId="190" fillId="146" borderId="192" xfId="0" applyFont="1" applyFill="1" applyBorder="1" applyAlignment="1">
      <alignment horizontal="center" vertical="center" wrapText="1"/>
    </xf>
    <xf numFmtId="0" fontId="146" fillId="0" borderId="189" xfId="0" applyFont="1" applyBorder="1"/>
    <xf numFmtId="0" fontId="146" fillId="0" borderId="201" xfId="0" applyFont="1" applyBorder="1"/>
    <xf numFmtId="9" fontId="39" fillId="151" borderId="194" xfId="58" applyFont="1" applyFill="1" applyBorder="1"/>
    <xf numFmtId="9" fontId="39" fillId="151" borderId="195" xfId="58" applyFont="1" applyFill="1" applyBorder="1"/>
    <xf numFmtId="0" fontId="183" fillId="3" borderId="189" xfId="20557" applyFont="1" applyFill="1" applyBorder="1" applyAlignment="1">
      <alignment horizontal="center" vertical="center" wrapText="1"/>
    </xf>
    <xf numFmtId="0" fontId="183" fillId="3" borderId="189" xfId="20557" applyFont="1" applyFill="1" applyBorder="1" applyAlignment="1">
      <alignment horizontal="left" vertical="center" wrapText="1"/>
    </xf>
    <xf numFmtId="0" fontId="35" fillId="158" borderId="198" xfId="0" applyFont="1" applyFill="1" applyBorder="1"/>
    <xf numFmtId="0" fontId="53" fillId="146" borderId="195" xfId="20575" applyFont="1" applyFill="1" applyBorder="1" applyAlignment="1">
      <alignment horizontal="center" vertical="center" wrapText="1"/>
    </xf>
    <xf numFmtId="0" fontId="181" fillId="150" borderId="189" xfId="168" applyFont="1" applyFill="1" applyBorder="1"/>
    <xf numFmtId="0" fontId="181" fillId="150" borderId="189" xfId="59" applyFont="1" applyFill="1" applyBorder="1"/>
    <xf numFmtId="0" fontId="186" fillId="150" borderId="195" xfId="6" applyFont="1" applyFill="1" applyBorder="1" applyAlignment="1">
      <alignment horizontal="left"/>
    </xf>
    <xf numFmtId="0" fontId="35" fillId="150" borderId="195" xfId="0" applyFont="1" applyFill="1" applyBorder="1"/>
    <xf numFmtId="0" fontId="53" fillId="146" borderId="189" xfId="0" applyFont="1" applyFill="1" applyBorder="1" applyAlignment="1">
      <alignment horizontal="center" vertical="center"/>
    </xf>
    <xf numFmtId="0" fontId="53" fillId="146" borderId="194" xfId="0" applyFont="1" applyFill="1" applyBorder="1" applyAlignment="1">
      <alignment horizontal="center" vertical="center"/>
    </xf>
    <xf numFmtId="6" fontId="183" fillId="146" borderId="194" xfId="0" applyNumberFormat="1" applyFont="1" applyFill="1" applyBorder="1" applyAlignment="1">
      <alignment horizontal="center" vertical="center"/>
    </xf>
    <xf numFmtId="167" fontId="183" fillId="146" borderId="194" xfId="20588" applyNumberFormat="1" applyFont="1" applyFill="1" applyBorder="1" applyAlignment="1">
      <alignment horizontal="center" vertical="center"/>
    </xf>
    <xf numFmtId="167" fontId="183" fillId="146" borderId="194" xfId="20588" applyNumberFormat="1" applyFont="1" applyFill="1" applyBorder="1" applyAlignment="1">
      <alignment horizontal="center" vertical="center" wrapText="1"/>
    </xf>
    <xf numFmtId="0" fontId="183" fillId="146" borderId="195" xfId="0" applyFont="1" applyFill="1" applyBorder="1" applyAlignment="1">
      <alignment horizontal="center" vertical="center"/>
    </xf>
    <xf numFmtId="167" fontId="183" fillId="150" borderId="202" xfId="20588" applyNumberFormat="1" applyFont="1" applyFill="1" applyBorder="1" applyAlignment="1">
      <alignment horizontal="center" vertical="center" wrapText="1"/>
    </xf>
    <xf numFmtId="0" fontId="183" fillId="150" borderId="187" xfId="59" applyFont="1" applyFill="1" applyBorder="1"/>
    <xf numFmtId="0" fontId="183" fillId="150" borderId="202" xfId="20557" applyFont="1" applyFill="1" applyBorder="1" applyAlignment="1">
      <alignment horizontal="center" wrapText="1"/>
    </xf>
    <xf numFmtId="0" fontId="183" fillId="146" borderId="189" xfId="5259" applyFont="1" applyFill="1" applyBorder="1" applyAlignment="1">
      <alignment horizontal="center" wrapText="1"/>
    </xf>
    <xf numFmtId="0" fontId="183" fillId="146" borderId="194" xfId="5259" applyFont="1" applyFill="1" applyBorder="1" applyAlignment="1">
      <alignment horizontal="center" wrapText="1"/>
    </xf>
    <xf numFmtId="0" fontId="205" fillId="150" borderId="189" xfId="168" applyFont="1" applyFill="1" applyBorder="1"/>
    <xf numFmtId="0" fontId="39" fillId="145" borderId="203" xfId="0" applyFont="1" applyFill="1" applyBorder="1"/>
    <xf numFmtId="0" fontId="186" fillId="2" borderId="203" xfId="5259" applyFont="1" applyFill="1" applyBorder="1"/>
    <xf numFmtId="0" fontId="183" fillId="150" borderId="191" xfId="20557" applyFont="1" applyFill="1" applyBorder="1" applyAlignment="1">
      <alignment horizontal="center" vertical="center" wrapText="1"/>
    </xf>
    <xf numFmtId="0" fontId="35" fillId="0" borderId="0" xfId="198" applyFont="1" applyAlignment="1">
      <alignment horizontal="left"/>
    </xf>
    <xf numFmtId="0" fontId="205" fillId="150" borderId="197" xfId="168" applyFont="1" applyFill="1" applyBorder="1"/>
    <xf numFmtId="0" fontId="181" fillId="150" borderId="189" xfId="20557" applyFont="1" applyFill="1" applyBorder="1" applyAlignment="1">
      <alignment horizontal="center" vertical="center" wrapText="1"/>
    </xf>
    <xf numFmtId="0" fontId="146" fillId="141" borderId="152" xfId="20532" applyFont="1" applyFill="1" applyBorder="1" applyAlignment="1">
      <alignment vertical="center" wrapText="1"/>
    </xf>
    <xf numFmtId="0" fontId="53" fillId="146" borderId="194" xfId="0" applyFont="1" applyFill="1" applyBorder="1" applyAlignment="1">
      <alignment horizontal="center"/>
    </xf>
    <xf numFmtId="0" fontId="53" fillId="146" borderId="195" xfId="0" applyFont="1" applyFill="1" applyBorder="1" applyAlignment="1">
      <alignment horizontal="center"/>
    </xf>
    <xf numFmtId="0" fontId="53" fillId="146" borderId="189" xfId="0" applyFont="1" applyFill="1" applyBorder="1" applyAlignment="1">
      <alignment horizontal="center"/>
    </xf>
    <xf numFmtId="0" fontId="183" fillId="150" borderId="189" xfId="20557" applyFont="1" applyFill="1" applyBorder="1" applyAlignment="1">
      <alignment horizontal="center" vertical="center" wrapText="1"/>
    </xf>
    <xf numFmtId="0" fontId="53" fillId="0" borderId="0" xfId="20575" applyFont="1" applyAlignment="1">
      <alignment horizontal="center"/>
    </xf>
    <xf numFmtId="0" fontId="53" fillId="146" borderId="194" xfId="20575" applyFont="1" applyFill="1" applyBorder="1" applyAlignment="1">
      <alignment horizontal="center" vertical="center" wrapText="1"/>
    </xf>
    <xf numFmtId="0" fontId="186" fillId="150" borderId="195" xfId="5259" applyFont="1" applyFill="1" applyBorder="1" applyAlignment="1">
      <alignment horizontal="left"/>
    </xf>
    <xf numFmtId="0" fontId="183" fillId="146" borderId="93" xfId="0" applyFont="1" applyFill="1" applyBorder="1" applyAlignment="1">
      <alignment horizontal="center" vertical="center" wrapText="1"/>
    </xf>
    <xf numFmtId="0" fontId="53" fillId="146" borderId="196" xfId="0" applyFont="1" applyFill="1" applyBorder="1" applyAlignment="1">
      <alignment horizontal="center" vertical="center" wrapText="1"/>
    </xf>
    <xf numFmtId="0" fontId="186" fillId="0" borderId="2" xfId="5259" applyFont="1" applyFill="1" applyBorder="1" applyAlignment="1">
      <alignment horizontal="center" wrapText="1"/>
    </xf>
    <xf numFmtId="0" fontId="186" fillId="2" borderId="0" xfId="6" applyFont="1" applyFill="1" applyAlignment="1">
      <alignment horizontal="right"/>
    </xf>
    <xf numFmtId="0" fontId="186" fillId="2" borderId="0" xfId="5259" applyFont="1" applyFill="1" applyAlignment="1">
      <alignment horizontal="right"/>
    </xf>
    <xf numFmtId="0" fontId="0" fillId="0" borderId="0" xfId="0" applyAlignment="1">
      <alignment horizontal="right"/>
    </xf>
    <xf numFmtId="43" fontId="212" fillId="0" borderId="0" xfId="0" applyNumberFormat="1" applyFont="1" applyAlignment="1">
      <alignment wrapText="1"/>
    </xf>
    <xf numFmtId="164" fontId="182" fillId="146" borderId="151" xfId="202" applyNumberFormat="1" applyFont="1" applyFill="1" applyBorder="1" applyAlignment="1" applyProtection="1">
      <alignment horizontal="center" vertical="center" wrapText="1"/>
      <protection locked="0"/>
    </xf>
    <xf numFmtId="0" fontId="186" fillId="2" borderId="0" xfId="5259" quotePrefix="1" applyFont="1" applyFill="1"/>
    <xf numFmtId="164" fontId="146" fillId="0" borderId="0" xfId="0" applyNumberFormat="1" applyFont="1"/>
    <xf numFmtId="0" fontId="217" fillId="0" borderId="0" xfId="0" applyFont="1" applyAlignment="1">
      <alignment horizontal="center"/>
    </xf>
    <xf numFmtId="0" fontId="146" fillId="0" borderId="0" xfId="0" applyFont="1" applyAlignment="1">
      <alignment horizontal="center"/>
    </xf>
    <xf numFmtId="9" fontId="39" fillId="151" borderId="2" xfId="58" applyFont="1" applyFill="1" applyBorder="1"/>
    <xf numFmtId="9" fontId="39" fillId="151" borderId="5" xfId="58" applyFont="1" applyFill="1" applyBorder="1"/>
    <xf numFmtId="0" fontId="190" fillId="0" borderId="205" xfId="0" applyFont="1" applyBorder="1"/>
    <xf numFmtId="0" fontId="146" fillId="0" borderId="158" xfId="0" applyFont="1" applyBorder="1"/>
    <xf numFmtId="0" fontId="190" fillId="153" borderId="206" xfId="0" applyFont="1" applyFill="1" applyBorder="1"/>
    <xf numFmtId="0" fontId="190" fillId="153" borderId="207" xfId="0" applyFont="1" applyFill="1" applyBorder="1"/>
    <xf numFmtId="0" fontId="190" fillId="0" borderId="159" xfId="0" applyFont="1" applyBorder="1"/>
    <xf numFmtId="0" fontId="146" fillId="0" borderId="208" xfId="0" applyFont="1" applyBorder="1"/>
    <xf numFmtId="41" fontId="39" fillId="145" borderId="194" xfId="64" applyNumberFormat="1" applyFont="1" applyFill="1" applyBorder="1"/>
    <xf numFmtId="42" fontId="146" fillId="152" borderId="197" xfId="20531" applyNumberFormat="1" applyFont="1" applyFill="1" applyBorder="1"/>
    <xf numFmtId="42" fontId="146" fillId="152" borderId="194" xfId="20531" applyNumberFormat="1" applyFont="1" applyFill="1" applyBorder="1"/>
    <xf numFmtId="42" fontId="146" fillId="152" borderId="3" xfId="20531" applyNumberFormat="1" applyFont="1" applyFill="1" applyBorder="1"/>
    <xf numFmtId="42" fontId="146" fillId="152" borderId="2" xfId="20531" applyNumberFormat="1" applyFont="1" applyFill="1" applyBorder="1"/>
    <xf numFmtId="42" fontId="146" fillId="154" borderId="146" xfId="20531" applyNumberFormat="1" applyFont="1" applyFill="1" applyBorder="1"/>
    <xf numFmtId="42" fontId="146" fillId="152" borderId="147" xfId="20531" applyNumberFormat="1" applyFont="1" applyFill="1" applyBorder="1"/>
    <xf numFmtId="42" fontId="146" fillId="154" borderId="52" xfId="20531" applyNumberFormat="1" applyFont="1" applyFill="1" applyBorder="1"/>
    <xf numFmtId="42" fontId="146" fillId="152" borderId="138" xfId="20531" applyNumberFormat="1" applyFont="1" applyFill="1" applyBorder="1"/>
    <xf numFmtId="42" fontId="146" fillId="154" borderId="144" xfId="20531" applyNumberFormat="1" applyFont="1" applyFill="1" applyBorder="1"/>
    <xf numFmtId="42" fontId="146" fillId="155" borderId="146" xfId="0" applyNumberFormat="1" applyFont="1" applyFill="1" applyBorder="1"/>
    <xf numFmtId="42" fontId="146" fillId="155" borderId="52" xfId="20531" applyNumberFormat="1" applyFont="1" applyFill="1" applyBorder="1"/>
    <xf numFmtId="42" fontId="146" fillId="152" borderId="146" xfId="20531" applyNumberFormat="1" applyFont="1" applyFill="1" applyBorder="1"/>
    <xf numFmtId="42" fontId="146" fillId="152" borderId="52" xfId="20531" applyNumberFormat="1" applyFont="1" applyFill="1" applyBorder="1"/>
    <xf numFmtId="42" fontId="146" fillId="154" borderId="149" xfId="20531" applyNumberFormat="1" applyFont="1" applyFill="1" applyBorder="1"/>
    <xf numFmtId="42" fontId="146" fillId="155" borderId="52" xfId="0" applyNumberFormat="1" applyFont="1" applyFill="1" applyBorder="1"/>
    <xf numFmtId="42" fontId="146" fillId="154" borderId="52" xfId="0" applyNumberFormat="1" applyFont="1" applyFill="1" applyBorder="1"/>
    <xf numFmtId="42" fontId="146" fillId="154" borderId="146" xfId="0" applyNumberFormat="1" applyFont="1" applyFill="1" applyBorder="1"/>
    <xf numFmtId="42" fontId="146" fillId="154" borderId="144" xfId="0" applyNumberFormat="1" applyFont="1" applyFill="1" applyBorder="1"/>
    <xf numFmtId="42" fontId="146" fillId="152" borderId="9" xfId="20531" applyNumberFormat="1" applyFont="1" applyFill="1" applyBorder="1"/>
    <xf numFmtId="42" fontId="146" fillId="152" borderId="150" xfId="20531" applyNumberFormat="1" applyFont="1" applyFill="1" applyBorder="1"/>
    <xf numFmtId="42" fontId="190" fillId="152" borderId="206" xfId="0" applyNumberFormat="1" applyFont="1" applyFill="1" applyBorder="1"/>
    <xf numFmtId="42" fontId="146" fillId="152" borderId="108" xfId="20531" applyNumberFormat="1" applyFont="1" applyFill="1" applyBorder="1"/>
    <xf numFmtId="42" fontId="0" fillId="145" borderId="2" xfId="20576" applyNumberFormat="1" applyFont="1" applyFill="1" applyBorder="1"/>
    <xf numFmtId="42" fontId="0" fillId="3" borderId="5" xfId="20576" applyNumberFormat="1" applyFont="1" applyFill="1" applyBorder="1"/>
    <xf numFmtId="42" fontId="186" fillId="2" borderId="0" xfId="6" applyNumberFormat="1" applyFont="1" applyFill="1" applyAlignment="1">
      <alignment horizontal="center"/>
    </xf>
    <xf numFmtId="9" fontId="197" fillId="156" borderId="158" xfId="58" applyFont="1" applyFill="1" applyBorder="1" applyAlignment="1"/>
    <xf numFmtId="213" fontId="197" fillId="156" borderId="158" xfId="64" applyNumberFormat="1" applyFont="1" applyFill="1" applyBorder="1" applyAlignment="1"/>
    <xf numFmtId="216" fontId="197" fillId="156" borderId="158" xfId="5259" applyNumberFormat="1" applyFont="1" applyFill="1" applyBorder="1" applyAlignment="1"/>
    <xf numFmtId="213" fontId="197" fillId="145" borderId="2" xfId="64" applyNumberFormat="1" applyFont="1" applyFill="1" applyBorder="1" applyAlignment="1"/>
    <xf numFmtId="9" fontId="197" fillId="156" borderId="157" xfId="58" applyFont="1" applyFill="1" applyBorder="1" applyAlignment="1"/>
    <xf numFmtId="213" fontId="197" fillId="156" borderId="157" xfId="64" applyNumberFormat="1" applyFont="1" applyFill="1" applyBorder="1" applyAlignment="1"/>
    <xf numFmtId="216" fontId="197" fillId="156" borderId="157" xfId="5259" applyNumberFormat="1" applyFont="1" applyFill="1" applyBorder="1" applyAlignment="1"/>
    <xf numFmtId="42" fontId="197" fillId="156" borderId="158" xfId="20531" applyNumberFormat="1" applyFont="1" applyFill="1" applyBorder="1" applyAlignment="1"/>
    <xf numFmtId="42" fontId="197" fillId="145" borderId="2" xfId="20531" applyNumberFormat="1" applyFont="1" applyFill="1" applyBorder="1" applyAlignment="1"/>
    <xf numFmtId="42" fontId="197" fillId="156" borderId="157" xfId="20531" applyNumberFormat="1" applyFont="1" applyFill="1" applyBorder="1" applyAlignment="1"/>
    <xf numFmtId="42" fontId="35" fillId="3" borderId="147" xfId="5259" applyNumberFormat="1" applyFont="1" applyFill="1" applyBorder="1" applyAlignment="1"/>
    <xf numFmtId="42" fontId="35" fillId="3" borderId="148" xfId="5259" applyNumberFormat="1" applyFont="1" applyFill="1" applyBorder="1" applyAlignment="1"/>
    <xf numFmtId="42" fontId="35" fillId="3" borderId="2" xfId="5259" applyNumberFormat="1" applyFont="1" applyFill="1" applyBorder="1" applyAlignment="1"/>
    <xf numFmtId="42" fontId="35" fillId="3" borderId="5" xfId="5259" applyNumberFormat="1" applyFont="1" applyFill="1" applyBorder="1" applyAlignment="1"/>
    <xf numFmtId="42" fontId="190" fillId="3" borderId="138" xfId="20531" applyNumberFormat="1" applyFont="1" applyFill="1" applyBorder="1" applyAlignment="1"/>
    <xf numFmtId="42" fontId="190" fillId="3" borderId="139" xfId="20531" applyNumberFormat="1" applyFont="1" applyFill="1" applyBorder="1" applyAlignment="1"/>
    <xf numFmtId="42" fontId="146" fillId="156" borderId="147" xfId="20531" applyNumberFormat="1" applyFont="1" applyFill="1" applyBorder="1" applyAlignment="1" applyProtection="1">
      <protection locked="0"/>
    </xf>
    <xf numFmtId="42" fontId="146" fillId="156" borderId="2" xfId="20531" applyNumberFormat="1" applyFont="1" applyFill="1" applyBorder="1" applyAlignment="1" applyProtection="1">
      <protection locked="0"/>
    </xf>
    <xf numFmtId="42" fontId="39" fillId="145" borderId="147" xfId="20555" applyNumberFormat="1" applyFont="1" applyFill="1" applyBorder="1" applyAlignment="1"/>
    <xf numFmtId="42" fontId="53" fillId="3" borderId="138" xfId="20548" applyNumberFormat="1" applyFont="1" applyFill="1" applyBorder="1"/>
    <xf numFmtId="42" fontId="39" fillId="145" borderId="157" xfId="20555" applyNumberFormat="1" applyFont="1" applyFill="1" applyBorder="1" applyAlignment="1"/>
    <xf numFmtId="42" fontId="202" fillId="0" borderId="0" xfId="20548" applyNumberFormat="1" applyFont="1"/>
    <xf numFmtId="0" fontId="53" fillId="3" borderId="137" xfId="20548" applyFont="1" applyFill="1" applyBorder="1"/>
    <xf numFmtId="0" fontId="53" fillId="3" borderId="138" xfId="20548" applyFont="1" applyFill="1" applyBorder="1"/>
    <xf numFmtId="0" fontId="53" fillId="3" borderId="138" xfId="20532" applyFont="1" applyFill="1" applyBorder="1"/>
    <xf numFmtId="0" fontId="53" fillId="3" borderId="137" xfId="20532" applyFont="1" applyFill="1" applyBorder="1"/>
    <xf numFmtId="0" fontId="53" fillId="3" borderId="138" xfId="20532" applyFont="1" applyFill="1" applyBorder="1" applyAlignment="1">
      <alignment horizontal="left"/>
    </xf>
    <xf numFmtId="42" fontId="53" fillId="3" borderId="138" xfId="20535" applyNumberFormat="1" applyFont="1" applyFill="1" applyBorder="1" applyAlignment="1"/>
    <xf numFmtId="218" fontId="53" fillId="3" borderId="138" xfId="20535" applyNumberFormat="1" applyFont="1" applyFill="1" applyBorder="1" applyAlignment="1">
      <alignment horizontal="right"/>
    </xf>
    <xf numFmtId="0" fontId="182" fillId="148" borderId="157" xfId="0" applyFont="1" applyFill="1" applyBorder="1" applyAlignment="1">
      <alignment horizontal="center" vertical="center"/>
    </xf>
    <xf numFmtId="0" fontId="35" fillId="0" borderId="0" xfId="0" applyFont="1" applyAlignment="1">
      <alignment vertical="top" wrapText="1"/>
    </xf>
    <xf numFmtId="49" fontId="182" fillId="146" borderId="100" xfId="64" applyNumberFormat="1" applyFont="1" applyFill="1" applyBorder="1" applyAlignment="1" applyProtection="1">
      <alignment horizontal="center" vertical="center" wrapText="1"/>
      <protection locked="0"/>
    </xf>
    <xf numFmtId="217" fontId="54" fillId="169" borderId="194" xfId="64" applyNumberFormat="1" applyFont="1" applyFill="1" applyBorder="1" applyAlignment="1">
      <alignment horizontal="center"/>
    </xf>
    <xf numFmtId="217" fontId="54" fillId="169" borderId="195" xfId="64" applyNumberFormat="1" applyFont="1" applyFill="1" applyBorder="1" applyAlignment="1">
      <alignment horizontal="center"/>
    </xf>
    <xf numFmtId="0" fontId="219" fillId="0" borderId="0" xfId="0" applyFont="1" applyAlignment="1">
      <alignment wrapText="1"/>
    </xf>
    <xf numFmtId="0" fontId="146" fillId="0" borderId="3" xfId="0" applyFont="1" applyBorder="1"/>
    <xf numFmtId="42" fontId="146" fillId="154" borderId="194" xfId="0" applyNumberFormat="1" applyFont="1" applyFill="1" applyBorder="1"/>
    <xf numFmtId="42" fontId="146" fillId="154" borderId="2" xfId="0" applyNumberFormat="1" applyFont="1" applyFill="1" applyBorder="1"/>
    <xf numFmtId="42" fontId="190" fillId="152" borderId="211" xfId="0" applyNumberFormat="1" applyFont="1" applyFill="1" applyBorder="1"/>
    <xf numFmtId="0" fontId="186" fillId="2" borderId="0" xfId="5259" applyFont="1" applyFill="1" applyAlignment="1">
      <alignment wrapText="1"/>
    </xf>
    <xf numFmtId="0" fontId="182" fillId="150" borderId="92" xfId="20557" applyFont="1" applyFill="1" applyBorder="1" applyAlignment="1">
      <alignment horizontal="center" vertical="center" wrapText="1"/>
    </xf>
    <xf numFmtId="0" fontId="182" fillId="150" borderId="189" xfId="168" applyFont="1" applyFill="1" applyBorder="1"/>
    <xf numFmtId="0" fontId="182" fillId="0" borderId="0" xfId="20547" applyFont="1"/>
    <xf numFmtId="0" fontId="182" fillId="2" borderId="0" xfId="20547" applyFont="1" applyFill="1"/>
    <xf numFmtId="0" fontId="196" fillId="2" borderId="0" xfId="5259" applyFont="1" applyFill="1" applyAlignment="1">
      <alignment horizontal="center"/>
    </xf>
    <xf numFmtId="42" fontId="221" fillId="3" borderId="157" xfId="20531" applyNumberFormat="1" applyFont="1" applyFill="1" applyBorder="1"/>
    <xf numFmtId="42" fontId="221" fillId="3" borderId="157" xfId="64" applyNumberFormat="1" applyFont="1" applyFill="1" applyBorder="1"/>
    <xf numFmtId="42" fontId="221" fillId="3" borderId="155" xfId="64" applyNumberFormat="1" applyFont="1" applyFill="1" applyBorder="1"/>
    <xf numFmtId="0" fontId="180" fillId="0" borderId="0" xfId="0" applyFont="1"/>
    <xf numFmtId="0" fontId="35" fillId="0" borderId="212" xfId="0" applyFont="1" applyBorder="1" applyAlignment="1">
      <alignment horizontal="left" wrapText="1"/>
    </xf>
    <xf numFmtId="41" fontId="211" fillId="164" borderId="194" xfId="64" applyNumberFormat="1" applyFont="1" applyFill="1" applyBorder="1" applyAlignment="1">
      <alignment horizontal="center"/>
    </xf>
    <xf numFmtId="42" fontId="211" fillId="164" borderId="194" xfId="64" applyNumberFormat="1" applyFont="1" applyFill="1" applyBorder="1" applyAlignment="1">
      <alignment horizontal="center"/>
    </xf>
    <xf numFmtId="42" fontId="51" fillId="164" borderId="194" xfId="64" applyNumberFormat="1" applyFont="1" applyFill="1" applyBorder="1" applyAlignment="1">
      <alignment horizontal="center"/>
    </xf>
    <xf numFmtId="42" fontId="51" fillId="169" borderId="194" xfId="64" applyNumberFormat="1" applyFont="1" applyFill="1" applyBorder="1" applyAlignment="1"/>
    <xf numFmtId="217" fontId="51" fillId="169" borderId="194" xfId="64" applyNumberFormat="1" applyFont="1" applyFill="1" applyBorder="1" applyAlignment="1"/>
    <xf numFmtId="217" fontId="51" fillId="169" borderId="195" xfId="64" applyNumberFormat="1" applyFont="1" applyFill="1" applyBorder="1" applyAlignment="1"/>
    <xf numFmtId="42" fontId="54" fillId="169" borderId="194" xfId="64" applyNumberFormat="1" applyFont="1" applyFill="1" applyBorder="1" applyAlignment="1"/>
    <xf numFmtId="42" fontId="0" fillId="3" borderId="2" xfId="20576" applyNumberFormat="1" applyFont="1" applyFill="1" applyBorder="1"/>
    <xf numFmtId="0" fontId="182" fillId="150" borderId="189" xfId="20557" applyFont="1" applyFill="1" applyBorder="1" applyAlignment="1">
      <alignment horizontal="center" vertical="center" wrapText="1"/>
    </xf>
    <xf numFmtId="0" fontId="194" fillId="2" borderId="0" xfId="5259" applyFont="1" applyFill="1" applyAlignment="1">
      <alignment horizontal="center"/>
    </xf>
    <xf numFmtId="0" fontId="194" fillId="2" borderId="0" xfId="5259" applyFont="1" applyFill="1" applyAlignment="1">
      <alignment horizontal="center" wrapText="1"/>
    </xf>
    <xf numFmtId="0" fontId="182" fillId="148" borderId="93" xfId="0" applyFont="1" applyFill="1" applyBorder="1" applyAlignment="1">
      <alignment horizontal="left" vertical="center" wrapText="1"/>
    </xf>
    <xf numFmtId="164" fontId="221" fillId="3" borderId="93" xfId="20531" applyNumberFormat="1" applyFont="1" applyFill="1" applyBorder="1" applyAlignment="1">
      <alignment vertical="center"/>
    </xf>
    <xf numFmtId="42" fontId="221" fillId="3" borderId="93" xfId="20531" applyNumberFormat="1" applyFont="1" applyFill="1" applyBorder="1" applyAlignment="1">
      <alignment vertical="center"/>
    </xf>
    <xf numFmtId="42" fontId="221" fillId="3" borderId="93" xfId="64" applyNumberFormat="1" applyFont="1" applyFill="1" applyBorder="1" applyAlignment="1">
      <alignment vertical="center"/>
    </xf>
    <xf numFmtId="43" fontId="221" fillId="3" borderId="93" xfId="64" applyFont="1" applyFill="1" applyBorder="1" applyAlignment="1">
      <alignment vertical="center"/>
    </xf>
    <xf numFmtId="41" fontId="221" fillId="3" borderId="93" xfId="64" applyNumberFormat="1" applyFont="1" applyFill="1" applyBorder="1" applyAlignment="1">
      <alignment vertical="center"/>
    </xf>
    <xf numFmtId="0" fontId="180" fillId="2" borderId="0" xfId="0" applyFont="1" applyFill="1"/>
    <xf numFmtId="0" fontId="180" fillId="2" borderId="0" xfId="0" applyFont="1" applyFill="1" applyAlignment="1">
      <alignment wrapText="1"/>
    </xf>
    <xf numFmtId="0" fontId="182" fillId="150" borderId="201" xfId="20557" applyFont="1" applyFill="1" applyBorder="1" applyAlignment="1">
      <alignment horizontal="center" vertical="center" wrapText="1"/>
    </xf>
    <xf numFmtId="0" fontId="186" fillId="2" borderId="0" xfId="6" applyFont="1" applyFill="1" applyAlignment="1">
      <alignment horizontal="left"/>
    </xf>
    <xf numFmtId="0" fontId="180" fillId="2" borderId="0" xfId="0" applyFont="1" applyFill="1" applyAlignment="1">
      <alignment vertical="center"/>
    </xf>
    <xf numFmtId="0" fontId="182" fillId="150" borderId="189" xfId="20577" applyFont="1" applyFill="1" applyBorder="1"/>
    <xf numFmtId="0" fontId="182" fillId="150" borderId="197" xfId="20577" applyFont="1" applyFill="1" applyBorder="1"/>
    <xf numFmtId="0" fontId="180" fillId="2" borderId="0" xfId="0" applyFont="1" applyFill="1" applyAlignment="1">
      <alignment horizontal="center" vertical="center" wrapText="1"/>
    </xf>
    <xf numFmtId="0" fontId="180" fillId="2" borderId="0" xfId="0" applyFont="1" applyFill="1" applyAlignment="1">
      <alignment vertical="top"/>
    </xf>
    <xf numFmtId="0" fontId="180" fillId="2" borderId="0" xfId="0" applyFont="1" applyFill="1" applyAlignment="1">
      <alignment horizontal="center" vertical="center"/>
    </xf>
    <xf numFmtId="0" fontId="182" fillId="2" borderId="0" xfId="20577" applyFont="1" applyFill="1"/>
    <xf numFmtId="0" fontId="180" fillId="2" borderId="0" xfId="0" applyFont="1" applyFill="1" applyAlignment="1">
      <alignment vertical="center" wrapText="1"/>
    </xf>
    <xf numFmtId="0" fontId="180" fillId="0" borderId="0" xfId="0" applyFont="1" applyAlignment="1">
      <alignment horizontal="center" vertical="center" wrapText="1"/>
    </xf>
    <xf numFmtId="0" fontId="180" fillId="2" borderId="102" xfId="0" applyFont="1" applyFill="1" applyBorder="1"/>
    <xf numFmtId="0" fontId="182" fillId="146" borderId="193" xfId="0" applyFont="1" applyFill="1" applyBorder="1" applyAlignment="1">
      <alignment horizontal="center" vertical="center" wrapText="1"/>
    </xf>
    <xf numFmtId="0" fontId="182" fillId="146" borderId="200" xfId="0" applyFont="1" applyFill="1" applyBorder="1" applyAlignment="1">
      <alignment horizontal="center" vertical="center" wrapText="1"/>
    </xf>
    <xf numFmtId="0" fontId="182" fillId="146" borderId="198" xfId="0" applyFont="1" applyFill="1" applyBorder="1" applyAlignment="1">
      <alignment horizontal="center" vertical="center" wrapText="1"/>
    </xf>
    <xf numFmtId="0" fontId="221" fillId="146" borderId="193" xfId="0" applyFont="1" applyFill="1" applyBorder="1" applyAlignment="1">
      <alignment horizontal="center" vertical="center" wrapText="1"/>
    </xf>
    <xf numFmtId="0" fontId="221" fillId="146" borderId="198" xfId="0" applyFont="1" applyFill="1" applyBorder="1" applyAlignment="1">
      <alignment horizontal="center" vertical="center" wrapText="1"/>
    </xf>
    <xf numFmtId="0" fontId="221" fillId="2" borderId="0" xfId="0" applyFont="1" applyFill="1" applyAlignment="1">
      <alignment horizontal="center"/>
    </xf>
    <xf numFmtId="0" fontId="180" fillId="0" borderId="0" xfId="0" applyFont="1" applyAlignment="1">
      <alignment horizontal="left" vertical="center" wrapText="1"/>
    </xf>
    <xf numFmtId="0" fontId="180" fillId="0" borderId="0" xfId="0" applyFont="1" applyAlignment="1">
      <alignment horizontal="left"/>
    </xf>
    <xf numFmtId="0" fontId="180" fillId="2" borderId="2" xfId="0" applyFont="1" applyFill="1" applyBorder="1" applyAlignment="1">
      <alignment horizontal="center" vertical="center"/>
    </xf>
    <xf numFmtId="0" fontId="182" fillId="2" borderId="152" xfId="0" applyFont="1" applyFill="1" applyBorder="1" applyAlignment="1">
      <alignment vertical="center" wrapText="1"/>
    </xf>
    <xf numFmtId="0" fontId="182" fillId="2" borderId="156" xfId="0" applyFont="1" applyFill="1" applyBorder="1" applyAlignment="1">
      <alignment vertical="center" wrapText="1"/>
    </xf>
    <xf numFmtId="0" fontId="221" fillId="142" borderId="152" xfId="0" applyFont="1" applyFill="1" applyBorder="1" applyAlignment="1">
      <alignment horizontal="center" vertical="center"/>
    </xf>
    <xf numFmtId="42" fontId="221" fillId="3" borderId="157" xfId="0" applyNumberFormat="1" applyFont="1" applyFill="1" applyBorder="1"/>
    <xf numFmtId="9" fontId="221" fillId="142" borderId="152" xfId="58" applyFont="1" applyFill="1" applyBorder="1" applyAlignment="1">
      <alignment horizontal="center" vertical="center"/>
    </xf>
    <xf numFmtId="10" fontId="182" fillId="142" borderId="153" xfId="58" applyNumberFormat="1" applyFont="1" applyFill="1" applyBorder="1" applyAlignment="1">
      <alignment horizontal="center" vertical="center"/>
    </xf>
    <xf numFmtId="10" fontId="182" fillId="142" borderId="6" xfId="58" applyNumberFormat="1" applyFont="1" applyFill="1" applyBorder="1" applyAlignment="1">
      <alignment horizontal="center" vertical="center"/>
    </xf>
    <xf numFmtId="10" fontId="182" fillId="142" borderId="6" xfId="0" applyNumberFormat="1" applyFont="1" applyFill="1" applyBorder="1" applyAlignment="1">
      <alignment horizontal="center" vertical="center"/>
    </xf>
    <xf numFmtId="10" fontId="182" fillId="142" borderId="156" xfId="0" applyNumberFormat="1" applyFont="1" applyFill="1" applyBorder="1" applyAlignment="1">
      <alignment horizontal="center" vertical="center"/>
    </xf>
    <xf numFmtId="42" fontId="221" fillId="3" borderId="154" xfId="0" applyNumberFormat="1" applyFont="1" applyFill="1" applyBorder="1"/>
    <xf numFmtId="0" fontId="221" fillId="2" borderId="6" xfId="0" applyFont="1" applyFill="1" applyBorder="1" applyAlignment="1">
      <alignment vertical="center"/>
    </xf>
    <xf numFmtId="0" fontId="180" fillId="0" borderId="0" xfId="0" applyFont="1" applyAlignment="1">
      <alignment vertical="center"/>
    </xf>
    <xf numFmtId="0" fontId="223" fillId="2" borderId="0" xfId="0" applyFont="1" applyFill="1" applyAlignment="1">
      <alignment horizontal="left" vertical="top"/>
    </xf>
    <xf numFmtId="0" fontId="186" fillId="2" borderId="0" xfId="0" applyFont="1" applyFill="1" applyAlignment="1">
      <alignment horizontal="left" vertical="top"/>
    </xf>
    <xf numFmtId="0" fontId="180" fillId="2" borderId="0" xfId="0" applyFont="1" applyFill="1" applyAlignment="1">
      <alignment horizontal="left" vertical="top"/>
    </xf>
    <xf numFmtId="0" fontId="186" fillId="2" borderId="0" xfId="0" applyFont="1" applyFill="1" applyAlignment="1">
      <alignment horizontal="left" vertical="top" wrapText="1"/>
    </xf>
    <xf numFmtId="0" fontId="221" fillId="2" borderId="4" xfId="0" applyFont="1" applyFill="1" applyBorder="1" applyAlignment="1">
      <alignment horizontal="center"/>
    </xf>
    <xf numFmtId="0" fontId="221" fillId="2" borderId="2" xfId="0" applyFont="1" applyFill="1" applyBorder="1" applyAlignment="1">
      <alignment horizontal="center" wrapText="1"/>
    </xf>
    <xf numFmtId="0" fontId="221" fillId="2" borderId="47" xfId="0" applyFont="1" applyFill="1" applyBorder="1" applyAlignment="1">
      <alignment horizontal="center" wrapText="1"/>
    </xf>
    <xf numFmtId="0" fontId="221" fillId="2" borderId="189" xfId="0" applyFont="1" applyFill="1" applyBorder="1" applyAlignment="1">
      <alignment horizontal="center" wrapText="1"/>
    </xf>
    <xf numFmtId="0" fontId="221" fillId="2" borderId="195" xfId="0" applyFont="1" applyFill="1" applyBorder="1" applyAlignment="1">
      <alignment horizontal="center" wrapText="1"/>
    </xf>
    <xf numFmtId="0" fontId="222" fillId="166" borderId="186" xfId="0" applyFont="1" applyFill="1" applyBorder="1" applyAlignment="1">
      <alignment horizontal="center" wrapText="1"/>
    </xf>
    <xf numFmtId="0" fontId="222" fillId="166" borderId="204" xfId="0" applyFont="1" applyFill="1" applyBorder="1" applyAlignment="1">
      <alignment horizontal="center" wrapText="1"/>
    </xf>
    <xf numFmtId="42" fontId="180" fillId="3" borderId="91" xfId="0" applyNumberFormat="1" applyFont="1" applyFill="1" applyBorder="1"/>
    <xf numFmtId="0" fontId="186" fillId="2" borderId="0" xfId="0" applyFont="1" applyFill="1" applyAlignment="1">
      <alignment horizontal="left" wrapText="1"/>
    </xf>
    <xf numFmtId="0" fontId="221" fillId="146" borderId="98" xfId="0" applyFont="1" applyFill="1" applyBorder="1" applyAlignment="1">
      <alignment horizontal="center" wrapText="1"/>
    </xf>
    <xf numFmtId="42" fontId="183" fillId="159" borderId="138" xfId="20559" applyNumberFormat="1" applyFont="1" applyFill="1" applyBorder="1" applyAlignment="1">
      <alignment horizontal="left" vertical="center"/>
    </xf>
    <xf numFmtId="0" fontId="180" fillId="0" borderId="0" xfId="20532" applyFont="1"/>
    <xf numFmtId="0" fontId="35" fillId="3" borderId="196" xfId="6" applyFont="1" applyFill="1" applyBorder="1" applyAlignment="1">
      <alignment horizontal="left"/>
    </xf>
    <xf numFmtId="0" fontId="35" fillId="0" borderId="0" xfId="20557" applyFont="1" applyAlignment="1">
      <alignment horizontal="center" vertical="center"/>
    </xf>
    <xf numFmtId="0" fontId="183" fillId="0" borderId="0" xfId="20557" applyFont="1" applyAlignment="1">
      <alignment horizontal="left" vertical="center" wrapText="1"/>
    </xf>
    <xf numFmtId="42" fontId="183" fillId="0" borderId="0" xfId="20559" applyNumberFormat="1" applyFont="1" applyAlignment="1">
      <alignment horizontal="left" vertical="center"/>
    </xf>
    <xf numFmtId="44" fontId="35" fillId="0" borderId="0" xfId="17842" applyNumberFormat="1" applyFont="1" applyFill="1" applyBorder="1" applyAlignment="1">
      <alignment horizontal="center" vertical="center"/>
    </xf>
    <xf numFmtId="42" fontId="35" fillId="0" borderId="0" xfId="20559" applyNumberFormat="1" applyFont="1" applyAlignment="1">
      <alignment horizontal="center" vertical="center"/>
    </xf>
    <xf numFmtId="0" fontId="180" fillId="0" borderId="52" xfId="0" applyFont="1" applyBorder="1" applyAlignment="1">
      <alignment horizontal="left"/>
    </xf>
    <xf numFmtId="0" fontId="186" fillId="2" borderId="0" xfId="5259" applyFont="1" applyFill="1" applyAlignment="1">
      <alignment horizontal="left"/>
    </xf>
    <xf numFmtId="0" fontId="180" fillId="0" borderId="0" xfId="0" applyFont="1" applyAlignment="1">
      <alignment horizontal="left" indent="1"/>
    </xf>
    <xf numFmtId="0" fontId="180" fillId="0" borderId="52" xfId="0" applyFont="1" applyBorder="1" applyAlignment="1">
      <alignment horizontal="left" indent="1"/>
    </xf>
    <xf numFmtId="0" fontId="221" fillId="0" borderId="0" xfId="0" applyFont="1" applyAlignment="1">
      <alignment horizontal="left"/>
    </xf>
    <xf numFmtId="42" fontId="180" fillId="2" borderId="0" xfId="0" applyNumberFormat="1" applyFont="1" applyFill="1" applyAlignment="1">
      <alignment vertical="top"/>
    </xf>
    <xf numFmtId="49" fontId="35" fillId="0" borderId="0" xfId="2" applyNumberFormat="1" applyFont="1" applyProtection="1">
      <protection locked="0"/>
    </xf>
    <xf numFmtId="0" fontId="189" fillId="0" borderId="0" xfId="0" applyFont="1"/>
    <xf numFmtId="167" fontId="183" fillId="0" borderId="0" xfId="198" applyNumberFormat="1" applyFont="1"/>
    <xf numFmtId="3" fontId="183" fillId="0" borderId="0" xfId="198" applyNumberFormat="1" applyFont="1"/>
    <xf numFmtId="0" fontId="3" fillId="0" borderId="0" xfId="0" applyFont="1"/>
    <xf numFmtId="0" fontId="230" fillId="162" borderId="213" xfId="0" applyFont="1" applyFill="1" applyBorder="1" applyAlignment="1">
      <alignment horizontal="center" wrapText="1"/>
    </xf>
    <xf numFmtId="43" fontId="231" fillId="171" borderId="213" xfId="64" applyFont="1" applyFill="1" applyBorder="1" applyAlignment="1" applyProtection="1">
      <alignment horizontal="center" vertical="center" wrapText="1"/>
      <protection locked="0"/>
    </xf>
    <xf numFmtId="49" fontId="231" fillId="171" borderId="213" xfId="64" applyNumberFormat="1" applyFont="1" applyFill="1" applyBorder="1" applyAlignment="1" applyProtection="1">
      <alignment horizontal="center" vertical="center" wrapText="1"/>
      <protection locked="0"/>
    </xf>
    <xf numFmtId="167" fontId="39" fillId="145" borderId="194" xfId="0" applyNumberFormat="1" applyFont="1" applyFill="1" applyBorder="1"/>
    <xf numFmtId="167" fontId="39" fillId="145" borderId="194" xfId="64" applyNumberFormat="1" applyFont="1" applyFill="1" applyBorder="1"/>
    <xf numFmtId="167" fontId="39" fillId="142" borderId="212" xfId="0" applyNumberFormat="1" applyFont="1" applyFill="1" applyBorder="1"/>
    <xf numFmtId="0" fontId="35" fillId="0" borderId="0" xfId="2" applyFont="1" applyAlignment="1" applyProtection="1">
      <alignment horizontal="left"/>
      <protection locked="0"/>
    </xf>
    <xf numFmtId="0" fontId="182" fillId="146" borderId="100" xfId="202" applyNumberFormat="1" applyFont="1" applyFill="1" applyBorder="1" applyAlignment="1" applyProtection="1">
      <alignment horizontal="center" vertical="center" wrapText="1"/>
      <protection locked="0"/>
    </xf>
    <xf numFmtId="0" fontId="216" fillId="2" borderId="0" xfId="5259" applyFont="1" applyFill="1"/>
    <xf numFmtId="0" fontId="35" fillId="0" borderId="214" xfId="0" applyFont="1" applyBorder="1"/>
    <xf numFmtId="0" fontId="35" fillId="0" borderId="215" xfId="0" applyFont="1" applyBorder="1"/>
    <xf numFmtId="0" fontId="192" fillId="3" borderId="218" xfId="20589" applyFill="1" applyBorder="1" applyAlignment="1">
      <alignment vertical="center" wrapText="1"/>
    </xf>
    <xf numFmtId="0" fontId="55" fillId="3" borderId="218" xfId="20589" applyFont="1" applyFill="1" applyBorder="1" applyAlignment="1">
      <alignment vertical="center" wrapText="1"/>
    </xf>
    <xf numFmtId="0" fontId="192" fillId="3" borderId="220" xfId="20589" applyFill="1" applyBorder="1" applyAlignment="1">
      <alignment horizontal="left" vertical="center" wrapText="1"/>
    </xf>
    <xf numFmtId="0" fontId="39" fillId="145" borderId="214" xfId="0" applyFont="1" applyFill="1" applyBorder="1"/>
    <xf numFmtId="0" fontId="181" fillId="150" borderId="220" xfId="20557" applyFont="1" applyFill="1" applyBorder="1" applyAlignment="1">
      <alignment horizontal="center" wrapText="1"/>
    </xf>
    <xf numFmtId="0" fontId="181" fillId="150" borderId="220" xfId="59" applyFont="1" applyFill="1" applyBorder="1"/>
    <xf numFmtId="0" fontId="186" fillId="150" borderId="217" xfId="6" applyFont="1" applyFill="1" applyBorder="1" applyAlignment="1">
      <alignment horizontal="left"/>
    </xf>
    <xf numFmtId="0" fontId="183" fillId="150" borderId="220" xfId="20557" applyFont="1" applyFill="1" applyBorder="1" applyAlignment="1">
      <alignment horizontal="center" wrapText="1"/>
    </xf>
    <xf numFmtId="0" fontId="183" fillId="150" borderId="220" xfId="59" applyFont="1" applyFill="1" applyBorder="1"/>
    <xf numFmtId="0" fontId="35" fillId="150" borderId="221" xfId="6" applyFont="1" applyFill="1" applyBorder="1" applyAlignment="1">
      <alignment horizontal="left"/>
    </xf>
    <xf numFmtId="42" fontId="53" fillId="146" borderId="218" xfId="0" applyNumberFormat="1" applyFont="1" applyFill="1" applyBorder="1" applyAlignment="1">
      <alignment horizontal="center"/>
    </xf>
    <xf numFmtId="42" fontId="53" fillId="146" borderId="224" xfId="0" applyNumberFormat="1" applyFont="1" applyFill="1" applyBorder="1" applyAlignment="1">
      <alignment horizontal="center"/>
    </xf>
    <xf numFmtId="0" fontId="53" fillId="146" borderId="224" xfId="0" applyFont="1" applyFill="1" applyBorder="1" applyAlignment="1">
      <alignment horizontal="center"/>
    </xf>
    <xf numFmtId="0" fontId="53" fillId="146" borderId="219" xfId="0" applyFont="1" applyFill="1" applyBorder="1" applyAlignment="1">
      <alignment horizontal="center"/>
    </xf>
    <xf numFmtId="0" fontId="53" fillId="0" borderId="218" xfId="0" applyFont="1" applyBorder="1" applyAlignment="1">
      <alignment horizontal="center" wrapText="1"/>
    </xf>
    <xf numFmtId="0" fontId="53" fillId="0" borderId="220" xfId="0" applyFont="1" applyBorder="1" applyAlignment="1">
      <alignment horizontal="center" wrapText="1"/>
    </xf>
    <xf numFmtId="0" fontId="183" fillId="150" borderId="220" xfId="20557" applyFont="1" applyFill="1" applyBorder="1" applyAlignment="1">
      <alignment horizontal="center" vertical="center" wrapText="1"/>
    </xf>
    <xf numFmtId="0" fontId="183" fillId="150" borderId="220" xfId="20557" applyFont="1" applyFill="1" applyBorder="1" applyAlignment="1">
      <alignment horizontal="left" wrapText="1"/>
    </xf>
    <xf numFmtId="0" fontId="35" fillId="152" borderId="221" xfId="0" applyFont="1" applyFill="1" applyBorder="1"/>
    <xf numFmtId="0" fontId="35" fillId="0" borderId="218" xfId="0" applyFont="1" applyBorder="1" applyAlignment="1">
      <alignment horizontal="left" wrapText="1"/>
    </xf>
    <xf numFmtId="0" fontId="35" fillId="0" borderId="224" xfId="0" applyFont="1" applyBorder="1" applyAlignment="1">
      <alignment horizontal="left" wrapText="1"/>
    </xf>
    <xf numFmtId="167" fontId="39" fillId="142" borderId="224" xfId="0" applyNumberFormat="1" applyFont="1" applyFill="1" applyBorder="1"/>
    <xf numFmtId="0" fontId="35" fillId="0" borderId="227" xfId="0" applyFont="1" applyBorder="1" applyAlignment="1">
      <alignment horizontal="left" wrapText="1"/>
    </xf>
    <xf numFmtId="0" fontId="35" fillId="0" borderId="220" xfId="0" applyFont="1" applyBorder="1" applyAlignment="1">
      <alignment horizontal="left" wrapText="1"/>
    </xf>
    <xf numFmtId="0" fontId="35" fillId="0" borderId="222" xfId="0" applyFont="1" applyBorder="1" applyAlignment="1">
      <alignment horizontal="left" wrapText="1"/>
    </xf>
    <xf numFmtId="167" fontId="39" fillId="142" borderId="225" xfId="0" applyNumberFormat="1" applyFont="1" applyFill="1" applyBorder="1"/>
    <xf numFmtId="0" fontId="146" fillId="0" borderId="228" xfId="0" applyFont="1" applyBorder="1"/>
    <xf numFmtId="9" fontId="39" fillId="151" borderId="224" xfId="58" applyFont="1" applyFill="1" applyBorder="1"/>
    <xf numFmtId="9" fontId="39" fillId="151" borderId="219" xfId="58" applyFont="1" applyFill="1" applyBorder="1"/>
    <xf numFmtId="0" fontId="146" fillId="0" borderId="229" xfId="0" applyFont="1" applyBorder="1"/>
    <xf numFmtId="9" fontId="39" fillId="151" borderId="230" xfId="58" applyFont="1" applyFill="1" applyBorder="1"/>
    <xf numFmtId="0" fontId="146" fillId="0" borderId="227" xfId="0" applyFont="1" applyBorder="1"/>
    <xf numFmtId="42" fontId="146" fillId="152" borderId="231" xfId="20531" applyNumberFormat="1" applyFont="1" applyFill="1" applyBorder="1"/>
    <xf numFmtId="0" fontId="146" fillId="0" borderId="231" xfId="0" applyFont="1" applyBorder="1"/>
    <xf numFmtId="0" fontId="146" fillId="0" borderId="218" xfId="0" applyFont="1" applyBorder="1"/>
    <xf numFmtId="0" fontId="146" fillId="0" borderId="224" xfId="0" applyFont="1" applyBorder="1"/>
    <xf numFmtId="0" fontId="183" fillId="3" borderId="220" xfId="20557" applyFont="1" applyFill="1" applyBorder="1" applyAlignment="1">
      <alignment horizontal="center" vertical="center" wrapText="1"/>
    </xf>
    <xf numFmtId="0" fontId="183" fillId="3" borderId="220" xfId="20557" applyFont="1" applyFill="1" applyBorder="1" applyAlignment="1">
      <alignment horizontal="left" wrapText="1"/>
    </xf>
    <xf numFmtId="0" fontId="35" fillId="158" borderId="221" xfId="0" applyFont="1" applyFill="1" applyBorder="1"/>
    <xf numFmtId="0" fontId="53" fillId="146" borderId="225" xfId="20575" applyFont="1" applyFill="1" applyBorder="1" applyAlignment="1">
      <alignment horizontal="center" vertical="center" wrapText="1"/>
    </xf>
    <xf numFmtId="0" fontId="53" fillId="146" borderId="221" xfId="20575" applyFont="1" applyFill="1" applyBorder="1" applyAlignment="1">
      <alignment horizontal="center" vertical="center" wrapText="1"/>
    </xf>
    <xf numFmtId="0" fontId="17" fillId="0" borderId="218" xfId="20575" applyBorder="1" applyAlignment="1">
      <alignment horizontal="center"/>
    </xf>
    <xf numFmtId="42" fontId="0" fillId="145" borderId="224" xfId="20576" applyNumberFormat="1" applyFont="1" applyFill="1" applyBorder="1"/>
    <xf numFmtId="42" fontId="0" fillId="3" borderId="219" xfId="20576" applyNumberFormat="1" applyFont="1" applyFill="1" applyBorder="1"/>
    <xf numFmtId="0" fontId="53" fillId="0" borderId="220" xfId="20575" applyFont="1" applyBorder="1" applyAlignment="1">
      <alignment horizontal="center"/>
    </xf>
    <xf numFmtId="42" fontId="53" fillId="3" borderId="225" xfId="20576" applyNumberFormat="1" applyFont="1" applyFill="1" applyBorder="1"/>
    <xf numFmtId="42" fontId="53" fillId="3" borderId="221" xfId="20576" applyNumberFormat="1" applyFont="1" applyFill="1" applyBorder="1"/>
    <xf numFmtId="0" fontId="182" fillId="150" borderId="220" xfId="20557" applyFont="1" applyFill="1" applyBorder="1" applyAlignment="1">
      <alignment horizontal="center" vertical="center" wrapText="1"/>
    </xf>
    <xf numFmtId="0" fontId="182" fillId="150" borderId="220" xfId="168" applyFont="1" applyFill="1" applyBorder="1"/>
    <xf numFmtId="0" fontId="186" fillId="150" borderId="221" xfId="5259" applyFont="1" applyFill="1" applyBorder="1" applyAlignment="1">
      <alignment horizontal="left"/>
    </xf>
    <xf numFmtId="0" fontId="180" fillId="143" borderId="218" xfId="0" applyFont="1" applyFill="1" applyBorder="1" applyAlignment="1">
      <alignment vertical="center"/>
    </xf>
    <xf numFmtId="0" fontId="197" fillId="145" borderId="224" xfId="5259" applyFont="1" applyFill="1" applyBorder="1" applyAlignment="1">
      <alignment horizontal="left" vertical="center" wrapText="1"/>
    </xf>
    <xf numFmtId="0" fontId="180" fillId="143" borderId="224" xfId="0" applyFont="1" applyFill="1" applyBorder="1" applyAlignment="1">
      <alignment vertical="center"/>
    </xf>
    <xf numFmtId="0" fontId="197" fillId="145" borderId="224" xfId="5259" applyFont="1" applyFill="1" applyBorder="1" applyAlignment="1">
      <alignment horizontal="center" vertical="center"/>
    </xf>
    <xf numFmtId="164" fontId="180" fillId="3" borderId="214" xfId="20531" applyNumberFormat="1" applyFont="1" applyFill="1" applyBorder="1" applyAlignment="1">
      <alignment vertical="center"/>
    </xf>
    <xf numFmtId="42" fontId="180" fillId="143" borderId="224" xfId="20531" applyNumberFormat="1" applyFont="1" applyFill="1" applyBorder="1" applyAlignment="1">
      <alignment vertical="center"/>
    </xf>
    <xf numFmtId="42" fontId="180" fillId="143" borderId="224" xfId="64" applyNumberFormat="1" applyFont="1" applyFill="1" applyBorder="1" applyAlignment="1">
      <alignment vertical="center"/>
    </xf>
    <xf numFmtId="43" fontId="180" fillId="143" borderId="224" xfId="64" applyFont="1" applyFill="1" applyBorder="1" applyAlignment="1">
      <alignment vertical="center"/>
    </xf>
    <xf numFmtId="41" fontId="180" fillId="143" borderId="224" xfId="64" applyNumberFormat="1" applyFont="1" applyFill="1" applyBorder="1" applyAlignment="1">
      <alignment vertical="center"/>
    </xf>
    <xf numFmtId="43" fontId="180" fillId="143" borderId="219" xfId="64" applyFont="1" applyFill="1" applyBorder="1" applyAlignment="1">
      <alignment vertical="center"/>
    </xf>
    <xf numFmtId="0" fontId="197" fillId="145" borderId="224" xfId="5259" applyFont="1" applyFill="1" applyBorder="1" applyAlignment="1">
      <alignment horizontal="center" vertical="center" wrapText="1"/>
    </xf>
    <xf numFmtId="0" fontId="180" fillId="143" borderId="227" xfId="0" applyFont="1" applyFill="1" applyBorder="1" applyAlignment="1">
      <alignment vertical="center"/>
    </xf>
    <xf numFmtId="0" fontId="180" fillId="143" borderId="230" xfId="0" applyFont="1" applyFill="1" applyBorder="1" applyAlignment="1">
      <alignment vertical="center"/>
    </xf>
    <xf numFmtId="43" fontId="180" fillId="143" borderId="230" xfId="64" applyFont="1" applyFill="1" applyBorder="1" applyAlignment="1">
      <alignment vertical="center"/>
    </xf>
    <xf numFmtId="0" fontId="181" fillId="150" borderId="220" xfId="20557" applyFont="1" applyFill="1" applyBorder="1" applyAlignment="1">
      <alignment horizontal="center" vertical="center" wrapText="1"/>
    </xf>
    <xf numFmtId="0" fontId="186" fillId="150" borderId="221" xfId="6" applyFont="1" applyFill="1" applyBorder="1" applyAlignment="1">
      <alignment horizontal="left"/>
    </xf>
    <xf numFmtId="42" fontId="197" fillId="145" borderId="224" xfId="20531" applyNumberFormat="1" applyFont="1" applyFill="1" applyBorder="1" applyAlignment="1"/>
    <xf numFmtId="41" fontId="197" fillId="145" borderId="224" xfId="64" applyNumberFormat="1" applyFont="1" applyFill="1" applyBorder="1" applyAlignment="1"/>
    <xf numFmtId="0" fontId="186" fillId="0" borderId="224" xfId="6" applyFont="1" applyBorder="1" applyAlignment="1">
      <alignment horizontal="left" indent="1"/>
    </xf>
    <xf numFmtId="166" fontId="186" fillId="0" borderId="224" xfId="6" applyNumberFormat="1" applyFont="1" applyBorder="1" applyAlignment="1">
      <alignment horizontal="left" wrapText="1" indent="1"/>
    </xf>
    <xf numFmtId="166" fontId="186" fillId="0" borderId="224" xfId="6" applyNumberFormat="1" applyFont="1" applyBorder="1" applyAlignment="1">
      <alignment horizontal="center" wrapText="1"/>
    </xf>
    <xf numFmtId="166" fontId="186" fillId="0" borderId="224" xfId="5259" applyNumberFormat="1" applyFont="1" applyFill="1" applyBorder="1" applyAlignment="1">
      <alignment horizontal="left" wrapText="1" indent="1"/>
    </xf>
    <xf numFmtId="0" fontId="186" fillId="0" borderId="224" xfId="5259" applyFont="1" applyFill="1" applyBorder="1" applyAlignment="1">
      <alignment horizontal="left" indent="1"/>
    </xf>
    <xf numFmtId="0" fontId="181" fillId="150" borderId="220" xfId="168" applyFont="1" applyFill="1" applyBorder="1"/>
    <xf numFmtId="42" fontId="197" fillId="156" borderId="224" xfId="20531" applyNumberFormat="1" applyFont="1" applyFill="1" applyBorder="1" applyAlignment="1"/>
    <xf numFmtId="9" fontId="197" fillId="156" borderId="224" xfId="58" applyFont="1" applyFill="1" applyBorder="1" applyAlignment="1"/>
    <xf numFmtId="213" fontId="197" fillId="145" borderId="224" xfId="64" applyNumberFormat="1" applyFont="1" applyFill="1" applyBorder="1" applyAlignment="1"/>
    <xf numFmtId="216" fontId="197" fillId="156" borderId="224" xfId="5259" applyNumberFormat="1" applyFont="1" applyFill="1" applyBorder="1" applyAlignment="1"/>
    <xf numFmtId="0" fontId="182" fillId="2" borderId="224" xfId="5259" applyFont="1" applyFill="1" applyBorder="1" applyAlignment="1">
      <alignment horizontal="center"/>
    </xf>
    <xf numFmtId="0" fontId="186" fillId="0" borderId="224" xfId="5259" applyFont="1" applyFill="1" applyBorder="1" applyAlignment="1">
      <alignment horizontal="center"/>
    </xf>
    <xf numFmtId="0" fontId="186" fillId="2" borderId="224" xfId="5259" applyFont="1" applyFill="1" applyBorder="1"/>
    <xf numFmtId="42" fontId="186" fillId="2" borderId="224" xfId="5259" applyNumberFormat="1" applyFont="1" applyFill="1" applyBorder="1" applyAlignment="1"/>
    <xf numFmtId="218" fontId="186" fillId="2" borderId="224" xfId="5259" applyNumberFormat="1" applyFont="1" applyFill="1" applyBorder="1" applyAlignment="1"/>
    <xf numFmtId="218" fontId="186" fillId="2" borderId="224" xfId="5259" applyNumberFormat="1" applyFont="1" applyFill="1" applyBorder="1" applyAlignment="1">
      <alignment horizontal="center"/>
    </xf>
    <xf numFmtId="218" fontId="186" fillId="2" borderId="224" xfId="5259" applyNumberFormat="1" applyFont="1" applyFill="1" applyBorder="1"/>
    <xf numFmtId="218" fontId="186" fillId="170" borderId="224" xfId="5259" applyNumberFormat="1" applyFont="1" applyFill="1" applyBorder="1"/>
    <xf numFmtId="218" fontId="186" fillId="170" borderId="224" xfId="5259" applyNumberFormat="1" applyFont="1" applyFill="1" applyBorder="1" applyAlignment="1"/>
    <xf numFmtId="218" fontId="186" fillId="170" borderId="224" xfId="5259" applyNumberFormat="1" applyFont="1" applyFill="1" applyBorder="1" applyAlignment="1">
      <alignment horizontal="center"/>
    </xf>
    <xf numFmtId="42" fontId="186" fillId="2" borderId="224" xfId="5259" applyNumberFormat="1" applyFont="1" applyFill="1" applyBorder="1" applyAlignment="1">
      <alignment horizontal="center"/>
    </xf>
    <xf numFmtId="0" fontId="182" fillId="150" borderId="233" xfId="20557" applyFont="1" applyFill="1" applyBorder="1" applyAlignment="1">
      <alignment horizontal="center" vertical="center" wrapText="1"/>
    </xf>
    <xf numFmtId="0" fontId="182" fillId="150" borderId="220" xfId="20577" applyFont="1" applyFill="1" applyBorder="1"/>
    <xf numFmtId="0" fontId="182" fillId="150" borderId="223" xfId="20577" applyFont="1" applyFill="1" applyBorder="1"/>
    <xf numFmtId="0" fontId="186" fillId="145" borderId="218" xfId="0" applyFont="1" applyFill="1" applyBorder="1" applyAlignment="1">
      <alignment vertical="center" wrapText="1"/>
    </xf>
    <xf numFmtId="0" fontId="186" fillId="145" borderId="224" xfId="0" applyFont="1" applyFill="1" applyBorder="1" applyAlignment="1">
      <alignment vertical="center" wrapText="1"/>
    </xf>
    <xf numFmtId="42" fontId="180" fillId="145" borderId="224" xfId="0" applyNumberFormat="1" applyFont="1" applyFill="1" applyBorder="1"/>
    <xf numFmtId="9" fontId="186" fillId="145" borderId="224" xfId="58" applyFont="1" applyFill="1" applyBorder="1" applyAlignment="1">
      <alignment horizontal="center" vertical="center"/>
    </xf>
    <xf numFmtId="10" fontId="186" fillId="145" borderId="224" xfId="58" applyNumberFormat="1" applyFont="1" applyFill="1" applyBorder="1" applyAlignment="1">
      <alignment horizontal="center" vertical="center"/>
    </xf>
    <xf numFmtId="42" fontId="180" fillId="145" borderId="219" xfId="0" applyNumberFormat="1" applyFont="1" applyFill="1" applyBorder="1"/>
    <xf numFmtId="0" fontId="186" fillId="145" borderId="226" xfId="0" applyFont="1" applyFill="1" applyBorder="1" applyAlignment="1">
      <alignment vertical="center" wrapText="1"/>
    </xf>
    <xf numFmtId="42" fontId="180" fillId="145" borderId="228" xfId="0" applyNumberFormat="1" applyFont="1" applyFill="1" applyBorder="1"/>
    <xf numFmtId="9" fontId="180" fillId="145" borderId="224" xfId="58" applyFont="1" applyFill="1" applyBorder="1" applyAlignment="1">
      <alignment horizontal="center" vertical="center"/>
    </xf>
    <xf numFmtId="0" fontId="180" fillId="2" borderId="224" xfId="0" applyFont="1" applyFill="1" applyBorder="1" applyAlignment="1">
      <alignment horizontal="center" vertical="center"/>
    </xf>
    <xf numFmtId="42" fontId="221" fillId="3" borderId="215" xfId="0" applyNumberFormat="1" applyFont="1" applyFill="1" applyBorder="1"/>
    <xf numFmtId="0" fontId="221" fillId="2" borderId="218" xfId="0" applyFont="1" applyFill="1" applyBorder="1"/>
    <xf numFmtId="10" fontId="180" fillId="2" borderId="224" xfId="58" applyNumberFormat="1" applyFont="1" applyFill="1" applyBorder="1" applyAlignment="1"/>
    <xf numFmtId="10" fontId="180" fillId="2" borderId="226" xfId="58" applyNumberFormat="1" applyFont="1" applyFill="1" applyBorder="1" applyAlignment="1"/>
    <xf numFmtId="10" fontId="180" fillId="2" borderId="218" xfId="58" applyNumberFormat="1" applyFont="1" applyFill="1" applyBorder="1" applyAlignment="1"/>
    <xf numFmtId="10" fontId="180" fillId="2" borderId="219" xfId="58" applyNumberFormat="1" applyFont="1" applyFill="1" applyBorder="1" applyAlignment="1"/>
    <xf numFmtId="165" fontId="180" fillId="168" borderId="219" xfId="58" applyNumberFormat="1" applyFont="1" applyFill="1" applyBorder="1" applyAlignment="1"/>
    <xf numFmtId="0" fontId="221" fillId="2" borderId="220" xfId="0" applyFont="1" applyFill="1" applyBorder="1"/>
    <xf numFmtId="10" fontId="180" fillId="2" borderId="225" xfId="58" applyNumberFormat="1" applyFont="1" applyFill="1" applyBorder="1" applyAlignment="1"/>
    <xf numFmtId="10" fontId="180" fillId="2" borderId="222" xfId="58" applyNumberFormat="1" applyFont="1" applyFill="1" applyBorder="1" applyAlignment="1"/>
    <xf numFmtId="10" fontId="180" fillId="2" borderId="220" xfId="58" applyNumberFormat="1" applyFont="1" applyFill="1" applyBorder="1" applyAlignment="1"/>
    <xf numFmtId="10" fontId="180" fillId="2" borderId="221" xfId="58" applyNumberFormat="1" applyFont="1" applyFill="1" applyBorder="1" applyAlignment="1"/>
    <xf numFmtId="0" fontId="222" fillId="167" borderId="218" xfId="0" applyFont="1" applyFill="1" applyBorder="1"/>
    <xf numFmtId="10" fontId="225" fillId="167" borderId="224" xfId="0" applyNumberFormat="1" applyFont="1" applyFill="1" applyBorder="1"/>
    <xf numFmtId="10" fontId="225" fillId="167" borderId="224" xfId="0" applyNumberFormat="1" applyFont="1" applyFill="1" applyBorder="1" applyAlignment="1">
      <alignment horizontal="right" vertical="center"/>
    </xf>
    <xf numFmtId="10" fontId="225" fillId="167" borderId="219" xfId="0" applyNumberFormat="1" applyFont="1" applyFill="1" applyBorder="1" applyAlignment="1">
      <alignment horizontal="right" vertical="center"/>
    </xf>
    <xf numFmtId="0" fontId="222" fillId="167" borderId="220" xfId="0" applyFont="1" applyFill="1" applyBorder="1"/>
    <xf numFmtId="10" fontId="225" fillId="167" borderId="225" xfId="0" applyNumberFormat="1" applyFont="1" applyFill="1" applyBorder="1"/>
    <xf numFmtId="10" fontId="225" fillId="167" borderId="225" xfId="0" applyNumberFormat="1" applyFont="1" applyFill="1" applyBorder="1" applyAlignment="1">
      <alignment horizontal="right" vertical="center"/>
    </xf>
    <xf numFmtId="10" fontId="225" fillId="167" borderId="221" xfId="0" applyNumberFormat="1" applyFont="1" applyFill="1" applyBorder="1" applyAlignment="1">
      <alignment horizontal="right" vertical="center"/>
    </xf>
    <xf numFmtId="0" fontId="35" fillId="150" borderId="221" xfId="0" applyFont="1" applyFill="1" applyBorder="1"/>
    <xf numFmtId="42" fontId="35" fillId="3" borderId="224" xfId="5259" applyNumberFormat="1" applyFont="1" applyFill="1" applyBorder="1" applyAlignment="1"/>
    <xf numFmtId="42" fontId="146" fillId="156" borderId="224" xfId="20531" applyNumberFormat="1" applyFont="1" applyFill="1" applyBorder="1" applyAlignment="1" applyProtection="1">
      <protection locked="0"/>
    </xf>
    <xf numFmtId="42" fontId="35" fillId="3" borderId="219" xfId="5259" applyNumberFormat="1" applyFont="1" applyFill="1" applyBorder="1" applyAlignment="1"/>
    <xf numFmtId="42" fontId="146" fillId="145" borderId="224" xfId="20531" applyNumberFormat="1" applyFont="1" applyFill="1" applyBorder="1" applyAlignment="1" applyProtection="1">
      <protection locked="0"/>
    </xf>
    <xf numFmtId="42" fontId="146" fillId="145" borderId="224" xfId="20531" applyNumberFormat="1" applyFont="1" applyFill="1" applyBorder="1" applyAlignment="1"/>
    <xf numFmtId="0" fontId="53" fillId="0" borderId="224" xfId="0" applyFont="1" applyBorder="1" applyAlignment="1">
      <alignment vertical="center"/>
    </xf>
    <xf numFmtId="42" fontId="190" fillId="3" borderId="224" xfId="20531" applyNumberFormat="1" applyFont="1" applyFill="1" applyBorder="1" applyAlignment="1"/>
    <xf numFmtId="42" fontId="190" fillId="3" borderId="219" xfId="20531" applyNumberFormat="1" applyFont="1" applyFill="1" applyBorder="1" applyAlignment="1"/>
    <xf numFmtId="0" fontId="53" fillId="0" borderId="225" xfId="0" applyFont="1" applyBorder="1" applyAlignment="1">
      <alignment vertical="center"/>
    </xf>
    <xf numFmtId="42" fontId="190" fillId="3" borderId="225" xfId="20531" applyNumberFormat="1" applyFont="1" applyFill="1" applyBorder="1" applyAlignment="1"/>
    <xf numFmtId="42" fontId="190" fillId="3" borderId="221" xfId="20531" applyNumberFormat="1" applyFont="1" applyFill="1" applyBorder="1" applyAlignment="1"/>
    <xf numFmtId="0" fontId="53" fillId="0" borderId="224" xfId="0" applyFont="1" applyBorder="1" applyAlignment="1">
      <alignment horizontal="center" vertical="center"/>
    </xf>
    <xf numFmtId="0" fontId="53" fillId="0" borderId="226" xfId="0" applyFont="1" applyBorder="1" applyAlignment="1">
      <alignment horizontal="left" vertical="center"/>
    </xf>
    <xf numFmtId="0" fontId="53" fillId="0" borderId="224" xfId="0" applyFont="1" applyBorder="1" applyAlignment="1">
      <alignment horizontal="left" vertical="center"/>
    </xf>
    <xf numFmtId="0" fontId="35" fillId="0" borderId="224" xfId="0" applyFont="1" applyBorder="1" applyAlignment="1">
      <alignment horizontal="center" vertical="center"/>
    </xf>
    <xf numFmtId="0" fontId="35" fillId="0" borderId="224" xfId="0" applyFont="1" applyBorder="1" applyAlignment="1">
      <alignment horizontal="center"/>
    </xf>
    <xf numFmtId="0" fontId="35" fillId="0" borderId="224" xfId="0" applyFont="1" applyBorder="1" applyAlignment="1">
      <alignment vertical="center" wrapText="1"/>
    </xf>
    <xf numFmtId="0" fontId="183" fillId="146" borderId="230" xfId="20557" applyFont="1" applyFill="1" applyBorder="1" applyAlignment="1">
      <alignment horizontal="center" vertical="center" wrapText="1"/>
    </xf>
    <xf numFmtId="0" fontId="35" fillId="0" borderId="218" xfId="20557" applyFont="1" applyBorder="1" applyAlignment="1">
      <alignment horizontal="center" vertical="center"/>
    </xf>
    <xf numFmtId="0" fontId="35" fillId="0" borderId="224" xfId="20557" applyFont="1" applyBorder="1" applyAlignment="1">
      <alignment horizontal="center" vertical="center"/>
    </xf>
    <xf numFmtId="0" fontId="183" fillId="0" borderId="224" xfId="20559" applyFont="1" applyBorder="1" applyAlignment="1">
      <alignment horizontal="left" vertical="center"/>
    </xf>
    <xf numFmtId="42" fontId="183" fillId="147" borderId="224" xfId="20559" applyNumberFormat="1" applyFont="1" applyFill="1" applyBorder="1" applyAlignment="1">
      <alignment horizontal="left" vertical="center"/>
    </xf>
    <xf numFmtId="165" fontId="183" fillId="147" borderId="224" xfId="17592" applyNumberFormat="1" applyFont="1" applyFill="1" applyBorder="1" applyAlignment="1">
      <alignment horizontal="left" vertical="center"/>
    </xf>
    <xf numFmtId="0" fontId="183" fillId="147" borderId="224" xfId="20559" applyFont="1" applyFill="1" applyBorder="1" applyAlignment="1">
      <alignment horizontal="left" vertical="center"/>
    </xf>
    <xf numFmtId="0" fontId="183" fillId="147" borderId="219" xfId="20559" applyFont="1" applyFill="1" applyBorder="1" applyAlignment="1">
      <alignment horizontal="left" vertical="center"/>
    </xf>
    <xf numFmtId="0" fontId="146" fillId="150" borderId="214" xfId="0" applyFont="1" applyFill="1" applyBorder="1" applyAlignment="1">
      <alignment wrapText="1"/>
    </xf>
    <xf numFmtId="0" fontId="35" fillId="0" borderId="224" xfId="20557" applyFont="1" applyBorder="1" applyAlignment="1">
      <alignment horizontal="left" vertical="center" indent="1"/>
    </xf>
    <xf numFmtId="42" fontId="35" fillId="3" borderId="224" xfId="20559" applyNumberFormat="1" applyFont="1" applyFill="1" applyBorder="1" applyAlignment="1">
      <alignment horizontal="left" vertical="center"/>
    </xf>
    <xf numFmtId="165" fontId="35" fillId="3" borderId="224" xfId="17592" applyNumberFormat="1" applyFont="1" applyFill="1" applyBorder="1" applyAlignment="1">
      <alignment horizontal="center" vertical="center"/>
    </xf>
    <xf numFmtId="165" fontId="35" fillId="0" borderId="224" xfId="17592" applyNumberFormat="1" applyFont="1" applyBorder="1" applyAlignment="1">
      <alignment horizontal="center" vertical="center"/>
    </xf>
    <xf numFmtId="42" fontId="35" fillId="147" borderId="219" xfId="20559" applyNumberFormat="1" applyFont="1" applyFill="1" applyBorder="1" applyAlignment="1">
      <alignment horizontal="center" vertical="center"/>
    </xf>
    <xf numFmtId="0" fontId="146" fillId="150" borderId="214" xfId="0" applyFont="1" applyFill="1" applyBorder="1" applyAlignment="1">
      <alignment horizontal="left" wrapText="1"/>
    </xf>
    <xf numFmtId="165" fontId="35" fillId="147" borderId="224" xfId="20560" applyNumberFormat="1" applyFont="1" applyFill="1" applyBorder="1" applyAlignment="1">
      <alignment horizontal="center" vertical="center"/>
    </xf>
    <xf numFmtId="165" fontId="35" fillId="0" borderId="219" xfId="20560" applyNumberFormat="1" applyFont="1" applyFill="1" applyBorder="1" applyAlignment="1">
      <alignment horizontal="center" vertical="center"/>
    </xf>
    <xf numFmtId="0" fontId="32" fillId="150" borderId="214" xfId="0" applyFont="1" applyFill="1" applyBorder="1" applyAlignment="1">
      <alignment wrapText="1"/>
    </xf>
    <xf numFmtId="0" fontId="35" fillId="0" borderId="226" xfId="20557" applyFont="1" applyBorder="1" applyAlignment="1">
      <alignment horizontal="left" vertical="center" indent="1"/>
    </xf>
    <xf numFmtId="42" fontId="35" fillId="3" borderId="228" xfId="20559" applyNumberFormat="1" applyFont="1" applyFill="1" applyBorder="1" applyAlignment="1">
      <alignment horizontal="left" vertical="center"/>
    </xf>
    <xf numFmtId="165" fontId="35" fillId="147" borderId="224" xfId="17592" applyNumberFormat="1" applyFont="1" applyFill="1" applyBorder="1" applyAlignment="1">
      <alignment horizontal="center" vertical="center"/>
    </xf>
    <xf numFmtId="0" fontId="183" fillId="0" borderId="226" xfId="20559" applyFont="1" applyBorder="1" applyAlignment="1">
      <alignment horizontal="left" vertical="center"/>
    </xf>
    <xf numFmtId="42" fontId="35" fillId="147" borderId="224" xfId="20559" applyNumberFormat="1" applyFont="1" applyFill="1" applyBorder="1" applyAlignment="1">
      <alignment horizontal="center" vertical="center"/>
    </xf>
    <xf numFmtId="165" fontId="35" fillId="147" borderId="219" xfId="17592" applyNumberFormat="1" applyFont="1" applyFill="1" applyBorder="1" applyAlignment="1">
      <alignment horizontal="center" vertical="center"/>
    </xf>
    <xf numFmtId="42" fontId="35" fillId="147" borderId="224" xfId="20559" applyNumberFormat="1" applyFont="1" applyFill="1" applyBorder="1" applyAlignment="1">
      <alignment horizontal="left" vertical="center"/>
    </xf>
    <xf numFmtId="42" fontId="35" fillId="147" borderId="228" xfId="20559" applyNumberFormat="1" applyFont="1" applyFill="1" applyBorder="1" applyAlignment="1">
      <alignment horizontal="left" vertical="center"/>
    </xf>
    <xf numFmtId="0" fontId="183" fillId="0" borderId="226" xfId="20558" applyFont="1" applyBorder="1" applyAlignment="1">
      <alignment horizontal="left" vertical="center" wrapText="1"/>
    </xf>
    <xf numFmtId="42" fontId="200" fillId="147" borderId="228" xfId="20559" applyNumberFormat="1" applyFont="1" applyFill="1" applyBorder="1" applyAlignment="1">
      <alignment horizontal="right" vertical="center"/>
    </xf>
    <xf numFmtId="0" fontId="183" fillId="2" borderId="226" xfId="20557" applyFont="1" applyFill="1" applyBorder="1" applyAlignment="1">
      <alignment horizontal="left" vertical="center" wrapText="1"/>
    </xf>
    <xf numFmtId="0" fontId="35" fillId="150" borderId="214" xfId="0" applyFont="1" applyFill="1" applyBorder="1"/>
    <xf numFmtId="42" fontId="200" fillId="147" borderId="224" xfId="20559" applyNumberFormat="1" applyFont="1" applyFill="1" applyBorder="1" applyAlignment="1">
      <alignment horizontal="right" vertical="center"/>
    </xf>
    <xf numFmtId="165" fontId="35" fillId="0" borderId="219" xfId="17592" applyNumberFormat="1" applyFont="1" applyBorder="1" applyAlignment="1">
      <alignment horizontal="center" vertical="center"/>
    </xf>
    <xf numFmtId="0" fontId="35" fillId="150" borderId="214" xfId="0" applyFont="1" applyFill="1" applyBorder="1" applyAlignment="1">
      <alignment wrapText="1"/>
    </xf>
    <xf numFmtId="0" fontId="183" fillId="2" borderId="224" xfId="20557" applyFont="1" applyFill="1" applyBorder="1" applyAlignment="1">
      <alignment horizontal="left" vertical="center" wrapText="1"/>
    </xf>
    <xf numFmtId="42" fontId="35" fillId="147" borderId="219" xfId="20559" applyNumberFormat="1" applyFont="1" applyFill="1" applyBorder="1" applyAlignment="1">
      <alignment horizontal="left" vertical="center"/>
    </xf>
    <xf numFmtId="44" fontId="35" fillId="147" borderId="224" xfId="17842" applyNumberFormat="1" applyFont="1" applyFill="1" applyBorder="1" applyAlignment="1">
      <alignment horizontal="center" vertical="center"/>
    </xf>
    <xf numFmtId="0" fontId="183" fillId="2" borderId="226" xfId="20557" applyFont="1" applyFill="1" applyBorder="1" applyAlignment="1">
      <alignment horizontal="left" vertical="center"/>
    </xf>
    <xf numFmtId="165" fontId="35" fillId="2" borderId="228" xfId="17592" applyNumberFormat="1" applyFont="1" applyFill="1" applyBorder="1" applyAlignment="1">
      <alignment horizontal="center" vertical="center"/>
    </xf>
    <xf numFmtId="0" fontId="35" fillId="2" borderId="218" xfId="20557" applyFont="1" applyFill="1" applyBorder="1" applyAlignment="1">
      <alignment horizontal="center" vertical="center"/>
    </xf>
    <xf numFmtId="0" fontId="35" fillId="2" borderId="224" xfId="20557" applyFont="1" applyFill="1" applyBorder="1" applyAlignment="1">
      <alignment horizontal="center" vertical="center"/>
    </xf>
    <xf numFmtId="0" fontId="183" fillId="2" borderId="224" xfId="20557" applyFont="1" applyFill="1" applyBorder="1" applyAlignment="1">
      <alignment horizontal="left" vertical="center"/>
    </xf>
    <xf numFmtId="165" fontId="35" fillId="2" borderId="224" xfId="17592" applyNumberFormat="1" applyFont="1" applyFill="1" applyBorder="1" applyAlignment="1">
      <alignment horizontal="center" vertical="center"/>
    </xf>
    <xf numFmtId="42" fontId="35" fillId="147" borderId="230" xfId="20559" applyNumberFormat="1" applyFont="1" applyFill="1" applyBorder="1" applyAlignment="1">
      <alignment horizontal="center" vertical="center"/>
    </xf>
    <xf numFmtId="0" fontId="35" fillId="150" borderId="215" xfId="0" applyFont="1" applyFill="1" applyBorder="1"/>
    <xf numFmtId="42" fontId="35" fillId="156" borderId="224" xfId="20559" applyNumberFormat="1" applyFont="1" applyFill="1" applyBorder="1" applyAlignment="1">
      <alignment horizontal="left" vertical="center"/>
    </xf>
    <xf numFmtId="165" fontId="35" fillId="149" borderId="224" xfId="58" applyNumberFormat="1" applyFont="1" applyFill="1" applyBorder="1" applyAlignment="1">
      <alignment horizontal="center" vertical="center"/>
    </xf>
    <xf numFmtId="165" fontId="35" fillId="0" borderId="224" xfId="20560" applyNumberFormat="1" applyFont="1" applyFill="1" applyBorder="1" applyAlignment="1">
      <alignment horizontal="center" vertical="center"/>
    </xf>
    <xf numFmtId="165" fontId="35" fillId="147" borderId="219" xfId="20560" applyNumberFormat="1" applyFont="1" applyFill="1" applyBorder="1" applyAlignment="1">
      <alignment horizontal="center" vertical="center"/>
    </xf>
    <xf numFmtId="165" fontId="35" fillId="149" borderId="224" xfId="17592" applyNumberFormat="1" applyFont="1" applyFill="1" applyBorder="1" applyAlignment="1">
      <alignment horizontal="center" vertical="center"/>
    </xf>
    <xf numFmtId="0" fontId="183" fillId="0" borderId="224" xfId="20558" applyFont="1" applyBorder="1" applyAlignment="1">
      <alignment horizontal="left" vertical="center" wrapText="1"/>
    </xf>
    <xf numFmtId="42" fontId="35" fillId="145" borderId="224" xfId="20559" applyNumberFormat="1" applyFont="1" applyFill="1" applyBorder="1" applyAlignment="1">
      <alignment horizontal="left" vertical="center"/>
    </xf>
    <xf numFmtId="42" fontId="35" fillId="147" borderId="224" xfId="20559" applyNumberFormat="1" applyFont="1" applyFill="1" applyBorder="1" applyAlignment="1">
      <alignment horizontal="right" vertical="center"/>
    </xf>
    <xf numFmtId="218" fontId="39" fillId="145" borderId="224" xfId="20535" applyNumberFormat="1" applyFont="1" applyFill="1" applyBorder="1" applyAlignment="1">
      <alignment horizontal="right"/>
    </xf>
    <xf numFmtId="42" fontId="39" fillId="145" borderId="224" xfId="20555" applyNumberFormat="1" applyFont="1" applyFill="1" applyBorder="1" applyAlignment="1"/>
    <xf numFmtId="0" fontId="53" fillId="3" borderId="218" xfId="20548" applyFont="1" applyFill="1" applyBorder="1"/>
    <xf numFmtId="0" fontId="53" fillId="3" borderId="224" xfId="20548" applyFont="1" applyFill="1" applyBorder="1"/>
    <xf numFmtId="0" fontId="53" fillId="3" borderId="224" xfId="20532" applyFont="1" applyFill="1" applyBorder="1"/>
    <xf numFmtId="42" fontId="53" fillId="3" borderId="224" xfId="20555" applyNumberFormat="1" applyFont="1" applyFill="1" applyBorder="1" applyAlignment="1"/>
    <xf numFmtId="0" fontId="183" fillId="150" borderId="233" xfId="20557" applyFont="1" applyFill="1" applyBorder="1" applyAlignment="1">
      <alignment horizontal="center" vertical="center" wrapText="1"/>
    </xf>
    <xf numFmtId="0" fontId="205" fillId="150" borderId="220" xfId="168" applyFont="1" applyFill="1" applyBorder="1"/>
    <xf numFmtId="0" fontId="205" fillId="150" borderId="223" xfId="168" applyFont="1" applyFill="1" applyBorder="1"/>
    <xf numFmtId="0" fontId="183" fillId="146" borderId="224" xfId="20559" applyFont="1" applyFill="1" applyBorder="1" applyAlignment="1">
      <alignment vertical="center" wrapText="1"/>
    </xf>
    <xf numFmtId="0" fontId="183" fillId="146" borderId="224" xfId="20559" applyFont="1" applyFill="1" applyBorder="1" applyAlignment="1">
      <alignment vertical="center"/>
    </xf>
    <xf numFmtId="0" fontId="183" fillId="165" borderId="224" xfId="20559" applyFont="1" applyFill="1" applyBorder="1" applyAlignment="1">
      <alignment horizontal="center" vertical="center" wrapText="1"/>
    </xf>
    <xf numFmtId="0" fontId="183" fillId="146" borderId="224" xfId="20559" applyFont="1" applyFill="1" applyBorder="1" applyAlignment="1">
      <alignment horizontal="left" vertical="center"/>
    </xf>
    <xf numFmtId="0" fontId="35" fillId="0" borderId="224" xfId="198" applyFont="1" applyBorder="1" applyAlignment="1">
      <alignment horizontal="center"/>
    </xf>
    <xf numFmtId="0" fontId="35" fillId="0" borderId="224" xfId="198" applyFont="1" applyBorder="1"/>
    <xf numFmtId="0" fontId="35" fillId="0" borderId="224" xfId="198" applyFont="1" applyBorder="1" applyAlignment="1">
      <alignment wrapText="1"/>
    </xf>
    <xf numFmtId="0" fontId="35" fillId="0" borderId="224" xfId="198" applyFont="1" applyBorder="1" applyAlignment="1">
      <alignment horizontal="center" wrapText="1"/>
    </xf>
    <xf numFmtId="167" fontId="35" fillId="0" borderId="224" xfId="64" applyNumberFormat="1" applyFont="1" applyBorder="1"/>
    <xf numFmtId="3" fontId="35" fillId="0" borderId="224" xfId="198" applyNumberFormat="1" applyFont="1" applyBorder="1"/>
    <xf numFmtId="0" fontId="35" fillId="0" borderId="224" xfId="198" applyFont="1" applyBorder="1" applyAlignment="1">
      <alignment vertical="top" wrapText="1"/>
    </xf>
    <xf numFmtId="0" fontId="180" fillId="143" borderId="218" xfId="0" applyFont="1" applyFill="1" applyBorder="1"/>
    <xf numFmtId="0" fontId="180" fillId="143" borderId="224" xfId="0" applyFont="1" applyFill="1" applyBorder="1"/>
    <xf numFmtId="0" fontId="197" fillId="145" borderId="224" xfId="5259" applyFont="1" applyFill="1" applyBorder="1" applyAlignment="1">
      <alignment horizontal="center"/>
    </xf>
    <xf numFmtId="0" fontId="180" fillId="143" borderId="224" xfId="0" applyFont="1" applyFill="1" applyBorder="1" applyAlignment="1">
      <alignment horizontal="center"/>
    </xf>
    <xf numFmtId="42" fontId="180" fillId="3" borderId="214" xfId="20531" applyNumberFormat="1" applyFont="1" applyFill="1" applyBorder="1"/>
    <xf numFmtId="42" fontId="180" fillId="143" borderId="224" xfId="20531" applyNumberFormat="1" applyFont="1" applyFill="1" applyBorder="1"/>
    <xf numFmtId="42" fontId="180" fillId="143" borderId="219" xfId="20531" applyNumberFormat="1" applyFont="1" applyFill="1" applyBorder="1"/>
    <xf numFmtId="0" fontId="180" fillId="0" borderId="224" xfId="0" applyFont="1" applyBorder="1" applyAlignment="1">
      <alignment horizontal="center"/>
    </xf>
    <xf numFmtId="0" fontId="221" fillId="0" borderId="224" xfId="0" applyFont="1" applyBorder="1"/>
    <xf numFmtId="0" fontId="221" fillId="0" borderId="224" xfId="0" applyFont="1" applyBorder="1" applyAlignment="1">
      <alignment horizontal="center"/>
    </xf>
    <xf numFmtId="41" fontId="180" fillId="0" borderId="224" xfId="64" applyNumberFormat="1" applyFont="1" applyBorder="1"/>
    <xf numFmtId="41" fontId="221" fillId="0" borderId="224" xfId="64" applyNumberFormat="1" applyFont="1" applyBorder="1"/>
    <xf numFmtId="41" fontId="180" fillId="0" borderId="224" xfId="64" applyNumberFormat="1" applyFont="1" applyFill="1" applyBorder="1"/>
    <xf numFmtId="0" fontId="180" fillId="145" borderId="218" xfId="0" applyFont="1" applyFill="1" applyBorder="1"/>
    <xf numFmtId="0" fontId="180" fillId="145" borderId="224" xfId="0" applyFont="1" applyFill="1" applyBorder="1"/>
    <xf numFmtId="0" fontId="180" fillId="145" borderId="224" xfId="0" applyFont="1" applyFill="1" applyBorder="1" applyAlignment="1">
      <alignment horizontal="center"/>
    </xf>
    <xf numFmtId="42" fontId="180" fillId="145" borderId="224" xfId="20531" applyNumberFormat="1" applyFont="1" applyFill="1" applyBorder="1"/>
    <xf numFmtId="42" fontId="180" fillId="145" borderId="219" xfId="20531" applyNumberFormat="1" applyFont="1" applyFill="1" applyBorder="1"/>
    <xf numFmtId="41" fontId="221" fillId="0" borderId="225" xfId="64" applyNumberFormat="1" applyFont="1" applyBorder="1"/>
    <xf numFmtId="41" fontId="221" fillId="0" borderId="225" xfId="64" applyNumberFormat="1" applyFont="1" applyFill="1" applyBorder="1"/>
    <xf numFmtId="41" fontId="221" fillId="0" borderId="225" xfId="0" applyNumberFormat="1" applyFont="1" applyBorder="1"/>
    <xf numFmtId="0" fontId="180" fillId="143" borderId="225" xfId="0" applyFont="1" applyFill="1" applyBorder="1" applyAlignment="1">
      <alignment horizontal="center"/>
    </xf>
    <xf numFmtId="42" fontId="180" fillId="3" borderId="215" xfId="20531" applyNumberFormat="1" applyFont="1" applyFill="1" applyBorder="1"/>
    <xf numFmtId="42" fontId="180" fillId="143" borderId="225" xfId="20531" applyNumberFormat="1" applyFont="1" applyFill="1" applyBorder="1"/>
    <xf numFmtId="42" fontId="180" fillId="143" borderId="221" xfId="20531" applyNumberFormat="1" applyFont="1" applyFill="1" applyBorder="1"/>
    <xf numFmtId="0" fontId="183" fillId="160" borderId="224" xfId="5259" applyFont="1" applyFill="1" applyBorder="1" applyAlignment="1">
      <alignment horizontal="center" vertical="center" wrapText="1"/>
    </xf>
    <xf numFmtId="0" fontId="146" fillId="0" borderId="224" xfId="0" applyFont="1" applyBorder="1" applyAlignment="1">
      <alignment horizontal="center" vertical="center" wrapText="1"/>
    </xf>
    <xf numFmtId="0" fontId="192" fillId="0" borderId="224" xfId="20589" applyFill="1" applyBorder="1" applyAlignment="1">
      <alignment horizontal="center" vertical="center" wrapText="1"/>
    </xf>
    <xf numFmtId="164" fontId="197" fillId="145" borderId="224" xfId="20531" quotePrefix="1" applyNumberFormat="1" applyFont="1" applyFill="1" applyBorder="1" applyAlignment="1"/>
    <xf numFmtId="164" fontId="235" fillId="172" borderId="103" xfId="7" applyNumberFormat="1" applyFont="1" applyFill="1" applyBorder="1" applyAlignment="1" applyProtection="1">
      <alignment horizontal="center" vertical="center" wrapText="1"/>
      <protection locked="0"/>
    </xf>
    <xf numFmtId="0" fontId="2" fillId="2" borderId="0" xfId="20584" applyFont="1" applyFill="1" applyAlignment="1">
      <alignment horizontal="left"/>
    </xf>
    <xf numFmtId="0" fontId="2" fillId="2" borderId="0" xfId="20584" applyFont="1" applyFill="1"/>
    <xf numFmtId="0" fontId="2" fillId="0" borderId="105" xfId="0" applyFont="1" applyBorder="1"/>
    <xf numFmtId="0" fontId="2" fillId="0" borderId="106" xfId="0" applyFont="1" applyBorder="1"/>
    <xf numFmtId="215" fontId="2" fillId="0" borderId="0" xfId="20584" applyNumberFormat="1" applyFont="1" applyAlignment="1">
      <alignment horizontal="left"/>
    </xf>
    <xf numFmtId="0" fontId="2" fillId="0" borderId="107" xfId="0" applyFont="1" applyBorder="1"/>
    <xf numFmtId="0" fontId="2" fillId="0" borderId="0" xfId="0" applyFont="1" applyAlignment="1">
      <alignment horizontal="center"/>
    </xf>
    <xf numFmtId="0" fontId="2" fillId="0" borderId="0" xfId="0" applyFont="1"/>
    <xf numFmtId="0" fontId="2" fillId="0" borderId="214" xfId="0" applyFont="1" applyBorder="1"/>
    <xf numFmtId="0" fontId="2" fillId="2" borderId="0" xfId="20584" applyFont="1" applyFill="1" applyAlignment="1">
      <alignment vertical="center" wrapText="1"/>
    </xf>
    <xf numFmtId="0" fontId="2" fillId="2" borderId="0" xfId="20584" applyFont="1" applyFill="1" applyAlignment="1">
      <alignment horizontal="left" wrapText="1"/>
    </xf>
    <xf numFmtId="0" fontId="2" fillId="0" borderId="219" xfId="20584" applyFont="1" applyBorder="1" applyAlignment="1">
      <alignment wrapText="1"/>
    </xf>
    <xf numFmtId="0" fontId="2" fillId="0" borderId="109" xfId="0" applyFont="1" applyBorder="1"/>
    <xf numFmtId="0" fontId="2" fillId="0" borderId="219" xfId="20584" applyFont="1" applyBorder="1" applyAlignment="1">
      <alignment vertical="center" wrapText="1"/>
    </xf>
    <xf numFmtId="0" fontId="2" fillId="0" borderId="219" xfId="20584" applyFont="1" applyBorder="1" applyAlignment="1">
      <alignment horizontal="left" vertical="center" wrapText="1"/>
    </xf>
    <xf numFmtId="204" fontId="2" fillId="2" borderId="221" xfId="20585" applyNumberFormat="1" applyFont="1" applyFill="1" applyBorder="1" applyAlignment="1">
      <alignment horizontal="left" wrapText="1"/>
    </xf>
    <xf numFmtId="0" fontId="2" fillId="3" borderId="214" xfId="0" applyFont="1" applyFill="1" applyBorder="1"/>
    <xf numFmtId="0" fontId="2" fillId="146" borderId="214" xfId="0" applyFont="1" applyFill="1" applyBorder="1"/>
    <xf numFmtId="0" fontId="2" fillId="143" borderId="215" xfId="0" applyFont="1" applyFill="1" applyBorder="1"/>
    <xf numFmtId="0" fontId="2" fillId="0" borderId="221" xfId="20584" applyFont="1" applyBorder="1" applyAlignment="1">
      <alignment wrapText="1"/>
    </xf>
    <xf numFmtId="0" fontId="2" fillId="0" borderId="111" xfId="20532" applyFont="1" applyBorder="1" applyAlignment="1">
      <alignment horizontal="left" wrapText="1"/>
    </xf>
    <xf numFmtId="0" fontId="2" fillId="0" borderId="0" xfId="20532" applyFont="1" applyAlignment="1">
      <alignment horizontal="left" wrapText="1"/>
    </xf>
    <xf numFmtId="0" fontId="2" fillId="0" borderId="0" xfId="20532" applyFont="1"/>
    <xf numFmtId="0" fontId="2" fillId="2" borderId="98" xfId="20532" applyFont="1" applyFill="1" applyBorder="1" applyAlignment="1">
      <alignment wrapText="1"/>
    </xf>
    <xf numFmtId="42" fontId="2" fillId="0" borderId="0" xfId="0" applyNumberFormat="1" applyFont="1"/>
    <xf numFmtId="42" fontId="2" fillId="0" borderId="218" xfId="0" applyNumberFormat="1" applyFont="1" applyBorder="1"/>
    <xf numFmtId="42" fontId="2" fillId="0" borderId="224" xfId="0" applyNumberFormat="1" applyFont="1" applyBorder="1"/>
    <xf numFmtId="42" fontId="2" fillId="0" borderId="219" xfId="0" applyNumberFormat="1" applyFont="1" applyBorder="1"/>
    <xf numFmtId="42" fontId="2" fillId="142" borderId="224" xfId="0" applyNumberFormat="1" applyFont="1" applyFill="1" applyBorder="1"/>
    <xf numFmtId="42" fontId="2" fillId="142" borderId="219" xfId="0" applyNumberFormat="1" applyFont="1" applyFill="1" applyBorder="1"/>
    <xf numFmtId="42" fontId="2" fillId="0" borderId="220" xfId="0" applyNumberFormat="1" applyFont="1" applyBorder="1"/>
    <xf numFmtId="42" fontId="2" fillId="0" borderId="225" xfId="0" applyNumberFormat="1" applyFont="1" applyBorder="1"/>
    <xf numFmtId="42" fontId="2" fillId="142" borderId="225" xfId="0" applyNumberFormat="1" applyFont="1" applyFill="1" applyBorder="1"/>
    <xf numFmtId="42" fontId="2" fillId="142" borderId="221" xfId="0" applyNumberFormat="1" applyFont="1" applyFill="1" applyBorder="1"/>
    <xf numFmtId="42" fontId="2" fillId="0" borderId="221" xfId="0" applyNumberFormat="1" applyFont="1" applyBorder="1"/>
    <xf numFmtId="0" fontId="2" fillId="142" borderId="224" xfId="0" applyFont="1" applyFill="1" applyBorder="1"/>
    <xf numFmtId="164" fontId="2" fillId="0" borderId="224" xfId="0" applyNumberFormat="1" applyFont="1" applyBorder="1"/>
    <xf numFmtId="164" fontId="2" fillId="142" borderId="224" xfId="0" applyNumberFormat="1" applyFont="1" applyFill="1" applyBorder="1"/>
    <xf numFmtId="0" fontId="2" fillId="0" borderId="0" xfId="0" applyFont="1" applyAlignment="1">
      <alignment horizontal="left"/>
    </xf>
    <xf numFmtId="0" fontId="2" fillId="0" borderId="0" xfId="20575" applyFont="1"/>
    <xf numFmtId="0" fontId="2" fillId="0" borderId="0" xfId="0" applyFont="1" applyAlignment="1">
      <alignment wrapText="1"/>
    </xf>
    <xf numFmtId="41" fontId="2" fillId="3" borderId="224" xfId="64" applyNumberFormat="1" applyFont="1" applyFill="1" applyBorder="1" applyAlignment="1"/>
    <xf numFmtId="42" fontId="2" fillId="3" borderId="224" xfId="64" applyNumberFormat="1" applyFont="1" applyFill="1" applyBorder="1" applyAlignment="1"/>
    <xf numFmtId="217" fontId="2" fillId="3" borderId="224" xfId="64" applyNumberFormat="1" applyFont="1" applyFill="1" applyBorder="1" applyAlignment="1"/>
    <xf numFmtId="217" fontId="2" fillId="3" borderId="219" xfId="64" applyNumberFormat="1" applyFont="1" applyFill="1" applyBorder="1" applyAlignment="1"/>
    <xf numFmtId="217" fontId="2" fillId="3" borderId="219" xfId="64" applyNumberFormat="1" applyFont="1" applyFill="1" applyBorder="1" applyAlignment="1">
      <alignment horizontal="center"/>
    </xf>
    <xf numFmtId="217" fontId="2" fillId="3" borderId="224" xfId="64" applyNumberFormat="1" applyFont="1" applyFill="1" applyBorder="1" applyAlignment="1">
      <alignment horizontal="center"/>
    </xf>
    <xf numFmtId="41" fontId="2" fillId="3" borderId="194" xfId="64" applyNumberFormat="1" applyFont="1" applyFill="1" applyBorder="1"/>
    <xf numFmtId="44" fontId="2" fillId="3" borderId="194" xfId="20531" applyFont="1" applyFill="1" applyBorder="1"/>
    <xf numFmtId="217" fontId="2" fillId="3" borderId="189" xfId="0" applyNumberFormat="1" applyFont="1" applyFill="1" applyBorder="1"/>
    <xf numFmtId="217" fontId="2" fillId="3" borderId="195" xfId="0" applyNumberFormat="1" applyFont="1" applyFill="1" applyBorder="1"/>
    <xf numFmtId="41" fontId="2" fillId="3" borderId="224" xfId="64" applyNumberFormat="1" applyFont="1" applyFill="1" applyBorder="1"/>
    <xf numFmtId="44" fontId="2" fillId="3" borderId="224" xfId="20531" applyFont="1" applyFill="1" applyBorder="1"/>
    <xf numFmtId="167" fontId="2" fillId="142" borderId="224" xfId="0" applyNumberFormat="1" applyFont="1" applyFill="1" applyBorder="1"/>
    <xf numFmtId="167" fontId="2" fillId="142" borderId="226" xfId="0" applyNumberFormat="1" applyFont="1" applyFill="1" applyBorder="1"/>
    <xf numFmtId="217" fontId="2" fillId="3" borderId="218" xfId="0" applyNumberFormat="1" applyFont="1" applyFill="1" applyBorder="1"/>
    <xf numFmtId="217" fontId="2" fillId="3" borderId="219" xfId="0" applyNumberFormat="1" applyFont="1" applyFill="1" applyBorder="1"/>
    <xf numFmtId="217" fontId="2" fillId="3" borderId="220" xfId="0" applyNumberFormat="1" applyFont="1" applyFill="1" applyBorder="1"/>
    <xf numFmtId="217" fontId="2" fillId="3" borderId="221" xfId="0" applyNumberFormat="1" applyFont="1" applyFill="1" applyBorder="1"/>
    <xf numFmtId="41" fontId="2" fillId="3" borderId="212" xfId="64" applyNumberFormat="1" applyFont="1" applyFill="1" applyBorder="1"/>
    <xf numFmtId="41" fontId="2" fillId="3" borderId="225" xfId="64" applyNumberFormat="1" applyFont="1" applyFill="1" applyBorder="1"/>
    <xf numFmtId="0" fontId="2" fillId="0" borderId="224" xfId="0" applyFont="1" applyBorder="1"/>
    <xf numFmtId="41" fontId="2" fillId="3" borderId="2" xfId="64" applyNumberFormat="1" applyFont="1" applyFill="1" applyBorder="1"/>
    <xf numFmtId="217" fontId="2" fillId="156" borderId="2" xfId="0" applyNumberFormat="1" applyFont="1" applyFill="1" applyBorder="1"/>
    <xf numFmtId="217" fontId="2" fillId="156" borderId="5" xfId="0" applyNumberFormat="1" applyFont="1" applyFill="1" applyBorder="1"/>
    <xf numFmtId="217" fontId="2" fillId="156" borderId="224" xfId="0" applyNumberFormat="1" applyFont="1" applyFill="1" applyBorder="1"/>
    <xf numFmtId="217" fontId="2" fillId="156" borderId="219" xfId="0" applyNumberFormat="1" applyFont="1" applyFill="1" applyBorder="1"/>
    <xf numFmtId="217" fontId="2" fillId="156" borderId="194" xfId="0" applyNumberFormat="1" applyFont="1" applyFill="1" applyBorder="1"/>
    <xf numFmtId="217" fontId="2" fillId="156" borderId="195" xfId="0" applyNumberFormat="1" applyFont="1" applyFill="1" applyBorder="1"/>
    <xf numFmtId="0" fontId="146" fillId="0" borderId="235" xfId="0" applyFont="1" applyBorder="1"/>
    <xf numFmtId="42" fontId="146" fillId="152" borderId="235" xfId="20531" applyNumberFormat="1" applyFont="1" applyFill="1" applyBorder="1"/>
    <xf numFmtId="9" fontId="39" fillId="151" borderId="235" xfId="58" applyFont="1" applyFill="1" applyBorder="1"/>
    <xf numFmtId="42" fontId="146" fillId="155" borderId="235" xfId="0" applyNumberFormat="1" applyFont="1" applyFill="1" applyBorder="1"/>
    <xf numFmtId="42" fontId="146" fillId="154" borderId="231" xfId="0" applyNumberFormat="1" applyFont="1" applyFill="1" applyBorder="1"/>
    <xf numFmtId="0" fontId="2" fillId="0" borderId="0" xfId="20563" applyFont="1"/>
    <xf numFmtId="0" fontId="197" fillId="145" borderId="235" xfId="5259" applyFont="1" applyFill="1" applyBorder="1" applyAlignment="1">
      <alignment horizontal="left" vertical="center" wrapText="1"/>
    </xf>
    <xf numFmtId="0" fontId="180" fillId="143" borderId="235" xfId="0" applyFont="1" applyFill="1" applyBorder="1" applyAlignment="1">
      <alignment vertical="center"/>
    </xf>
    <xf numFmtId="0" fontId="197" fillId="145" borderId="235" xfId="5259" applyFont="1" applyFill="1" applyBorder="1" applyAlignment="1">
      <alignment horizontal="center" vertical="center"/>
    </xf>
    <xf numFmtId="164" fontId="180" fillId="3" borderId="236" xfId="20531" applyNumberFormat="1" applyFont="1" applyFill="1" applyBorder="1" applyAlignment="1">
      <alignment vertical="center"/>
    </xf>
    <xf numFmtId="42" fontId="180" fillId="143" borderId="235" xfId="20531" applyNumberFormat="1" applyFont="1" applyFill="1" applyBorder="1" applyAlignment="1">
      <alignment vertical="center"/>
    </xf>
    <xf numFmtId="42" fontId="180" fillId="143" borderId="235" xfId="64" applyNumberFormat="1" applyFont="1" applyFill="1" applyBorder="1" applyAlignment="1">
      <alignment vertical="center"/>
    </xf>
    <xf numFmtId="43" fontId="180" fillId="143" borderId="235" xfId="64" applyFont="1" applyFill="1" applyBorder="1" applyAlignment="1">
      <alignment vertical="center"/>
    </xf>
    <xf numFmtId="41" fontId="180" fillId="143" borderId="235" xfId="64" applyNumberFormat="1" applyFont="1" applyFill="1" applyBorder="1" applyAlignment="1">
      <alignment vertical="center"/>
    </xf>
    <xf numFmtId="0" fontId="2" fillId="163" borderId="161" xfId="0" applyFont="1" applyFill="1" applyBorder="1"/>
    <xf numFmtId="0" fontId="2" fillId="163" borderId="162" xfId="0" applyFont="1" applyFill="1" applyBorder="1"/>
    <xf numFmtId="41" fontId="2" fillId="163" borderId="162" xfId="64" quotePrefix="1" applyNumberFormat="1" applyFont="1" applyFill="1" applyBorder="1"/>
    <xf numFmtId="42" fontId="2" fillId="163" borderId="162" xfId="20531" applyNumberFormat="1" applyFont="1" applyFill="1" applyBorder="1"/>
    <xf numFmtId="9" fontId="2" fillId="145" borderId="224" xfId="58" applyFont="1" applyFill="1" applyBorder="1"/>
    <xf numFmtId="42" fontId="2" fillId="156" borderId="224" xfId="64" applyNumberFormat="1" applyFont="1" applyFill="1" applyBorder="1"/>
    <xf numFmtId="41" fontId="2" fillId="156" borderId="224" xfId="64" applyNumberFormat="1" applyFont="1" applyFill="1" applyBorder="1"/>
    <xf numFmtId="43" fontId="2" fillId="156" borderId="226" xfId="64" applyFont="1" applyFill="1" applyBorder="1"/>
    <xf numFmtId="167" fontId="2" fillId="156" borderId="2" xfId="64" applyNumberFormat="1" applyFont="1" applyFill="1" applyBorder="1"/>
    <xf numFmtId="0" fontId="2" fillId="0" borderId="161" xfId="0" applyFont="1" applyBorder="1"/>
    <xf numFmtId="0" fontId="2" fillId="0" borderId="162" xfId="0" applyFont="1" applyBorder="1"/>
    <xf numFmtId="41" fontId="2" fillId="0" borderId="162" xfId="64" quotePrefix="1" applyNumberFormat="1" applyFont="1" applyFill="1" applyBorder="1"/>
    <xf numFmtId="42" fontId="2" fillId="0" borderId="162" xfId="20531" applyNumberFormat="1" applyFont="1" applyFill="1" applyBorder="1"/>
    <xf numFmtId="9" fontId="2" fillId="0" borderId="224" xfId="58" applyFont="1" applyFill="1" applyBorder="1"/>
    <xf numFmtId="42" fontId="2" fillId="0" borderId="224" xfId="64" applyNumberFormat="1" applyFont="1" applyFill="1" applyBorder="1"/>
    <xf numFmtId="41" fontId="2" fillId="0" borderId="224" xfId="64" applyNumberFormat="1" applyFont="1" applyFill="1" applyBorder="1"/>
    <xf numFmtId="43" fontId="2" fillId="0" borderId="226" xfId="64" applyFont="1" applyFill="1" applyBorder="1"/>
    <xf numFmtId="167" fontId="2" fillId="0" borderId="224" xfId="64" applyNumberFormat="1" applyFont="1" applyFill="1" applyBorder="1"/>
    <xf numFmtId="167" fontId="2" fillId="156" borderId="224" xfId="64" applyNumberFormat="1" applyFont="1" applyFill="1" applyBorder="1"/>
    <xf numFmtId="0" fontId="2" fillId="0" borderId="209" xfId="0" applyFont="1" applyBorder="1"/>
    <xf numFmtId="0" fontId="2" fillId="0" borderId="210" xfId="0" applyFont="1" applyBorder="1"/>
    <xf numFmtId="42" fontId="2" fillId="0" borderId="210" xfId="20531" applyNumberFormat="1" applyFont="1" applyFill="1" applyBorder="1"/>
    <xf numFmtId="167" fontId="2" fillId="0" borderId="0" xfId="64" applyNumberFormat="1" applyFont="1"/>
    <xf numFmtId="0" fontId="180" fillId="2" borderId="235" xfId="0" quotePrefix="1" applyFont="1" applyFill="1" applyBorder="1" applyAlignment="1">
      <alignment horizontal="center" vertical="center" wrapText="1"/>
    </xf>
    <xf numFmtId="0" fontId="2" fillId="0" borderId="0" xfId="20563" applyFont="1" applyAlignment="1">
      <alignment horizontal="right"/>
    </xf>
    <xf numFmtId="0" fontId="2" fillId="0" borderId="218" xfId="0" applyFont="1" applyBorder="1" applyAlignment="1">
      <alignment horizontal="center" vertical="center"/>
    </xf>
    <xf numFmtId="0" fontId="2" fillId="0" borderId="224" xfId="0" applyFont="1" applyBorder="1" applyAlignment="1">
      <alignment horizontal="center" vertical="center"/>
    </xf>
    <xf numFmtId="0" fontId="2" fillId="0" borderId="224" xfId="0" applyFont="1" applyBorder="1" applyAlignment="1" applyProtection="1">
      <alignment vertical="center"/>
      <protection locked="0"/>
    </xf>
    <xf numFmtId="0" fontId="2" fillId="150" borderId="214" xfId="20532" applyFont="1" applyFill="1" applyBorder="1" applyAlignment="1">
      <alignment horizontal="left" wrapText="1"/>
    </xf>
    <xf numFmtId="0" fontId="2" fillId="0" borderId="224" xfId="0" applyFont="1" applyBorder="1" applyAlignment="1">
      <alignment vertical="center"/>
    </xf>
    <xf numFmtId="0" fontId="2" fillId="0" borderId="137" xfId="0" applyFont="1" applyBorder="1" applyAlignment="1">
      <alignment horizontal="center" vertical="center"/>
    </xf>
    <xf numFmtId="0" fontId="2" fillId="0" borderId="138" xfId="0" applyFont="1" applyBorder="1" applyAlignment="1">
      <alignment horizontal="center" vertical="center"/>
    </xf>
    <xf numFmtId="0" fontId="2" fillId="0" borderId="145" xfId="0" applyFont="1" applyBorder="1" applyAlignment="1">
      <alignment horizontal="center" vertical="center"/>
    </xf>
    <xf numFmtId="0" fontId="2" fillId="0" borderId="147" xfId="0" applyFont="1" applyBorder="1" applyAlignment="1">
      <alignment horizontal="center" vertical="center"/>
    </xf>
    <xf numFmtId="0" fontId="2" fillId="0" borderId="147" xfId="0" applyFont="1" applyBorder="1" applyAlignment="1" applyProtection="1">
      <alignment vertical="center"/>
      <protection locked="0"/>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pplyProtection="1">
      <alignment vertical="center"/>
      <protection locked="0"/>
    </xf>
    <xf numFmtId="0" fontId="2" fillId="0" borderId="220" xfId="0" applyFont="1" applyBorder="1" applyAlignment="1">
      <alignment horizontal="center" vertical="center"/>
    </xf>
    <xf numFmtId="0" fontId="2" fillId="0" borderId="225" xfId="0" applyFont="1" applyBorder="1" applyAlignment="1">
      <alignment horizontal="center" vertical="center"/>
    </xf>
    <xf numFmtId="0" fontId="2" fillId="150" borderId="215" xfId="20532" applyFont="1" applyFill="1" applyBorder="1" applyAlignment="1">
      <alignment horizontal="left" wrapText="1"/>
    </xf>
    <xf numFmtId="0" fontId="2" fillId="0" borderId="232" xfId="20563" applyFont="1" applyBorder="1" applyAlignment="1">
      <alignment horizontal="right"/>
    </xf>
    <xf numFmtId="0" fontId="2" fillId="0" borderId="232" xfId="20563" applyFont="1" applyBorder="1"/>
    <xf numFmtId="0" fontId="2" fillId="0" borderId="228" xfId="20563" applyFont="1" applyBorder="1" applyAlignment="1">
      <alignment horizontal="right"/>
    </xf>
    <xf numFmtId="0" fontId="2" fillId="0" borderId="226" xfId="0" applyFont="1" applyBorder="1" applyAlignment="1">
      <alignment vertical="center"/>
    </xf>
    <xf numFmtId="0" fontId="2" fillId="0" borderId="2" xfId="0" applyFont="1" applyBorder="1"/>
    <xf numFmtId="0" fontId="2" fillId="0" borderId="3" xfId="20563" applyFont="1" applyBorder="1" applyAlignment="1">
      <alignment horizontal="right"/>
    </xf>
    <xf numFmtId="0" fontId="2" fillId="0" borderId="3" xfId="20563" applyFont="1" applyBorder="1"/>
    <xf numFmtId="0" fontId="2" fillId="0" borderId="52" xfId="20563" applyFont="1" applyBorder="1" applyAlignment="1">
      <alignment horizontal="right"/>
    </xf>
    <xf numFmtId="0" fontId="2" fillId="0" borderId="224" xfId="0" applyFont="1" applyBorder="1" applyAlignment="1">
      <alignment vertical="top"/>
    </xf>
    <xf numFmtId="0" fontId="2" fillId="0" borderId="0" xfId="20586" applyFont="1"/>
    <xf numFmtId="0" fontId="2" fillId="3" borderId="188" xfId="20586" applyFont="1" applyFill="1" applyBorder="1"/>
    <xf numFmtId="0" fontId="2" fillId="3" borderId="156" xfId="20586" applyFont="1" applyFill="1" applyBorder="1"/>
    <xf numFmtId="0" fontId="183" fillId="146" borderId="235" xfId="20558" applyFont="1" applyFill="1" applyBorder="1" applyAlignment="1" applyProtection="1">
      <alignment horizontal="center" vertical="center" wrapText="1"/>
      <protection locked="0"/>
    </xf>
    <xf numFmtId="0" fontId="183" fillId="146" borderId="235" xfId="20558" applyFont="1" applyFill="1" applyBorder="1" applyAlignment="1" applyProtection="1">
      <alignment horizontal="center" wrapText="1"/>
      <protection locked="0"/>
    </xf>
    <xf numFmtId="165" fontId="183" fillId="146" borderId="235" xfId="17592" applyNumberFormat="1" applyFont="1" applyFill="1" applyBorder="1" applyAlignment="1" applyProtection="1">
      <alignment horizontal="center" vertical="center" wrapText="1"/>
      <protection locked="0"/>
    </xf>
    <xf numFmtId="0" fontId="183" fillId="146" borderId="235" xfId="20557" applyFont="1" applyFill="1" applyBorder="1" applyAlignment="1">
      <alignment horizontal="center" vertical="center" wrapText="1"/>
    </xf>
    <xf numFmtId="42" fontId="35" fillId="3" borderId="235" xfId="20559" applyNumberFormat="1" applyFont="1" applyFill="1" applyBorder="1" applyAlignment="1">
      <alignment horizontal="left" vertical="center"/>
    </xf>
    <xf numFmtId="44" fontId="35" fillId="147" borderId="235" xfId="17842" applyNumberFormat="1" applyFont="1" applyFill="1" applyBorder="1" applyAlignment="1">
      <alignment horizontal="center" vertical="center"/>
    </xf>
    <xf numFmtId="42" fontId="35" fillId="147" borderId="235" xfId="20559" applyNumberFormat="1" applyFont="1" applyFill="1" applyBorder="1" applyAlignment="1">
      <alignment horizontal="center" vertical="center"/>
    </xf>
    <xf numFmtId="42" fontId="2" fillId="0" borderId="0" xfId="20586" applyNumberFormat="1" applyFont="1"/>
    <xf numFmtId="0" fontId="2" fillId="2" borderId="218" xfId="20532" applyFont="1" applyFill="1" applyBorder="1"/>
    <xf numFmtId="0" fontId="2" fillId="2" borderId="224" xfId="20532" applyFont="1" applyFill="1" applyBorder="1"/>
    <xf numFmtId="0" fontId="2" fillId="2" borderId="145" xfId="20532" applyFont="1" applyFill="1" applyBorder="1"/>
    <xf numFmtId="0" fontId="2" fillId="2" borderId="147" xfId="20532" applyFont="1" applyFill="1" applyBorder="1"/>
    <xf numFmtId="0" fontId="2" fillId="0" borderId="147" xfId="20532" applyFont="1" applyBorder="1"/>
    <xf numFmtId="0" fontId="2" fillId="0" borderId="224" xfId="20532" applyFont="1" applyBorder="1"/>
    <xf numFmtId="0" fontId="2" fillId="0" borderId="145" xfId="20532" applyFont="1" applyBorder="1"/>
    <xf numFmtId="0" fontId="2" fillId="0" borderId="147" xfId="20548" applyFont="1" applyBorder="1"/>
    <xf numFmtId="0" fontId="2" fillId="0" borderId="218" xfId="20532" applyFont="1" applyBorder="1"/>
    <xf numFmtId="0" fontId="2" fillId="0" borderId="224" xfId="20548" applyFont="1" applyBorder="1"/>
    <xf numFmtId="0" fontId="2" fillId="0" borderId="154" xfId="20548" applyFont="1" applyBorder="1"/>
    <xf numFmtId="0" fontId="2" fillId="0" borderId="157" xfId="20548" applyFont="1" applyBorder="1"/>
    <xf numFmtId="0" fontId="2" fillId="0" borderId="157" xfId="20532" applyFont="1" applyBorder="1"/>
    <xf numFmtId="0" fontId="2" fillId="0" borderId="0" xfId="20548" applyFont="1"/>
    <xf numFmtId="167" fontId="2" fillId="0" borderId="2" xfId="64" applyNumberFormat="1" applyFont="1" applyFill="1" applyBorder="1"/>
    <xf numFmtId="43" fontId="2" fillId="0" borderId="2" xfId="64" applyFont="1" applyFill="1" applyBorder="1"/>
    <xf numFmtId="9" fontId="2" fillId="0" borderId="2" xfId="58" applyFont="1" applyFill="1" applyBorder="1"/>
    <xf numFmtId="43" fontId="2" fillId="0" borderId="224" xfId="64" applyFont="1" applyFill="1" applyBorder="1"/>
    <xf numFmtId="0" fontId="2" fillId="0" borderId="0" xfId="0" applyFont="1" applyAlignment="1">
      <alignment horizontal="center" vertical="center"/>
    </xf>
    <xf numFmtId="0" fontId="2" fillId="0" borderId="224" xfId="0" applyFont="1" applyBorder="1" applyAlignment="1">
      <alignment horizontal="center" vertical="center" wrapText="1"/>
    </xf>
    <xf numFmtId="164" fontId="2" fillId="0" borderId="224" xfId="20531" applyNumberFormat="1" applyFont="1" applyFill="1" applyBorder="1" applyAlignment="1">
      <alignment horizontal="center" vertical="center"/>
    </xf>
    <xf numFmtId="0" fontId="2" fillId="0" borderId="224" xfId="0" applyFont="1" applyBorder="1" applyAlignment="1">
      <alignment horizontal="left" vertical="center" wrapText="1"/>
    </xf>
    <xf numFmtId="43" fontId="2" fillId="0" borderId="224" xfId="64" applyFont="1" applyFill="1" applyBorder="1" applyAlignment="1">
      <alignment horizontal="center" vertical="center" wrapText="1"/>
    </xf>
    <xf numFmtId="164" fontId="2" fillId="0" borderId="224" xfId="20531" quotePrefix="1" applyNumberFormat="1" applyFont="1" applyFill="1" applyBorder="1" applyAlignment="1">
      <alignment horizontal="center" vertical="center"/>
    </xf>
    <xf numFmtId="0" fontId="2" fillId="0" borderId="224" xfId="0" applyFont="1" applyBorder="1" applyAlignment="1">
      <alignment horizontal="center" vertical="top" wrapText="1"/>
    </xf>
    <xf numFmtId="0" fontId="2" fillId="156" borderId="224" xfId="0" applyFont="1" applyFill="1" applyBorder="1" applyAlignment="1">
      <alignment vertical="top"/>
    </xf>
    <xf numFmtId="0" fontId="2" fillId="156" borderId="224" xfId="0" applyFont="1" applyFill="1" applyBorder="1"/>
    <xf numFmtId="0" fontId="53" fillId="0" borderId="187" xfId="20584" applyFont="1" applyBorder="1" applyAlignment="1">
      <alignment horizontal="center" vertical="center" wrapText="1"/>
    </xf>
    <xf numFmtId="0" fontId="53" fillId="0" borderId="188" xfId="20584" applyFont="1" applyBorder="1" applyAlignment="1">
      <alignment horizontal="center" vertical="center" wrapText="1"/>
    </xf>
    <xf numFmtId="0" fontId="2" fillId="0" borderId="216" xfId="20584" applyFont="1" applyBorder="1" applyAlignment="1">
      <alignment horizontal="left" vertical="center" wrapText="1"/>
    </xf>
    <xf numFmtId="0" fontId="2" fillId="0" borderId="217" xfId="20584" applyFont="1" applyBorder="1" applyAlignment="1">
      <alignment horizontal="left" vertical="center" wrapText="1"/>
    </xf>
    <xf numFmtId="0" fontId="181" fillId="150" borderId="189" xfId="20557" applyFont="1" applyFill="1" applyBorder="1" applyAlignment="1">
      <alignment horizontal="center" vertical="center" wrapText="1"/>
    </xf>
    <xf numFmtId="0" fontId="181" fillId="150" borderId="218" xfId="20557" applyFont="1" applyFill="1" applyBorder="1" applyAlignment="1">
      <alignment horizontal="center" vertical="center" wrapText="1"/>
    </xf>
    <xf numFmtId="0" fontId="180" fillId="150" borderId="190" xfId="20532" applyFont="1" applyFill="1" applyBorder="1" applyAlignment="1">
      <alignment horizontal="left" wrapText="1"/>
    </xf>
    <xf numFmtId="0" fontId="180" fillId="150" borderId="191" xfId="20532" applyFont="1" applyFill="1" applyBorder="1" applyAlignment="1">
      <alignment horizontal="left" wrapText="1"/>
    </xf>
    <xf numFmtId="0" fontId="180" fillId="150" borderId="192" xfId="20532" applyFont="1" applyFill="1" applyBorder="1" applyAlignment="1">
      <alignment horizontal="left" wrapText="1"/>
    </xf>
    <xf numFmtId="0" fontId="180" fillId="150" borderId="47" xfId="20532" applyFont="1" applyFill="1" applyBorder="1" applyAlignment="1">
      <alignment horizontal="left" wrapText="1"/>
    </xf>
    <xf numFmtId="0" fontId="180" fillId="150" borderId="3" xfId="20532" applyFont="1" applyFill="1" applyBorder="1" applyAlignment="1">
      <alignment horizontal="left" wrapText="1"/>
    </xf>
    <xf numFmtId="0" fontId="180" fillId="150" borderId="112" xfId="20532" applyFont="1" applyFill="1" applyBorder="1" applyAlignment="1">
      <alignment horizontal="left" wrapText="1"/>
    </xf>
    <xf numFmtId="0" fontId="146" fillId="141" borderId="90" xfId="20532" applyFont="1" applyFill="1" applyBorder="1" applyAlignment="1">
      <alignment vertical="center" wrapText="1"/>
    </xf>
    <xf numFmtId="0" fontId="146" fillId="141" borderId="91" xfId="20532" applyFont="1" applyFill="1" applyBorder="1" applyAlignment="1">
      <alignment vertical="center" wrapText="1"/>
    </xf>
    <xf numFmtId="0" fontId="146" fillId="141" borderId="152" xfId="20532" applyFont="1" applyFill="1" applyBorder="1" applyAlignment="1">
      <alignment vertical="center" wrapText="1"/>
    </xf>
    <xf numFmtId="0" fontId="146" fillId="141" borderId="186" xfId="20532" applyFont="1" applyFill="1" applyBorder="1" applyAlignment="1">
      <alignment vertical="center" wrapText="1"/>
    </xf>
    <xf numFmtId="0" fontId="146" fillId="141" borderId="7" xfId="20532" applyFont="1" applyFill="1" applyBorder="1" applyAlignment="1">
      <alignment vertical="center" wrapText="1"/>
    </xf>
    <xf numFmtId="0" fontId="180" fillId="150" borderId="222" xfId="20532" applyFont="1" applyFill="1" applyBorder="1" applyAlignment="1">
      <alignment horizontal="left" wrapText="1"/>
    </xf>
    <xf numFmtId="0" fontId="180" fillId="150" borderId="223" xfId="20532" applyFont="1" applyFill="1" applyBorder="1" applyAlignment="1">
      <alignment horizontal="left" wrapText="1"/>
    </xf>
    <xf numFmtId="0" fontId="180" fillId="150" borderId="217" xfId="20532" applyFont="1" applyFill="1" applyBorder="1" applyAlignment="1">
      <alignment horizontal="left" wrapText="1"/>
    </xf>
    <xf numFmtId="0" fontId="146" fillId="141" borderId="186" xfId="20532" applyFont="1" applyFill="1" applyBorder="1" applyAlignment="1">
      <alignment horizontal="center" vertical="center"/>
    </xf>
    <xf numFmtId="0" fontId="146" fillId="141" borderId="152" xfId="20532" applyFont="1" applyFill="1" applyBorder="1" applyAlignment="1">
      <alignment horizontal="center" vertical="center"/>
    </xf>
    <xf numFmtId="0" fontId="146" fillId="141" borderId="90" xfId="20532" applyFont="1" applyFill="1" applyBorder="1" applyAlignment="1">
      <alignment vertical="center"/>
    </xf>
    <xf numFmtId="0" fontId="146" fillId="141" borderId="7" xfId="20532" applyFont="1" applyFill="1" applyBorder="1" applyAlignment="1">
      <alignment vertical="center"/>
    </xf>
    <xf numFmtId="0" fontId="183" fillId="150" borderId="189" xfId="20557" applyFont="1" applyFill="1" applyBorder="1" applyAlignment="1">
      <alignment horizontal="center" vertical="center" wrapText="1"/>
    </xf>
    <xf numFmtId="0" fontId="183" fillId="150" borderId="218" xfId="20557" applyFont="1" applyFill="1" applyBorder="1" applyAlignment="1">
      <alignment horizontal="center" vertical="center" wrapText="1"/>
    </xf>
    <xf numFmtId="0" fontId="2" fillId="150" borderId="194" xfId="20532" applyFont="1" applyFill="1" applyBorder="1" applyAlignment="1">
      <alignment horizontal="left" wrapText="1"/>
    </xf>
    <xf numFmtId="0" fontId="2" fillId="150" borderId="195" xfId="20532" applyFont="1" applyFill="1" applyBorder="1" applyAlignment="1">
      <alignment horizontal="left" wrapText="1"/>
    </xf>
    <xf numFmtId="0" fontId="2" fillId="150" borderId="224" xfId="20532" applyFont="1" applyFill="1" applyBorder="1" applyAlignment="1">
      <alignment horizontal="left" wrapText="1"/>
    </xf>
    <xf numFmtId="0" fontId="2" fillId="150" borderId="219" xfId="20532" applyFont="1" applyFill="1" applyBorder="1" applyAlignment="1">
      <alignment horizontal="left" wrapText="1"/>
    </xf>
    <xf numFmtId="0" fontId="2" fillId="150" borderId="225" xfId="20532" applyFont="1" applyFill="1" applyBorder="1" applyAlignment="1">
      <alignment horizontal="left" wrapText="1"/>
    </xf>
    <xf numFmtId="0" fontId="2" fillId="150" borderId="221" xfId="20532" applyFont="1" applyFill="1" applyBorder="1" applyAlignment="1">
      <alignment horizontal="left" wrapText="1"/>
    </xf>
    <xf numFmtId="0" fontId="53" fillId="146" borderId="194" xfId="0" applyFont="1" applyFill="1" applyBorder="1" applyAlignment="1">
      <alignment horizontal="center"/>
    </xf>
    <xf numFmtId="0" fontId="53" fillId="146" borderId="195" xfId="0" applyFont="1" applyFill="1" applyBorder="1" applyAlignment="1">
      <alignment horizontal="center"/>
    </xf>
    <xf numFmtId="0" fontId="53" fillId="146" borderId="189" xfId="0" applyFont="1" applyFill="1" applyBorder="1" applyAlignment="1">
      <alignment horizontal="center"/>
    </xf>
    <xf numFmtId="0" fontId="2" fillId="150" borderId="196" xfId="27890" applyFont="1" applyFill="1" applyBorder="1" applyAlignment="1">
      <alignment horizontal="left" vertical="center" wrapText="1"/>
    </xf>
    <xf numFmtId="0" fontId="2" fillId="150" borderId="197" xfId="27890" applyFont="1" applyFill="1" applyBorder="1" applyAlignment="1">
      <alignment horizontal="left" vertical="center" wrapText="1"/>
    </xf>
    <xf numFmtId="0" fontId="2" fillId="150" borderId="188" xfId="27890" applyFont="1" applyFill="1" applyBorder="1" applyAlignment="1">
      <alignment horizontal="left" vertical="center" wrapText="1"/>
    </xf>
    <xf numFmtId="0" fontId="2" fillId="150" borderId="222" xfId="27890" applyFont="1" applyFill="1" applyBorder="1" applyAlignment="1">
      <alignment horizontal="left" vertical="center" wrapText="1"/>
    </xf>
    <xf numFmtId="0" fontId="2" fillId="150" borderId="223" xfId="27890" applyFont="1" applyFill="1" applyBorder="1" applyAlignment="1">
      <alignment horizontal="left" vertical="center" wrapText="1"/>
    </xf>
    <xf numFmtId="0" fontId="2" fillId="150" borderId="217" xfId="27890" applyFont="1" applyFill="1" applyBorder="1" applyAlignment="1">
      <alignment horizontal="left" vertical="center" wrapText="1"/>
    </xf>
    <xf numFmtId="0" fontId="35" fillId="0" borderId="0" xfId="0" applyFont="1" applyAlignment="1">
      <alignment horizontal="left" vertical="top" wrapText="1"/>
    </xf>
    <xf numFmtId="0" fontId="2" fillId="0" borderId="0" xfId="2" applyFont="1" applyAlignment="1" applyProtection="1">
      <alignment horizontal="left" vertical="top" wrapText="1"/>
      <protection locked="0"/>
    </xf>
    <xf numFmtId="0" fontId="35" fillId="0" borderId="0" xfId="2" applyFont="1" applyAlignment="1" applyProtection="1">
      <alignment horizontal="left" wrapText="1"/>
      <protection locked="0"/>
    </xf>
    <xf numFmtId="0" fontId="2" fillId="150" borderId="225" xfId="20532" applyFont="1" applyFill="1" applyBorder="1" applyAlignment="1">
      <alignment vertical="center" wrapText="1"/>
    </xf>
    <xf numFmtId="0" fontId="2" fillId="150" borderId="221" xfId="20532" applyFont="1" applyFill="1" applyBorder="1" applyAlignment="1">
      <alignment vertical="center" wrapText="1"/>
    </xf>
    <xf numFmtId="0" fontId="146" fillId="150" borderId="194" xfId="20532" applyFont="1" applyFill="1" applyBorder="1" applyAlignment="1">
      <alignment vertical="center" wrapText="1"/>
    </xf>
    <xf numFmtId="0" fontId="2" fillId="150" borderId="194" xfId="20532" applyFont="1" applyFill="1" applyBorder="1" applyAlignment="1">
      <alignment vertical="center" wrapText="1"/>
    </xf>
    <xf numFmtId="0" fontId="2" fillId="150" borderId="195" xfId="20532" applyFont="1" applyFill="1" applyBorder="1" applyAlignment="1">
      <alignment vertical="center" wrapText="1"/>
    </xf>
    <xf numFmtId="0" fontId="219" fillId="0" borderId="6" xfId="0" applyFont="1" applyBorder="1" applyAlignment="1">
      <alignment horizontal="left" wrapText="1"/>
    </xf>
    <xf numFmtId="0" fontId="35" fillId="0" borderId="0" xfId="2" applyFont="1" applyAlignment="1" applyProtection="1">
      <alignment horizontal="left" vertical="top" wrapText="1"/>
      <protection locked="0"/>
    </xf>
    <xf numFmtId="0" fontId="35" fillId="0" borderId="0" xfId="0" applyFont="1" applyAlignment="1">
      <alignment horizontal="left" wrapText="1"/>
    </xf>
    <xf numFmtId="0" fontId="35" fillId="0" borderId="0" xfId="0" applyFont="1" applyAlignment="1">
      <alignment wrapText="1"/>
    </xf>
    <xf numFmtId="0" fontId="220" fillId="0" borderId="0" xfId="0" applyFont="1" applyAlignment="1">
      <alignment wrapText="1"/>
    </xf>
    <xf numFmtId="0" fontId="220" fillId="0" borderId="0" xfId="0" applyFont="1"/>
    <xf numFmtId="0" fontId="35" fillId="0" borderId="0" xfId="0" applyFont="1"/>
    <xf numFmtId="0" fontId="2" fillId="0" borderId="0" xfId="0" applyFont="1"/>
    <xf numFmtId="0" fontId="0" fillId="0" borderId="191" xfId="0" applyBorder="1"/>
    <xf numFmtId="0" fontId="0" fillId="0" borderId="0" xfId="0"/>
    <xf numFmtId="0" fontId="53" fillId="0" borderId="0" xfId="20575" applyFont="1" applyAlignment="1">
      <alignment horizontal="center"/>
    </xf>
    <xf numFmtId="0" fontId="53" fillId="146" borderId="189" xfId="20575" applyFont="1" applyFill="1" applyBorder="1" applyAlignment="1">
      <alignment horizontal="center" vertical="center"/>
    </xf>
    <xf numFmtId="0" fontId="53" fillId="146" borderId="220" xfId="20575" applyFont="1" applyFill="1" applyBorder="1" applyAlignment="1">
      <alignment horizontal="center" vertical="center"/>
    </xf>
    <xf numFmtId="0" fontId="53" fillId="146" borderId="194" xfId="20575" applyFont="1" applyFill="1" applyBorder="1" applyAlignment="1">
      <alignment horizontal="center" vertical="center" wrapText="1"/>
    </xf>
    <xf numFmtId="0" fontId="2" fillId="3" borderId="194" xfId="20532" applyFont="1" applyFill="1" applyBorder="1" applyAlignment="1">
      <alignment vertical="center" wrapText="1"/>
    </xf>
    <xf numFmtId="0" fontId="2" fillId="3" borderId="195" xfId="20532" applyFont="1" applyFill="1" applyBorder="1" applyAlignment="1">
      <alignment vertical="center" wrapText="1"/>
    </xf>
    <xf numFmtId="0" fontId="2" fillId="3" borderId="157" xfId="20532" applyFont="1" applyFill="1" applyBorder="1" applyAlignment="1">
      <alignment vertical="center" wrapText="1"/>
    </xf>
    <xf numFmtId="0" fontId="2" fillId="3" borderId="155" xfId="20532" applyFont="1" applyFill="1" applyBorder="1" applyAlignment="1">
      <alignment vertical="center" wrapText="1"/>
    </xf>
    <xf numFmtId="0" fontId="180" fillId="150" borderId="196" xfId="20532" applyFont="1" applyFill="1" applyBorder="1" applyAlignment="1">
      <alignment horizontal="left" vertical="center" wrapText="1"/>
    </xf>
    <xf numFmtId="0" fontId="180" fillId="150" borderId="197" xfId="20532" applyFont="1" applyFill="1" applyBorder="1" applyAlignment="1">
      <alignment horizontal="left" vertical="center" wrapText="1"/>
    </xf>
    <xf numFmtId="0" fontId="180" fillId="150" borderId="188" xfId="20532" applyFont="1" applyFill="1" applyBorder="1" applyAlignment="1">
      <alignment horizontal="left" vertical="center" wrapText="1"/>
    </xf>
    <xf numFmtId="0" fontId="180" fillId="150" borderId="222" xfId="20532" applyFont="1" applyFill="1" applyBorder="1" applyAlignment="1">
      <alignment horizontal="left" vertical="center" wrapText="1"/>
    </xf>
    <xf numFmtId="0" fontId="180" fillId="150" borderId="223" xfId="20532" applyFont="1" applyFill="1" applyBorder="1" applyAlignment="1">
      <alignment horizontal="left" vertical="center" wrapText="1"/>
    </xf>
    <xf numFmtId="0" fontId="180" fillId="150" borderId="217" xfId="20532" applyFont="1" applyFill="1" applyBorder="1" applyAlignment="1">
      <alignment horizontal="left" vertical="center" wrapText="1"/>
    </xf>
    <xf numFmtId="0" fontId="186" fillId="150" borderId="194" xfId="5259" applyFont="1" applyFill="1" applyBorder="1" applyAlignment="1">
      <alignment horizontal="left"/>
    </xf>
    <xf numFmtId="0" fontId="186" fillId="150" borderId="195" xfId="5259" applyFont="1" applyFill="1" applyBorder="1" applyAlignment="1">
      <alignment horizontal="left"/>
    </xf>
    <xf numFmtId="0" fontId="186" fillId="150" borderId="225" xfId="5259" applyFont="1" applyFill="1" applyBorder="1" applyAlignment="1">
      <alignment horizontal="left"/>
    </xf>
    <xf numFmtId="0" fontId="186" fillId="150" borderId="221" xfId="5259" applyFont="1" applyFill="1" applyBorder="1" applyAlignment="1">
      <alignment horizontal="left"/>
    </xf>
    <xf numFmtId="0" fontId="180" fillId="150" borderId="194" xfId="20532" applyFont="1" applyFill="1" applyBorder="1" applyAlignment="1">
      <alignment vertical="center" wrapText="1"/>
    </xf>
    <xf numFmtId="0" fontId="180" fillId="150" borderId="195" xfId="20532" applyFont="1" applyFill="1" applyBorder="1" applyAlignment="1">
      <alignment vertical="center" wrapText="1"/>
    </xf>
    <xf numFmtId="0" fontId="180" fillId="150" borderId="225" xfId="20532" applyFont="1" applyFill="1" applyBorder="1" applyAlignment="1">
      <alignment vertical="center" wrapText="1"/>
    </xf>
    <xf numFmtId="0" fontId="180" fillId="150" borderId="221" xfId="20532" applyFont="1" applyFill="1" applyBorder="1" applyAlignment="1">
      <alignment vertical="center" wrapText="1"/>
    </xf>
    <xf numFmtId="0" fontId="186" fillId="150" borderId="194" xfId="20532" applyFont="1" applyFill="1" applyBorder="1" applyAlignment="1">
      <alignment vertical="center" wrapText="1"/>
    </xf>
    <xf numFmtId="0" fontId="186" fillId="150" borderId="195" xfId="20532" applyFont="1" applyFill="1" applyBorder="1" applyAlignment="1">
      <alignment vertical="center" wrapText="1"/>
    </xf>
    <xf numFmtId="0" fontId="182" fillId="160" borderId="95" xfId="5259" applyFont="1" applyFill="1" applyBorder="1" applyAlignment="1">
      <alignment horizontal="center"/>
    </xf>
    <xf numFmtId="0" fontId="182" fillId="160" borderId="72" xfId="5259" applyFont="1" applyFill="1" applyBorder="1" applyAlignment="1">
      <alignment horizontal="center"/>
    </xf>
    <xf numFmtId="0" fontId="182" fillId="160" borderId="96" xfId="5259" applyFont="1" applyFill="1" applyBorder="1" applyAlignment="1">
      <alignment horizontal="center"/>
    </xf>
    <xf numFmtId="0" fontId="2" fillId="0" borderId="0" xfId="0" applyFont="1" applyAlignment="1">
      <alignment horizontal="left" wrapText="1"/>
    </xf>
    <xf numFmtId="0" fontId="2" fillId="150" borderId="196" xfId="20532" applyFont="1" applyFill="1" applyBorder="1" applyAlignment="1">
      <alignment horizontal="left" vertical="center" wrapText="1"/>
    </xf>
    <xf numFmtId="0" fontId="2" fillId="150" borderId="197" xfId="20532" applyFont="1" applyFill="1" applyBorder="1" applyAlignment="1">
      <alignment horizontal="left" vertical="center" wrapText="1"/>
    </xf>
    <xf numFmtId="0" fontId="2" fillId="150" borderId="188" xfId="20532" applyFont="1" applyFill="1" applyBorder="1" applyAlignment="1">
      <alignment horizontal="left" vertical="center" wrapText="1"/>
    </xf>
    <xf numFmtId="43" fontId="182" fillId="146" borderId="235" xfId="64" applyFont="1" applyFill="1" applyBorder="1" applyAlignment="1" applyProtection="1">
      <alignment horizontal="center" vertical="center" wrapText="1"/>
      <protection locked="0"/>
    </xf>
    <xf numFmtId="43" fontId="182" fillId="146" borderId="2" xfId="64" applyFont="1" applyFill="1" applyBorder="1" applyAlignment="1" applyProtection="1">
      <alignment horizontal="center" vertical="center" wrapText="1"/>
      <protection locked="0"/>
    </xf>
    <xf numFmtId="0" fontId="193" fillId="0" borderId="226" xfId="0" applyFont="1" applyBorder="1" applyAlignment="1">
      <alignment horizontal="center"/>
    </xf>
    <xf numFmtId="0" fontId="193" fillId="0" borderId="232" xfId="0" applyFont="1" applyBorder="1" applyAlignment="1">
      <alignment horizontal="center"/>
    </xf>
    <xf numFmtId="0" fontId="193" fillId="0" borderId="228" xfId="0" applyFont="1" applyBorder="1" applyAlignment="1">
      <alignment horizontal="center"/>
    </xf>
    <xf numFmtId="0" fontId="193" fillId="0" borderId="235" xfId="0" applyFont="1" applyBorder="1" applyAlignment="1">
      <alignment horizontal="center"/>
    </xf>
    <xf numFmtId="0" fontId="193" fillId="0" borderId="224" xfId="0" applyFont="1" applyBorder="1" applyAlignment="1">
      <alignment horizontal="center"/>
    </xf>
    <xf numFmtId="0" fontId="2" fillId="150" borderId="222" xfId="20532" applyFont="1" applyFill="1" applyBorder="1" applyAlignment="1">
      <alignment horizontal="left" vertical="center" wrapText="1"/>
    </xf>
    <xf numFmtId="0" fontId="2" fillId="150" borderId="223" xfId="20532" applyFont="1" applyFill="1" applyBorder="1" applyAlignment="1">
      <alignment horizontal="left" vertical="center" wrapText="1"/>
    </xf>
    <xf numFmtId="0" fontId="2" fillId="150" borderId="217" xfId="20532" applyFont="1" applyFill="1" applyBorder="1" applyAlignment="1">
      <alignment horizontal="left" vertical="center" wrapText="1"/>
    </xf>
    <xf numFmtId="0" fontId="189" fillId="0" borderId="197" xfId="0" applyFont="1" applyBorder="1" applyAlignment="1">
      <alignment horizontal="left" vertical="top" wrapText="1"/>
    </xf>
    <xf numFmtId="0" fontId="222" fillId="146" borderId="95" xfId="0" applyFont="1" applyFill="1" applyBorder="1" applyAlignment="1">
      <alignment horizontal="center" vertical="center" wrapText="1"/>
    </xf>
    <xf numFmtId="0" fontId="182" fillId="146" borderId="72" xfId="0" applyFont="1" applyFill="1" applyBorder="1" applyAlignment="1">
      <alignment horizontal="center" vertical="center" wrapText="1"/>
    </xf>
    <xf numFmtId="0" fontId="182" fillId="146" borderId="96" xfId="0" applyFont="1" applyFill="1" applyBorder="1" applyAlignment="1">
      <alignment horizontal="center" vertical="center" wrapText="1"/>
    </xf>
    <xf numFmtId="0" fontId="225" fillId="2" borderId="0" xfId="0" applyFont="1" applyFill="1" applyAlignment="1">
      <alignment horizontal="left" vertical="center" wrapText="1"/>
    </xf>
    <xf numFmtId="0" fontId="186" fillId="2" borderId="0" xfId="0" applyFont="1" applyFill="1" applyAlignment="1">
      <alignment horizontal="left" vertical="center" wrapText="1"/>
    </xf>
    <xf numFmtId="0" fontId="226" fillId="142" borderId="95" xfId="0" applyFont="1" applyFill="1" applyBorder="1" applyAlignment="1">
      <alignment horizontal="center"/>
    </xf>
    <xf numFmtId="0" fontId="226" fillId="142" borderId="72" xfId="0" applyFont="1" applyFill="1" applyBorder="1" applyAlignment="1">
      <alignment horizontal="center"/>
    </xf>
    <xf numFmtId="0" fontId="221" fillId="146" borderId="186" xfId="0" applyFont="1" applyFill="1" applyBorder="1" applyAlignment="1">
      <alignment horizontal="center" vertical="center" wrapText="1"/>
    </xf>
    <xf numFmtId="0" fontId="221" fillId="146" borderId="91" xfId="0" applyFont="1" applyFill="1" applyBorder="1" applyAlignment="1">
      <alignment horizontal="center" vertical="center" wrapText="1"/>
    </xf>
    <xf numFmtId="0" fontId="182" fillId="146" borderId="92" xfId="0" applyFont="1" applyFill="1" applyBorder="1" applyAlignment="1">
      <alignment horizontal="center" vertical="center" wrapText="1"/>
    </xf>
    <xf numFmtId="0" fontId="182" fillId="146" borderId="93" xfId="0" applyFont="1" applyFill="1" applyBorder="1" applyAlignment="1">
      <alignment horizontal="center" vertical="center" wrapText="1"/>
    </xf>
    <xf numFmtId="0" fontId="182" fillId="146" borderId="94" xfId="0" applyFont="1" applyFill="1" applyBorder="1" applyAlignment="1">
      <alignment horizontal="center" vertical="center" wrapText="1"/>
    </xf>
    <xf numFmtId="0" fontId="221" fillId="146" borderId="202" xfId="0" applyFont="1" applyFill="1" applyBorder="1" applyAlignment="1">
      <alignment horizontal="center" vertical="center" wrapText="1"/>
    </xf>
    <xf numFmtId="0" fontId="221" fillId="146" borderId="234" xfId="0" applyFont="1" applyFill="1" applyBorder="1" applyAlignment="1">
      <alignment horizontal="center" vertical="center" wrapText="1"/>
    </xf>
    <xf numFmtId="0" fontId="222" fillId="146" borderId="202" xfId="0" applyFont="1" applyFill="1" applyBorder="1" applyAlignment="1">
      <alignment horizontal="center" vertical="center" wrapText="1"/>
    </xf>
    <xf numFmtId="0" fontId="182" fillId="146" borderId="234" xfId="0" applyFont="1" applyFill="1" applyBorder="1" applyAlignment="1">
      <alignment horizontal="center" vertical="center" wrapText="1"/>
    </xf>
    <xf numFmtId="0" fontId="221" fillId="146" borderId="188" xfId="0" applyFont="1" applyFill="1" applyBorder="1" applyAlignment="1">
      <alignment horizontal="center" vertical="center" wrapText="1"/>
    </xf>
    <xf numFmtId="0" fontId="221" fillId="146" borderId="236" xfId="0" applyFont="1" applyFill="1" applyBorder="1" applyAlignment="1">
      <alignment horizontal="center" vertical="center" wrapText="1"/>
    </xf>
    <xf numFmtId="0" fontId="180" fillId="2" borderId="235" xfId="0" applyFont="1" applyFill="1" applyBorder="1" applyAlignment="1">
      <alignment horizontal="center" vertical="center"/>
    </xf>
    <xf numFmtId="0" fontId="180" fillId="2" borderId="46" xfId="0" applyFont="1" applyFill="1" applyBorder="1" applyAlignment="1">
      <alignment horizontal="center" vertical="center"/>
    </xf>
    <xf numFmtId="0" fontId="180" fillId="2" borderId="2" xfId="0" applyFont="1" applyFill="1" applyBorder="1" applyAlignment="1">
      <alignment horizontal="center" vertical="center"/>
    </xf>
    <xf numFmtId="0" fontId="180" fillId="2" borderId="0" xfId="0" applyFont="1" applyFill="1" applyAlignment="1">
      <alignment horizontal="center" vertical="center" wrapText="1"/>
    </xf>
    <xf numFmtId="0" fontId="180" fillId="2" borderId="3" xfId="0" applyFont="1" applyFill="1" applyBorder="1" applyAlignment="1">
      <alignment horizontal="center" vertical="center" wrapText="1"/>
    </xf>
    <xf numFmtId="0" fontId="222" fillId="166" borderId="95" xfId="0" applyFont="1" applyFill="1" applyBorder="1" applyAlignment="1">
      <alignment horizontal="center" wrapText="1"/>
    </xf>
    <xf numFmtId="0" fontId="222" fillId="166" borderId="72" xfId="0" applyFont="1" applyFill="1" applyBorder="1" applyAlignment="1">
      <alignment horizontal="center" wrapText="1"/>
    </xf>
    <xf numFmtId="0" fontId="222" fillId="166" borderId="96" xfId="0" applyFont="1" applyFill="1" applyBorder="1" applyAlignment="1">
      <alignment horizontal="center" wrapText="1"/>
    </xf>
    <xf numFmtId="0" fontId="222" fillId="166" borderId="193" xfId="0" applyFont="1" applyFill="1" applyBorder="1" applyAlignment="1">
      <alignment horizontal="center"/>
    </xf>
    <xf numFmtId="0" fontId="222" fillId="166" borderId="4" xfId="0" applyFont="1" applyFill="1" applyBorder="1" applyAlignment="1">
      <alignment horizontal="center"/>
    </xf>
    <xf numFmtId="0" fontId="222" fillId="166" borderId="200" xfId="0" applyFont="1" applyFill="1" applyBorder="1" applyAlignment="1">
      <alignment horizontal="center" wrapText="1"/>
    </xf>
    <xf numFmtId="0" fontId="222" fillId="166" borderId="2" xfId="0" applyFont="1" applyFill="1" applyBorder="1" applyAlignment="1">
      <alignment horizontal="center" wrapText="1"/>
    </xf>
    <xf numFmtId="0" fontId="222" fillId="166" borderId="198" xfId="0" applyFont="1" applyFill="1" applyBorder="1" applyAlignment="1">
      <alignment horizontal="center" wrapText="1"/>
    </xf>
    <xf numFmtId="0" fontId="222" fillId="166" borderId="5" xfId="0" applyFont="1" applyFill="1" applyBorder="1" applyAlignment="1">
      <alignment horizontal="center" wrapText="1"/>
    </xf>
    <xf numFmtId="0" fontId="2" fillId="150" borderId="93" xfId="20532" applyFont="1" applyFill="1" applyBorder="1" applyAlignment="1">
      <alignment vertical="center" wrapText="1"/>
    </xf>
    <xf numFmtId="0" fontId="2" fillId="150" borderId="97" xfId="20532" applyFont="1" applyFill="1" applyBorder="1" applyAlignment="1">
      <alignment vertical="center" wrapText="1"/>
    </xf>
    <xf numFmtId="0" fontId="183" fillId="150" borderId="189" xfId="168" applyFont="1" applyFill="1" applyBorder="1" applyAlignment="1">
      <alignment horizontal="left"/>
    </xf>
    <xf numFmtId="0" fontId="183" fillId="150" borderId="194" xfId="168" applyFont="1" applyFill="1" applyBorder="1" applyAlignment="1">
      <alignment horizontal="left"/>
    </xf>
    <xf numFmtId="0" fontId="183" fillId="150" borderId="220" xfId="168" applyFont="1" applyFill="1" applyBorder="1" applyAlignment="1">
      <alignment horizontal="left"/>
    </xf>
    <xf numFmtId="0" fontId="183" fillId="150" borderId="225" xfId="168" applyFont="1" applyFill="1" applyBorder="1" applyAlignment="1">
      <alignment horizontal="left"/>
    </xf>
    <xf numFmtId="0" fontId="2" fillId="150" borderId="194" xfId="20532" applyFont="1" applyFill="1" applyBorder="1" applyAlignment="1">
      <alignment horizontal="left" vertical="center" wrapText="1"/>
    </xf>
    <xf numFmtId="0" fontId="2" fillId="150" borderId="195" xfId="20532" applyFont="1" applyFill="1" applyBorder="1" applyAlignment="1">
      <alignment horizontal="left" vertical="center" wrapText="1"/>
    </xf>
    <xf numFmtId="0" fontId="183" fillId="146" borderId="200" xfId="20559" applyFont="1" applyFill="1" applyBorder="1" applyAlignment="1">
      <alignment horizontal="center" vertical="center"/>
    </xf>
    <xf numFmtId="0" fontId="183" fillId="146" borderId="46" xfId="20559" applyFont="1" applyFill="1" applyBorder="1" applyAlignment="1">
      <alignment horizontal="center" vertical="center"/>
    </xf>
    <xf numFmtId="0" fontId="183" fillId="146" borderId="200" xfId="20557" applyFont="1" applyFill="1" applyBorder="1" applyAlignment="1">
      <alignment horizontal="center" vertical="center"/>
    </xf>
    <xf numFmtId="0" fontId="183" fillId="146" borderId="46" xfId="20557" applyFont="1" applyFill="1" applyBorder="1" applyAlignment="1">
      <alignment horizontal="center" vertical="center"/>
    </xf>
    <xf numFmtId="0" fontId="2" fillId="0" borderId="0" xfId="0" applyFont="1" applyAlignment="1">
      <alignment wrapText="1"/>
    </xf>
    <xf numFmtId="0" fontId="0" fillId="0" borderId="0" xfId="0" applyAlignment="1">
      <alignment wrapText="1"/>
    </xf>
    <xf numFmtId="0" fontId="183" fillId="146" borderId="193" xfId="20559" applyFont="1" applyFill="1" applyBorder="1" applyAlignment="1">
      <alignment horizontal="center" vertical="center"/>
    </xf>
    <xf numFmtId="0" fontId="183" fillId="146" borderId="101" xfId="20559" applyFont="1" applyFill="1" applyBorder="1" applyAlignment="1">
      <alignment horizontal="center" vertical="center"/>
    </xf>
    <xf numFmtId="0" fontId="2" fillId="150" borderId="225" xfId="20532" applyFont="1" applyFill="1" applyBorder="1" applyAlignment="1">
      <alignment horizontal="left" vertical="center" wrapText="1"/>
    </xf>
    <xf numFmtId="0" fontId="2" fillId="150" borderId="221" xfId="20532" applyFont="1" applyFill="1" applyBorder="1" applyAlignment="1">
      <alignment horizontal="left" vertical="center" wrapText="1"/>
    </xf>
    <xf numFmtId="0" fontId="183" fillId="146" borderId="194" xfId="20558" applyFont="1" applyFill="1" applyBorder="1" applyAlignment="1">
      <alignment horizontal="center" vertical="center" wrapText="1"/>
    </xf>
    <xf numFmtId="0" fontId="183" fillId="146" borderId="195" xfId="20558" applyFont="1" applyFill="1" applyBorder="1" applyAlignment="1">
      <alignment horizontal="center" vertical="center" wrapText="1"/>
    </xf>
    <xf numFmtId="0" fontId="2" fillId="150" borderId="225" xfId="20532" applyFont="1" applyFill="1" applyBorder="1" applyAlignment="1">
      <alignment horizontal="left" vertical="top" wrapText="1"/>
    </xf>
    <xf numFmtId="0" fontId="206" fillId="150" borderId="190" xfId="20532" applyFont="1" applyFill="1" applyBorder="1" applyAlignment="1">
      <alignment horizontal="left" vertical="top" wrapText="1"/>
    </xf>
    <xf numFmtId="0" fontId="206" fillId="150" borderId="191" xfId="20532" applyFont="1" applyFill="1" applyBorder="1" applyAlignment="1">
      <alignment horizontal="left" vertical="top" wrapText="1"/>
    </xf>
    <xf numFmtId="0" fontId="206" fillId="150" borderId="192" xfId="20532" applyFont="1" applyFill="1" applyBorder="1" applyAlignment="1">
      <alignment horizontal="left" vertical="top" wrapText="1"/>
    </xf>
    <xf numFmtId="0" fontId="146" fillId="150" borderId="225" xfId="20532" applyFont="1" applyFill="1" applyBorder="1" applyAlignment="1">
      <alignment horizontal="left" vertical="top" wrapText="1"/>
    </xf>
    <xf numFmtId="0" fontId="24" fillId="150" borderId="225" xfId="20532" applyFill="1" applyBorder="1" applyAlignment="1">
      <alignment horizontal="left" vertical="top" wrapText="1"/>
    </xf>
    <xf numFmtId="0" fontId="24" fillId="150" borderId="221" xfId="20532" applyFill="1" applyBorder="1" applyAlignment="1">
      <alignment horizontal="left" vertical="top" wrapText="1"/>
    </xf>
    <xf numFmtId="0" fontId="204" fillId="150" borderId="196" xfId="5259" applyFont="1" applyFill="1" applyBorder="1" applyAlignment="1">
      <alignment horizontal="left"/>
    </xf>
    <xf numFmtId="0" fontId="204" fillId="150" borderId="197" xfId="5259" applyFont="1" applyFill="1" applyBorder="1" applyAlignment="1">
      <alignment horizontal="left"/>
    </xf>
    <xf numFmtId="0" fontId="204" fillId="150" borderId="188" xfId="5259" applyFont="1" applyFill="1" applyBorder="1" applyAlignment="1">
      <alignment horizontal="left"/>
    </xf>
    <xf numFmtId="0" fontId="204" fillId="150" borderId="222" xfId="5259" applyFont="1" applyFill="1" applyBorder="1" applyAlignment="1">
      <alignment horizontal="left"/>
    </xf>
    <xf numFmtId="0" fontId="204" fillId="150" borderId="223" xfId="5259" applyFont="1" applyFill="1" applyBorder="1" applyAlignment="1">
      <alignment horizontal="left"/>
    </xf>
    <xf numFmtId="0" fontId="204" fillId="150" borderId="217" xfId="5259" applyFont="1" applyFill="1" applyBorder="1" applyAlignment="1">
      <alignment horizontal="left"/>
    </xf>
    <xf numFmtId="0" fontId="205" fillId="0" borderId="3" xfId="20566" applyFont="1" applyBorder="1" applyAlignment="1">
      <alignment horizontal="center" vertical="center"/>
    </xf>
    <xf numFmtId="0" fontId="205" fillId="0" borderId="3" xfId="20566" applyFont="1" applyBorder="1" applyAlignment="1">
      <alignment horizontal="left" vertical="center"/>
    </xf>
    <xf numFmtId="0" fontId="221" fillId="3" borderId="226" xfId="0" applyFont="1" applyFill="1" applyBorder="1" applyAlignment="1">
      <alignment horizontal="center"/>
    </xf>
    <xf numFmtId="0" fontId="221" fillId="3" borderId="228" xfId="0" applyFont="1" applyFill="1" applyBorder="1" applyAlignment="1">
      <alignment horizontal="center"/>
    </xf>
    <xf numFmtId="0" fontId="180" fillId="150" borderId="94" xfId="20532" applyFont="1" applyFill="1" applyBorder="1" applyAlignment="1">
      <alignment horizontal="left" vertical="center" wrapText="1"/>
    </xf>
    <xf numFmtId="0" fontId="180" fillId="150" borderId="96" xfId="20532" applyFont="1" applyFill="1" applyBorder="1" applyAlignment="1">
      <alignment horizontal="left" vertical="center" wrapText="1"/>
    </xf>
    <xf numFmtId="0" fontId="2" fillId="0" borderId="183" xfId="0" applyFont="1" applyBorder="1" applyAlignment="1">
      <alignment horizontal="left" vertical="top" wrapText="1"/>
    </xf>
    <xf numFmtId="0" fontId="2" fillId="0" borderId="0" xfId="0" applyFont="1" applyAlignment="1">
      <alignment horizontal="left" vertical="top" wrapText="1"/>
    </xf>
  </cellXfs>
  <cellStyles count="42831">
    <cellStyle name="%" xfId="182" xr:uid="{00000000-0005-0000-0000-000000000000}"/>
    <cellStyle name="*MB Hardwired" xfId="179" xr:uid="{00000000-0005-0000-0000-000001000000}"/>
    <cellStyle name="*MB Input Table Calc" xfId="180" xr:uid="{00000000-0005-0000-0000-000002000000}"/>
    <cellStyle name="*MB Normal" xfId="202" xr:uid="{00000000-0005-0000-0000-000003000000}"/>
    <cellStyle name="*MB Normal 2" xfId="5552" xr:uid="{00000000-0005-0000-0000-000004000000}"/>
    <cellStyle name="*MB Placeholder" xfId="181" xr:uid="{00000000-0005-0000-0000-000004000000}"/>
    <cellStyle name="_x0013_,î3_x0001_N@4" xfId="111" xr:uid="{00000000-0005-0000-0000-000005000000}"/>
    <cellStyle name=":¨áy¡’?(" xfId="191" xr:uid="{00000000-0005-0000-0000-000006000000}"/>
    <cellStyle name="?? [0]_??" xfId="190" xr:uid="{00000000-0005-0000-0000-000007000000}"/>
    <cellStyle name="?????_VERA" xfId="193" xr:uid="{00000000-0005-0000-0000-000008000000}"/>
    <cellStyle name="??_?.????" xfId="198" xr:uid="{00000000-0005-0000-0000-000009000000}"/>
    <cellStyle name="_2530023 2Q05 Analysis" xfId="200" xr:uid="{00000000-0005-0000-0000-00000A000000}"/>
    <cellStyle name="_August Expense Reports" xfId="175" xr:uid="{00000000-0005-0000-0000-00000B000000}"/>
    <cellStyle name="_August Expense Reports_PwrGen" xfId="176" xr:uid="{00000000-0005-0000-0000-00000C000000}"/>
    <cellStyle name="_IDSM Contracts- 10 15 10 tlc" xfId="115" xr:uid="{00000000-0005-0000-0000-00000D000000}"/>
    <cellStyle name="_July YTD Staff Aug_all IDSM Manipulated" xfId="177" xr:uid="{00000000-0005-0000-0000-00000E000000}"/>
    <cellStyle name="_July YTD Staff Aug_Teri" xfId="117" xr:uid="{00000000-0005-0000-0000-00000F000000}"/>
    <cellStyle name="_Labor and OH from Pavel" xfId="167" xr:uid="{00000000-0005-0000-0000-000010000000}"/>
    <cellStyle name="_L-Other Non Current Liab" xfId="168" xr:uid="{00000000-0005-0000-0000-000011000000}"/>
    <cellStyle name="_Pavel_Staff Aug PCC charged 8.30" xfId="204" xr:uid="{00000000-0005-0000-0000-000012000000}"/>
    <cellStyle name="_Transfers - Adjustments" xfId="160" xr:uid="{00000000-0005-0000-0000-000013000000}"/>
    <cellStyle name="_Transfers - Adjustments_PwrGen" xfId="116" xr:uid="{00000000-0005-0000-0000-000014000000}"/>
    <cellStyle name="_x0010_“+ˆÉ•?pý¤" xfId="197" xr:uid="{00000000-0005-0000-0000-000015000000}"/>
    <cellStyle name="_x0010_“+ˆÉ•?pý¤ 2" xfId="5495" xr:uid="{00000000-0005-0000-0000-000017000000}"/>
    <cellStyle name="10 in (Normal)" xfId="183" xr:uid="{00000000-0005-0000-0000-000016000000}"/>
    <cellStyle name="20% - Accent1" xfId="82" builtinId="30" customBuiltin="1"/>
    <cellStyle name="20% - Accent1 10" xfId="5586" xr:uid="{00000000-0005-0000-0000-000019000000}"/>
    <cellStyle name="20% - Accent1 10 2" xfId="5272" xr:uid="{00000000-0005-0000-0000-00001A000000}"/>
    <cellStyle name="20% - Accent1 10 2 2" xfId="5589" xr:uid="{00000000-0005-0000-0000-00001B000000}"/>
    <cellStyle name="20% - Accent1 10 2 2 2" xfId="23245" xr:uid="{5BCAA725-F564-4C97-B4DE-17E06B8FF1D1}"/>
    <cellStyle name="20% - Accent1 10 2 2 2 2" xfId="38216" xr:uid="{92C2A97B-A9D7-445F-9F67-49E01E636883}"/>
    <cellStyle name="20% - Accent1 10 2 2 3" xfId="30613" xr:uid="{34CFCA02-3F80-4C20-AA6B-AE97FCEDB221}"/>
    <cellStyle name="20% - Accent1 10 2 3" xfId="5592" xr:uid="{00000000-0005-0000-0000-00001C000000}"/>
    <cellStyle name="20% - Accent1 10 2 3 2" xfId="23248" xr:uid="{F5F09701-776F-46FC-B1A9-9E4DCE9D7C22}"/>
    <cellStyle name="20% - Accent1 10 2 3 2 2" xfId="38219" xr:uid="{594A2A32-B9A5-4E58-9828-EA59451C6ECD}"/>
    <cellStyle name="20% - Accent1 10 2 3 3" xfId="30616" xr:uid="{2530F2DB-F94D-465D-9F38-91FC91CE446F}"/>
    <cellStyle name="20% - Accent1 10 2 4" xfId="23164" xr:uid="{B0A0A47A-22DB-4120-A9A9-73E4DF3C9254}"/>
    <cellStyle name="20% - Accent1 10 2 4 2" xfId="38140" xr:uid="{93D0B5F6-9CD0-48CB-BDEB-CE9A382AA8EB}"/>
    <cellStyle name="20% - Accent1 10 2 5" xfId="30536" xr:uid="{97AA348E-35FF-4ADE-B987-1E823D1200F7}"/>
    <cellStyle name="20% - Accent1 10 3" xfId="5595" xr:uid="{00000000-0005-0000-0000-00001D000000}"/>
    <cellStyle name="20% - Accent1 10 3 2" xfId="23251" xr:uid="{09C557C9-3BBC-49B6-9C4B-0F65D9B8D4E5}"/>
    <cellStyle name="20% - Accent1 10 3 2 2" xfId="38222" xr:uid="{937EBFB9-484A-405D-A2FE-E00ACAB7261A}"/>
    <cellStyle name="20% - Accent1 10 3 3" xfId="30619" xr:uid="{3AD46394-AC90-4001-9B43-6870213CCF4A}"/>
    <cellStyle name="20% - Accent1 10 4" xfId="5598" xr:uid="{00000000-0005-0000-0000-00001E000000}"/>
    <cellStyle name="20% - Accent1 10 4 2" xfId="5601" xr:uid="{00000000-0005-0000-0000-00001F000000}"/>
    <cellStyle name="20% - Accent1 10 4 2 2" xfId="23257" xr:uid="{8D44E222-47CB-4BF4-B8D2-632D10027389}"/>
    <cellStyle name="20% - Accent1 10 4 2 2 2" xfId="38228" xr:uid="{656FB7E8-73BF-4E5A-B927-399D7BB2BC24}"/>
    <cellStyle name="20% - Accent1 10 4 2 3" xfId="30625" xr:uid="{46C389E1-AC98-4EB5-A890-939C84A5D3AD}"/>
    <cellStyle name="20% - Accent1 10 4 3" xfId="23254" xr:uid="{B046F9A5-D8AF-4F13-AB5A-6CC6F3C67136}"/>
    <cellStyle name="20% - Accent1 10 4 3 2" xfId="38225" xr:uid="{D1CA9342-0DDD-4E7B-AF9F-8D09EB5D9B06}"/>
    <cellStyle name="20% - Accent1 10 4 4" xfId="30622" xr:uid="{11A308DF-E361-4C49-9883-915C74789763}"/>
    <cellStyle name="20% - Accent1 10 5" xfId="5604" xr:uid="{00000000-0005-0000-0000-000020000000}"/>
    <cellStyle name="20% - Accent1 10 5 2" xfId="23260" xr:uid="{0C594D30-4BAF-4A7B-9B37-2C1067310A4A}"/>
    <cellStyle name="20% - Accent1 10 5 2 2" xfId="38231" xr:uid="{8C14AF1E-F633-4295-BA5A-404BCF7C173C}"/>
    <cellStyle name="20% - Accent1 10 5 3" xfId="30628" xr:uid="{274E3F30-62F1-4176-A981-838DD8C8BF82}"/>
    <cellStyle name="20% - Accent1 10 6" xfId="23242" xr:uid="{64DDB78E-14C5-4AA1-AA29-5B2606BC81F1}"/>
    <cellStyle name="20% - Accent1 10 6 2" xfId="38213" xr:uid="{322D906E-9186-411B-AB67-B5B4F19D7403}"/>
    <cellStyle name="20% - Accent1 10 7" xfId="30610" xr:uid="{296BED5C-D0A8-4B7E-8154-5C024E7AE249}"/>
    <cellStyle name="20% - Accent1 11" xfId="5605" xr:uid="{00000000-0005-0000-0000-000021000000}"/>
    <cellStyle name="20% - Accent1 11 2" xfId="5271" xr:uid="{00000000-0005-0000-0000-000022000000}"/>
    <cellStyle name="20% - Accent1 11 2 2" xfId="23163" xr:uid="{AA6746BF-B163-4D12-A60A-3B7DA77B26E3}"/>
    <cellStyle name="20% - Accent1 11 2 2 2" xfId="38139" xr:uid="{5409B7AE-80A3-414D-8241-799C83219DCA}"/>
    <cellStyle name="20% - Accent1 11 2 3" xfId="30535" xr:uid="{6FBAF2FF-6AE0-4C58-AA8E-B4FA87F6A494}"/>
    <cellStyle name="20% - Accent1 11 3" xfId="5270" xr:uid="{00000000-0005-0000-0000-000023000000}"/>
    <cellStyle name="20% - Accent1 11 3 2" xfId="5585" xr:uid="{00000000-0005-0000-0000-000024000000}"/>
    <cellStyle name="20% - Accent1 11 3 2 2" xfId="23241" xr:uid="{0EAC9212-723C-43E6-AD5E-D0CFCB133B0B}"/>
    <cellStyle name="20% - Accent1 11 3 2 2 2" xfId="38212" xr:uid="{3A7A4B81-A6EC-4C8C-8905-CEE057009D93}"/>
    <cellStyle name="20% - Accent1 11 3 2 3" xfId="30609" xr:uid="{22C2CD28-4388-45E3-ABBD-87A82A5B1A79}"/>
    <cellStyle name="20% - Accent1 11 3 3" xfId="23162" xr:uid="{457B3F87-6532-449E-BDFA-CB15BF36095D}"/>
    <cellStyle name="20% - Accent1 11 3 3 2" xfId="38138" xr:uid="{8C1CE601-28DF-4818-BE86-C20EBA00CB8D}"/>
    <cellStyle name="20% - Accent1 11 3 4" xfId="30534" xr:uid="{1AA55DBA-A9D3-44F4-BA32-13AEF8C1FF2E}"/>
    <cellStyle name="20% - Accent1 11 4" xfId="23261" xr:uid="{CF1BFDF5-AE4D-4D28-B862-827B954CAC75}"/>
    <cellStyle name="20% - Accent1 11 4 2" xfId="38232" xr:uid="{57416B15-4283-46C2-B518-8EC2F3C00F97}"/>
    <cellStyle name="20% - Accent1 11 5" xfId="30629" xr:uid="{5487008C-012B-440A-977F-C4606CA2AD01}"/>
    <cellStyle name="20% - Accent1 12" xfId="5535" xr:uid="{00000000-0005-0000-0000-000025000000}"/>
    <cellStyle name="20% - Accent1 12 2" xfId="5269" xr:uid="{00000000-0005-0000-0000-000026000000}"/>
    <cellStyle name="20% - Accent1 12 2 2" xfId="23161" xr:uid="{9DF517A8-529F-4F94-AB3E-7C8EEB02AA6E}"/>
    <cellStyle name="20% - Accent1 12 2 2 2" xfId="38137" xr:uid="{1F490EA1-C41E-4F22-A8E1-7BFC1F7835FB}"/>
    <cellStyle name="20% - Accent1 12 2 3" xfId="30533" xr:uid="{A971DAF6-DD79-46BF-B638-35A3E137A05D}"/>
    <cellStyle name="20% - Accent1 12 3" xfId="5268" xr:uid="{00000000-0005-0000-0000-000027000000}"/>
    <cellStyle name="20% - Accent1 12 3 2" xfId="23160" xr:uid="{2BEED0AB-B1CE-4381-AF8B-EB52A03C46B0}"/>
    <cellStyle name="20% - Accent1 12 3 2 2" xfId="38136" xr:uid="{DC7D2365-565C-41D0-869F-73FB70212AF0}"/>
    <cellStyle name="20% - Accent1 12 3 3" xfId="30532" xr:uid="{80A65726-9209-43DA-BD2D-5A5673275DBD}"/>
    <cellStyle name="20% - Accent1 12 4" xfId="23210" xr:uid="{9C5BEEC0-A252-43D1-B8EE-EA2FDBCD7419}"/>
    <cellStyle name="20% - Accent1 12 4 2" xfId="38181" xr:uid="{CA5A70BA-F113-4B66-A301-C9D6BDA533DB}"/>
    <cellStyle name="20% - Accent1 12 5" xfId="30578" xr:uid="{1C58D874-7BC2-4754-8E96-DB96948A33DB}"/>
    <cellStyle name="20% - Accent1 13" xfId="5267" xr:uid="{00000000-0005-0000-0000-000028000000}"/>
    <cellStyle name="20% - Accent1 13 2" xfId="5584" xr:uid="{00000000-0005-0000-0000-000029000000}"/>
    <cellStyle name="20% - Accent1 13 2 2" xfId="23240" xr:uid="{D2EB8EDF-E0F7-4B1A-9E2C-93CE7E45BCEA}"/>
    <cellStyle name="20% - Accent1 13 2 2 2" xfId="38211" xr:uid="{9C151AA9-BFA8-4778-813D-E2BA307844AB}"/>
    <cellStyle name="20% - Accent1 13 2 3" xfId="30608" xr:uid="{AD24C602-0BF6-4FA7-BD9F-E413AD4D2BB7}"/>
    <cellStyle name="20% - Accent1 13 3" xfId="5534" xr:uid="{00000000-0005-0000-0000-00002A000000}"/>
    <cellStyle name="20% - Accent1 13 3 2" xfId="23209" xr:uid="{A5DDD565-B5BC-4B01-A769-AE2E46125100}"/>
    <cellStyle name="20% - Accent1 13 3 2 2" xfId="38180" xr:uid="{FCE714CA-4D23-460F-B2D6-BDD789FFA12E}"/>
    <cellStyle name="20% - Accent1 13 3 3" xfId="30577" xr:uid="{4B4F2D7F-7456-4413-BBBF-66F9B59E195F}"/>
    <cellStyle name="20% - Accent1 13 4" xfId="23159" xr:uid="{EF099F67-E210-4194-BA7F-20E742B3C073}"/>
    <cellStyle name="20% - Accent1 13 4 2" xfId="38135" xr:uid="{3AD6C774-FE3E-4D72-B2AA-BAF31BE0791B}"/>
    <cellStyle name="20% - Accent1 13 5" xfId="30531" xr:uid="{53785BD4-0028-4F20-82F7-47A332B41501}"/>
    <cellStyle name="20% - Accent1 14" xfId="5266" xr:uid="{00000000-0005-0000-0000-00002B000000}"/>
    <cellStyle name="20% - Accent1 14 2" xfId="5265" xr:uid="{00000000-0005-0000-0000-00002C000000}"/>
    <cellStyle name="20% - Accent1 14 2 2" xfId="23158" xr:uid="{A19A447E-8336-4180-8726-F1BD2944DE0F}"/>
    <cellStyle name="20% - Accent1 14 2 2 2" xfId="38134" xr:uid="{845E3806-DD91-48B4-BBEB-1D9A698CBCAD}"/>
    <cellStyle name="20% - Accent1 14 2 3" xfId="30530" xr:uid="{DBBC12BA-8B26-4B97-928C-C6E1C202869B}"/>
    <cellStyle name="20% - Accent1 15" xfId="5264" xr:uid="{00000000-0005-0000-0000-00002D000000}"/>
    <cellStyle name="20% - Accent1 15 2" xfId="23157" xr:uid="{A345802E-B499-427D-957D-953A1217ABA1}"/>
    <cellStyle name="20% - Accent1 15 2 2" xfId="38133" xr:uid="{124E8EE2-7AC6-4A07-81F9-3F2C8BCE643B}"/>
    <cellStyle name="20% - Accent1 15 3" xfId="30529" xr:uid="{8734EFD3-2E88-4C18-8180-AB319AD51D9A}"/>
    <cellStyle name="20% - Accent1 16" xfId="5612" xr:uid="{00000000-0005-0000-0000-00002E000000}"/>
    <cellStyle name="20% - Accent1 17" xfId="20642" xr:uid="{D7065E2C-3654-4A04-B2C8-240D00858BF0}"/>
    <cellStyle name="20% - Accent1 17 2" xfId="35643" xr:uid="{CAD19509-7D69-4342-BE29-808D3EDD524F}"/>
    <cellStyle name="20% - Accent1 18" xfId="27946" xr:uid="{A59D2840-7CA2-473D-A3BA-F2922E9392B9}"/>
    <cellStyle name="20% - Accent1 2" xfId="184" xr:uid="{00000000-0005-0000-0000-000017000000}"/>
    <cellStyle name="20% - Accent1 2 2" xfId="5617" xr:uid="{00000000-0005-0000-0000-000030000000}"/>
    <cellStyle name="20% - Accent1 2 3" xfId="5620" xr:uid="{00000000-0005-0000-0000-000031000000}"/>
    <cellStyle name="20% - Accent1 2 3 10" xfId="30640" xr:uid="{C3EA2FF2-296D-4A8A-AD00-7109D7976031}"/>
    <cellStyle name="20% - Accent1 2 3 2" xfId="5623" xr:uid="{00000000-0005-0000-0000-000032000000}"/>
    <cellStyle name="20% - Accent1 2 3 2 2" xfId="5626" xr:uid="{00000000-0005-0000-0000-000033000000}"/>
    <cellStyle name="20% - Accent1 2 3 2 2 2" xfId="5627" xr:uid="{00000000-0005-0000-0000-000034000000}"/>
    <cellStyle name="20% - Accent1 2 3 2 2 2 2" xfId="5630" xr:uid="{00000000-0005-0000-0000-000035000000}"/>
    <cellStyle name="20% - Accent1 2 3 2 2 2 2 2" xfId="23282" xr:uid="{B7E7866A-053D-40B1-9804-09103EEF4C0A}"/>
    <cellStyle name="20% - Accent1 2 3 2 2 2 2 2 2" xfId="38253" xr:uid="{7A5A05D0-C252-4BA8-8147-75E2637458C6}"/>
    <cellStyle name="20% - Accent1 2 3 2 2 2 2 3" xfId="30650" xr:uid="{C0647026-F3BB-4EF6-8DAD-6BE85D1EB8E9}"/>
    <cellStyle name="20% - Accent1 2 3 2 2 2 3" xfId="5558" xr:uid="{00000000-0005-0000-0000-000036000000}"/>
    <cellStyle name="20% - Accent1 2 3 2 2 2 3 2" xfId="23216" xr:uid="{CA5AD0B8-2348-4FDA-83AF-D1604D7DF802}"/>
    <cellStyle name="20% - Accent1 2 3 2 2 2 3 2 2" xfId="38187" xr:uid="{36B6E743-DDAD-4014-BD8F-4CB0D3048FFD}"/>
    <cellStyle name="20% - Accent1 2 3 2 2 2 3 3" xfId="30584" xr:uid="{CE94B0AC-7494-485B-A16A-307C5ECBE899}"/>
    <cellStyle name="20% - Accent1 2 3 2 2 2 4" xfId="23279" xr:uid="{86C2622B-AFB5-4809-AE0B-7BFEEA0A1BB5}"/>
    <cellStyle name="20% - Accent1 2 3 2 2 2 4 2" xfId="38250" xr:uid="{1F76C190-CB36-4284-B60C-007F0E3E8E3A}"/>
    <cellStyle name="20% - Accent1 2 3 2 2 2 5" xfId="30647" xr:uid="{6A9B6DC2-DD4A-4CC9-9459-96986767879B}"/>
    <cellStyle name="20% - Accent1 2 3 2 2 3" xfId="5559" xr:uid="{00000000-0005-0000-0000-000037000000}"/>
    <cellStyle name="20% - Accent1 2 3 2 2 3 2" xfId="5263" xr:uid="{00000000-0005-0000-0000-000038000000}"/>
    <cellStyle name="20% - Accent1 2 3 2 2 3 2 2" xfId="23156" xr:uid="{F0C465F6-8D49-406F-813F-D9D2ADD97EB0}"/>
    <cellStyle name="20% - Accent1 2 3 2 2 3 2 2 2" xfId="38132" xr:uid="{87095A06-AF54-4F54-9EB1-A5B9DCCB74E5}"/>
    <cellStyle name="20% - Accent1 2 3 2 2 3 2 3" xfId="30528" xr:uid="{940A9B78-524F-4DA3-937D-0EA9E8874C88}"/>
    <cellStyle name="20% - Accent1 2 3 2 2 3 3" xfId="23217" xr:uid="{B3F20EDD-0512-46D2-B1EA-6D384C90279F}"/>
    <cellStyle name="20% - Accent1 2 3 2 2 3 3 2" xfId="38188" xr:uid="{AF5F9B6A-63B6-4C44-A8BC-204135AAFD2B}"/>
    <cellStyle name="20% - Accent1 2 3 2 2 3 4" xfId="30585" xr:uid="{AB2D3109-F30D-49BF-9C51-1F97A0AFDD5A}"/>
    <cellStyle name="20% - Accent1 2 3 2 2 4" xfId="5262" xr:uid="{00000000-0005-0000-0000-000039000000}"/>
    <cellStyle name="20% - Accent1 2 3 2 2 4 2" xfId="23155" xr:uid="{0E528C23-1E30-4DB2-B9CD-FDD449A96D62}"/>
    <cellStyle name="20% - Accent1 2 3 2 2 4 2 2" xfId="38131" xr:uid="{7A33C6D2-3283-4086-A3F5-CA41284F3DAD}"/>
    <cellStyle name="20% - Accent1 2 3 2 2 4 3" xfId="30527" xr:uid="{70F21C33-1318-4795-BAD7-025BAA5FB356}"/>
    <cellStyle name="20% - Accent1 2 3 2 2 5" xfId="23278" xr:uid="{BFC4D278-E297-4A42-919A-52319F16A65E}"/>
    <cellStyle name="20% - Accent1 2 3 2 2 5 2" xfId="38249" xr:uid="{2CEA583D-4E1A-4A54-B2D7-81D347C4835B}"/>
    <cellStyle name="20% - Accent1 2 3 2 2 6" xfId="30646" xr:uid="{73298328-AADE-4D86-B322-34FA8AB80728}"/>
    <cellStyle name="20% - Accent1 2 3 2 3" xfId="5261" xr:uid="{00000000-0005-0000-0000-00003A000000}"/>
    <cellStyle name="20% - Accent1 2 3 2 3 2" xfId="5260" xr:uid="{00000000-0005-0000-0000-00003B000000}"/>
    <cellStyle name="20% - Accent1 2 3 2 3 2 2" xfId="5259" xr:uid="{00000000-0005-0000-0000-00003C000000}"/>
    <cellStyle name="20% - Accent1 2 3 2 3 2 2 2" xfId="23152" xr:uid="{AE5308A8-3805-42A0-9997-EEDA846D35B5}"/>
    <cellStyle name="20% - Accent1 2 3 2 3 2 2 2 2" xfId="38128" xr:uid="{F3CD5A2F-9DD7-4FBF-AB3A-0A6330661BDE}"/>
    <cellStyle name="20% - Accent1 2 3 2 3 2 2 3" xfId="27889" xr:uid="{FEE52EA7-0FBA-4567-843A-FD6EF3549C8E}"/>
    <cellStyle name="20% - Accent1 2 3 2 3 2 2 3 2" xfId="42826" xr:uid="{67AC2D1C-76B7-4FD6-AE12-E20B28934C2E}"/>
    <cellStyle name="20% - Accent1 2 3 2 3 2 2 4" xfId="30524" xr:uid="{999F7D77-7B01-4FE3-9CDB-C6087549D864}"/>
    <cellStyle name="20% - Accent1 2 3 2 3 2 3" xfId="5258" xr:uid="{00000000-0005-0000-0000-00003D000000}"/>
    <cellStyle name="20% - Accent1 2 3 2 3 2 3 2" xfId="23151" xr:uid="{99A624B0-FFFD-4F85-8A67-D4612ADE80FE}"/>
    <cellStyle name="20% - Accent1 2 3 2 3 2 3 2 2" xfId="38127" xr:uid="{62ECABCE-1D02-40E6-BB9A-688AA3ADC0C7}"/>
    <cellStyle name="20% - Accent1 2 3 2 3 2 3 3" xfId="30523" xr:uid="{0DC28732-BBC5-44D4-9C5C-3D6ECB730B71}"/>
    <cellStyle name="20% - Accent1 2 3 2 3 2 4" xfId="23153" xr:uid="{F29F7901-8593-4C99-8662-41471C118212}"/>
    <cellStyle name="20% - Accent1 2 3 2 3 2 4 2" xfId="38129" xr:uid="{1E1AE790-85A3-43E5-8B04-FBACFCE67763}"/>
    <cellStyle name="20% - Accent1 2 3 2 3 2 5" xfId="30525" xr:uid="{26D5B3CD-41EF-4B57-BD87-CA8AB48A8F0D}"/>
    <cellStyle name="20% - Accent1 2 3 2 3 3" xfId="5257" xr:uid="{00000000-0005-0000-0000-00003E000000}"/>
    <cellStyle name="20% - Accent1 2 3 2 3 3 2" xfId="5256" xr:uid="{00000000-0005-0000-0000-00003F000000}"/>
    <cellStyle name="20% - Accent1 2 3 2 3 3 2 2" xfId="23149" xr:uid="{F5C92632-0AAD-4122-B338-CCDD0AC439A0}"/>
    <cellStyle name="20% - Accent1 2 3 2 3 3 2 2 2" xfId="38125" xr:uid="{A8AB272C-EC73-45D7-B1C9-7794AADBE1D6}"/>
    <cellStyle name="20% - Accent1 2 3 2 3 3 2 3" xfId="30521" xr:uid="{1ADBED98-2E5E-4C8B-825B-396089D8EEC5}"/>
    <cellStyle name="20% - Accent1 2 3 2 3 3 3" xfId="23150" xr:uid="{BA614618-5F6A-4896-9564-45A15274280C}"/>
    <cellStyle name="20% - Accent1 2 3 2 3 3 3 2" xfId="38126" xr:uid="{7F8E42DB-1E24-43BA-9C1E-BC2BF210DA85}"/>
    <cellStyle name="20% - Accent1 2 3 2 3 3 4" xfId="27886" xr:uid="{40E88CF7-FB29-4554-AD0F-B670D7DBD1F8}"/>
    <cellStyle name="20% - Accent1 2 3 2 3 3 4 2" xfId="42823" xr:uid="{ECEC37D6-025B-46FD-8965-CED52CB0D582}"/>
    <cellStyle name="20% - Accent1 2 3 2 3 3 5" xfId="27888" xr:uid="{A04A19A2-EA0D-4D61-84A9-E65B8CD202B6}"/>
    <cellStyle name="20% - Accent1 2 3 2 3 3 5 2" xfId="42825" xr:uid="{EC561A9A-FA8F-434E-90F3-E70A2AAADE42}"/>
    <cellStyle name="20% - Accent1 2 3 2 3 3 6" xfId="30522" xr:uid="{42D84C1D-77CA-44A5-BD62-C8658909798B}"/>
    <cellStyle name="20% - Accent1 2 3 2 3 4" xfId="5255" xr:uid="{00000000-0005-0000-0000-000040000000}"/>
    <cellStyle name="20% - Accent1 2 3 2 3 4 2" xfId="23148" xr:uid="{9DA37E34-05D6-4EFA-A5A8-74671144062C}"/>
    <cellStyle name="20% - Accent1 2 3 2 3 4 2 2" xfId="38124" xr:uid="{FF6FCD11-FFC9-4AAC-B14F-CB969113F484}"/>
    <cellStyle name="20% - Accent1 2 3 2 3 4 3" xfId="30520" xr:uid="{B29FD67C-5301-4E00-8591-BD69F610D423}"/>
    <cellStyle name="20% - Accent1 2 3 2 3 5" xfId="23154" xr:uid="{C2F5B0C8-1B9A-4CEB-A813-8EBA470521D7}"/>
    <cellStyle name="20% - Accent1 2 3 2 3 5 2" xfId="38130" xr:uid="{1539841A-B160-44DE-95E3-E5CFCC9A1E67}"/>
    <cellStyle name="20% - Accent1 2 3 2 3 6" xfId="30526" xr:uid="{A789F61B-00B8-464D-B95C-DC50DE6DC65B}"/>
    <cellStyle name="20% - Accent1 2 3 2 4" xfId="5254" xr:uid="{00000000-0005-0000-0000-000041000000}"/>
    <cellStyle name="20% - Accent1 2 3 2 4 2" xfId="5253" xr:uid="{00000000-0005-0000-0000-000042000000}"/>
    <cellStyle name="20% - Accent1 2 3 2 4 2 2" xfId="23146" xr:uid="{25FD0A31-7001-4D60-8FE8-A7601684DDE3}"/>
    <cellStyle name="20% - Accent1 2 3 2 4 2 2 2" xfId="38122" xr:uid="{4DACCC84-4185-4EC5-B1A2-6A035690DDD9}"/>
    <cellStyle name="20% - Accent1 2 3 2 4 2 3" xfId="30518" xr:uid="{2F9CEB01-8E60-423B-A9D8-D89D9F3D6CBE}"/>
    <cellStyle name="20% - Accent1 2 3 2 4 3" xfId="5252" xr:uid="{00000000-0005-0000-0000-000043000000}"/>
    <cellStyle name="20% - Accent1 2 3 2 4 3 2" xfId="23145" xr:uid="{CFDC81A3-C9E5-4BC9-934D-E8264446D6DE}"/>
    <cellStyle name="20% - Accent1 2 3 2 4 3 2 2" xfId="38121" xr:uid="{7C1CC9A0-D3A2-464C-9DF8-56F16D0B9F1F}"/>
    <cellStyle name="20% - Accent1 2 3 2 4 3 3" xfId="30517" xr:uid="{A726BE99-C445-411E-9BCF-6C4647833832}"/>
    <cellStyle name="20% - Accent1 2 3 2 4 4" xfId="23147" xr:uid="{8A2CEC8C-2036-41A3-A810-58A6868BE6E9}"/>
    <cellStyle name="20% - Accent1 2 3 2 4 4 2" xfId="38123" xr:uid="{735397DE-058C-4AEA-8692-B8265F943801}"/>
    <cellStyle name="20% - Accent1 2 3 2 4 5" xfId="30519" xr:uid="{3A4E9F0A-E05B-4B04-9EEB-46CEA4AD9570}"/>
    <cellStyle name="20% - Accent1 2 3 2 5" xfId="5251" xr:uid="{00000000-0005-0000-0000-000044000000}"/>
    <cellStyle name="20% - Accent1 2 3 2 5 2" xfId="23144" xr:uid="{FD85FF25-33E8-466E-A392-EA3812B0D6EB}"/>
    <cellStyle name="20% - Accent1 2 3 2 5 2 2" xfId="38120" xr:uid="{B07D05F4-ED21-403B-91A6-ACFC50F24E9A}"/>
    <cellStyle name="20% - Accent1 2 3 2 5 3" xfId="30516" xr:uid="{79DF5E4E-2224-4975-BA7D-72F38372191D}"/>
    <cellStyle name="20% - Accent1 2 3 2 6" xfId="5250" xr:uid="{00000000-0005-0000-0000-000045000000}"/>
    <cellStyle name="20% - Accent1 2 3 2 6 2" xfId="5249" xr:uid="{00000000-0005-0000-0000-000046000000}"/>
    <cellStyle name="20% - Accent1 2 3 2 6 2 2" xfId="23142" xr:uid="{909594D4-FD35-4423-A171-29239E3D574A}"/>
    <cellStyle name="20% - Accent1 2 3 2 6 2 2 2" xfId="38118" xr:uid="{415B7307-9A1F-48A6-B402-3A60D46C7AA7}"/>
    <cellStyle name="20% - Accent1 2 3 2 6 2 3" xfId="30514" xr:uid="{4146EB26-F843-4669-B591-34510E3E14D7}"/>
    <cellStyle name="20% - Accent1 2 3 2 6 3" xfId="23143" xr:uid="{ED662C58-287E-4D83-A690-B796B4C7764E}"/>
    <cellStyle name="20% - Accent1 2 3 2 6 3 2" xfId="38119" xr:uid="{3F000ED9-525A-4FA0-8FE6-3AA3DED405F5}"/>
    <cellStyle name="20% - Accent1 2 3 2 6 4" xfId="30515" xr:uid="{A5975D84-5D15-40AC-8056-237FB5D025A3}"/>
    <cellStyle name="20% - Accent1 2 3 2 7" xfId="5248" xr:uid="{00000000-0005-0000-0000-000047000000}"/>
    <cellStyle name="20% - Accent1 2 3 2 7 2" xfId="23141" xr:uid="{7661014D-DA74-490D-9DDD-98546F28CF2B}"/>
    <cellStyle name="20% - Accent1 2 3 2 7 2 2" xfId="38117" xr:uid="{5102AFCE-C22D-4124-96EB-0CD8E052C582}"/>
    <cellStyle name="20% - Accent1 2 3 2 7 3" xfId="30513" xr:uid="{535C51FA-7FE5-4C83-8049-667469350994}"/>
    <cellStyle name="20% - Accent1 2 3 2 8" xfId="23275" xr:uid="{7760F2D1-7C3F-443D-A926-1C1A46956CB4}"/>
    <cellStyle name="20% - Accent1 2 3 2 8 2" xfId="38246" xr:uid="{6A7C4459-77D2-40EF-AAD3-7C450CF6588C}"/>
    <cellStyle name="20% - Accent1 2 3 2 9" xfId="30643" xr:uid="{DD64F4C5-803A-4E95-8554-924B15044119}"/>
    <cellStyle name="20% - Accent1 2 3 3" xfId="5247" xr:uid="{00000000-0005-0000-0000-000048000000}"/>
    <cellStyle name="20% - Accent1 2 3 3 2" xfId="5246" xr:uid="{00000000-0005-0000-0000-000049000000}"/>
    <cellStyle name="20% - Accent1 2 3 3 2 2" xfId="5245" xr:uid="{00000000-0005-0000-0000-00004A000000}"/>
    <cellStyle name="20% - Accent1 2 3 3 2 2 2" xfId="23138" xr:uid="{3DC98B7C-B50C-4778-A0F0-6BC8EFC1FF59}"/>
    <cellStyle name="20% - Accent1 2 3 3 2 2 2 2" xfId="38114" xr:uid="{C7C02296-99F5-4AAE-A37B-4039F7D12E96}"/>
    <cellStyle name="20% - Accent1 2 3 3 2 2 3" xfId="30510" xr:uid="{7E93400D-7B0F-4A96-BE4B-963C8EB8E49F}"/>
    <cellStyle name="20% - Accent1 2 3 3 2 3" xfId="5244" xr:uid="{00000000-0005-0000-0000-00004B000000}"/>
    <cellStyle name="20% - Accent1 2 3 3 2 3 2" xfId="23137" xr:uid="{4684C558-8251-4243-AF79-0208696D7AD0}"/>
    <cellStyle name="20% - Accent1 2 3 3 2 3 2 2" xfId="38113" xr:uid="{D36E0AF0-B65F-487B-BD89-AF2BAFD16B2F}"/>
    <cellStyle name="20% - Accent1 2 3 3 2 3 3" xfId="30509" xr:uid="{598BD7AC-F592-4448-8E6F-94B6B0AD639E}"/>
    <cellStyle name="20% - Accent1 2 3 3 2 4" xfId="23139" xr:uid="{066793CE-EBA0-468A-B09B-71EE40D6B479}"/>
    <cellStyle name="20% - Accent1 2 3 3 2 4 2" xfId="38115" xr:uid="{69F41B15-5C76-46A6-AF27-6B8F159E5894}"/>
    <cellStyle name="20% - Accent1 2 3 3 2 5" xfId="30511" xr:uid="{30555D9F-256E-41E8-B55B-E450826C8E44}"/>
    <cellStyle name="20% - Accent1 2 3 3 3" xfId="5243" xr:uid="{00000000-0005-0000-0000-00004C000000}"/>
    <cellStyle name="20% - Accent1 2 3 3 3 2" xfId="5242" xr:uid="{00000000-0005-0000-0000-00004D000000}"/>
    <cellStyle name="20% - Accent1 2 3 3 3 2 2" xfId="23135" xr:uid="{BCC50C5F-D1D9-4A32-8446-30A760B16AEA}"/>
    <cellStyle name="20% - Accent1 2 3 3 3 2 2 2" xfId="38111" xr:uid="{26686137-7939-4F6F-8632-93B5D2C5DD21}"/>
    <cellStyle name="20% - Accent1 2 3 3 3 2 3" xfId="30507" xr:uid="{0F54A7DC-9AD0-4A5C-AAC0-2B7C283D080E}"/>
    <cellStyle name="20% - Accent1 2 3 3 3 3" xfId="23136" xr:uid="{3FAD54E9-AE9D-4C60-99CA-78CB78D2E341}"/>
    <cellStyle name="20% - Accent1 2 3 3 3 3 2" xfId="38112" xr:uid="{DC99D50B-A95B-4BFB-9B75-823B6C2BA1D1}"/>
    <cellStyle name="20% - Accent1 2 3 3 3 4" xfId="30508" xr:uid="{D4E8B438-93B2-44EE-84EC-73E748352A3C}"/>
    <cellStyle name="20% - Accent1 2 3 3 4" xfId="5241" xr:uid="{00000000-0005-0000-0000-00004E000000}"/>
    <cellStyle name="20% - Accent1 2 3 3 4 2" xfId="23134" xr:uid="{7EF26494-6086-44C6-B8F5-7F21E3D4620B}"/>
    <cellStyle name="20% - Accent1 2 3 3 4 2 2" xfId="38110" xr:uid="{06BB4603-241B-4AAE-9ECB-17CF634D02B4}"/>
    <cellStyle name="20% - Accent1 2 3 3 4 3" xfId="30506" xr:uid="{CE4090B1-CA36-4A27-8DED-FF3A4A5D0A72}"/>
    <cellStyle name="20% - Accent1 2 3 3 5" xfId="23140" xr:uid="{93363AC4-AFBA-4F63-AB64-9E7247B5A17D}"/>
    <cellStyle name="20% - Accent1 2 3 3 5 2" xfId="38116" xr:uid="{30C9703B-0F91-4473-95E1-B563BF2EAB98}"/>
    <cellStyle name="20% - Accent1 2 3 3 6" xfId="30512" xr:uid="{925756E8-CA73-492A-91CF-4A8184170AC9}"/>
    <cellStyle name="20% - Accent1 2 3 4" xfId="5240" xr:uid="{00000000-0005-0000-0000-00004F000000}"/>
    <cellStyle name="20% - Accent1 2 3 4 2" xfId="5239" xr:uid="{00000000-0005-0000-0000-000050000000}"/>
    <cellStyle name="20% - Accent1 2 3 4 2 2" xfId="5238" xr:uid="{00000000-0005-0000-0000-000051000000}"/>
    <cellStyle name="20% - Accent1 2 3 4 2 2 2" xfId="23131" xr:uid="{13EBA7CB-459D-4CA5-9CE1-D03F09822A4F}"/>
    <cellStyle name="20% - Accent1 2 3 4 2 2 2 2" xfId="38107" xr:uid="{24A417E0-75EA-4424-B75F-0EB11AD9A868}"/>
    <cellStyle name="20% - Accent1 2 3 4 2 2 3" xfId="30503" xr:uid="{14084254-1AF5-4725-9C5F-13E997FF93C7}"/>
    <cellStyle name="20% - Accent1 2 3 4 2 3" xfId="5237" xr:uid="{00000000-0005-0000-0000-000052000000}"/>
    <cellStyle name="20% - Accent1 2 3 4 2 3 2" xfId="23130" xr:uid="{C246D6CE-CEAA-4A32-A84B-C36726D2060C}"/>
    <cellStyle name="20% - Accent1 2 3 4 2 3 2 2" xfId="38106" xr:uid="{6FC95839-3896-416F-825F-876A26233608}"/>
    <cellStyle name="20% - Accent1 2 3 4 2 3 3" xfId="30502" xr:uid="{F79F8759-0404-4615-8014-17ACDBC3A446}"/>
    <cellStyle name="20% - Accent1 2 3 4 2 4" xfId="23132" xr:uid="{98247393-547B-4097-99B7-4F2768A8A358}"/>
    <cellStyle name="20% - Accent1 2 3 4 2 4 2" xfId="38108" xr:uid="{1F9C8B0D-189D-4238-A1EC-63765380D47D}"/>
    <cellStyle name="20% - Accent1 2 3 4 2 5" xfId="30504" xr:uid="{87BB79D8-5B9D-4F36-89D8-78112ED447D2}"/>
    <cellStyle name="20% - Accent1 2 3 4 3" xfId="5236" xr:uid="{00000000-0005-0000-0000-000053000000}"/>
    <cellStyle name="20% - Accent1 2 3 4 3 2" xfId="5235" xr:uid="{00000000-0005-0000-0000-000054000000}"/>
    <cellStyle name="20% - Accent1 2 3 4 3 2 2" xfId="23128" xr:uid="{5CF065D3-685C-491B-8AFF-9B8822B36A75}"/>
    <cellStyle name="20% - Accent1 2 3 4 3 2 2 2" xfId="38104" xr:uid="{70854DAA-8C87-4BCD-8DE3-A0D7A93E492C}"/>
    <cellStyle name="20% - Accent1 2 3 4 3 2 3" xfId="30500" xr:uid="{8CA7711A-030B-4124-8F25-0C38F8B1C16A}"/>
    <cellStyle name="20% - Accent1 2 3 4 3 3" xfId="23129" xr:uid="{E36AAFA5-2121-47CD-8856-4F02F3D6B57D}"/>
    <cellStyle name="20% - Accent1 2 3 4 3 3 2" xfId="38105" xr:uid="{408D2420-3387-4371-8547-304D4E1824D3}"/>
    <cellStyle name="20% - Accent1 2 3 4 3 4" xfId="30501" xr:uid="{9042927F-C968-4447-9A69-40745C3E53B3}"/>
    <cellStyle name="20% - Accent1 2 3 4 4" xfId="5234" xr:uid="{00000000-0005-0000-0000-000055000000}"/>
    <cellStyle name="20% - Accent1 2 3 4 4 2" xfId="23127" xr:uid="{0DFD5B30-4CD3-484D-B50F-549C73DACF05}"/>
    <cellStyle name="20% - Accent1 2 3 4 4 2 2" xfId="38103" xr:uid="{3C203FB1-5C8B-4490-AD9C-58F3543D2590}"/>
    <cellStyle name="20% - Accent1 2 3 4 4 3" xfId="30499" xr:uid="{E22DFC59-3340-48B7-B4C7-3106651ACAB8}"/>
    <cellStyle name="20% - Accent1 2 3 4 5" xfId="23133" xr:uid="{F546E267-E8F5-4BA6-814C-D1FD990BCADD}"/>
    <cellStyle name="20% - Accent1 2 3 4 5 2" xfId="38109" xr:uid="{05303CA7-30D3-4BDA-A30B-B419387D8AD0}"/>
    <cellStyle name="20% - Accent1 2 3 4 6" xfId="30505" xr:uid="{3EC30D42-6E81-4F04-BC23-A43A3D1468C2}"/>
    <cellStyle name="20% - Accent1 2 3 5" xfId="5233" xr:uid="{00000000-0005-0000-0000-000056000000}"/>
    <cellStyle name="20% - Accent1 2 3 5 2" xfId="5232" xr:uid="{00000000-0005-0000-0000-000057000000}"/>
    <cellStyle name="20% - Accent1 2 3 5 2 2" xfId="23125" xr:uid="{78FC1577-4EE4-49AC-9A05-AAF7E065BE98}"/>
    <cellStyle name="20% - Accent1 2 3 5 2 2 2" xfId="38101" xr:uid="{6D77B6A5-CE53-4329-89FB-70B3295EA087}"/>
    <cellStyle name="20% - Accent1 2 3 5 2 3" xfId="30497" xr:uid="{F4121C1E-1954-4899-B99D-7B0E954D9B90}"/>
    <cellStyle name="20% - Accent1 2 3 5 3" xfId="5231" xr:uid="{00000000-0005-0000-0000-000058000000}"/>
    <cellStyle name="20% - Accent1 2 3 5 3 2" xfId="23124" xr:uid="{A63EBBAE-0F8E-4452-8F53-4434F89F2583}"/>
    <cellStyle name="20% - Accent1 2 3 5 3 2 2" xfId="38100" xr:uid="{D35B9808-797C-41E3-B0D6-1D67B8D2107B}"/>
    <cellStyle name="20% - Accent1 2 3 5 3 3" xfId="30496" xr:uid="{123D94FB-5B07-4BB3-8E55-2CB3C89631B3}"/>
    <cellStyle name="20% - Accent1 2 3 5 4" xfId="23126" xr:uid="{46626A0C-EBA6-4D2B-A53A-8F6280A62DF8}"/>
    <cellStyle name="20% - Accent1 2 3 5 4 2" xfId="38102" xr:uid="{1860FF86-1D7C-4963-96E0-3F417A421538}"/>
    <cellStyle name="20% - Accent1 2 3 5 5" xfId="30498" xr:uid="{8F229305-B98A-43CD-9D9B-896E5139FB3E}"/>
    <cellStyle name="20% - Accent1 2 3 6" xfId="5230" xr:uid="{00000000-0005-0000-0000-000059000000}"/>
    <cellStyle name="20% - Accent1 2 3 6 2" xfId="23123" xr:uid="{4C8A1BAA-F0C6-4A9D-BAEB-8769CEEDB141}"/>
    <cellStyle name="20% - Accent1 2 3 6 2 2" xfId="38099" xr:uid="{C9C2FCCE-C246-4CD7-87E6-B0CE659BACFB}"/>
    <cellStyle name="20% - Accent1 2 3 6 3" xfId="30495" xr:uid="{8A4CC611-B8F9-4A9B-8474-3F11BDEF610F}"/>
    <cellStyle name="20% - Accent1 2 3 7" xfId="5229" xr:uid="{00000000-0005-0000-0000-00005A000000}"/>
    <cellStyle name="20% - Accent1 2 3 7 2" xfId="5228" xr:uid="{00000000-0005-0000-0000-00005B000000}"/>
    <cellStyle name="20% - Accent1 2 3 7 2 2" xfId="23121" xr:uid="{C1AD628C-FEED-4B12-8065-7663AFB6C6BD}"/>
    <cellStyle name="20% - Accent1 2 3 7 2 2 2" xfId="38097" xr:uid="{76EAC2C0-1A02-4ED7-A1F0-89FFD7426C76}"/>
    <cellStyle name="20% - Accent1 2 3 7 2 3" xfId="30493" xr:uid="{C42BEB60-5003-426E-A063-359A0530885E}"/>
    <cellStyle name="20% - Accent1 2 3 7 3" xfId="23122" xr:uid="{FC523A82-6E55-4186-A40C-6F52CC2166AD}"/>
    <cellStyle name="20% - Accent1 2 3 7 3 2" xfId="38098" xr:uid="{C0573EDD-D668-4099-B491-7E5E8906E660}"/>
    <cellStyle name="20% - Accent1 2 3 7 4" xfId="30494" xr:uid="{7DE9C84A-82A2-40BD-A46E-0316093AC17D}"/>
    <cellStyle name="20% - Accent1 2 3 8" xfId="5227" xr:uid="{00000000-0005-0000-0000-00005C000000}"/>
    <cellStyle name="20% - Accent1 2 3 8 2" xfId="23120" xr:uid="{884B27FD-3B31-4A16-9D9F-38E61F186CE1}"/>
    <cellStyle name="20% - Accent1 2 3 8 2 2" xfId="38096" xr:uid="{942F9673-F162-4F2A-84B3-A2F4B4A56D4D}"/>
    <cellStyle name="20% - Accent1 2 3 8 3" xfId="30492" xr:uid="{46E10FFF-EBAD-4A6A-90EE-F04DB0B85E64}"/>
    <cellStyle name="20% - Accent1 2 3 9" xfId="23272" xr:uid="{34A8B7C0-C613-40F6-B6B9-019CD3ADB534}"/>
    <cellStyle name="20% - Accent1 2 3 9 2" xfId="38243" xr:uid="{E3479FDD-4766-44F2-8A61-468F05C21592}"/>
    <cellStyle name="20% - Accent1 2 4" xfId="5226" xr:uid="{00000000-0005-0000-0000-00005D000000}"/>
    <cellStyle name="20% - Accent1 2 4 10" xfId="30491" xr:uid="{332249C6-FB65-4541-9329-29B34D0574A5}"/>
    <cellStyle name="20% - Accent1 2 4 2" xfId="5225" xr:uid="{00000000-0005-0000-0000-00005E000000}"/>
    <cellStyle name="20% - Accent1 2 4 2 2" xfId="5224" xr:uid="{00000000-0005-0000-0000-00005F000000}"/>
    <cellStyle name="20% - Accent1 2 4 2 2 2" xfId="5223" xr:uid="{00000000-0005-0000-0000-000060000000}"/>
    <cellStyle name="20% - Accent1 2 4 2 2 2 2" xfId="5222" xr:uid="{00000000-0005-0000-0000-000061000000}"/>
    <cellStyle name="20% - Accent1 2 4 2 2 2 2 2" xfId="23115" xr:uid="{A3E67F1A-A900-45C3-8B98-ED806747FC52}"/>
    <cellStyle name="20% - Accent1 2 4 2 2 2 2 2 2" xfId="38091" xr:uid="{B30E4B56-ECC3-4EAA-89DA-42ABC186D4DB}"/>
    <cellStyle name="20% - Accent1 2 4 2 2 2 2 3" xfId="30487" xr:uid="{173EDCF0-B134-49BA-83A3-5A6AC42E5B97}"/>
    <cellStyle name="20% - Accent1 2 4 2 2 2 3" xfId="5221" xr:uid="{00000000-0005-0000-0000-000062000000}"/>
    <cellStyle name="20% - Accent1 2 4 2 2 2 3 2" xfId="23114" xr:uid="{E71E6FA4-73B0-43D8-A98C-9E00DC9EED4B}"/>
    <cellStyle name="20% - Accent1 2 4 2 2 2 3 2 2" xfId="38090" xr:uid="{D5BB6EB6-6C8F-4903-83E7-74A20CBC5B9C}"/>
    <cellStyle name="20% - Accent1 2 4 2 2 2 3 3" xfId="30486" xr:uid="{D7ED28A8-0113-4DC7-8700-AA4B2281681D}"/>
    <cellStyle name="20% - Accent1 2 4 2 2 2 4" xfId="23116" xr:uid="{91344724-AC4E-4EDB-8B75-F78849BEDE2C}"/>
    <cellStyle name="20% - Accent1 2 4 2 2 2 4 2" xfId="38092" xr:uid="{4AF7F779-1EE4-4700-AF4A-AC7814C820F8}"/>
    <cellStyle name="20% - Accent1 2 4 2 2 2 5" xfId="30488" xr:uid="{7C778205-8ECA-44D9-B691-76380CA704AA}"/>
    <cellStyle name="20% - Accent1 2 4 2 2 3" xfId="5220" xr:uid="{00000000-0005-0000-0000-000063000000}"/>
    <cellStyle name="20% - Accent1 2 4 2 2 3 2" xfId="5219" xr:uid="{00000000-0005-0000-0000-000064000000}"/>
    <cellStyle name="20% - Accent1 2 4 2 2 3 2 2" xfId="23112" xr:uid="{9A4DC732-9E4D-46D4-8B8E-BF33676E49F6}"/>
    <cellStyle name="20% - Accent1 2 4 2 2 3 2 2 2" xfId="38088" xr:uid="{E8408489-0B59-4AE2-89BC-1CD00D50BF5B}"/>
    <cellStyle name="20% - Accent1 2 4 2 2 3 2 3" xfId="30484" xr:uid="{A621BEF5-DAFB-4989-9622-ACE5D21C7E51}"/>
    <cellStyle name="20% - Accent1 2 4 2 2 3 3" xfId="23113" xr:uid="{AEE18AB0-F3C2-4F2F-922C-DBDA108EFE59}"/>
    <cellStyle name="20% - Accent1 2 4 2 2 3 3 2" xfId="38089" xr:uid="{2FCFAD1A-153A-4735-BAF5-7362637694FF}"/>
    <cellStyle name="20% - Accent1 2 4 2 2 3 4" xfId="30485" xr:uid="{65A852C5-7ED5-4DB1-9B3E-08BA0AE8DFC2}"/>
    <cellStyle name="20% - Accent1 2 4 2 2 4" xfId="5218" xr:uid="{00000000-0005-0000-0000-000065000000}"/>
    <cellStyle name="20% - Accent1 2 4 2 2 4 2" xfId="23111" xr:uid="{6DFB2F9C-C968-4BE9-B9E4-6C2D37C7B571}"/>
    <cellStyle name="20% - Accent1 2 4 2 2 4 2 2" xfId="38087" xr:uid="{71A8D29A-C3EB-4A53-8703-1DD8BE746D28}"/>
    <cellStyle name="20% - Accent1 2 4 2 2 4 3" xfId="30483" xr:uid="{0A41AAB9-CC31-4F2D-8CEF-CCE851D9FAF1}"/>
    <cellStyle name="20% - Accent1 2 4 2 2 5" xfId="23117" xr:uid="{2326E26C-CC36-4B29-B38B-C96E0EDD2F3E}"/>
    <cellStyle name="20% - Accent1 2 4 2 2 5 2" xfId="38093" xr:uid="{827666EE-5DE6-4A71-965F-0FFA64CBB09C}"/>
    <cellStyle name="20% - Accent1 2 4 2 2 6" xfId="30489" xr:uid="{906B92F0-274D-4B2B-A2E8-D5B61986A5F0}"/>
    <cellStyle name="20% - Accent1 2 4 2 3" xfId="5217" xr:uid="{00000000-0005-0000-0000-000066000000}"/>
    <cellStyle name="20% - Accent1 2 4 2 3 2" xfId="5216" xr:uid="{00000000-0005-0000-0000-000067000000}"/>
    <cellStyle name="20% - Accent1 2 4 2 3 2 2" xfId="5215" xr:uid="{00000000-0005-0000-0000-000068000000}"/>
    <cellStyle name="20% - Accent1 2 4 2 3 2 2 2" xfId="23108" xr:uid="{53646508-1833-46ED-8D71-F2B988779A74}"/>
    <cellStyle name="20% - Accent1 2 4 2 3 2 2 2 2" xfId="38084" xr:uid="{EBC5A363-06A4-4462-B44A-95525872767F}"/>
    <cellStyle name="20% - Accent1 2 4 2 3 2 2 3" xfId="30480" xr:uid="{F3D94DB2-6C36-430D-88F0-E745CD4F2B69}"/>
    <cellStyle name="20% - Accent1 2 4 2 3 2 3" xfId="5214" xr:uid="{00000000-0005-0000-0000-000069000000}"/>
    <cellStyle name="20% - Accent1 2 4 2 3 2 3 2" xfId="23107" xr:uid="{49EAB381-349A-4886-ACAA-99A96EF52028}"/>
    <cellStyle name="20% - Accent1 2 4 2 3 2 3 2 2" xfId="38083" xr:uid="{D6FCF57B-2642-46E6-B811-E9E0F84F8055}"/>
    <cellStyle name="20% - Accent1 2 4 2 3 2 3 3" xfId="30479" xr:uid="{7B752BBD-D8D5-4025-8F54-C67223BEEA96}"/>
    <cellStyle name="20% - Accent1 2 4 2 3 2 4" xfId="23109" xr:uid="{84F57F20-EF42-47BC-9028-9C55C8D0BB59}"/>
    <cellStyle name="20% - Accent1 2 4 2 3 2 4 2" xfId="38085" xr:uid="{F43C82E6-F12A-4369-BD80-283B5CFE0FA8}"/>
    <cellStyle name="20% - Accent1 2 4 2 3 2 5" xfId="30481" xr:uid="{2093C0E8-18D4-452C-AB4A-084A6B0CD664}"/>
    <cellStyle name="20% - Accent1 2 4 2 3 3" xfId="5213" xr:uid="{00000000-0005-0000-0000-00006A000000}"/>
    <cellStyle name="20% - Accent1 2 4 2 3 3 2" xfId="5212" xr:uid="{00000000-0005-0000-0000-00006B000000}"/>
    <cellStyle name="20% - Accent1 2 4 2 3 3 2 2" xfId="23105" xr:uid="{2D9A5EB7-79D7-4D23-BEFF-89B995C832EA}"/>
    <cellStyle name="20% - Accent1 2 4 2 3 3 2 2 2" xfId="38081" xr:uid="{A81FE95C-FDFC-40A6-A332-D0E6EA489EA2}"/>
    <cellStyle name="20% - Accent1 2 4 2 3 3 2 3" xfId="30477" xr:uid="{681CCA06-29C5-4AD8-8859-73E3BE505C44}"/>
    <cellStyle name="20% - Accent1 2 4 2 3 3 3" xfId="23106" xr:uid="{33397916-DFE9-43D4-A463-20BBCD27ED6D}"/>
    <cellStyle name="20% - Accent1 2 4 2 3 3 3 2" xfId="38082" xr:uid="{B7626E8B-57DE-457B-8982-894144E5F4BA}"/>
    <cellStyle name="20% - Accent1 2 4 2 3 3 4" xfId="30478" xr:uid="{A4681C7D-CE02-412D-8819-8E4656AD8352}"/>
    <cellStyle name="20% - Accent1 2 4 2 3 4" xfId="5211" xr:uid="{00000000-0005-0000-0000-00006C000000}"/>
    <cellStyle name="20% - Accent1 2 4 2 3 4 2" xfId="23104" xr:uid="{C53215D5-461F-4EA7-AFEF-FA10CCAEAEBC}"/>
    <cellStyle name="20% - Accent1 2 4 2 3 4 2 2" xfId="38080" xr:uid="{35687741-6DC7-4BF2-89CC-185059AB3913}"/>
    <cellStyle name="20% - Accent1 2 4 2 3 4 3" xfId="30476" xr:uid="{DBB636AB-A8EB-4F99-9559-A003788DE6B6}"/>
    <cellStyle name="20% - Accent1 2 4 2 3 5" xfId="23110" xr:uid="{D895CCAD-E40F-4A6A-8DA0-E485CDE76685}"/>
    <cellStyle name="20% - Accent1 2 4 2 3 5 2" xfId="38086" xr:uid="{732A863D-7C6B-48FE-B8EC-35CE87583F3D}"/>
    <cellStyle name="20% - Accent1 2 4 2 3 6" xfId="30482" xr:uid="{5B989038-33F6-419C-951F-0BCAD5712627}"/>
    <cellStyle name="20% - Accent1 2 4 2 4" xfId="5210" xr:uid="{00000000-0005-0000-0000-00006D000000}"/>
    <cellStyle name="20% - Accent1 2 4 2 4 2" xfId="5209" xr:uid="{00000000-0005-0000-0000-00006E000000}"/>
    <cellStyle name="20% - Accent1 2 4 2 4 2 2" xfId="23102" xr:uid="{788391C6-B66E-40AD-9EB4-095BE4A9F9AA}"/>
    <cellStyle name="20% - Accent1 2 4 2 4 2 2 2" xfId="38078" xr:uid="{0FFB8186-A8C1-496C-BC62-3533947DFCFE}"/>
    <cellStyle name="20% - Accent1 2 4 2 4 2 3" xfId="30474" xr:uid="{B4FA839C-C0AC-4575-9775-B75AE75A7A3E}"/>
    <cellStyle name="20% - Accent1 2 4 2 4 3" xfId="5208" xr:uid="{00000000-0005-0000-0000-00006F000000}"/>
    <cellStyle name="20% - Accent1 2 4 2 4 3 2" xfId="23101" xr:uid="{92FA5030-C470-48C7-B928-62DE27FF82C9}"/>
    <cellStyle name="20% - Accent1 2 4 2 4 3 2 2" xfId="38077" xr:uid="{06D95A8D-D18F-442F-936D-3DAE36C18B3D}"/>
    <cellStyle name="20% - Accent1 2 4 2 4 3 3" xfId="30473" xr:uid="{CFB11271-4A0F-4AA6-A022-B15F6EBE5529}"/>
    <cellStyle name="20% - Accent1 2 4 2 4 4" xfId="23103" xr:uid="{7DDA2692-0D77-48C0-83A7-ACEDA6B64B30}"/>
    <cellStyle name="20% - Accent1 2 4 2 4 4 2" xfId="38079" xr:uid="{83719358-DEE8-468A-B13C-A97EB3266DC5}"/>
    <cellStyle name="20% - Accent1 2 4 2 4 5" xfId="30475" xr:uid="{D0504B1E-2B31-48B9-B991-67D2CB24340E}"/>
    <cellStyle name="20% - Accent1 2 4 2 5" xfId="5207" xr:uid="{00000000-0005-0000-0000-000070000000}"/>
    <cellStyle name="20% - Accent1 2 4 2 5 2" xfId="23100" xr:uid="{54FDF5D0-F129-40AD-BCFC-FF1BD5529BF4}"/>
    <cellStyle name="20% - Accent1 2 4 2 5 2 2" xfId="38076" xr:uid="{A6D0D056-1D61-4AC8-803B-6D7B1E4F053E}"/>
    <cellStyle name="20% - Accent1 2 4 2 5 3" xfId="30472" xr:uid="{6CAE735A-6648-442B-9626-3EED42AE4584}"/>
    <cellStyle name="20% - Accent1 2 4 2 6" xfId="5206" xr:uid="{00000000-0005-0000-0000-000071000000}"/>
    <cellStyle name="20% - Accent1 2 4 2 6 2" xfId="5205" xr:uid="{00000000-0005-0000-0000-000072000000}"/>
    <cellStyle name="20% - Accent1 2 4 2 6 2 2" xfId="23098" xr:uid="{B6F4B96E-FAFF-4C88-8A09-2B0FD3FFEA7E}"/>
    <cellStyle name="20% - Accent1 2 4 2 6 2 2 2" xfId="38074" xr:uid="{C38A7C80-F471-429D-9C2A-52D29FDCF387}"/>
    <cellStyle name="20% - Accent1 2 4 2 6 2 3" xfId="30470" xr:uid="{151E6415-1529-4F94-98F3-EC488DDDAB45}"/>
    <cellStyle name="20% - Accent1 2 4 2 6 3" xfId="23099" xr:uid="{D48DC2C1-0009-482B-B8A2-341D1B2F6A3D}"/>
    <cellStyle name="20% - Accent1 2 4 2 6 3 2" xfId="38075" xr:uid="{0998E4F0-4B09-4BB2-ACB6-36D8420E1CF5}"/>
    <cellStyle name="20% - Accent1 2 4 2 6 4" xfId="30471" xr:uid="{3C8ADEB0-4DD9-43E0-8E78-4B1069EE772E}"/>
    <cellStyle name="20% - Accent1 2 4 2 7" xfId="5204" xr:uid="{00000000-0005-0000-0000-000073000000}"/>
    <cellStyle name="20% - Accent1 2 4 2 7 2" xfId="23097" xr:uid="{3A5368FF-34E3-4CF8-BEA8-688B7E1B41E1}"/>
    <cellStyle name="20% - Accent1 2 4 2 7 2 2" xfId="38073" xr:uid="{2262A1E6-FE1E-4EC4-B138-BB7FDCFEC9C1}"/>
    <cellStyle name="20% - Accent1 2 4 2 7 3" xfId="30469" xr:uid="{902D97EE-89FD-4700-827F-922B85EBCFE7}"/>
    <cellStyle name="20% - Accent1 2 4 2 8" xfId="23118" xr:uid="{FB5EFB55-B55B-43DD-A8DA-06E7C1F83794}"/>
    <cellStyle name="20% - Accent1 2 4 2 8 2" xfId="38094" xr:uid="{51B61594-9864-46D7-BB7D-840100AC362F}"/>
    <cellStyle name="20% - Accent1 2 4 2 9" xfId="30490" xr:uid="{E3A44917-F4D4-45D3-BBC4-AF17B82B53F3}"/>
    <cellStyle name="20% - Accent1 2 4 3" xfId="5203" xr:uid="{00000000-0005-0000-0000-000074000000}"/>
    <cellStyle name="20% - Accent1 2 4 3 2" xfId="5202" xr:uid="{00000000-0005-0000-0000-000075000000}"/>
    <cellStyle name="20% - Accent1 2 4 3 2 2" xfId="5201" xr:uid="{00000000-0005-0000-0000-000076000000}"/>
    <cellStyle name="20% - Accent1 2 4 3 2 2 2" xfId="23094" xr:uid="{9FAD5CDE-022E-4081-8730-BFFBD35F04AC}"/>
    <cellStyle name="20% - Accent1 2 4 3 2 2 2 2" xfId="38070" xr:uid="{C99AE08D-A83E-483E-B4EB-63E2DFB6440E}"/>
    <cellStyle name="20% - Accent1 2 4 3 2 2 3" xfId="30466" xr:uid="{07CE4E02-D98E-4293-BF7B-E5CCBE0B0685}"/>
    <cellStyle name="20% - Accent1 2 4 3 2 3" xfId="5200" xr:uid="{00000000-0005-0000-0000-000077000000}"/>
    <cellStyle name="20% - Accent1 2 4 3 2 3 2" xfId="23093" xr:uid="{747D66F3-8A05-4846-836C-8402FD0FC962}"/>
    <cellStyle name="20% - Accent1 2 4 3 2 3 2 2" xfId="38069" xr:uid="{6F53E9FC-CCE2-4704-BE17-0F621EDDF515}"/>
    <cellStyle name="20% - Accent1 2 4 3 2 3 3" xfId="30465" xr:uid="{1ACAA4A5-0286-4039-86C9-13F1E7FE9FA2}"/>
    <cellStyle name="20% - Accent1 2 4 3 2 4" xfId="23095" xr:uid="{1C838CA5-1A02-4FD1-8B11-A1A614D0606B}"/>
    <cellStyle name="20% - Accent1 2 4 3 2 4 2" xfId="38071" xr:uid="{8DE9BCF9-B21F-4630-B889-D5D58C0DC7B0}"/>
    <cellStyle name="20% - Accent1 2 4 3 2 5" xfId="30467" xr:uid="{833103A3-5499-4AD6-BC16-4E3EC7FA259E}"/>
    <cellStyle name="20% - Accent1 2 4 3 3" xfId="5199" xr:uid="{00000000-0005-0000-0000-000078000000}"/>
    <cellStyle name="20% - Accent1 2 4 3 3 2" xfId="5198" xr:uid="{00000000-0005-0000-0000-000079000000}"/>
    <cellStyle name="20% - Accent1 2 4 3 3 2 2" xfId="23091" xr:uid="{175E4C25-2404-4CBB-9A81-E561711EB3BC}"/>
    <cellStyle name="20% - Accent1 2 4 3 3 2 2 2" xfId="38067" xr:uid="{5973286F-76DF-4591-9EBD-6FC00CADC2A0}"/>
    <cellStyle name="20% - Accent1 2 4 3 3 2 3" xfId="30463" xr:uid="{F4C3DF90-BF72-4473-AC0D-9C296672C877}"/>
    <cellStyle name="20% - Accent1 2 4 3 3 3" xfId="23092" xr:uid="{3BA43B6A-91CF-4901-A33D-B2A840E253A9}"/>
    <cellStyle name="20% - Accent1 2 4 3 3 3 2" xfId="38068" xr:uid="{AE865A09-DBC8-4757-BDFB-F57FD80422C3}"/>
    <cellStyle name="20% - Accent1 2 4 3 3 4" xfId="30464" xr:uid="{3CC6BEF3-9B0C-43E2-A9EA-5291B4EA5EC8}"/>
    <cellStyle name="20% - Accent1 2 4 3 4" xfId="5197" xr:uid="{00000000-0005-0000-0000-00007A000000}"/>
    <cellStyle name="20% - Accent1 2 4 3 4 2" xfId="23090" xr:uid="{0B83B629-C89E-4293-A448-961128A937AC}"/>
    <cellStyle name="20% - Accent1 2 4 3 4 2 2" xfId="38066" xr:uid="{D5283DEB-18B5-4A79-B658-F3BA4BEBF94E}"/>
    <cellStyle name="20% - Accent1 2 4 3 4 3" xfId="30462" xr:uid="{B625F90D-E72B-421F-8826-37B5FB53DC53}"/>
    <cellStyle name="20% - Accent1 2 4 3 5" xfId="23096" xr:uid="{9E51024F-A05F-4FA4-BE79-48C1112A2891}"/>
    <cellStyle name="20% - Accent1 2 4 3 5 2" xfId="38072" xr:uid="{D3F12B89-8464-440F-85A5-90E20EC106BF}"/>
    <cellStyle name="20% - Accent1 2 4 3 6" xfId="30468" xr:uid="{2E80D908-D60B-458B-A3D2-8CB2256EDB08}"/>
    <cellStyle name="20% - Accent1 2 4 4" xfId="5196" xr:uid="{00000000-0005-0000-0000-00007B000000}"/>
    <cellStyle name="20% - Accent1 2 4 4 2" xfId="5195" xr:uid="{00000000-0005-0000-0000-00007C000000}"/>
    <cellStyle name="20% - Accent1 2 4 4 2 2" xfId="5194" xr:uid="{00000000-0005-0000-0000-00007D000000}"/>
    <cellStyle name="20% - Accent1 2 4 4 2 2 2" xfId="23087" xr:uid="{6F25CE89-7213-4774-A895-56D7321123E2}"/>
    <cellStyle name="20% - Accent1 2 4 4 2 2 2 2" xfId="38063" xr:uid="{4087E9E6-6D18-4ECE-B206-19A772D71648}"/>
    <cellStyle name="20% - Accent1 2 4 4 2 2 3" xfId="30459" xr:uid="{FD1F71ED-FE89-4D29-8DB4-90630CE1F05D}"/>
    <cellStyle name="20% - Accent1 2 4 4 2 3" xfId="5193" xr:uid="{00000000-0005-0000-0000-00007E000000}"/>
    <cellStyle name="20% - Accent1 2 4 4 2 3 2" xfId="23086" xr:uid="{1BAC9394-A830-4E00-BDDB-A7F51E362E52}"/>
    <cellStyle name="20% - Accent1 2 4 4 2 3 2 2" xfId="38062" xr:uid="{3C77707F-1B7F-49B2-B871-8328CAA85606}"/>
    <cellStyle name="20% - Accent1 2 4 4 2 3 3" xfId="30458" xr:uid="{B8A6262B-DFAB-46E1-B309-98D1BF177D0D}"/>
    <cellStyle name="20% - Accent1 2 4 4 2 4" xfId="23088" xr:uid="{0C109230-6099-4F34-87B5-6CCC1B1C1008}"/>
    <cellStyle name="20% - Accent1 2 4 4 2 4 2" xfId="38064" xr:uid="{8CB2A4B6-E0F3-4E83-8790-1BAA51418708}"/>
    <cellStyle name="20% - Accent1 2 4 4 2 5" xfId="30460" xr:uid="{EF60D4D4-EAB9-4028-8A2A-B2A199A01E18}"/>
    <cellStyle name="20% - Accent1 2 4 4 3" xfId="5192" xr:uid="{00000000-0005-0000-0000-00007F000000}"/>
    <cellStyle name="20% - Accent1 2 4 4 3 2" xfId="5191" xr:uid="{00000000-0005-0000-0000-000080000000}"/>
    <cellStyle name="20% - Accent1 2 4 4 3 2 2" xfId="23084" xr:uid="{64EBADDD-9135-4D75-B01D-816C6513CFC0}"/>
    <cellStyle name="20% - Accent1 2 4 4 3 2 2 2" xfId="38060" xr:uid="{34F91C03-458B-4105-8A57-5FA989DC7A9C}"/>
    <cellStyle name="20% - Accent1 2 4 4 3 2 3" xfId="30456" xr:uid="{E874E12F-2DE7-46C5-8C23-A53B0DFFC243}"/>
    <cellStyle name="20% - Accent1 2 4 4 3 3" xfId="23085" xr:uid="{BE5F7314-58F2-4CBD-83D9-22222F19FC96}"/>
    <cellStyle name="20% - Accent1 2 4 4 3 3 2" xfId="38061" xr:uid="{AA26B841-12CF-4195-8051-E6E6F64307A5}"/>
    <cellStyle name="20% - Accent1 2 4 4 3 4" xfId="30457" xr:uid="{314A84DB-8468-4295-B6EA-842ACA5A0845}"/>
    <cellStyle name="20% - Accent1 2 4 4 4" xfId="5190" xr:uid="{00000000-0005-0000-0000-000081000000}"/>
    <cellStyle name="20% - Accent1 2 4 4 4 2" xfId="23083" xr:uid="{324F661A-61AC-42A0-A8CA-F75D6DC5ADD5}"/>
    <cellStyle name="20% - Accent1 2 4 4 4 2 2" xfId="38059" xr:uid="{E99204A0-7EDE-4557-962B-2D6E18DFA9ED}"/>
    <cellStyle name="20% - Accent1 2 4 4 4 3" xfId="30455" xr:uid="{A2A4DF8E-BE19-4EEE-BA72-54429EABF991}"/>
    <cellStyle name="20% - Accent1 2 4 4 5" xfId="23089" xr:uid="{B3A18A9C-AB7F-4211-AA6A-69B3DD320E8D}"/>
    <cellStyle name="20% - Accent1 2 4 4 5 2" xfId="38065" xr:uid="{3AB0DD16-6C00-4A08-BEBA-CDC5FC55FC36}"/>
    <cellStyle name="20% - Accent1 2 4 4 6" xfId="30461" xr:uid="{39B56774-E662-4FA0-B982-681697727B4F}"/>
    <cellStyle name="20% - Accent1 2 4 5" xfId="5189" xr:uid="{00000000-0005-0000-0000-000082000000}"/>
    <cellStyle name="20% - Accent1 2 4 5 2" xfId="5188" xr:uid="{00000000-0005-0000-0000-000083000000}"/>
    <cellStyle name="20% - Accent1 2 4 5 2 2" xfId="23081" xr:uid="{28006EB2-2DC6-4CC8-8AA6-9853B93FF416}"/>
    <cellStyle name="20% - Accent1 2 4 5 2 2 2" xfId="38057" xr:uid="{B82156DA-8EEA-4A1F-9943-CC7668E5EA6C}"/>
    <cellStyle name="20% - Accent1 2 4 5 2 3" xfId="30453" xr:uid="{8EFA4245-AC07-4743-8681-191EFB9B27C8}"/>
    <cellStyle name="20% - Accent1 2 4 5 3" xfId="5187" xr:uid="{00000000-0005-0000-0000-000084000000}"/>
    <cellStyle name="20% - Accent1 2 4 5 3 2" xfId="23080" xr:uid="{48E45D22-6A98-4E8B-B91C-0D632486515E}"/>
    <cellStyle name="20% - Accent1 2 4 5 3 2 2" xfId="38056" xr:uid="{8A43FE36-B244-4FFD-9C2A-1F99877F41D7}"/>
    <cellStyle name="20% - Accent1 2 4 5 3 3" xfId="30452" xr:uid="{636BDD89-EA27-4B2B-8953-0DAA154D63D8}"/>
    <cellStyle name="20% - Accent1 2 4 5 4" xfId="23082" xr:uid="{A116C2B5-DE0B-4BB0-B70E-F1CAA47C5FBC}"/>
    <cellStyle name="20% - Accent1 2 4 5 4 2" xfId="38058" xr:uid="{F19F2DEB-E96C-469E-8998-29AEE46CDA17}"/>
    <cellStyle name="20% - Accent1 2 4 5 5" xfId="30454" xr:uid="{C490027E-6F4B-4311-A7C6-05E8F8F18E7E}"/>
    <cellStyle name="20% - Accent1 2 4 6" xfId="5186" xr:uid="{00000000-0005-0000-0000-000085000000}"/>
    <cellStyle name="20% - Accent1 2 4 6 2" xfId="23079" xr:uid="{47EE0732-4A1C-4D65-9846-F6DD6C419781}"/>
    <cellStyle name="20% - Accent1 2 4 6 2 2" xfId="38055" xr:uid="{7F26CA95-BC1D-459B-9991-DC82F18A6181}"/>
    <cellStyle name="20% - Accent1 2 4 6 3" xfId="30451" xr:uid="{49CDC6AE-AB74-4008-A656-0C8D3ECFD9AA}"/>
    <cellStyle name="20% - Accent1 2 4 7" xfId="5185" xr:uid="{00000000-0005-0000-0000-000086000000}"/>
    <cellStyle name="20% - Accent1 2 4 7 2" xfId="5184" xr:uid="{00000000-0005-0000-0000-000087000000}"/>
    <cellStyle name="20% - Accent1 2 4 7 2 2" xfId="23077" xr:uid="{890C26A0-7D62-4B21-9370-CE8ACCCCA13B}"/>
    <cellStyle name="20% - Accent1 2 4 7 2 2 2" xfId="38053" xr:uid="{5E4B5E8E-A9E7-4184-8634-D07A3B7CE129}"/>
    <cellStyle name="20% - Accent1 2 4 7 2 3" xfId="30449" xr:uid="{FEDC94AA-6BAC-4F4D-8DFF-FF77224E049D}"/>
    <cellStyle name="20% - Accent1 2 4 7 3" xfId="23078" xr:uid="{C94CB2F5-CC60-4C09-BAD3-B39918918D87}"/>
    <cellStyle name="20% - Accent1 2 4 7 3 2" xfId="38054" xr:uid="{71C7D620-AAD1-442E-A3D2-FC353B6F70C8}"/>
    <cellStyle name="20% - Accent1 2 4 7 4" xfId="30450" xr:uid="{483563D9-7DBA-47D0-807F-CFA425085A5D}"/>
    <cellStyle name="20% - Accent1 2 4 8" xfId="5183" xr:uid="{00000000-0005-0000-0000-000088000000}"/>
    <cellStyle name="20% - Accent1 2 4 8 2" xfId="23076" xr:uid="{9185EC3F-EFC9-4B41-AB84-F9C636109C51}"/>
    <cellStyle name="20% - Accent1 2 4 8 2 2" xfId="38052" xr:uid="{2643FF45-E85A-4CF1-8C46-38F5545EE2CF}"/>
    <cellStyle name="20% - Accent1 2 4 8 3" xfId="30448" xr:uid="{738A4FF5-DFE7-4882-B6DB-E1041AE1A25E}"/>
    <cellStyle name="20% - Accent1 2 4 9" xfId="23119" xr:uid="{00DCE905-E99C-49FA-8AAA-4A5F2A8381EC}"/>
    <cellStyle name="20% - Accent1 2 4 9 2" xfId="38095" xr:uid="{201E70B4-3196-4D18-B128-E118C5EB8436}"/>
    <cellStyle name="20% - Accent1 2 5" xfId="5182" xr:uid="{00000000-0005-0000-0000-000089000000}"/>
    <cellStyle name="20% - Accent1 2 5 10" xfId="30447" xr:uid="{E360BD39-05FC-4162-A343-8994E2AF3AD7}"/>
    <cellStyle name="20% - Accent1 2 5 2" xfId="5181" xr:uid="{00000000-0005-0000-0000-00008A000000}"/>
    <cellStyle name="20% - Accent1 2 5 2 2" xfId="5180" xr:uid="{00000000-0005-0000-0000-00008B000000}"/>
    <cellStyle name="20% - Accent1 2 5 2 2 2" xfId="5179" xr:uid="{00000000-0005-0000-0000-00008C000000}"/>
    <cellStyle name="20% - Accent1 2 5 2 2 2 2" xfId="5178" xr:uid="{00000000-0005-0000-0000-00008D000000}"/>
    <cellStyle name="20% - Accent1 2 5 2 2 2 2 2" xfId="23071" xr:uid="{BCD4C7EC-5BCC-4A8A-A45D-9590A48E88CF}"/>
    <cellStyle name="20% - Accent1 2 5 2 2 2 2 2 2" xfId="38047" xr:uid="{284CA616-41A5-4FB6-9037-B0ED2D136D6D}"/>
    <cellStyle name="20% - Accent1 2 5 2 2 2 2 3" xfId="30443" xr:uid="{0DD7DB3A-4203-4CD7-840F-2B252B5621A5}"/>
    <cellStyle name="20% - Accent1 2 5 2 2 2 3" xfId="5177" xr:uid="{00000000-0005-0000-0000-00008E000000}"/>
    <cellStyle name="20% - Accent1 2 5 2 2 2 3 2" xfId="23070" xr:uid="{FF70FC96-AB50-4161-B952-CC69463F54ED}"/>
    <cellStyle name="20% - Accent1 2 5 2 2 2 3 2 2" xfId="38046" xr:uid="{04AC239F-9B30-41CD-AF24-B37149CA02C2}"/>
    <cellStyle name="20% - Accent1 2 5 2 2 2 3 3" xfId="30442" xr:uid="{19B2FBFF-CFB6-4358-8F12-87772F96E137}"/>
    <cellStyle name="20% - Accent1 2 5 2 2 2 4" xfId="23072" xr:uid="{01BBAAE2-5C3A-4EB1-8DEF-C448AF481625}"/>
    <cellStyle name="20% - Accent1 2 5 2 2 2 4 2" xfId="38048" xr:uid="{BFED9399-9524-4E6E-BC85-2BE5C98EB3AB}"/>
    <cellStyle name="20% - Accent1 2 5 2 2 2 5" xfId="30444" xr:uid="{CF1BBE57-C062-4421-B17B-03E1645F6677}"/>
    <cellStyle name="20% - Accent1 2 5 2 2 3" xfId="5176" xr:uid="{00000000-0005-0000-0000-00008F000000}"/>
    <cellStyle name="20% - Accent1 2 5 2 2 3 2" xfId="5175" xr:uid="{00000000-0005-0000-0000-000090000000}"/>
    <cellStyle name="20% - Accent1 2 5 2 2 3 2 2" xfId="23068" xr:uid="{F0E1B842-8E2C-40CD-B5C0-7094CBC389E1}"/>
    <cellStyle name="20% - Accent1 2 5 2 2 3 2 2 2" xfId="38044" xr:uid="{2F7B212C-615A-4A11-9E6C-0F77C57A4AC1}"/>
    <cellStyle name="20% - Accent1 2 5 2 2 3 2 3" xfId="30440" xr:uid="{D35D8D6E-D48F-4C07-B900-5CA39F4200F7}"/>
    <cellStyle name="20% - Accent1 2 5 2 2 3 3" xfId="23069" xr:uid="{697118C7-22E4-4F35-A16D-80B6D560EDDD}"/>
    <cellStyle name="20% - Accent1 2 5 2 2 3 3 2" xfId="38045" xr:uid="{072FCB66-86E6-46D8-BF9B-42B0ABA987F4}"/>
    <cellStyle name="20% - Accent1 2 5 2 2 3 4" xfId="30441" xr:uid="{5B966780-F048-4CFC-9AF2-879D312E79F6}"/>
    <cellStyle name="20% - Accent1 2 5 2 2 4" xfId="5174" xr:uid="{00000000-0005-0000-0000-000091000000}"/>
    <cellStyle name="20% - Accent1 2 5 2 2 4 2" xfId="23067" xr:uid="{5A17FC78-D5AE-4526-A2BE-D05F8B49EED1}"/>
    <cellStyle name="20% - Accent1 2 5 2 2 4 2 2" xfId="38043" xr:uid="{C71FDC0D-5734-4D28-BFFF-E3AFE4910CFA}"/>
    <cellStyle name="20% - Accent1 2 5 2 2 4 3" xfId="30439" xr:uid="{451B199A-66BD-403E-BCC2-9DCA66388947}"/>
    <cellStyle name="20% - Accent1 2 5 2 2 5" xfId="23073" xr:uid="{F6D78EA4-E9D7-4585-A50D-B5D97ACE902A}"/>
    <cellStyle name="20% - Accent1 2 5 2 2 5 2" xfId="38049" xr:uid="{8FB74197-D1BE-4F58-AC2E-E4438E0A6DBF}"/>
    <cellStyle name="20% - Accent1 2 5 2 2 6" xfId="30445" xr:uid="{2B5A661A-DF02-4421-9A8A-8FEC610B7B9C}"/>
    <cellStyle name="20% - Accent1 2 5 2 3" xfId="5173" xr:uid="{00000000-0005-0000-0000-000092000000}"/>
    <cellStyle name="20% - Accent1 2 5 2 3 2" xfId="5172" xr:uid="{00000000-0005-0000-0000-000093000000}"/>
    <cellStyle name="20% - Accent1 2 5 2 3 2 2" xfId="5171" xr:uid="{00000000-0005-0000-0000-000094000000}"/>
    <cellStyle name="20% - Accent1 2 5 2 3 2 2 2" xfId="23064" xr:uid="{8762E002-2D11-48AD-BBB9-361CB73B3A00}"/>
    <cellStyle name="20% - Accent1 2 5 2 3 2 2 2 2" xfId="38040" xr:uid="{232CF413-B063-46E9-8B84-BC8742C8208E}"/>
    <cellStyle name="20% - Accent1 2 5 2 3 2 2 3" xfId="30436" xr:uid="{F3B210B1-9D3C-4E0D-BE42-F5A3F199F028}"/>
    <cellStyle name="20% - Accent1 2 5 2 3 2 3" xfId="5170" xr:uid="{00000000-0005-0000-0000-000095000000}"/>
    <cellStyle name="20% - Accent1 2 5 2 3 2 3 2" xfId="23063" xr:uid="{BFC844C1-3F9A-4D7C-B4FA-A63AEB051413}"/>
    <cellStyle name="20% - Accent1 2 5 2 3 2 3 2 2" xfId="38039" xr:uid="{F3C00AD7-1CCD-410F-AF72-460DAC0DAAC1}"/>
    <cellStyle name="20% - Accent1 2 5 2 3 2 3 3" xfId="30435" xr:uid="{9338C694-080F-4EBC-9EF1-8B76E7B2DD89}"/>
    <cellStyle name="20% - Accent1 2 5 2 3 2 4" xfId="23065" xr:uid="{07F0B21D-D659-4CBF-8C80-3BC76C735725}"/>
    <cellStyle name="20% - Accent1 2 5 2 3 2 4 2" xfId="38041" xr:uid="{D37439E3-408F-4F67-B267-008611D94B57}"/>
    <cellStyle name="20% - Accent1 2 5 2 3 2 5" xfId="30437" xr:uid="{10656F51-C747-4836-9EA9-05E58189EB70}"/>
    <cellStyle name="20% - Accent1 2 5 2 3 3" xfId="5169" xr:uid="{00000000-0005-0000-0000-000096000000}"/>
    <cellStyle name="20% - Accent1 2 5 2 3 3 2" xfId="5168" xr:uid="{00000000-0005-0000-0000-000097000000}"/>
    <cellStyle name="20% - Accent1 2 5 2 3 3 2 2" xfId="23061" xr:uid="{5D3491AF-1881-419B-8F71-A9CF965502CB}"/>
    <cellStyle name="20% - Accent1 2 5 2 3 3 2 2 2" xfId="38037" xr:uid="{835F2BF6-493B-469E-A7D8-1F7FEA6A204C}"/>
    <cellStyle name="20% - Accent1 2 5 2 3 3 2 3" xfId="30433" xr:uid="{0371B9A8-B322-40B5-9533-69145FF9CB0C}"/>
    <cellStyle name="20% - Accent1 2 5 2 3 3 3" xfId="23062" xr:uid="{C825031A-372C-4CF0-B09A-50276667CDCF}"/>
    <cellStyle name="20% - Accent1 2 5 2 3 3 3 2" xfId="38038" xr:uid="{D552D9D3-3391-4910-AD78-081D4CB230B1}"/>
    <cellStyle name="20% - Accent1 2 5 2 3 3 4" xfId="30434" xr:uid="{8ED2FAF5-0769-43EB-B8DF-6A431612749B}"/>
    <cellStyle name="20% - Accent1 2 5 2 3 4" xfId="5167" xr:uid="{00000000-0005-0000-0000-000098000000}"/>
    <cellStyle name="20% - Accent1 2 5 2 3 4 2" xfId="23060" xr:uid="{EC41AEE8-BD6F-4042-BBEB-B64BE0775370}"/>
    <cellStyle name="20% - Accent1 2 5 2 3 4 2 2" xfId="38036" xr:uid="{D5B91008-A482-483F-A9F5-86E2A438079F}"/>
    <cellStyle name="20% - Accent1 2 5 2 3 4 3" xfId="30432" xr:uid="{59FDDA85-2627-4092-A8BA-BD2109E3A0F1}"/>
    <cellStyle name="20% - Accent1 2 5 2 3 5" xfId="23066" xr:uid="{E8506E45-C361-4997-ADFF-2ED42EA09989}"/>
    <cellStyle name="20% - Accent1 2 5 2 3 5 2" xfId="38042" xr:uid="{590AADED-8A01-4334-89BC-D4E95B50DD81}"/>
    <cellStyle name="20% - Accent1 2 5 2 3 6" xfId="30438" xr:uid="{603C7413-F313-4CB9-AB8E-E89E89AA1FB1}"/>
    <cellStyle name="20% - Accent1 2 5 2 4" xfId="5166" xr:uid="{00000000-0005-0000-0000-000099000000}"/>
    <cellStyle name="20% - Accent1 2 5 2 4 2" xfId="5165" xr:uid="{00000000-0005-0000-0000-00009A000000}"/>
    <cellStyle name="20% - Accent1 2 5 2 4 2 2" xfId="23058" xr:uid="{A8DB576A-B444-4889-A10F-ED59B44920B3}"/>
    <cellStyle name="20% - Accent1 2 5 2 4 2 2 2" xfId="38034" xr:uid="{B0FA9E4D-7CE8-47D9-B553-AC078F2DE114}"/>
    <cellStyle name="20% - Accent1 2 5 2 4 2 3" xfId="30430" xr:uid="{74D31EA2-E51F-40C6-A929-03F1C9877186}"/>
    <cellStyle name="20% - Accent1 2 5 2 4 3" xfId="5164" xr:uid="{00000000-0005-0000-0000-00009B000000}"/>
    <cellStyle name="20% - Accent1 2 5 2 4 3 2" xfId="23057" xr:uid="{8F345FC9-4168-48CA-B406-F3F68E66237F}"/>
    <cellStyle name="20% - Accent1 2 5 2 4 3 2 2" xfId="38033" xr:uid="{BDCACFD8-6F3A-4164-AA55-3A0F3854489E}"/>
    <cellStyle name="20% - Accent1 2 5 2 4 3 3" xfId="30429" xr:uid="{922A5225-715E-42CC-A1B0-F20E62D4DA5D}"/>
    <cellStyle name="20% - Accent1 2 5 2 4 4" xfId="23059" xr:uid="{9BBFAC54-AAD0-4140-BF28-78ABA7AB9A4E}"/>
    <cellStyle name="20% - Accent1 2 5 2 4 4 2" xfId="38035" xr:uid="{2C6AA068-06EB-481A-AB39-69CC06C93B5C}"/>
    <cellStyle name="20% - Accent1 2 5 2 4 5" xfId="30431" xr:uid="{BE451834-A981-491D-AF9C-1CA794CFE18E}"/>
    <cellStyle name="20% - Accent1 2 5 2 5" xfId="5163" xr:uid="{00000000-0005-0000-0000-00009C000000}"/>
    <cellStyle name="20% - Accent1 2 5 2 5 2" xfId="23056" xr:uid="{F71B9633-F083-4D3C-8532-347AB31CC6EA}"/>
    <cellStyle name="20% - Accent1 2 5 2 5 2 2" xfId="38032" xr:uid="{E0995859-BC8A-4B8D-93E8-1092024EEA6B}"/>
    <cellStyle name="20% - Accent1 2 5 2 5 3" xfId="30428" xr:uid="{FD661D49-6CAA-4489-956A-3009770E2A2B}"/>
    <cellStyle name="20% - Accent1 2 5 2 6" xfId="5162" xr:uid="{00000000-0005-0000-0000-00009D000000}"/>
    <cellStyle name="20% - Accent1 2 5 2 6 2" xfId="5161" xr:uid="{00000000-0005-0000-0000-00009E000000}"/>
    <cellStyle name="20% - Accent1 2 5 2 6 2 2" xfId="23054" xr:uid="{2CB17F2D-9CAA-4322-9531-6BE9A2E5D8BF}"/>
    <cellStyle name="20% - Accent1 2 5 2 6 2 2 2" xfId="38030" xr:uid="{C898851D-F8D3-478B-B90A-4D6BE8B77FDA}"/>
    <cellStyle name="20% - Accent1 2 5 2 6 2 3" xfId="30426" xr:uid="{3F468B96-D53E-4089-B57E-98946B83193D}"/>
    <cellStyle name="20% - Accent1 2 5 2 6 3" xfId="23055" xr:uid="{C6BD807E-F3D9-446E-8C68-B158D0D8CB38}"/>
    <cellStyle name="20% - Accent1 2 5 2 6 3 2" xfId="38031" xr:uid="{D92F9590-446E-4DF7-9FF2-17E549BD336A}"/>
    <cellStyle name="20% - Accent1 2 5 2 6 4" xfId="30427" xr:uid="{764699B2-9302-457A-AF03-C25F5639E1FD}"/>
    <cellStyle name="20% - Accent1 2 5 2 7" xfId="5160" xr:uid="{00000000-0005-0000-0000-00009F000000}"/>
    <cellStyle name="20% - Accent1 2 5 2 7 2" xfId="23053" xr:uid="{D1BB76C7-A4A9-48FA-BD7E-E09EA3EF9D5D}"/>
    <cellStyle name="20% - Accent1 2 5 2 7 2 2" xfId="38029" xr:uid="{B47714DD-6A40-4261-82E9-714EFEACECEA}"/>
    <cellStyle name="20% - Accent1 2 5 2 7 3" xfId="30425" xr:uid="{12642E0E-7BDC-46EF-87FB-58FBC72ECD46}"/>
    <cellStyle name="20% - Accent1 2 5 2 8" xfId="23074" xr:uid="{EFC2319F-8399-48A8-9A46-AFFBA3AA0842}"/>
    <cellStyle name="20% - Accent1 2 5 2 8 2" xfId="38050" xr:uid="{966C4A7D-1FAF-4601-AFA6-502C5E371112}"/>
    <cellStyle name="20% - Accent1 2 5 2 9" xfId="30446" xr:uid="{A4BD0E31-5F6F-430B-92A0-54CD48A41988}"/>
    <cellStyle name="20% - Accent1 2 5 3" xfId="5159" xr:uid="{00000000-0005-0000-0000-0000A0000000}"/>
    <cellStyle name="20% - Accent1 2 5 3 2" xfId="5158" xr:uid="{00000000-0005-0000-0000-0000A1000000}"/>
    <cellStyle name="20% - Accent1 2 5 3 2 2" xfId="5157" xr:uid="{00000000-0005-0000-0000-0000A2000000}"/>
    <cellStyle name="20% - Accent1 2 5 3 2 2 2" xfId="23050" xr:uid="{80DD5BCE-F821-437D-AFAE-A3783010E9A1}"/>
    <cellStyle name="20% - Accent1 2 5 3 2 2 2 2" xfId="38026" xr:uid="{06254D25-4752-431A-92D5-54E1B024472F}"/>
    <cellStyle name="20% - Accent1 2 5 3 2 2 3" xfId="30422" xr:uid="{9A541627-DF1F-4A73-8D57-83257AAAEF05}"/>
    <cellStyle name="20% - Accent1 2 5 3 2 3" xfId="5156" xr:uid="{00000000-0005-0000-0000-0000A3000000}"/>
    <cellStyle name="20% - Accent1 2 5 3 2 3 2" xfId="23049" xr:uid="{20153272-27AA-4208-B416-E9BFBBEE839D}"/>
    <cellStyle name="20% - Accent1 2 5 3 2 3 2 2" xfId="38025" xr:uid="{ADDF95E1-6495-4FEE-8FE0-6EF860417703}"/>
    <cellStyle name="20% - Accent1 2 5 3 2 3 3" xfId="30421" xr:uid="{22C8963F-6B78-4562-84AB-15CC7CA0B098}"/>
    <cellStyle name="20% - Accent1 2 5 3 2 4" xfId="23051" xr:uid="{AE6F6C96-9900-4BCF-BE75-51ECF3D56F21}"/>
    <cellStyle name="20% - Accent1 2 5 3 2 4 2" xfId="38027" xr:uid="{E23D5691-E78E-4DC0-9ECA-9C9B4738F7BD}"/>
    <cellStyle name="20% - Accent1 2 5 3 2 5" xfId="30423" xr:uid="{DFBF5E10-4BCF-4197-B76A-8E5751A520F1}"/>
    <cellStyle name="20% - Accent1 2 5 3 3" xfId="5155" xr:uid="{00000000-0005-0000-0000-0000A4000000}"/>
    <cellStyle name="20% - Accent1 2 5 3 3 2" xfId="5154" xr:uid="{00000000-0005-0000-0000-0000A5000000}"/>
    <cellStyle name="20% - Accent1 2 5 3 3 2 2" xfId="23047" xr:uid="{681FFD04-A01F-4D6D-B5FA-FD07AC8E9FB3}"/>
    <cellStyle name="20% - Accent1 2 5 3 3 2 2 2" xfId="38023" xr:uid="{C60EF732-1FCA-40B9-8500-E3BE417CF6A7}"/>
    <cellStyle name="20% - Accent1 2 5 3 3 2 3" xfId="30419" xr:uid="{764645C7-F4BD-428B-BBB9-1266039BFA01}"/>
    <cellStyle name="20% - Accent1 2 5 3 3 3" xfId="23048" xr:uid="{26F7F4AD-925B-4EB0-82BE-55878D5ED04C}"/>
    <cellStyle name="20% - Accent1 2 5 3 3 3 2" xfId="38024" xr:uid="{36EA755B-E0C7-4668-9170-C0A333FF2D39}"/>
    <cellStyle name="20% - Accent1 2 5 3 3 4" xfId="30420" xr:uid="{7BB0BE80-0243-43A4-82CF-2DB92D149DEA}"/>
    <cellStyle name="20% - Accent1 2 5 3 4" xfId="5153" xr:uid="{00000000-0005-0000-0000-0000A6000000}"/>
    <cellStyle name="20% - Accent1 2 5 3 4 2" xfId="23046" xr:uid="{C0F2CA50-2BC5-4045-9E73-A1E81623C038}"/>
    <cellStyle name="20% - Accent1 2 5 3 4 2 2" xfId="38022" xr:uid="{CC3B9C81-D028-4BD1-AA9E-5143E494958C}"/>
    <cellStyle name="20% - Accent1 2 5 3 4 3" xfId="30418" xr:uid="{E2C37CE8-5355-4622-85DD-9F0C58F719D1}"/>
    <cellStyle name="20% - Accent1 2 5 3 5" xfId="23052" xr:uid="{D69F3F2F-ABEB-4EB6-B921-AB624DD6509F}"/>
    <cellStyle name="20% - Accent1 2 5 3 5 2" xfId="38028" xr:uid="{EE226F7B-FEDE-4437-8384-3EFAD669D72A}"/>
    <cellStyle name="20% - Accent1 2 5 3 6" xfId="30424" xr:uid="{BC707789-E891-4995-BF90-38BF46D34A62}"/>
    <cellStyle name="20% - Accent1 2 5 4" xfId="5152" xr:uid="{00000000-0005-0000-0000-0000A7000000}"/>
    <cellStyle name="20% - Accent1 2 5 4 2" xfId="5151" xr:uid="{00000000-0005-0000-0000-0000A8000000}"/>
    <cellStyle name="20% - Accent1 2 5 4 2 2" xfId="5150" xr:uid="{00000000-0005-0000-0000-0000A9000000}"/>
    <cellStyle name="20% - Accent1 2 5 4 2 2 2" xfId="23043" xr:uid="{43ED242F-052D-494E-A92D-B32353BA558F}"/>
    <cellStyle name="20% - Accent1 2 5 4 2 2 2 2" xfId="38019" xr:uid="{0C32574D-5A0A-43B4-A662-A40FBAF5D7E8}"/>
    <cellStyle name="20% - Accent1 2 5 4 2 2 3" xfId="30415" xr:uid="{E0FA45E8-7D8E-454F-97D8-4D40321308FB}"/>
    <cellStyle name="20% - Accent1 2 5 4 2 3" xfId="5149" xr:uid="{00000000-0005-0000-0000-0000AA000000}"/>
    <cellStyle name="20% - Accent1 2 5 4 2 3 2" xfId="23042" xr:uid="{E50F821A-713F-468C-B591-E670572B0304}"/>
    <cellStyle name="20% - Accent1 2 5 4 2 3 2 2" xfId="38018" xr:uid="{4AA03C01-296A-43C6-B1E7-0F7883A0D186}"/>
    <cellStyle name="20% - Accent1 2 5 4 2 3 3" xfId="30414" xr:uid="{C12F119B-8A9C-4E59-A02C-CF7FA71E5631}"/>
    <cellStyle name="20% - Accent1 2 5 4 2 4" xfId="23044" xr:uid="{2CD94AC3-3BCD-4E4C-94DE-5A556FE66AB0}"/>
    <cellStyle name="20% - Accent1 2 5 4 2 4 2" xfId="38020" xr:uid="{5BE67B57-FDA3-4704-A39C-FBFB3F3AE1A8}"/>
    <cellStyle name="20% - Accent1 2 5 4 2 5" xfId="30416" xr:uid="{2093BB2A-45AD-421D-B7E0-67CA2E238A5A}"/>
    <cellStyle name="20% - Accent1 2 5 4 3" xfId="5148" xr:uid="{00000000-0005-0000-0000-0000AB000000}"/>
    <cellStyle name="20% - Accent1 2 5 4 3 2" xfId="5147" xr:uid="{00000000-0005-0000-0000-0000AC000000}"/>
    <cellStyle name="20% - Accent1 2 5 4 3 2 2" xfId="23040" xr:uid="{BE25389C-5F0A-4CEB-8404-E69E2B0E16CC}"/>
    <cellStyle name="20% - Accent1 2 5 4 3 2 2 2" xfId="38016" xr:uid="{75B2208A-CBCF-4ED2-8AB2-F5FD31BE0AA6}"/>
    <cellStyle name="20% - Accent1 2 5 4 3 2 3" xfId="30412" xr:uid="{10FA279B-6FA9-4D06-A658-598FAAD41775}"/>
    <cellStyle name="20% - Accent1 2 5 4 3 3" xfId="23041" xr:uid="{38E008FF-E1EC-4A73-A6A5-9F0F5F30F55C}"/>
    <cellStyle name="20% - Accent1 2 5 4 3 3 2" xfId="38017" xr:uid="{E2E9582A-FD3E-4A09-B623-93E509990AED}"/>
    <cellStyle name="20% - Accent1 2 5 4 3 4" xfId="30413" xr:uid="{4E8AD5BB-0395-4F46-A9A9-64700DE311B2}"/>
    <cellStyle name="20% - Accent1 2 5 4 4" xfId="5146" xr:uid="{00000000-0005-0000-0000-0000AD000000}"/>
    <cellStyle name="20% - Accent1 2 5 4 4 2" xfId="23039" xr:uid="{B6456453-3C0B-48F2-AB4F-D448527D66CD}"/>
    <cellStyle name="20% - Accent1 2 5 4 4 2 2" xfId="38015" xr:uid="{EDB929F4-E113-42E7-A925-E9733A37AF3D}"/>
    <cellStyle name="20% - Accent1 2 5 4 4 3" xfId="30411" xr:uid="{C3E182B6-EEFE-4741-B770-2A6FABF975F0}"/>
    <cellStyle name="20% - Accent1 2 5 4 5" xfId="23045" xr:uid="{98E6BCBF-B099-46E6-93E1-6ABA17DA81DB}"/>
    <cellStyle name="20% - Accent1 2 5 4 5 2" xfId="38021" xr:uid="{E207142D-029D-48A2-AF3D-3DFF8D5E7F92}"/>
    <cellStyle name="20% - Accent1 2 5 4 6" xfId="30417" xr:uid="{06C549B8-709B-410B-BF4B-BFD5A58CBCB5}"/>
    <cellStyle name="20% - Accent1 2 5 5" xfId="5145" xr:uid="{00000000-0005-0000-0000-0000AE000000}"/>
    <cellStyle name="20% - Accent1 2 5 5 2" xfId="5144" xr:uid="{00000000-0005-0000-0000-0000AF000000}"/>
    <cellStyle name="20% - Accent1 2 5 5 2 2" xfId="23037" xr:uid="{F1E41898-D56B-43CA-BFB9-F4EBA13C48EE}"/>
    <cellStyle name="20% - Accent1 2 5 5 2 2 2" xfId="38013" xr:uid="{44596F3C-2E1F-48EC-AAF2-537F48D10195}"/>
    <cellStyle name="20% - Accent1 2 5 5 2 3" xfId="30409" xr:uid="{5895CB5F-3969-4F07-8849-CC68ED86408C}"/>
    <cellStyle name="20% - Accent1 2 5 5 3" xfId="5143" xr:uid="{00000000-0005-0000-0000-0000B0000000}"/>
    <cellStyle name="20% - Accent1 2 5 5 3 2" xfId="23036" xr:uid="{8B8D9A4A-9F6D-4FAD-9770-20627534B7C6}"/>
    <cellStyle name="20% - Accent1 2 5 5 3 2 2" xfId="38012" xr:uid="{E3E71E83-3723-436F-8D89-3E7287D74A32}"/>
    <cellStyle name="20% - Accent1 2 5 5 3 3" xfId="30408" xr:uid="{475DD2F2-26FB-40F9-A0F2-871AD35DCC37}"/>
    <cellStyle name="20% - Accent1 2 5 5 4" xfId="23038" xr:uid="{FE0F06AB-F31E-4DD1-89A4-98A5E6E581AA}"/>
    <cellStyle name="20% - Accent1 2 5 5 4 2" xfId="38014" xr:uid="{DEFFBCA5-A3B4-45C2-9C61-AA75B62726D3}"/>
    <cellStyle name="20% - Accent1 2 5 5 5" xfId="30410" xr:uid="{F8B29D18-3275-4958-8AEC-E405A0BE0618}"/>
    <cellStyle name="20% - Accent1 2 5 6" xfId="5142" xr:uid="{00000000-0005-0000-0000-0000B1000000}"/>
    <cellStyle name="20% - Accent1 2 5 6 2" xfId="23035" xr:uid="{4F4E5193-2CC2-418F-987D-FBE415D40523}"/>
    <cellStyle name="20% - Accent1 2 5 6 2 2" xfId="38011" xr:uid="{17D09608-A68B-460E-9661-8A8E7C0300FF}"/>
    <cellStyle name="20% - Accent1 2 5 6 3" xfId="30407" xr:uid="{9D117C8C-1E57-459F-A86B-ABCCC2175AA7}"/>
    <cellStyle name="20% - Accent1 2 5 7" xfId="5141" xr:uid="{00000000-0005-0000-0000-0000B2000000}"/>
    <cellStyle name="20% - Accent1 2 5 7 2" xfId="5140" xr:uid="{00000000-0005-0000-0000-0000B3000000}"/>
    <cellStyle name="20% - Accent1 2 5 7 2 2" xfId="23033" xr:uid="{5CBDEAA5-C455-45BC-9E83-5ED224C841ED}"/>
    <cellStyle name="20% - Accent1 2 5 7 2 2 2" xfId="38009" xr:uid="{72AACA56-D984-423D-9E84-8D8E8FAAF671}"/>
    <cellStyle name="20% - Accent1 2 5 7 2 3" xfId="30405" xr:uid="{49089FFE-D1F7-4F9B-867A-231A90E352B8}"/>
    <cellStyle name="20% - Accent1 2 5 7 3" xfId="23034" xr:uid="{DE1CAE7A-AC08-47B2-B2C5-70E6CC0CE049}"/>
    <cellStyle name="20% - Accent1 2 5 7 3 2" xfId="38010" xr:uid="{EF02AB6D-6557-477E-81E4-1B91802C6322}"/>
    <cellStyle name="20% - Accent1 2 5 7 4" xfId="30406" xr:uid="{40C75357-B57E-4E9D-A017-E05A16FB7C9A}"/>
    <cellStyle name="20% - Accent1 2 5 8" xfId="5139" xr:uid="{00000000-0005-0000-0000-0000B4000000}"/>
    <cellStyle name="20% - Accent1 2 5 8 2" xfId="23032" xr:uid="{05AF5D25-D873-468F-921B-3DFA1C66DDF3}"/>
    <cellStyle name="20% - Accent1 2 5 8 2 2" xfId="38008" xr:uid="{90093102-C980-46CF-8048-ED761270A292}"/>
    <cellStyle name="20% - Accent1 2 5 8 3" xfId="30404" xr:uid="{B5BD7CC5-191F-4485-A0F6-69DC53AFA665}"/>
    <cellStyle name="20% - Accent1 2 5 9" xfId="23075" xr:uid="{05897694-DC9A-44B6-8557-A317C5C6AD7C}"/>
    <cellStyle name="20% - Accent1 2 5 9 2" xfId="38051" xr:uid="{24B2C78C-F24A-4D1B-8AA9-699E496625E3}"/>
    <cellStyle name="20% - Accent1 2 6" xfId="5138" xr:uid="{00000000-0005-0000-0000-0000B5000000}"/>
    <cellStyle name="20% - Accent1 2 6 10" xfId="30403" xr:uid="{6927A463-45F7-4EF4-BC94-91D6AC8874C9}"/>
    <cellStyle name="20% - Accent1 2 6 2" xfId="5137" xr:uid="{00000000-0005-0000-0000-0000B6000000}"/>
    <cellStyle name="20% - Accent1 2 6 2 2" xfId="5136" xr:uid="{00000000-0005-0000-0000-0000B7000000}"/>
    <cellStyle name="20% - Accent1 2 6 2 2 2" xfId="5135" xr:uid="{00000000-0005-0000-0000-0000B8000000}"/>
    <cellStyle name="20% - Accent1 2 6 2 2 2 2" xfId="5134" xr:uid="{00000000-0005-0000-0000-0000B9000000}"/>
    <cellStyle name="20% - Accent1 2 6 2 2 2 2 2" xfId="23027" xr:uid="{2FEBE6FD-407C-4A4A-B151-C61094FB534F}"/>
    <cellStyle name="20% - Accent1 2 6 2 2 2 2 2 2" xfId="38003" xr:uid="{A11CB129-FCA6-4DE7-9689-CFE188AC474C}"/>
    <cellStyle name="20% - Accent1 2 6 2 2 2 2 3" xfId="30399" xr:uid="{5D223AE3-A77E-4FBB-A37E-9D09CAD8CFFF}"/>
    <cellStyle name="20% - Accent1 2 6 2 2 2 3" xfId="5133" xr:uid="{00000000-0005-0000-0000-0000BA000000}"/>
    <cellStyle name="20% - Accent1 2 6 2 2 2 3 2" xfId="23026" xr:uid="{2539C1B3-C9DB-4218-A759-5C722B2BBF7E}"/>
    <cellStyle name="20% - Accent1 2 6 2 2 2 3 2 2" xfId="38002" xr:uid="{5FF3C4E9-BBAF-44D7-AC04-CF9766B35DEB}"/>
    <cellStyle name="20% - Accent1 2 6 2 2 2 3 3" xfId="30398" xr:uid="{4A5C0C08-8C71-418E-B5F8-851ADC298BE3}"/>
    <cellStyle name="20% - Accent1 2 6 2 2 2 4" xfId="23028" xr:uid="{4D7B1F57-BAAD-4A02-83DD-A224EAD6B4F8}"/>
    <cellStyle name="20% - Accent1 2 6 2 2 2 4 2" xfId="38004" xr:uid="{36ECCA35-E43D-4B15-A5C2-63AF633453EE}"/>
    <cellStyle name="20% - Accent1 2 6 2 2 2 5" xfId="30400" xr:uid="{7A7DE033-33A4-4478-8B73-9E1B85EBC5F2}"/>
    <cellStyle name="20% - Accent1 2 6 2 2 3" xfId="5132" xr:uid="{00000000-0005-0000-0000-0000BB000000}"/>
    <cellStyle name="20% - Accent1 2 6 2 2 3 2" xfId="5131" xr:uid="{00000000-0005-0000-0000-0000BC000000}"/>
    <cellStyle name="20% - Accent1 2 6 2 2 3 2 2" xfId="23024" xr:uid="{6CA8D52D-382A-4C55-8C77-791C8958EEB5}"/>
    <cellStyle name="20% - Accent1 2 6 2 2 3 2 2 2" xfId="38000" xr:uid="{47BF4669-B851-499C-97FC-D653A015C5B5}"/>
    <cellStyle name="20% - Accent1 2 6 2 2 3 2 3" xfId="30396" xr:uid="{DFDFE064-9903-4174-BD40-0A4ED7CF6823}"/>
    <cellStyle name="20% - Accent1 2 6 2 2 3 3" xfId="23025" xr:uid="{BDCE58F9-E2D7-4D22-9232-7816691D52B5}"/>
    <cellStyle name="20% - Accent1 2 6 2 2 3 3 2" xfId="38001" xr:uid="{4167E155-05B6-4511-BDC6-A68723DBBAD0}"/>
    <cellStyle name="20% - Accent1 2 6 2 2 3 4" xfId="30397" xr:uid="{EDC08C1E-9E15-469C-9BC4-8E2E1DFFED46}"/>
    <cellStyle name="20% - Accent1 2 6 2 2 4" xfId="5130" xr:uid="{00000000-0005-0000-0000-0000BD000000}"/>
    <cellStyle name="20% - Accent1 2 6 2 2 4 2" xfId="23023" xr:uid="{4008733D-9DA9-4D7B-8F02-4D5E5B2A21B9}"/>
    <cellStyle name="20% - Accent1 2 6 2 2 4 2 2" xfId="37999" xr:uid="{32224C14-A8BE-4088-A7CB-67CB9D6AA48F}"/>
    <cellStyle name="20% - Accent1 2 6 2 2 4 3" xfId="30395" xr:uid="{0E6F6D2A-55FC-4B5D-B4F6-481319154629}"/>
    <cellStyle name="20% - Accent1 2 6 2 2 5" xfId="23029" xr:uid="{46628330-F081-4450-9641-B0311F39FEF0}"/>
    <cellStyle name="20% - Accent1 2 6 2 2 5 2" xfId="38005" xr:uid="{0C651200-A512-4D2F-90B3-6C95424939C7}"/>
    <cellStyle name="20% - Accent1 2 6 2 2 6" xfId="30401" xr:uid="{4AFEC2C6-2928-4C63-9411-B86E7F8CA9E9}"/>
    <cellStyle name="20% - Accent1 2 6 2 3" xfId="5129" xr:uid="{00000000-0005-0000-0000-0000BE000000}"/>
    <cellStyle name="20% - Accent1 2 6 2 3 2" xfId="5128" xr:uid="{00000000-0005-0000-0000-0000BF000000}"/>
    <cellStyle name="20% - Accent1 2 6 2 3 2 2" xfId="5127" xr:uid="{00000000-0005-0000-0000-0000C0000000}"/>
    <cellStyle name="20% - Accent1 2 6 2 3 2 2 2" xfId="23020" xr:uid="{B6775537-6AA3-4701-9A7F-8EEBF26933FA}"/>
    <cellStyle name="20% - Accent1 2 6 2 3 2 2 2 2" xfId="37996" xr:uid="{D24CAD66-BCC0-4EDA-B043-85EE059DE37A}"/>
    <cellStyle name="20% - Accent1 2 6 2 3 2 2 3" xfId="30392" xr:uid="{3FB3F8E3-1445-4012-BD53-ACB55840132B}"/>
    <cellStyle name="20% - Accent1 2 6 2 3 2 3" xfId="5126" xr:uid="{00000000-0005-0000-0000-0000C1000000}"/>
    <cellStyle name="20% - Accent1 2 6 2 3 2 3 2" xfId="23019" xr:uid="{587C3BE1-FEC8-402A-BAEB-7B348DDDDBD8}"/>
    <cellStyle name="20% - Accent1 2 6 2 3 2 3 2 2" xfId="37995" xr:uid="{5E5C728B-438C-4662-BD94-8F90277A58EA}"/>
    <cellStyle name="20% - Accent1 2 6 2 3 2 3 3" xfId="30391" xr:uid="{40C1FE8B-4467-400C-A4A7-EB70C5CBE524}"/>
    <cellStyle name="20% - Accent1 2 6 2 3 2 4" xfId="23021" xr:uid="{B89C7F6F-2D7F-475D-B6E4-D462B7DECC91}"/>
    <cellStyle name="20% - Accent1 2 6 2 3 2 4 2" xfId="37997" xr:uid="{B2FA4C8D-7FC5-49F7-A3B3-5EA671977432}"/>
    <cellStyle name="20% - Accent1 2 6 2 3 2 5" xfId="30393" xr:uid="{6CA31440-6D40-4FBC-AFA5-8C919C336C47}"/>
    <cellStyle name="20% - Accent1 2 6 2 3 3" xfId="5125" xr:uid="{00000000-0005-0000-0000-0000C2000000}"/>
    <cellStyle name="20% - Accent1 2 6 2 3 3 2" xfId="5124" xr:uid="{00000000-0005-0000-0000-0000C3000000}"/>
    <cellStyle name="20% - Accent1 2 6 2 3 3 2 2" xfId="23017" xr:uid="{7982C3BF-7426-44A9-BA73-E63C7F4133BA}"/>
    <cellStyle name="20% - Accent1 2 6 2 3 3 2 2 2" xfId="37993" xr:uid="{06458336-49FA-4C2B-94C7-E06B6982389E}"/>
    <cellStyle name="20% - Accent1 2 6 2 3 3 2 3" xfId="30389" xr:uid="{05170A45-FF86-4F30-B607-C0D763702168}"/>
    <cellStyle name="20% - Accent1 2 6 2 3 3 3" xfId="23018" xr:uid="{682E87E6-A397-4B14-AD70-1661A2A7D068}"/>
    <cellStyle name="20% - Accent1 2 6 2 3 3 3 2" xfId="37994" xr:uid="{608A9829-8B19-4CE1-8D1F-462996FC285A}"/>
    <cellStyle name="20% - Accent1 2 6 2 3 3 4" xfId="30390" xr:uid="{267FF7B5-02EB-4D3A-B025-FBC9A58E7F99}"/>
    <cellStyle name="20% - Accent1 2 6 2 3 4" xfId="5123" xr:uid="{00000000-0005-0000-0000-0000C4000000}"/>
    <cellStyle name="20% - Accent1 2 6 2 3 4 2" xfId="23016" xr:uid="{D88EBEE8-1D5E-4721-9626-2D87A3EDD984}"/>
    <cellStyle name="20% - Accent1 2 6 2 3 4 2 2" xfId="37992" xr:uid="{91BD5C88-4DEE-4E73-A26E-57F73E99AA21}"/>
    <cellStyle name="20% - Accent1 2 6 2 3 4 3" xfId="30388" xr:uid="{B5699E31-3E10-4B27-B92B-7B696FA662EE}"/>
    <cellStyle name="20% - Accent1 2 6 2 3 5" xfId="23022" xr:uid="{C4D44D68-EDFE-4B05-A310-898C1A309B06}"/>
    <cellStyle name="20% - Accent1 2 6 2 3 5 2" xfId="37998" xr:uid="{7F3BB4D7-9A5A-47E3-BE2D-CE6E9E8FD993}"/>
    <cellStyle name="20% - Accent1 2 6 2 3 6" xfId="30394" xr:uid="{24F229BB-A22F-4E5A-AA2A-6992D81086AB}"/>
    <cellStyle name="20% - Accent1 2 6 2 4" xfId="5122" xr:uid="{00000000-0005-0000-0000-0000C5000000}"/>
    <cellStyle name="20% - Accent1 2 6 2 4 2" xfId="5121" xr:uid="{00000000-0005-0000-0000-0000C6000000}"/>
    <cellStyle name="20% - Accent1 2 6 2 4 2 2" xfId="23014" xr:uid="{131F1429-DA88-46DD-8ABA-A7120A07F3C1}"/>
    <cellStyle name="20% - Accent1 2 6 2 4 2 2 2" xfId="37990" xr:uid="{E88A6F1E-2593-4323-9855-D5A7DA197435}"/>
    <cellStyle name="20% - Accent1 2 6 2 4 2 3" xfId="30386" xr:uid="{135184C0-F54D-4167-9256-BC109C86F7AE}"/>
    <cellStyle name="20% - Accent1 2 6 2 4 3" xfId="5120" xr:uid="{00000000-0005-0000-0000-0000C7000000}"/>
    <cellStyle name="20% - Accent1 2 6 2 4 3 2" xfId="23013" xr:uid="{739623E0-65F4-4098-B9AF-294B9E7FAE7A}"/>
    <cellStyle name="20% - Accent1 2 6 2 4 3 2 2" xfId="37989" xr:uid="{465A5E3A-0C75-49B6-A835-78BCACE12657}"/>
    <cellStyle name="20% - Accent1 2 6 2 4 3 3" xfId="30385" xr:uid="{D2C3A239-E31C-49A3-9B2D-A52A88572021}"/>
    <cellStyle name="20% - Accent1 2 6 2 4 4" xfId="23015" xr:uid="{8EBDAFAF-83BD-4217-BF4C-AF3D00D4F071}"/>
    <cellStyle name="20% - Accent1 2 6 2 4 4 2" xfId="37991" xr:uid="{614BF302-D6A8-4F9A-9D4F-DE63D11C5115}"/>
    <cellStyle name="20% - Accent1 2 6 2 4 5" xfId="30387" xr:uid="{E536806C-A5F5-41DA-934F-2FAA3F67E438}"/>
    <cellStyle name="20% - Accent1 2 6 2 5" xfId="5119" xr:uid="{00000000-0005-0000-0000-0000C8000000}"/>
    <cellStyle name="20% - Accent1 2 6 2 5 2" xfId="23012" xr:uid="{439D1073-8EDF-4EC5-9F65-93F168CB4CCF}"/>
    <cellStyle name="20% - Accent1 2 6 2 5 2 2" xfId="37988" xr:uid="{B1D6FF6D-CEC1-4ECB-9277-A9A21D8D1A4D}"/>
    <cellStyle name="20% - Accent1 2 6 2 5 3" xfId="30384" xr:uid="{2B951DA3-3612-4042-8404-7DDB554EB618}"/>
    <cellStyle name="20% - Accent1 2 6 2 6" xfId="5118" xr:uid="{00000000-0005-0000-0000-0000C9000000}"/>
    <cellStyle name="20% - Accent1 2 6 2 6 2" xfId="5117" xr:uid="{00000000-0005-0000-0000-0000CA000000}"/>
    <cellStyle name="20% - Accent1 2 6 2 6 2 2" xfId="23010" xr:uid="{7CB28609-DD4E-4C53-BDB9-CC050EE0A55A}"/>
    <cellStyle name="20% - Accent1 2 6 2 6 2 2 2" xfId="37986" xr:uid="{E6396967-D619-4AD0-8978-34E0D09B6EE9}"/>
    <cellStyle name="20% - Accent1 2 6 2 6 2 3" xfId="30382" xr:uid="{5D4460EC-6189-4636-9E14-63108F35178F}"/>
    <cellStyle name="20% - Accent1 2 6 2 6 3" xfId="23011" xr:uid="{AAD356B2-340E-4100-A6DC-F2DA71F4AD21}"/>
    <cellStyle name="20% - Accent1 2 6 2 6 3 2" xfId="37987" xr:uid="{F5D2DC4E-D4F8-430B-AF4E-1B8CB0322EA4}"/>
    <cellStyle name="20% - Accent1 2 6 2 6 4" xfId="30383" xr:uid="{D14CF59E-B972-49E4-9B8E-6D46762AF5FC}"/>
    <cellStyle name="20% - Accent1 2 6 2 7" xfId="5116" xr:uid="{00000000-0005-0000-0000-0000CB000000}"/>
    <cellStyle name="20% - Accent1 2 6 2 7 2" xfId="23009" xr:uid="{FE1213FC-9E26-47FB-8463-9C6090621E49}"/>
    <cellStyle name="20% - Accent1 2 6 2 7 2 2" xfId="37985" xr:uid="{D1E08919-6FBE-43E4-81CA-860D99A9455F}"/>
    <cellStyle name="20% - Accent1 2 6 2 7 3" xfId="30381" xr:uid="{4EA97910-D17D-4D0E-9F12-FF170347533F}"/>
    <cellStyle name="20% - Accent1 2 6 2 8" xfId="23030" xr:uid="{B47386C0-F7EB-4E43-9924-BC061266FA21}"/>
    <cellStyle name="20% - Accent1 2 6 2 8 2" xfId="38006" xr:uid="{C5842D16-5115-46B2-89D5-CCEDC53E65FC}"/>
    <cellStyle name="20% - Accent1 2 6 2 9" xfId="30402" xr:uid="{EBAD38DE-9C30-4706-AAB0-9F1BBDA34336}"/>
    <cellStyle name="20% - Accent1 2 6 3" xfId="5115" xr:uid="{00000000-0005-0000-0000-0000CC000000}"/>
    <cellStyle name="20% - Accent1 2 6 3 2" xfId="5114" xr:uid="{00000000-0005-0000-0000-0000CD000000}"/>
    <cellStyle name="20% - Accent1 2 6 3 2 2" xfId="5113" xr:uid="{00000000-0005-0000-0000-0000CE000000}"/>
    <cellStyle name="20% - Accent1 2 6 3 2 2 2" xfId="23006" xr:uid="{E00FB7AB-D4F4-4C6B-92D7-DC13B76E840D}"/>
    <cellStyle name="20% - Accent1 2 6 3 2 2 2 2" xfId="37982" xr:uid="{84D03CA1-F45C-4DD2-BD57-2A951A228617}"/>
    <cellStyle name="20% - Accent1 2 6 3 2 2 3" xfId="30378" xr:uid="{E381A56A-8F6F-4EAC-B5FF-40794EDA4275}"/>
    <cellStyle name="20% - Accent1 2 6 3 2 3" xfId="5112" xr:uid="{00000000-0005-0000-0000-0000CF000000}"/>
    <cellStyle name="20% - Accent1 2 6 3 2 3 2" xfId="23005" xr:uid="{57DD497A-47FB-4899-B8DD-25FF1D2390C9}"/>
    <cellStyle name="20% - Accent1 2 6 3 2 3 2 2" xfId="37981" xr:uid="{7FA8C2C3-5374-4AB8-8EE6-6A4FD18E7BB0}"/>
    <cellStyle name="20% - Accent1 2 6 3 2 3 3" xfId="30377" xr:uid="{DEC56E6C-07CC-4215-B747-12AAF2A8E942}"/>
    <cellStyle name="20% - Accent1 2 6 3 2 4" xfId="23007" xr:uid="{C71903E7-FE9C-4D13-964B-260A0712F6EA}"/>
    <cellStyle name="20% - Accent1 2 6 3 2 4 2" xfId="37983" xr:uid="{38F7EB90-6ABF-46C1-B170-8FF7E3E1F5F1}"/>
    <cellStyle name="20% - Accent1 2 6 3 2 5" xfId="30379" xr:uid="{06C94851-5301-4F55-9A08-52311EDDF933}"/>
    <cellStyle name="20% - Accent1 2 6 3 3" xfId="5111" xr:uid="{00000000-0005-0000-0000-0000D0000000}"/>
    <cellStyle name="20% - Accent1 2 6 3 3 2" xfId="5110" xr:uid="{00000000-0005-0000-0000-0000D1000000}"/>
    <cellStyle name="20% - Accent1 2 6 3 3 2 2" xfId="23003" xr:uid="{342DBBCA-8912-46DF-9BF2-FD62C845A84E}"/>
    <cellStyle name="20% - Accent1 2 6 3 3 2 2 2" xfId="37979" xr:uid="{A01BA62A-BC75-4872-BFB3-A789BB6DCD56}"/>
    <cellStyle name="20% - Accent1 2 6 3 3 2 3" xfId="30375" xr:uid="{BB451897-28B8-4D80-9D74-0E3F2EE6C0E7}"/>
    <cellStyle name="20% - Accent1 2 6 3 3 3" xfId="23004" xr:uid="{054BA71E-F999-4359-8FE5-9B30A3034C8E}"/>
    <cellStyle name="20% - Accent1 2 6 3 3 3 2" xfId="37980" xr:uid="{97C3DEA0-AB8D-44FA-B01C-D31D7FAC23BB}"/>
    <cellStyle name="20% - Accent1 2 6 3 3 4" xfId="30376" xr:uid="{BD2FE200-6316-4B03-B886-A269B3CEEA76}"/>
    <cellStyle name="20% - Accent1 2 6 3 4" xfId="5109" xr:uid="{00000000-0005-0000-0000-0000D2000000}"/>
    <cellStyle name="20% - Accent1 2 6 3 4 2" xfId="23002" xr:uid="{EF566964-3089-4F37-8C6D-269374435664}"/>
    <cellStyle name="20% - Accent1 2 6 3 4 2 2" xfId="37978" xr:uid="{0A185663-BBEB-4C1D-BD68-73A64B3302CC}"/>
    <cellStyle name="20% - Accent1 2 6 3 4 3" xfId="30374" xr:uid="{F7BFA542-5F9A-46F3-88A7-64BBA5B0E302}"/>
    <cellStyle name="20% - Accent1 2 6 3 5" xfId="23008" xr:uid="{386ED315-9F91-4E1F-A0B0-4D17E7A0C86A}"/>
    <cellStyle name="20% - Accent1 2 6 3 5 2" xfId="37984" xr:uid="{90CD75FD-C5F3-425D-8DC0-0695A6D41391}"/>
    <cellStyle name="20% - Accent1 2 6 3 6" xfId="30380" xr:uid="{79D40280-7296-40BB-BFA5-52855C582DEF}"/>
    <cellStyle name="20% - Accent1 2 6 4" xfId="5108" xr:uid="{00000000-0005-0000-0000-0000D3000000}"/>
    <cellStyle name="20% - Accent1 2 6 4 2" xfId="5107" xr:uid="{00000000-0005-0000-0000-0000D4000000}"/>
    <cellStyle name="20% - Accent1 2 6 4 2 2" xfId="5106" xr:uid="{00000000-0005-0000-0000-0000D5000000}"/>
    <cellStyle name="20% - Accent1 2 6 4 2 2 2" xfId="22999" xr:uid="{8A1211ED-ECEC-4BB4-830E-88EC8AD454CF}"/>
    <cellStyle name="20% - Accent1 2 6 4 2 2 2 2" xfId="37975" xr:uid="{A6DE9048-3431-4918-BA18-304EEE9E6B6D}"/>
    <cellStyle name="20% - Accent1 2 6 4 2 2 3" xfId="30371" xr:uid="{7735AA66-CB2F-463D-A4EB-031D31137034}"/>
    <cellStyle name="20% - Accent1 2 6 4 2 3" xfId="5105" xr:uid="{00000000-0005-0000-0000-0000D6000000}"/>
    <cellStyle name="20% - Accent1 2 6 4 2 3 2" xfId="22998" xr:uid="{CEFF1738-1423-4304-9140-92DE63D87E7D}"/>
    <cellStyle name="20% - Accent1 2 6 4 2 3 2 2" xfId="37974" xr:uid="{372F5536-4078-4E67-9ADF-1A673A5A7FB6}"/>
    <cellStyle name="20% - Accent1 2 6 4 2 3 3" xfId="30370" xr:uid="{8EDBC06A-04EA-4CB4-890C-FA6BD9E16EB5}"/>
    <cellStyle name="20% - Accent1 2 6 4 2 4" xfId="23000" xr:uid="{8F9257F8-D494-4CDC-8C8E-A8EB26F8164D}"/>
    <cellStyle name="20% - Accent1 2 6 4 2 4 2" xfId="37976" xr:uid="{0E3CCE45-86AA-48D1-8F7E-A901DDBFD716}"/>
    <cellStyle name="20% - Accent1 2 6 4 2 5" xfId="30372" xr:uid="{B5F4FF92-B55F-460B-AA80-3E7695004842}"/>
    <cellStyle name="20% - Accent1 2 6 4 3" xfId="5104" xr:uid="{00000000-0005-0000-0000-0000D7000000}"/>
    <cellStyle name="20% - Accent1 2 6 4 3 2" xfId="5103" xr:uid="{00000000-0005-0000-0000-0000D8000000}"/>
    <cellStyle name="20% - Accent1 2 6 4 3 2 2" xfId="22996" xr:uid="{A843ECFB-FD98-4B91-B6F1-9C3AE9D85FF8}"/>
    <cellStyle name="20% - Accent1 2 6 4 3 2 2 2" xfId="37972" xr:uid="{2A4088E1-3CC2-4DDE-A5E0-57C67E5B6BB6}"/>
    <cellStyle name="20% - Accent1 2 6 4 3 2 3" xfId="30368" xr:uid="{66ADB89F-030B-4D41-A556-BA9BDD66C97C}"/>
    <cellStyle name="20% - Accent1 2 6 4 3 3" xfId="22997" xr:uid="{D0C4136A-F6E6-405C-BA67-71D5879B37E2}"/>
    <cellStyle name="20% - Accent1 2 6 4 3 3 2" xfId="37973" xr:uid="{7AE8B000-5300-4AA0-923E-8876DE01431B}"/>
    <cellStyle name="20% - Accent1 2 6 4 3 4" xfId="30369" xr:uid="{3D4C1849-C65E-4264-BF4C-69C3759AE97C}"/>
    <cellStyle name="20% - Accent1 2 6 4 4" xfId="5102" xr:uid="{00000000-0005-0000-0000-0000D9000000}"/>
    <cellStyle name="20% - Accent1 2 6 4 4 2" xfId="22995" xr:uid="{3941DED4-262D-4CA8-8C45-E76BD2F9286B}"/>
    <cellStyle name="20% - Accent1 2 6 4 4 2 2" xfId="37971" xr:uid="{010BA5B6-F156-4F4F-9731-164FB2613F79}"/>
    <cellStyle name="20% - Accent1 2 6 4 4 3" xfId="30367" xr:uid="{570C4A79-139D-49E8-BB36-445CA9AE9243}"/>
    <cellStyle name="20% - Accent1 2 6 4 5" xfId="23001" xr:uid="{C702D64C-69EB-4E39-8963-14FB0EFB3B50}"/>
    <cellStyle name="20% - Accent1 2 6 4 5 2" xfId="37977" xr:uid="{9D0C169C-5B05-4198-BB54-50FCBE980ECD}"/>
    <cellStyle name="20% - Accent1 2 6 4 6" xfId="30373" xr:uid="{69DE7D31-509D-44A8-B784-8CB83C89BC9B}"/>
    <cellStyle name="20% - Accent1 2 6 5" xfId="5101" xr:uid="{00000000-0005-0000-0000-0000DA000000}"/>
    <cellStyle name="20% - Accent1 2 6 5 2" xfId="5100" xr:uid="{00000000-0005-0000-0000-0000DB000000}"/>
    <cellStyle name="20% - Accent1 2 6 5 2 2" xfId="22993" xr:uid="{7CD5EFE2-0665-49C5-AF79-2CD6265674E3}"/>
    <cellStyle name="20% - Accent1 2 6 5 2 2 2" xfId="37969" xr:uid="{787DB723-E7C4-4F9D-8A95-C3984EC041DD}"/>
    <cellStyle name="20% - Accent1 2 6 5 2 3" xfId="30365" xr:uid="{FC9B9023-E7FB-4D5D-B001-07A566D69E6A}"/>
    <cellStyle name="20% - Accent1 2 6 5 3" xfId="5099" xr:uid="{00000000-0005-0000-0000-0000DC000000}"/>
    <cellStyle name="20% - Accent1 2 6 5 3 2" xfId="22992" xr:uid="{3E83A3E7-BBF3-499E-B8D1-0D8C939B4BE0}"/>
    <cellStyle name="20% - Accent1 2 6 5 3 2 2" xfId="37968" xr:uid="{78695CFE-8B56-4F5D-8A66-F51C292F7D1A}"/>
    <cellStyle name="20% - Accent1 2 6 5 3 3" xfId="30364" xr:uid="{EBACBD80-0601-43D3-8E71-50B193C5CA74}"/>
    <cellStyle name="20% - Accent1 2 6 5 4" xfId="22994" xr:uid="{1BFD6E1A-A601-48C4-9BDC-8D37D11618C1}"/>
    <cellStyle name="20% - Accent1 2 6 5 4 2" xfId="37970" xr:uid="{D8B34D8F-5B61-48E0-A41B-D3D485478BA5}"/>
    <cellStyle name="20% - Accent1 2 6 5 5" xfId="30366" xr:uid="{928F6BB2-64AD-4B1A-A541-2C7B7761F0FA}"/>
    <cellStyle name="20% - Accent1 2 6 6" xfId="5098" xr:uid="{00000000-0005-0000-0000-0000DD000000}"/>
    <cellStyle name="20% - Accent1 2 6 6 2" xfId="22991" xr:uid="{E71F71AF-7107-4115-8ECB-7CC04EAE3BAE}"/>
    <cellStyle name="20% - Accent1 2 6 6 2 2" xfId="37967" xr:uid="{50B0B1A1-16C4-4CF4-BFC5-577378D2E999}"/>
    <cellStyle name="20% - Accent1 2 6 6 3" xfId="30363" xr:uid="{026C480E-39DA-43A3-AA4A-6240968319EB}"/>
    <cellStyle name="20% - Accent1 2 6 7" xfId="5097" xr:uid="{00000000-0005-0000-0000-0000DE000000}"/>
    <cellStyle name="20% - Accent1 2 6 7 2" xfId="5096" xr:uid="{00000000-0005-0000-0000-0000DF000000}"/>
    <cellStyle name="20% - Accent1 2 6 7 2 2" xfId="22989" xr:uid="{02A9BDDA-E865-48CE-98B4-33586886A6A8}"/>
    <cellStyle name="20% - Accent1 2 6 7 2 2 2" xfId="37965" xr:uid="{B5A25C31-99A2-46A7-AD5A-BCE92AEE6350}"/>
    <cellStyle name="20% - Accent1 2 6 7 2 3" xfId="30361" xr:uid="{F6969488-0622-4AAC-8FE6-7D726A2FE8E6}"/>
    <cellStyle name="20% - Accent1 2 6 7 3" xfId="22990" xr:uid="{6840E419-0877-4A13-8AEC-3B1878378ECD}"/>
    <cellStyle name="20% - Accent1 2 6 7 3 2" xfId="37966" xr:uid="{84978C27-077D-42F3-9690-E48B51400F0C}"/>
    <cellStyle name="20% - Accent1 2 6 7 4" xfId="30362" xr:uid="{37B8AD9C-C6C1-4FDF-B2F6-916479A07ABC}"/>
    <cellStyle name="20% - Accent1 2 6 8" xfId="5095" xr:uid="{00000000-0005-0000-0000-0000E0000000}"/>
    <cellStyle name="20% - Accent1 2 6 8 2" xfId="22988" xr:uid="{F25BCF59-9EFA-48E6-8FE8-3EEFC86AA3F2}"/>
    <cellStyle name="20% - Accent1 2 6 8 2 2" xfId="37964" xr:uid="{28159652-43C4-4970-AB60-9AAA085D87B9}"/>
    <cellStyle name="20% - Accent1 2 6 8 3" xfId="30360" xr:uid="{C3172683-329A-4B41-9F18-B01E442FC559}"/>
    <cellStyle name="20% - Accent1 2 6 9" xfId="23031" xr:uid="{75CAB2AB-27FE-4AAF-BF53-A7108A3CF614}"/>
    <cellStyle name="20% - Accent1 2 6 9 2" xfId="38007" xr:uid="{EEB10CBF-5779-4693-83AB-931559A44FD3}"/>
    <cellStyle name="20% - Accent1 2 7" xfId="5094" xr:uid="{00000000-0005-0000-0000-0000E1000000}"/>
    <cellStyle name="20% - Accent1 2 7 2" xfId="5093" xr:uid="{00000000-0005-0000-0000-0000E2000000}"/>
    <cellStyle name="20% - Accent1 2 7 2 2" xfId="5092" xr:uid="{00000000-0005-0000-0000-0000E3000000}"/>
    <cellStyle name="20% - Accent1 2 7 2 2 2" xfId="22985" xr:uid="{D93ED8DB-FF15-4B7D-8F83-84EBA52F8845}"/>
    <cellStyle name="20% - Accent1 2 7 2 2 2 2" xfId="37961" xr:uid="{47C1CE6B-0B7D-4A77-98B3-8BD029DBFD16}"/>
    <cellStyle name="20% - Accent1 2 7 2 2 3" xfId="30357" xr:uid="{2A42D08D-BBA4-4B3B-AE60-CEDFB7A69357}"/>
    <cellStyle name="20% - Accent1 2 7 2 3" xfId="5091" xr:uid="{00000000-0005-0000-0000-0000E4000000}"/>
    <cellStyle name="20% - Accent1 2 7 2 3 2" xfId="22984" xr:uid="{395EE4DC-F0F4-4D3B-98CE-E2A0C159CAE0}"/>
    <cellStyle name="20% - Accent1 2 7 2 3 2 2" xfId="37960" xr:uid="{D97C3185-ED02-4D07-B9F8-3CAD00517DA6}"/>
    <cellStyle name="20% - Accent1 2 7 2 3 3" xfId="30356" xr:uid="{46D236DC-2374-452A-9CE3-7ADB5BCA1315}"/>
    <cellStyle name="20% - Accent1 2 7 2 4" xfId="22986" xr:uid="{77E1182E-FA89-4472-94FD-354C46F9F560}"/>
    <cellStyle name="20% - Accent1 2 7 2 4 2" xfId="37962" xr:uid="{CDA63F11-27C6-42B0-B492-13DB75B52ED3}"/>
    <cellStyle name="20% - Accent1 2 7 2 5" xfId="30358" xr:uid="{6339496D-9570-4A3A-9B63-17F12B25E893}"/>
    <cellStyle name="20% - Accent1 2 7 3" xfId="5090" xr:uid="{00000000-0005-0000-0000-0000E5000000}"/>
    <cellStyle name="20% - Accent1 2 7 3 2" xfId="5089" xr:uid="{00000000-0005-0000-0000-0000E6000000}"/>
    <cellStyle name="20% - Accent1 2 7 3 2 2" xfId="22982" xr:uid="{C37CF41C-E3AC-474B-BA92-4D4592A29F9C}"/>
    <cellStyle name="20% - Accent1 2 7 3 2 2 2" xfId="37958" xr:uid="{15B36A41-C4C4-4B16-893D-4B9FF272CE96}"/>
    <cellStyle name="20% - Accent1 2 7 3 2 3" xfId="30354" xr:uid="{361C8DF2-674C-4E61-9244-6830351C43F5}"/>
    <cellStyle name="20% - Accent1 2 7 3 3" xfId="22983" xr:uid="{F8F85459-6DC5-46D6-9340-0AB6F86B0D4C}"/>
    <cellStyle name="20% - Accent1 2 7 3 3 2" xfId="37959" xr:uid="{C0CC1BAC-EA8D-4473-9D66-3F47DD25A0BC}"/>
    <cellStyle name="20% - Accent1 2 7 3 4" xfId="30355" xr:uid="{A5793142-D203-46BB-ACF2-472CD694740D}"/>
    <cellStyle name="20% - Accent1 2 7 4" xfId="5088" xr:uid="{00000000-0005-0000-0000-0000E7000000}"/>
    <cellStyle name="20% - Accent1 2 7 4 2" xfId="22981" xr:uid="{0E359705-C15B-44AB-A965-1028ACFEF872}"/>
    <cellStyle name="20% - Accent1 2 7 4 2 2" xfId="37957" xr:uid="{6704A31C-72FE-4F32-BC73-876293E8F9B4}"/>
    <cellStyle name="20% - Accent1 2 7 4 3" xfId="30353" xr:uid="{2120F08A-6B04-40D4-B888-E4295B7F149A}"/>
    <cellStyle name="20% - Accent1 2 7 5" xfId="22987" xr:uid="{8742A3E3-749C-43A0-A8A4-950D4AECF80F}"/>
    <cellStyle name="20% - Accent1 2 7 5 2" xfId="37963" xr:uid="{D8817FAE-A6ED-4808-9B8E-C6C753A9CAE2}"/>
    <cellStyle name="20% - Accent1 2 7 6" xfId="30359" xr:uid="{7F6ADF0B-616D-43AE-83E8-8CF1A6317D55}"/>
    <cellStyle name="20% - Accent1 3" xfId="169" xr:uid="{00000000-0005-0000-0000-000018000000}"/>
    <cellStyle name="20% - Accent1 3 10" xfId="5087" xr:uid="{00000000-0005-0000-0000-0000E8000000}"/>
    <cellStyle name="20% - Accent1 3 10 2" xfId="22980" xr:uid="{3F23BB1C-2E80-45D3-B95B-B4E4E51CDDE9}"/>
    <cellStyle name="20% - Accent1 3 10 2 2" xfId="37956" xr:uid="{7D171534-11D8-4024-A40E-0E0F2CEF0428}"/>
    <cellStyle name="20% - Accent1 3 10 3" xfId="30352" xr:uid="{C5FB1D83-0D04-4FCD-AB70-3D689C71E3EC}"/>
    <cellStyle name="20% - Accent1 3 2" xfId="5086" xr:uid="{00000000-0005-0000-0000-0000E9000000}"/>
    <cellStyle name="20% - Accent1 3 2 2" xfId="5085" xr:uid="{00000000-0005-0000-0000-0000EA000000}"/>
    <cellStyle name="20% - Accent1 3 2 2 2" xfId="5084" xr:uid="{00000000-0005-0000-0000-0000EB000000}"/>
    <cellStyle name="20% - Accent1 3 2 2 2 2" xfId="5083" xr:uid="{00000000-0005-0000-0000-0000EC000000}"/>
    <cellStyle name="20% - Accent1 3 2 2 2 2 2" xfId="5082" xr:uid="{00000000-0005-0000-0000-0000ED000000}"/>
    <cellStyle name="20% - Accent1 3 2 2 2 2 2 2" xfId="22976" xr:uid="{FA24C96B-CCD2-4318-96EE-41601CE31B56}"/>
    <cellStyle name="20% - Accent1 3 2 2 2 2 2 2 2" xfId="37952" xr:uid="{1D9A02CF-860D-402F-9FA5-6CE045C42A48}"/>
    <cellStyle name="20% - Accent1 3 2 2 2 2 2 3" xfId="30348" xr:uid="{09B6D67F-7A93-4463-993D-170803306221}"/>
    <cellStyle name="20% - Accent1 3 2 2 2 2 3" xfId="5081" xr:uid="{00000000-0005-0000-0000-0000EE000000}"/>
    <cellStyle name="20% - Accent1 3 2 2 2 2 3 2" xfId="22975" xr:uid="{507967A0-85FF-400B-B30D-6670730782A9}"/>
    <cellStyle name="20% - Accent1 3 2 2 2 2 3 2 2" xfId="37951" xr:uid="{CCEBBA7F-3826-4B5A-BA63-4EB9314F0AB6}"/>
    <cellStyle name="20% - Accent1 3 2 2 2 2 3 3" xfId="30347" xr:uid="{9EBC7BDE-7D84-4787-A796-49AA6C7E13C5}"/>
    <cellStyle name="20% - Accent1 3 2 2 2 2 4" xfId="22977" xr:uid="{295AA34A-C8D1-452A-A9EA-FD56D565135C}"/>
    <cellStyle name="20% - Accent1 3 2 2 2 2 4 2" xfId="37953" xr:uid="{C2D9F1EE-2DA8-422F-B709-AE59BA001213}"/>
    <cellStyle name="20% - Accent1 3 2 2 2 2 5" xfId="30349" xr:uid="{81D4484A-61B0-4D53-B774-2798290CEBD9}"/>
    <cellStyle name="20% - Accent1 3 2 2 2 3" xfId="5080" xr:uid="{00000000-0005-0000-0000-0000EF000000}"/>
    <cellStyle name="20% - Accent1 3 2 2 2 3 2" xfId="5079" xr:uid="{00000000-0005-0000-0000-0000F0000000}"/>
    <cellStyle name="20% - Accent1 3 2 2 2 3 2 2" xfId="22973" xr:uid="{08FA79DF-EC42-4986-B590-C888321B394B}"/>
    <cellStyle name="20% - Accent1 3 2 2 2 3 2 2 2" xfId="37949" xr:uid="{40F629BD-0631-4AA9-8132-1DEA19CD7BD9}"/>
    <cellStyle name="20% - Accent1 3 2 2 2 3 2 3" xfId="30345" xr:uid="{266CFC45-A9A3-4163-B1F1-96CAAEA70B98}"/>
    <cellStyle name="20% - Accent1 3 2 2 2 3 3" xfId="22974" xr:uid="{01B9056D-9137-404C-99DC-2A8A630E7883}"/>
    <cellStyle name="20% - Accent1 3 2 2 2 3 3 2" xfId="37950" xr:uid="{7EB1EF19-A227-4880-A466-B165C3B90D7E}"/>
    <cellStyle name="20% - Accent1 3 2 2 2 3 4" xfId="30346" xr:uid="{734E3426-EBD7-439D-85B9-0022F8E200A2}"/>
    <cellStyle name="20% - Accent1 3 2 2 2 4" xfId="5078" xr:uid="{00000000-0005-0000-0000-0000F1000000}"/>
    <cellStyle name="20% - Accent1 3 2 2 2 4 2" xfId="22972" xr:uid="{C5C37B94-154F-42DE-85F2-F8F47A36C9BD}"/>
    <cellStyle name="20% - Accent1 3 2 2 2 4 2 2" xfId="37948" xr:uid="{64D66E75-573B-43FB-B8B3-F6C16D66E3BA}"/>
    <cellStyle name="20% - Accent1 3 2 2 2 4 3" xfId="30344" xr:uid="{C143B379-AC2B-4CBE-8D8F-A0375988525F}"/>
    <cellStyle name="20% - Accent1 3 2 2 2 5" xfId="22978" xr:uid="{B60379DB-1FFE-4893-9779-C35CF5061941}"/>
    <cellStyle name="20% - Accent1 3 2 2 2 5 2" xfId="37954" xr:uid="{8E7EB536-B2FD-49BB-BC7D-EABBC7EFA159}"/>
    <cellStyle name="20% - Accent1 3 2 2 2 6" xfId="30350" xr:uid="{3EB6776A-F7D9-431F-B9C6-BDC0E20AE756}"/>
    <cellStyle name="20% - Accent1 3 2 2 3" xfId="5077" xr:uid="{00000000-0005-0000-0000-0000F2000000}"/>
    <cellStyle name="20% - Accent1 3 2 2 3 2" xfId="5076" xr:uid="{00000000-0005-0000-0000-0000F3000000}"/>
    <cellStyle name="20% - Accent1 3 2 2 3 2 2" xfId="22970" xr:uid="{B7478CF3-393F-4DD7-8CD8-CAF83DE62F9F}"/>
    <cellStyle name="20% - Accent1 3 2 2 3 2 2 2" xfId="37946" xr:uid="{177D1B06-B21F-4249-8C80-F897AC5D01E2}"/>
    <cellStyle name="20% - Accent1 3 2 2 3 2 3" xfId="30342" xr:uid="{D4D05C9E-23E1-4449-B75D-3B012FAC0A67}"/>
    <cellStyle name="20% - Accent1 3 2 2 3 3" xfId="5075" xr:uid="{00000000-0005-0000-0000-0000F4000000}"/>
    <cellStyle name="20% - Accent1 3 2 2 3 3 2" xfId="22969" xr:uid="{F06F2F3B-412A-4BE3-9CCB-CAC149407B3A}"/>
    <cellStyle name="20% - Accent1 3 2 2 3 3 2 2" xfId="37945" xr:uid="{CF9E1B1B-AC64-4E3F-BEBD-8F96E3C61988}"/>
    <cellStyle name="20% - Accent1 3 2 2 3 3 3" xfId="30341" xr:uid="{C881E03E-C7A9-48D7-B8E9-9E9CD20FDBB3}"/>
    <cellStyle name="20% - Accent1 3 2 2 3 4" xfId="22971" xr:uid="{8958B894-2F30-4199-98DF-57CA5643BA5C}"/>
    <cellStyle name="20% - Accent1 3 2 2 3 4 2" xfId="37947" xr:uid="{C8EAAB4A-C0D6-4ED1-8B1E-51874B672DC5}"/>
    <cellStyle name="20% - Accent1 3 2 2 3 5" xfId="30343" xr:uid="{64D193B4-DFE9-408D-B0A8-4635B749CAC0}"/>
    <cellStyle name="20% - Accent1 3 2 2 4" xfId="5074" xr:uid="{00000000-0005-0000-0000-0000F5000000}"/>
    <cellStyle name="20% - Accent1 3 2 2 4 2" xfId="22968" xr:uid="{9BD61A6E-9935-46EF-AA58-3550B54314F2}"/>
    <cellStyle name="20% - Accent1 3 2 2 4 2 2" xfId="37944" xr:uid="{D295DE1B-0FC7-46F4-B3F4-066731BADD6D}"/>
    <cellStyle name="20% - Accent1 3 2 2 4 3" xfId="30340" xr:uid="{8FB083D9-5316-4FAD-9D0E-D55B0589E9E2}"/>
    <cellStyle name="20% - Accent1 3 2 2 5" xfId="5073" xr:uid="{00000000-0005-0000-0000-0000F6000000}"/>
    <cellStyle name="20% - Accent1 3 2 2 5 2" xfId="5072" xr:uid="{00000000-0005-0000-0000-0000F7000000}"/>
    <cellStyle name="20% - Accent1 3 2 2 5 2 2" xfId="22966" xr:uid="{4509F3F1-303F-4233-A391-E8DE7843FBFC}"/>
    <cellStyle name="20% - Accent1 3 2 2 5 2 2 2" xfId="37942" xr:uid="{B3825B92-11CB-4A2A-9254-91474E07CE1F}"/>
    <cellStyle name="20% - Accent1 3 2 2 5 2 3" xfId="30338" xr:uid="{5C010819-19D7-4786-B4D1-51A01B3DE615}"/>
    <cellStyle name="20% - Accent1 3 2 2 5 3" xfId="22967" xr:uid="{E703223D-BB1E-47A4-9C07-96789A6302DE}"/>
    <cellStyle name="20% - Accent1 3 2 2 5 3 2" xfId="37943" xr:uid="{BFC3A401-4D06-4FFE-9310-822B93FE7ED4}"/>
    <cellStyle name="20% - Accent1 3 2 2 5 4" xfId="30339" xr:uid="{BC3C2641-DDD5-4CD3-AA81-FCE498D05E09}"/>
    <cellStyle name="20% - Accent1 3 2 2 6" xfId="5071" xr:uid="{00000000-0005-0000-0000-0000F8000000}"/>
    <cellStyle name="20% - Accent1 3 2 2 6 2" xfId="22965" xr:uid="{52C91B5C-2B30-41B1-A01B-7081DE07229F}"/>
    <cellStyle name="20% - Accent1 3 2 2 6 2 2" xfId="37941" xr:uid="{6B1FB388-C7DA-452F-A928-2201EEC5B77D}"/>
    <cellStyle name="20% - Accent1 3 2 2 6 3" xfId="30337" xr:uid="{E7055ABD-096F-4FC0-BF7B-FCD717EC8DA7}"/>
    <cellStyle name="20% - Accent1 3 2 2 7" xfId="22979" xr:uid="{0878082C-F8F8-482A-8734-97D5E0AC3C62}"/>
    <cellStyle name="20% - Accent1 3 2 2 7 2" xfId="37955" xr:uid="{953BEDB1-CC79-4CA4-89C3-E5D58A843C93}"/>
    <cellStyle name="20% - Accent1 3 2 2 8" xfId="30351" xr:uid="{13199EEE-99EE-40DD-BAD6-13428F3310BD}"/>
    <cellStyle name="20% - Accent1 3 2 3" xfId="5070" xr:uid="{00000000-0005-0000-0000-0000F9000000}"/>
    <cellStyle name="20% - Accent1 3 2 3 2" xfId="5069" xr:uid="{00000000-0005-0000-0000-0000FA000000}"/>
    <cellStyle name="20% - Accent1 3 2 3 2 2" xfId="5068" xr:uid="{00000000-0005-0000-0000-0000FB000000}"/>
    <cellStyle name="20% - Accent1 3 2 3 2 2 2" xfId="22962" xr:uid="{B3F3F16A-6E36-4871-B6EB-E931EEE3B97E}"/>
    <cellStyle name="20% - Accent1 3 2 3 2 2 2 2" xfId="37938" xr:uid="{D11C68AD-E166-4241-A4D8-45B75C355155}"/>
    <cellStyle name="20% - Accent1 3 2 3 2 2 3" xfId="30334" xr:uid="{8587E323-A161-4898-9D35-B3576587B5B9}"/>
    <cellStyle name="20% - Accent1 3 2 3 2 3" xfId="5067" xr:uid="{00000000-0005-0000-0000-0000FC000000}"/>
    <cellStyle name="20% - Accent1 3 2 3 2 3 2" xfId="22961" xr:uid="{6306495D-A011-4C04-B20E-7ECBD8A82441}"/>
    <cellStyle name="20% - Accent1 3 2 3 2 3 2 2" xfId="37937" xr:uid="{FE54DD71-2FC6-4FEF-BD2D-1E6DC8900FF7}"/>
    <cellStyle name="20% - Accent1 3 2 3 2 3 3" xfId="30333" xr:uid="{78F19957-B577-4301-B96E-D4FFB427CDAD}"/>
    <cellStyle name="20% - Accent1 3 2 3 2 4" xfId="22963" xr:uid="{FAE6D081-A0AD-4982-8847-6AC9BF1ED1A1}"/>
    <cellStyle name="20% - Accent1 3 2 3 2 4 2" xfId="37939" xr:uid="{26680E62-0A2C-4B62-BA65-7B73D3F39A0B}"/>
    <cellStyle name="20% - Accent1 3 2 3 2 5" xfId="30335" xr:uid="{5373D908-84D8-4B39-80A8-7B4A0458DF3B}"/>
    <cellStyle name="20% - Accent1 3 2 3 3" xfId="5066" xr:uid="{00000000-0005-0000-0000-0000FD000000}"/>
    <cellStyle name="20% - Accent1 3 2 3 3 2" xfId="5065" xr:uid="{00000000-0005-0000-0000-0000FE000000}"/>
    <cellStyle name="20% - Accent1 3 2 3 3 2 2" xfId="22959" xr:uid="{6A4322D8-0004-4AA3-928D-1A771C70AB25}"/>
    <cellStyle name="20% - Accent1 3 2 3 3 2 2 2" xfId="37935" xr:uid="{38A36EC7-81B8-4A83-A306-AA47670A608D}"/>
    <cellStyle name="20% - Accent1 3 2 3 3 2 3" xfId="30331" xr:uid="{B2710465-6D7F-4B38-83C0-A89C27FB2904}"/>
    <cellStyle name="20% - Accent1 3 2 3 3 3" xfId="22960" xr:uid="{F8507585-B08E-4CF1-9176-5C0CA3E1C4EB}"/>
    <cellStyle name="20% - Accent1 3 2 3 3 3 2" xfId="37936" xr:uid="{265EBEEB-432E-4053-869C-DBD041338A68}"/>
    <cellStyle name="20% - Accent1 3 2 3 3 4" xfId="30332" xr:uid="{8BA52BF7-1AEC-48E2-A691-BB374430C49A}"/>
    <cellStyle name="20% - Accent1 3 2 3 4" xfId="5064" xr:uid="{00000000-0005-0000-0000-0000FF000000}"/>
    <cellStyle name="20% - Accent1 3 2 3 4 2" xfId="22958" xr:uid="{BED7C951-2B7F-4105-9A78-153898B909D3}"/>
    <cellStyle name="20% - Accent1 3 2 3 4 2 2" xfId="37934" xr:uid="{F18D1D32-53BF-4C58-B3BC-026C06004536}"/>
    <cellStyle name="20% - Accent1 3 2 3 4 3" xfId="30330" xr:uid="{152D952B-7FF4-43F5-A961-C6D5729F44B5}"/>
    <cellStyle name="20% - Accent1 3 2 3 5" xfId="22964" xr:uid="{66662B56-FE10-4865-ADE8-1C9274FEBCE5}"/>
    <cellStyle name="20% - Accent1 3 2 3 5 2" xfId="37940" xr:uid="{22472ECE-6A2E-41CD-A92F-E5BC3769EB81}"/>
    <cellStyle name="20% - Accent1 3 2 3 6" xfId="30336" xr:uid="{0C31BBEF-E01C-4060-9844-5EAEFB516307}"/>
    <cellStyle name="20% - Accent1 3 2 4" xfId="5063" xr:uid="{00000000-0005-0000-0000-000000010000}"/>
    <cellStyle name="20% - Accent1 3 2 5" xfId="5062" xr:uid="{00000000-0005-0000-0000-000001010000}"/>
    <cellStyle name="20% - Accent1 3 2 5 2" xfId="22957" xr:uid="{F4DD4E93-6C1C-4A29-905E-CA4F92B92B6C}"/>
    <cellStyle name="20% - Accent1 3 2 5 2 2" xfId="37933" xr:uid="{3940352E-B74B-484F-902B-075FA3BBCD83}"/>
    <cellStyle name="20% - Accent1 3 2 5 3" xfId="30329" xr:uid="{C2426E37-75D4-4B19-8DF4-D9CB805E820A}"/>
    <cellStyle name="20% - Accent1 3 3" xfId="5061" xr:uid="{00000000-0005-0000-0000-000002010000}"/>
    <cellStyle name="20% - Accent1 3 3 2" xfId="5060" xr:uid="{00000000-0005-0000-0000-000003010000}"/>
    <cellStyle name="20% - Accent1 3 3 2 2" xfId="5059" xr:uid="{00000000-0005-0000-0000-000004010000}"/>
    <cellStyle name="20% - Accent1 3 3 2 2 2" xfId="22954" xr:uid="{2A783F9E-76F6-4310-967D-244329765609}"/>
    <cellStyle name="20% - Accent1 3 3 2 2 2 2" xfId="37930" xr:uid="{1B93DF71-62F9-4A14-A8B0-89C9839271A0}"/>
    <cellStyle name="20% - Accent1 3 3 2 2 3" xfId="30326" xr:uid="{C4E86E04-BEC9-4C4E-94BF-E7FFD62D24B5}"/>
    <cellStyle name="20% - Accent1 3 3 2 3" xfId="5058" xr:uid="{00000000-0005-0000-0000-000005010000}"/>
    <cellStyle name="20% - Accent1 3 3 2 3 2" xfId="5057" xr:uid="{00000000-0005-0000-0000-000006010000}"/>
    <cellStyle name="20% - Accent1 3 3 2 3 2 2" xfId="22952" xr:uid="{B33829B2-1916-4388-9181-A45645EB598B}"/>
    <cellStyle name="20% - Accent1 3 3 2 3 2 2 2" xfId="37928" xr:uid="{712B43B5-973E-44C9-8690-8810781512FB}"/>
    <cellStyle name="20% - Accent1 3 3 2 3 2 3" xfId="30324" xr:uid="{A7D5CD4F-B14F-47D6-A3A2-78D3399D43DE}"/>
    <cellStyle name="20% - Accent1 3 3 2 3 3" xfId="22953" xr:uid="{07B5E24B-6E56-455C-A09D-ECABAEAA40C6}"/>
    <cellStyle name="20% - Accent1 3 3 2 3 3 2" xfId="37929" xr:uid="{5B4814A1-1BE7-4F66-95D9-05584CFAA2DD}"/>
    <cellStyle name="20% - Accent1 3 3 2 3 4" xfId="30325" xr:uid="{F01774E0-CCF9-4F9D-BBE0-32678C67FAC5}"/>
    <cellStyle name="20% - Accent1 3 3 2 4" xfId="22955" xr:uid="{EA7E792B-84FD-456E-843E-3FDC13D3892F}"/>
    <cellStyle name="20% - Accent1 3 3 2 4 2" xfId="37931" xr:uid="{851FEFDA-999E-4812-B10A-171A57D88C5C}"/>
    <cellStyle name="20% - Accent1 3 3 2 5" xfId="30327" xr:uid="{B47CC4F3-99FA-48C0-B691-269E99C2CDC5}"/>
    <cellStyle name="20% - Accent1 3 3 3" xfId="5056" xr:uid="{00000000-0005-0000-0000-000007010000}"/>
    <cellStyle name="20% - Accent1 3 3 3 2" xfId="22951" xr:uid="{E3E36090-3EF1-4789-ABF8-E82BF2D19128}"/>
    <cellStyle name="20% - Accent1 3 3 3 2 2" xfId="37927" xr:uid="{D8E58958-618A-4910-AC2D-F9EB859DC202}"/>
    <cellStyle name="20% - Accent1 3 3 3 3" xfId="30323" xr:uid="{E75DB7CC-E4FC-4EE5-BF42-4A8C4958CB0E}"/>
    <cellStyle name="20% - Accent1 3 3 4" xfId="5055" xr:uid="{00000000-0005-0000-0000-000008010000}"/>
    <cellStyle name="20% - Accent1 3 3 4 2" xfId="5054" xr:uid="{00000000-0005-0000-0000-000009010000}"/>
    <cellStyle name="20% - Accent1 3 3 4 2 2" xfId="22949" xr:uid="{06739458-0F6C-4E6B-99DF-A96D8EBA16C8}"/>
    <cellStyle name="20% - Accent1 3 3 4 2 2 2" xfId="37925" xr:uid="{C3DB8646-6752-451E-9D6A-3F632ADBF563}"/>
    <cellStyle name="20% - Accent1 3 3 4 2 3" xfId="30321" xr:uid="{CEFB3BCE-CC18-43B8-8164-7C6E98DEF680}"/>
    <cellStyle name="20% - Accent1 3 3 4 3" xfId="22950" xr:uid="{DB461393-F579-42A1-8549-EE607DC34A2C}"/>
    <cellStyle name="20% - Accent1 3 3 4 3 2" xfId="37926" xr:uid="{B588E2A4-DEAC-4194-AAA5-FA0DEA9EB2E2}"/>
    <cellStyle name="20% - Accent1 3 3 4 4" xfId="30322" xr:uid="{7780C84D-3168-4DE6-93ED-C7106350A760}"/>
    <cellStyle name="20% - Accent1 3 3 5" xfId="5053" xr:uid="{00000000-0005-0000-0000-00000A010000}"/>
    <cellStyle name="20% - Accent1 3 3 5 2" xfId="22948" xr:uid="{E0E032BB-6901-4188-97BD-AF42F652AA45}"/>
    <cellStyle name="20% - Accent1 3 3 5 2 2" xfId="37924" xr:uid="{60CFAC3B-8867-44F2-9ED6-5640DE09A961}"/>
    <cellStyle name="20% - Accent1 3 3 5 3" xfId="30320" xr:uid="{EA31FB2A-576F-4ED5-9F2E-7A8683D65B9E}"/>
    <cellStyle name="20% - Accent1 3 3 6" xfId="22956" xr:uid="{5AF2D703-916A-4D5E-9AE2-E7A93A549F82}"/>
    <cellStyle name="20% - Accent1 3 3 6 2" xfId="37932" xr:uid="{16129424-3B0E-419E-B2E1-60658B04A19E}"/>
    <cellStyle name="20% - Accent1 3 3 7" xfId="30328" xr:uid="{59998948-15B2-481C-9733-0F69FF539836}"/>
    <cellStyle name="20% - Accent1 3 4" xfId="5052" xr:uid="{00000000-0005-0000-0000-00000B010000}"/>
    <cellStyle name="20% - Accent1 3 4 2" xfId="5051" xr:uid="{00000000-0005-0000-0000-00000C010000}"/>
    <cellStyle name="20% - Accent1 3 4 2 2" xfId="5050" xr:uid="{00000000-0005-0000-0000-00000D010000}"/>
    <cellStyle name="20% - Accent1 3 4 2 2 2" xfId="22945" xr:uid="{04465ABC-7BCC-403B-96B5-C1D32B2479F0}"/>
    <cellStyle name="20% - Accent1 3 4 2 2 2 2" xfId="37921" xr:uid="{E7CAAAAF-D92E-4939-AF8F-7E1EC2ECB48C}"/>
    <cellStyle name="20% - Accent1 3 4 2 2 3" xfId="30317" xr:uid="{32D86B78-6771-42D7-82B8-0540767AFAE9}"/>
    <cellStyle name="20% - Accent1 3 4 2 3" xfId="5049" xr:uid="{00000000-0005-0000-0000-00000E010000}"/>
    <cellStyle name="20% - Accent1 3 4 2 3 2" xfId="22944" xr:uid="{8F4FC7F2-8CE0-472F-81C7-C71C63969CB3}"/>
    <cellStyle name="20% - Accent1 3 4 2 3 2 2" xfId="37920" xr:uid="{305981C7-FFF7-4E45-9A24-A1E025C51901}"/>
    <cellStyle name="20% - Accent1 3 4 2 3 3" xfId="30316" xr:uid="{020D5AE4-1668-45BE-9350-359892540BC5}"/>
    <cellStyle name="20% - Accent1 3 4 2 4" xfId="22946" xr:uid="{1C4937AC-4CE4-4568-8BCC-FC81B823877E}"/>
    <cellStyle name="20% - Accent1 3 4 2 4 2" xfId="37922" xr:uid="{674057CB-9EC3-4835-8ADB-AA79DF1B4EFF}"/>
    <cellStyle name="20% - Accent1 3 4 2 5" xfId="30318" xr:uid="{5542E868-3109-4C9E-BAC3-A097B8E1A999}"/>
    <cellStyle name="20% - Accent1 3 4 3" xfId="5048" xr:uid="{00000000-0005-0000-0000-00000F010000}"/>
    <cellStyle name="20% - Accent1 3 4 3 2" xfId="22943" xr:uid="{6B1C9BC8-2B81-41CA-B48B-E92A5054F552}"/>
    <cellStyle name="20% - Accent1 3 4 3 2 2" xfId="37919" xr:uid="{48A0B9B9-C366-4C48-92C0-822AAC29DA75}"/>
    <cellStyle name="20% - Accent1 3 4 3 3" xfId="30315" xr:uid="{3270D24B-1B29-4A49-B44F-DD5C5D054BB5}"/>
    <cellStyle name="20% - Accent1 3 4 4" xfId="5047" xr:uid="{00000000-0005-0000-0000-000010010000}"/>
    <cellStyle name="20% - Accent1 3 4 4 2" xfId="5046" xr:uid="{00000000-0005-0000-0000-000011010000}"/>
    <cellStyle name="20% - Accent1 3 4 4 2 2" xfId="22941" xr:uid="{2F16103D-C3ED-43A9-8549-92E528588E47}"/>
    <cellStyle name="20% - Accent1 3 4 4 2 2 2" xfId="37917" xr:uid="{679FBC78-F610-4637-AB37-DC672008B86E}"/>
    <cellStyle name="20% - Accent1 3 4 4 2 3" xfId="30313" xr:uid="{1D785927-95A0-49C2-825D-904BD7E132F7}"/>
    <cellStyle name="20% - Accent1 3 4 4 3" xfId="22942" xr:uid="{EF17AEAA-C446-4720-AD88-2DC82A86EFC9}"/>
    <cellStyle name="20% - Accent1 3 4 4 3 2" xfId="37918" xr:uid="{4F4FAF0E-D9F7-4F1C-A467-C38ACC641317}"/>
    <cellStyle name="20% - Accent1 3 4 4 4" xfId="30314" xr:uid="{2096C513-DF70-4979-966F-EFE9C2B015A2}"/>
    <cellStyle name="20% - Accent1 3 4 5" xfId="5045" xr:uid="{00000000-0005-0000-0000-000012010000}"/>
    <cellStyle name="20% - Accent1 3 4 5 2" xfId="22940" xr:uid="{CE12D8CA-339F-43EA-82F6-4E0DDB9C6AD0}"/>
    <cellStyle name="20% - Accent1 3 4 5 2 2" xfId="37916" xr:uid="{66015422-F236-4845-888E-9F9AF93F09EC}"/>
    <cellStyle name="20% - Accent1 3 4 5 3" xfId="30312" xr:uid="{04CC6FAD-0D23-4103-AD26-C848EF880F0A}"/>
    <cellStyle name="20% - Accent1 3 4 6" xfId="22947" xr:uid="{17C8C595-AB30-4CFF-B7B5-85592D4C2C4E}"/>
    <cellStyle name="20% - Accent1 3 4 6 2" xfId="37923" xr:uid="{F8AB9CB8-193C-4956-999C-25B940945004}"/>
    <cellStyle name="20% - Accent1 3 4 7" xfId="30319" xr:uid="{B1C1D5DC-7F61-44F9-87B9-76D672C91B58}"/>
    <cellStyle name="20% - Accent1 3 5" xfId="5044" xr:uid="{00000000-0005-0000-0000-000013010000}"/>
    <cellStyle name="20% - Accent1 3 5 2" xfId="5043" xr:uid="{00000000-0005-0000-0000-000014010000}"/>
    <cellStyle name="20% - Accent1 3 5 2 2" xfId="5042" xr:uid="{00000000-0005-0000-0000-000015010000}"/>
    <cellStyle name="20% - Accent1 3 5 2 2 2" xfId="22937" xr:uid="{500EA1B0-4075-4E3C-9C6D-51F19827669B}"/>
    <cellStyle name="20% - Accent1 3 5 2 2 2 2" xfId="37913" xr:uid="{42D982FF-088B-4BD3-8D68-0BD2380E08EC}"/>
    <cellStyle name="20% - Accent1 3 5 2 2 3" xfId="30309" xr:uid="{A11DE35B-C9BA-4301-B092-BEE8F932C311}"/>
    <cellStyle name="20% - Accent1 3 5 2 3" xfId="5041" xr:uid="{00000000-0005-0000-0000-000016010000}"/>
    <cellStyle name="20% - Accent1 3 5 2 3 2" xfId="22936" xr:uid="{994A300B-8DE4-45AF-B338-275A329609E9}"/>
    <cellStyle name="20% - Accent1 3 5 2 3 2 2" xfId="37912" xr:uid="{D17BDE94-845E-48EE-97D1-A48C926FB733}"/>
    <cellStyle name="20% - Accent1 3 5 2 3 3" xfId="30308" xr:uid="{CFEE21EE-4754-4C78-A3F7-A60AF3C874F8}"/>
    <cellStyle name="20% - Accent1 3 5 2 4" xfId="22938" xr:uid="{BE3A19AC-B20F-48B8-AFC3-76ED15E6B129}"/>
    <cellStyle name="20% - Accent1 3 5 2 4 2" xfId="37914" xr:uid="{C1E08EF7-A06A-4483-9205-6D1A96AD6629}"/>
    <cellStyle name="20% - Accent1 3 5 2 5" xfId="30310" xr:uid="{6D73DF12-62B0-4749-9909-615E2D8C9A54}"/>
    <cellStyle name="20% - Accent1 3 5 3" xfId="5040" xr:uid="{00000000-0005-0000-0000-000017010000}"/>
    <cellStyle name="20% - Accent1 3 5 3 2" xfId="5039" xr:uid="{00000000-0005-0000-0000-000018010000}"/>
    <cellStyle name="20% - Accent1 3 5 3 2 2" xfId="22934" xr:uid="{ADFCCBA2-E51D-4D73-B2E8-6A0DF34383F2}"/>
    <cellStyle name="20% - Accent1 3 5 3 2 2 2" xfId="37910" xr:uid="{435D0354-EDE5-4E0C-940D-227484979A52}"/>
    <cellStyle name="20% - Accent1 3 5 3 2 3" xfId="30306" xr:uid="{AAA9219C-77E9-42C3-94FB-194548B45D81}"/>
    <cellStyle name="20% - Accent1 3 5 3 3" xfId="22935" xr:uid="{239B06AE-8CD7-452E-934C-E1159D8C9B38}"/>
    <cellStyle name="20% - Accent1 3 5 3 3 2" xfId="37911" xr:uid="{8390A50D-6832-450B-91E9-6CE261CAAFF0}"/>
    <cellStyle name="20% - Accent1 3 5 3 4" xfId="30307" xr:uid="{28D03D5C-124B-4265-9739-98EB4468C43C}"/>
    <cellStyle name="20% - Accent1 3 5 4" xfId="5038" xr:uid="{00000000-0005-0000-0000-000019010000}"/>
    <cellStyle name="20% - Accent1 3 5 4 2" xfId="22933" xr:uid="{A7FF09B7-D009-4422-995F-D49BCD7D5337}"/>
    <cellStyle name="20% - Accent1 3 5 4 2 2" xfId="37909" xr:uid="{F6C13CD8-E50C-4329-8566-7EE405C317BC}"/>
    <cellStyle name="20% - Accent1 3 5 4 3" xfId="30305" xr:uid="{8157F536-53BF-4425-B807-D6B26F4E4B40}"/>
    <cellStyle name="20% - Accent1 3 5 5" xfId="22939" xr:uid="{9E9AC5CE-C450-4C9D-A9B2-C09E897FDC28}"/>
    <cellStyle name="20% - Accent1 3 5 5 2" xfId="37915" xr:uid="{71DADB4C-E2C5-40C3-9015-0F327693F11B}"/>
    <cellStyle name="20% - Accent1 3 5 6" xfId="30311" xr:uid="{7B916696-F1F6-405F-8CD6-969DD4417403}"/>
    <cellStyle name="20% - Accent1 3 6" xfId="5037" xr:uid="{00000000-0005-0000-0000-00001A010000}"/>
    <cellStyle name="20% - Accent1 3 6 2" xfId="5036" xr:uid="{00000000-0005-0000-0000-00001B010000}"/>
    <cellStyle name="20% - Accent1 3 6 2 2" xfId="22931" xr:uid="{5DC5CE23-08BA-4D3A-94C2-DDF1C66CB7D0}"/>
    <cellStyle name="20% - Accent1 3 6 2 2 2" xfId="37907" xr:uid="{C33EBE6E-F192-478B-B548-BB792D79E458}"/>
    <cellStyle name="20% - Accent1 3 6 2 3" xfId="30303" xr:uid="{AAE859C7-1FEC-44B7-A1D5-22727AA6672E}"/>
    <cellStyle name="20% - Accent1 3 6 3" xfId="5035" xr:uid="{00000000-0005-0000-0000-00001C010000}"/>
    <cellStyle name="20% - Accent1 3 6 3 2" xfId="22930" xr:uid="{47104C44-4D63-4746-A427-83B552E9E035}"/>
    <cellStyle name="20% - Accent1 3 6 3 2 2" xfId="37906" xr:uid="{F6DA54F4-690F-44C0-8668-67C4A30EEBFB}"/>
    <cellStyle name="20% - Accent1 3 6 3 3" xfId="30302" xr:uid="{3A8599D8-AF62-44BD-B769-D46621A9B304}"/>
    <cellStyle name="20% - Accent1 3 6 4" xfId="22932" xr:uid="{FDE7AC66-9786-485E-A7DC-1ACC55D7054F}"/>
    <cellStyle name="20% - Accent1 3 6 4 2" xfId="37908" xr:uid="{F72C1504-E274-4599-A9EB-E4019BE76078}"/>
    <cellStyle name="20% - Accent1 3 6 5" xfId="30304" xr:uid="{1D612F5A-6CE8-4457-8DEF-106CF842C44E}"/>
    <cellStyle name="20% - Accent1 3 7" xfId="5034" xr:uid="{00000000-0005-0000-0000-00001D010000}"/>
    <cellStyle name="20% - Accent1 3 7 2" xfId="22929" xr:uid="{B1B10166-C123-4EED-A92C-79EF0C7B53A6}"/>
    <cellStyle name="20% - Accent1 3 7 2 2" xfId="37905" xr:uid="{F04A5467-CF82-47B0-AC18-91A223BEBE53}"/>
    <cellStyle name="20% - Accent1 3 7 3" xfId="30301" xr:uid="{74D22D6B-EF22-43B8-A438-125FB3F836D0}"/>
    <cellStyle name="20% - Accent1 3 8" xfId="5033" xr:uid="{00000000-0005-0000-0000-00001E010000}"/>
    <cellStyle name="20% - Accent1 3 8 2" xfId="5032" xr:uid="{00000000-0005-0000-0000-00001F010000}"/>
    <cellStyle name="20% - Accent1 3 8 2 2" xfId="22927" xr:uid="{0066922A-200F-4810-9934-75549F79A869}"/>
    <cellStyle name="20% - Accent1 3 8 2 2 2" xfId="37903" xr:uid="{904F2E10-6DD9-4343-8C56-29E0E6D7B49B}"/>
    <cellStyle name="20% - Accent1 3 8 2 3" xfId="30299" xr:uid="{7BD2EE51-B989-494C-8AB7-8AACA98BC793}"/>
    <cellStyle name="20% - Accent1 3 8 3" xfId="22928" xr:uid="{5AE842D4-2F55-47FD-B545-CA6435333E4C}"/>
    <cellStyle name="20% - Accent1 3 8 3 2" xfId="37904" xr:uid="{B5E6CAD4-D755-4144-9CFD-9A6AF8B14374}"/>
    <cellStyle name="20% - Accent1 3 8 4" xfId="30300" xr:uid="{16114811-9E93-4E5D-9F37-28F24CD30C86}"/>
    <cellStyle name="20% - Accent1 3 9" xfId="5031" xr:uid="{00000000-0005-0000-0000-000020010000}"/>
    <cellStyle name="20% - Accent1 3 9 2" xfId="22926" xr:uid="{BADAEF8E-4EE2-4C06-A4B0-037EBE0DB658}"/>
    <cellStyle name="20% - Accent1 3 9 2 2" xfId="37902" xr:uid="{5534630F-F6E6-435E-A7BB-7E940AFEB615}"/>
    <cellStyle name="20% - Accent1 3 9 3" xfId="30298" xr:uid="{A03C2321-D198-4BBA-8438-121EDC628298}"/>
    <cellStyle name="20% - Accent1 4" xfId="194" xr:uid="{00000000-0005-0000-0000-000019000000}"/>
    <cellStyle name="20% - Accent1 4 10" xfId="5030" xr:uid="{00000000-0005-0000-0000-000021010000}"/>
    <cellStyle name="20% - Accent1 4 10 2" xfId="22925" xr:uid="{1D8AFFFF-072C-4F37-B87B-DC31250F4802}"/>
    <cellStyle name="20% - Accent1 4 10 2 2" xfId="37901" xr:uid="{284490C4-647B-4868-BBA9-05F572A8D286}"/>
    <cellStyle name="20% - Accent1 4 10 3" xfId="30297" xr:uid="{E5B67C49-BC45-4A1F-B119-EA2E94DE95F1}"/>
    <cellStyle name="20% - Accent1 4 2" xfId="5029" xr:uid="{00000000-0005-0000-0000-000022010000}"/>
    <cellStyle name="20% - Accent1 4 2 2" xfId="5028" xr:uid="{00000000-0005-0000-0000-000023010000}"/>
    <cellStyle name="20% - Accent1 4 2 2 2" xfId="5027" xr:uid="{00000000-0005-0000-0000-000024010000}"/>
    <cellStyle name="20% - Accent1 4 2 2 2 2" xfId="5026" xr:uid="{00000000-0005-0000-0000-000025010000}"/>
    <cellStyle name="20% - Accent1 4 2 2 2 2 2" xfId="5025" xr:uid="{00000000-0005-0000-0000-000026010000}"/>
    <cellStyle name="20% - Accent1 4 2 2 2 2 2 2" xfId="22921" xr:uid="{632DFDA8-E29C-4347-B81B-1CCE26CAB4D4}"/>
    <cellStyle name="20% - Accent1 4 2 2 2 2 2 2 2" xfId="37897" xr:uid="{F2F8450B-8744-4F72-905C-548CB806E9E9}"/>
    <cellStyle name="20% - Accent1 4 2 2 2 2 2 3" xfId="30293" xr:uid="{BCF5FA1D-27E1-4547-BE5D-4B3C64267AA5}"/>
    <cellStyle name="20% - Accent1 4 2 2 2 2 3" xfId="5024" xr:uid="{00000000-0005-0000-0000-000027010000}"/>
    <cellStyle name="20% - Accent1 4 2 2 2 2 3 2" xfId="22920" xr:uid="{CD0DC9AA-19C7-4DCD-AF77-6B48D29BE385}"/>
    <cellStyle name="20% - Accent1 4 2 2 2 2 3 2 2" xfId="37896" xr:uid="{8FF7B85E-425B-4D90-94A6-77EC29AF7A80}"/>
    <cellStyle name="20% - Accent1 4 2 2 2 2 3 3" xfId="30292" xr:uid="{64BDEC46-7E8A-4F48-80A4-E6414EA50EDA}"/>
    <cellStyle name="20% - Accent1 4 2 2 2 2 4" xfId="22922" xr:uid="{826CD712-E5CE-433F-AD08-F5A14043BF5C}"/>
    <cellStyle name="20% - Accent1 4 2 2 2 2 4 2" xfId="37898" xr:uid="{896CEAD8-3E4C-4E2E-93CE-0E98D71C17C4}"/>
    <cellStyle name="20% - Accent1 4 2 2 2 2 5" xfId="30294" xr:uid="{EAB9C2F8-EEBE-4F9B-9934-5546DC78766B}"/>
    <cellStyle name="20% - Accent1 4 2 2 2 3" xfId="5023" xr:uid="{00000000-0005-0000-0000-000028010000}"/>
    <cellStyle name="20% - Accent1 4 2 2 2 3 2" xfId="5022" xr:uid="{00000000-0005-0000-0000-000029010000}"/>
    <cellStyle name="20% - Accent1 4 2 2 2 3 2 2" xfId="22918" xr:uid="{EBA83969-E596-41F9-A89B-99207C7D1C4F}"/>
    <cellStyle name="20% - Accent1 4 2 2 2 3 2 2 2" xfId="37894" xr:uid="{7130E572-A0D3-42D9-A583-CB9BE7724284}"/>
    <cellStyle name="20% - Accent1 4 2 2 2 3 2 3" xfId="30290" xr:uid="{70D0BBBD-CB29-40FC-BB77-ACDE75887ED2}"/>
    <cellStyle name="20% - Accent1 4 2 2 2 3 3" xfId="22919" xr:uid="{7010A0A9-D5DA-4174-8B56-E90DB3448E1C}"/>
    <cellStyle name="20% - Accent1 4 2 2 2 3 3 2" xfId="37895" xr:uid="{D74AFB2D-666B-4524-B79A-609B0D703F18}"/>
    <cellStyle name="20% - Accent1 4 2 2 2 3 4" xfId="30291" xr:uid="{DA072E84-5F51-4EB2-B3F9-DB296C4DB6CF}"/>
    <cellStyle name="20% - Accent1 4 2 2 2 4" xfId="5021" xr:uid="{00000000-0005-0000-0000-00002A010000}"/>
    <cellStyle name="20% - Accent1 4 2 2 2 4 2" xfId="22917" xr:uid="{68363344-4743-4644-A5C5-82AF2EE3EBB3}"/>
    <cellStyle name="20% - Accent1 4 2 2 2 4 2 2" xfId="37893" xr:uid="{77FF1043-0176-428B-A851-22AFC360B874}"/>
    <cellStyle name="20% - Accent1 4 2 2 2 4 3" xfId="30289" xr:uid="{7DD93690-C1D8-4CD4-918E-C7F752386C3A}"/>
    <cellStyle name="20% - Accent1 4 2 2 2 5" xfId="22923" xr:uid="{3E77948F-65A1-42B5-84D7-A1F4750588DB}"/>
    <cellStyle name="20% - Accent1 4 2 2 2 5 2" xfId="37899" xr:uid="{B87DD08B-4CB6-4FDA-9E96-B7D908467677}"/>
    <cellStyle name="20% - Accent1 4 2 2 2 6" xfId="30295" xr:uid="{714C51FF-0D41-43A0-B6D7-CE674465FD59}"/>
    <cellStyle name="20% - Accent1 4 2 2 3" xfId="5020" xr:uid="{00000000-0005-0000-0000-00002B010000}"/>
    <cellStyle name="20% - Accent1 4 2 2 3 2" xfId="5019" xr:uid="{00000000-0005-0000-0000-00002C010000}"/>
    <cellStyle name="20% - Accent1 4 2 2 3 2 2" xfId="22915" xr:uid="{0501E204-5ED6-4C4C-A0F9-6BFA14257636}"/>
    <cellStyle name="20% - Accent1 4 2 2 3 2 2 2" xfId="37891" xr:uid="{79FF7B59-E423-4AE2-8844-29B97F5F88C6}"/>
    <cellStyle name="20% - Accent1 4 2 2 3 2 3" xfId="30287" xr:uid="{A6C0E11C-8AAD-411A-9C3A-33C6307D172E}"/>
    <cellStyle name="20% - Accent1 4 2 2 3 3" xfId="5018" xr:uid="{00000000-0005-0000-0000-00002D010000}"/>
    <cellStyle name="20% - Accent1 4 2 2 3 3 2" xfId="22914" xr:uid="{050A339E-2960-4CB4-857B-F555FEBD8AE1}"/>
    <cellStyle name="20% - Accent1 4 2 2 3 3 2 2" xfId="37890" xr:uid="{FDE5F91D-A55A-467B-B5CB-790DA2CB3BE3}"/>
    <cellStyle name="20% - Accent1 4 2 2 3 3 3" xfId="30286" xr:uid="{A67964B0-5F72-4582-BE17-36BE049B5BCD}"/>
    <cellStyle name="20% - Accent1 4 2 2 3 4" xfId="22916" xr:uid="{B2C9F896-282F-428E-B135-4109994C4AA2}"/>
    <cellStyle name="20% - Accent1 4 2 2 3 4 2" xfId="37892" xr:uid="{8BE168B9-40B3-4876-85A5-F3BE8DE67B33}"/>
    <cellStyle name="20% - Accent1 4 2 2 3 5" xfId="30288" xr:uid="{3D31899A-C29C-4CE7-A249-A42E41F2F725}"/>
    <cellStyle name="20% - Accent1 4 2 2 4" xfId="5017" xr:uid="{00000000-0005-0000-0000-00002E010000}"/>
    <cellStyle name="20% - Accent1 4 2 2 4 2" xfId="22913" xr:uid="{06329E27-6E46-4355-91A2-D0DE9DBB687B}"/>
    <cellStyle name="20% - Accent1 4 2 2 4 2 2" xfId="37889" xr:uid="{2198C359-3241-4BDD-8276-BC1098235BD6}"/>
    <cellStyle name="20% - Accent1 4 2 2 4 3" xfId="30285" xr:uid="{E6AD9718-20D7-40D2-ADBC-3A2A596AC0CE}"/>
    <cellStyle name="20% - Accent1 4 2 2 5" xfId="5016" xr:uid="{00000000-0005-0000-0000-00002F010000}"/>
    <cellStyle name="20% - Accent1 4 2 2 5 2" xfId="5015" xr:uid="{00000000-0005-0000-0000-000030010000}"/>
    <cellStyle name="20% - Accent1 4 2 2 5 2 2" xfId="22911" xr:uid="{0A1C2BBF-C680-4E12-B79D-2C29FDE52A8C}"/>
    <cellStyle name="20% - Accent1 4 2 2 5 2 2 2" xfId="37887" xr:uid="{8E60BEA9-9D78-4B1E-84FC-9C62966E100F}"/>
    <cellStyle name="20% - Accent1 4 2 2 5 2 3" xfId="30283" xr:uid="{5FF01ED0-576F-41B7-9832-CD4DF7A33AD1}"/>
    <cellStyle name="20% - Accent1 4 2 2 5 3" xfId="22912" xr:uid="{97AD3FB7-46C9-43CB-BD28-B0140FF68D40}"/>
    <cellStyle name="20% - Accent1 4 2 2 5 3 2" xfId="37888" xr:uid="{041266DF-B5F5-419E-9912-6397C992EF51}"/>
    <cellStyle name="20% - Accent1 4 2 2 5 4" xfId="30284" xr:uid="{E413D881-DC6A-4122-BDF6-3F5ECD4850A9}"/>
    <cellStyle name="20% - Accent1 4 2 2 6" xfId="5014" xr:uid="{00000000-0005-0000-0000-000031010000}"/>
    <cellStyle name="20% - Accent1 4 2 2 6 2" xfId="22910" xr:uid="{4E4F2FA1-3834-403E-A06F-71107B85867D}"/>
    <cellStyle name="20% - Accent1 4 2 2 6 2 2" xfId="37886" xr:uid="{BB87886B-61F6-42CB-B0C6-CE241115FB17}"/>
    <cellStyle name="20% - Accent1 4 2 2 6 3" xfId="30282" xr:uid="{AF2026C9-E770-4A1C-848F-E2CA62BDCCB1}"/>
    <cellStyle name="20% - Accent1 4 2 2 7" xfId="22924" xr:uid="{07E545C7-97F4-442F-A350-7311268B3577}"/>
    <cellStyle name="20% - Accent1 4 2 2 7 2" xfId="37900" xr:uid="{1CAE3197-5305-4020-A1EC-C1E1A99DEB00}"/>
    <cellStyle name="20% - Accent1 4 2 2 8" xfId="30296" xr:uid="{76A07A4D-3B17-4EE3-A191-7367E0AE48D2}"/>
    <cellStyle name="20% - Accent1 4 2 3" xfId="5013" xr:uid="{00000000-0005-0000-0000-000032010000}"/>
    <cellStyle name="20% - Accent1 4 2 3 2" xfId="5012" xr:uid="{00000000-0005-0000-0000-000033010000}"/>
    <cellStyle name="20% - Accent1 4 2 3 2 2" xfId="5011" xr:uid="{00000000-0005-0000-0000-000034010000}"/>
    <cellStyle name="20% - Accent1 4 2 3 2 2 2" xfId="22907" xr:uid="{5BF522DB-AAFA-4D4E-B58F-2FB323167D72}"/>
    <cellStyle name="20% - Accent1 4 2 3 2 2 2 2" xfId="37883" xr:uid="{0332AD77-7125-4C74-9261-508A35377F14}"/>
    <cellStyle name="20% - Accent1 4 2 3 2 2 3" xfId="30279" xr:uid="{CB676DD9-6F91-41D6-8CED-243FD798D7DC}"/>
    <cellStyle name="20% - Accent1 4 2 3 2 3" xfId="5010" xr:uid="{00000000-0005-0000-0000-000035010000}"/>
    <cellStyle name="20% - Accent1 4 2 3 2 3 2" xfId="22906" xr:uid="{51632451-4DD3-4027-9E6A-36991FACE30F}"/>
    <cellStyle name="20% - Accent1 4 2 3 2 3 2 2" xfId="37882" xr:uid="{39A703F7-5D6B-4730-8717-498B0C8F02A7}"/>
    <cellStyle name="20% - Accent1 4 2 3 2 3 3" xfId="30278" xr:uid="{6D7482A5-6DB0-4C48-A836-9E3CBC47E72B}"/>
    <cellStyle name="20% - Accent1 4 2 3 2 4" xfId="22908" xr:uid="{F731E4A1-044E-4AD6-8C3B-3AF0F9D8E2B0}"/>
    <cellStyle name="20% - Accent1 4 2 3 2 4 2" xfId="37884" xr:uid="{1C1B96F4-1936-47E3-817F-AA01E6CB0DEF}"/>
    <cellStyle name="20% - Accent1 4 2 3 2 5" xfId="30280" xr:uid="{D7B86451-D4EF-4BDA-AA04-ED93185CE96E}"/>
    <cellStyle name="20% - Accent1 4 2 3 3" xfId="5009" xr:uid="{00000000-0005-0000-0000-000036010000}"/>
    <cellStyle name="20% - Accent1 4 2 3 3 2" xfId="5008" xr:uid="{00000000-0005-0000-0000-000037010000}"/>
    <cellStyle name="20% - Accent1 4 2 3 3 2 2" xfId="22904" xr:uid="{B1918562-CD82-4019-9771-CC030A456B5F}"/>
    <cellStyle name="20% - Accent1 4 2 3 3 2 2 2" xfId="37880" xr:uid="{3797BD99-8B20-4C9B-9AE9-31A58755FD11}"/>
    <cellStyle name="20% - Accent1 4 2 3 3 2 3" xfId="30276" xr:uid="{47C506D0-67FE-4AB9-88DC-2BEB1F95620D}"/>
    <cellStyle name="20% - Accent1 4 2 3 3 3" xfId="22905" xr:uid="{6592EB43-0946-43EA-95EA-2D1423349A3C}"/>
    <cellStyle name="20% - Accent1 4 2 3 3 3 2" xfId="37881" xr:uid="{07C37D91-3922-4DCC-BFDE-4738092698F6}"/>
    <cellStyle name="20% - Accent1 4 2 3 3 4" xfId="30277" xr:uid="{5188D178-E09B-4C11-9363-E7C2AB960E28}"/>
    <cellStyle name="20% - Accent1 4 2 3 4" xfId="5007" xr:uid="{00000000-0005-0000-0000-000038010000}"/>
    <cellStyle name="20% - Accent1 4 2 3 4 2" xfId="22903" xr:uid="{2B7D5C30-73E7-4784-81B9-E8B3577E0759}"/>
    <cellStyle name="20% - Accent1 4 2 3 4 2 2" xfId="37879" xr:uid="{9ED9D029-A234-4B8F-B43B-55A9EA03B599}"/>
    <cellStyle name="20% - Accent1 4 2 3 4 3" xfId="30275" xr:uid="{6EABC1C7-0973-4BA4-907B-A65D4D8D92AD}"/>
    <cellStyle name="20% - Accent1 4 2 3 5" xfId="22909" xr:uid="{DD1632B9-7B16-4A8B-9E5D-4A5DD97530F9}"/>
    <cellStyle name="20% - Accent1 4 2 3 5 2" xfId="37885" xr:uid="{F9939F98-1F3B-4B61-936A-46D74E19A3C2}"/>
    <cellStyle name="20% - Accent1 4 2 3 6" xfId="30281" xr:uid="{748FF6B5-06A6-46EE-9A41-A411972E80B8}"/>
    <cellStyle name="20% - Accent1 4 2 4" xfId="5006" xr:uid="{00000000-0005-0000-0000-000039010000}"/>
    <cellStyle name="20% - Accent1 4 2 5" xfId="5005" xr:uid="{00000000-0005-0000-0000-00003A010000}"/>
    <cellStyle name="20% - Accent1 4 2 5 2" xfId="22902" xr:uid="{6FF9F2A4-A7E5-442E-9F4C-B15633C39553}"/>
    <cellStyle name="20% - Accent1 4 2 5 2 2" xfId="37878" xr:uid="{C39206FE-BC68-4C65-969F-CC461FF1A2CC}"/>
    <cellStyle name="20% - Accent1 4 2 5 3" xfId="30274" xr:uid="{291546D0-D673-46CC-B208-868D72D6C70C}"/>
    <cellStyle name="20% - Accent1 4 3" xfId="5004" xr:uid="{00000000-0005-0000-0000-00003B010000}"/>
    <cellStyle name="20% - Accent1 4 3 2" xfId="5003" xr:uid="{00000000-0005-0000-0000-00003C010000}"/>
    <cellStyle name="20% - Accent1 4 3 2 2" xfId="5002" xr:uid="{00000000-0005-0000-0000-00003D010000}"/>
    <cellStyle name="20% - Accent1 4 3 2 2 2" xfId="22899" xr:uid="{9D156F7D-EEB0-41C7-89CF-E12C7195467F}"/>
    <cellStyle name="20% - Accent1 4 3 2 2 2 2" xfId="37875" xr:uid="{E9790524-EED2-44B2-A97B-D535F8E18C3D}"/>
    <cellStyle name="20% - Accent1 4 3 2 2 3" xfId="30271" xr:uid="{0D21E71C-3C3F-4656-838B-BE6CBBF7E99E}"/>
    <cellStyle name="20% - Accent1 4 3 2 3" xfId="5001" xr:uid="{00000000-0005-0000-0000-00003E010000}"/>
    <cellStyle name="20% - Accent1 4 3 2 3 2" xfId="22898" xr:uid="{4E76ED31-BEA7-40EE-9148-115F2D6683F9}"/>
    <cellStyle name="20% - Accent1 4 3 2 3 2 2" xfId="37874" xr:uid="{4465A59E-BE8D-4A6F-AA1C-88453176C9CF}"/>
    <cellStyle name="20% - Accent1 4 3 2 3 3" xfId="30270" xr:uid="{F7A9CCD8-7AFF-48B1-8E7B-FC413AC5FAB3}"/>
    <cellStyle name="20% - Accent1 4 3 2 4" xfId="22900" xr:uid="{5B1ABD6C-0051-461C-9CF8-74024031D09E}"/>
    <cellStyle name="20% - Accent1 4 3 2 4 2" xfId="37876" xr:uid="{82237BA5-5262-407E-B7B9-6154E7A0096B}"/>
    <cellStyle name="20% - Accent1 4 3 2 5" xfId="30272" xr:uid="{94493E3C-FAF0-4F67-8FC2-623037B13341}"/>
    <cellStyle name="20% - Accent1 4 3 3" xfId="5000" xr:uid="{00000000-0005-0000-0000-00003F010000}"/>
    <cellStyle name="20% - Accent1 4 3 3 2" xfId="22897" xr:uid="{4F752D66-4F6F-4B19-B89F-C8D5C7C18333}"/>
    <cellStyle name="20% - Accent1 4 3 3 2 2" xfId="37873" xr:uid="{56BC0FD4-A88F-432A-8C19-1603114DB861}"/>
    <cellStyle name="20% - Accent1 4 3 3 3" xfId="30269" xr:uid="{4397C30B-0913-4D91-8BB6-ED6BA6BB62BF}"/>
    <cellStyle name="20% - Accent1 4 3 4" xfId="4999" xr:uid="{00000000-0005-0000-0000-000040010000}"/>
    <cellStyle name="20% - Accent1 4 3 4 2" xfId="4998" xr:uid="{00000000-0005-0000-0000-000041010000}"/>
    <cellStyle name="20% - Accent1 4 3 4 2 2" xfId="22895" xr:uid="{A666DF9E-C0DF-4998-9C19-F673BA543DD9}"/>
    <cellStyle name="20% - Accent1 4 3 4 2 2 2" xfId="37871" xr:uid="{6B473462-E31C-4841-ADA9-43CC0A16B5E2}"/>
    <cellStyle name="20% - Accent1 4 3 4 2 3" xfId="30267" xr:uid="{C71F3913-3F8E-4FE0-B414-C21F7B266E73}"/>
    <cellStyle name="20% - Accent1 4 3 4 3" xfId="22896" xr:uid="{DAD1132F-4187-48CD-8277-3169F419F68E}"/>
    <cellStyle name="20% - Accent1 4 3 4 3 2" xfId="37872" xr:uid="{D435AEF5-4BE1-4F9C-BD65-A8D387ECC1E6}"/>
    <cellStyle name="20% - Accent1 4 3 4 4" xfId="30268" xr:uid="{B9C09DDE-D4D7-4CE6-9653-79609E54F73C}"/>
    <cellStyle name="20% - Accent1 4 3 5" xfId="4997" xr:uid="{00000000-0005-0000-0000-000042010000}"/>
    <cellStyle name="20% - Accent1 4 3 5 2" xfId="22894" xr:uid="{97F14AA9-5436-498D-926F-E4C9733AD616}"/>
    <cellStyle name="20% - Accent1 4 3 5 2 2" xfId="37870" xr:uid="{2BFCF6C6-C035-4AB4-9EE8-4C67CAF5B315}"/>
    <cellStyle name="20% - Accent1 4 3 5 3" xfId="30266" xr:uid="{3BA5ADAB-5867-4BBB-B4A7-D302206BA722}"/>
    <cellStyle name="20% - Accent1 4 3 6" xfId="22901" xr:uid="{C60678A9-160F-4685-8BFF-E892F37B97FB}"/>
    <cellStyle name="20% - Accent1 4 3 6 2" xfId="37877" xr:uid="{E961D6E1-2CBD-4E25-B289-EB044B389C19}"/>
    <cellStyle name="20% - Accent1 4 3 7" xfId="30273" xr:uid="{11EC0E56-67DF-4941-9908-706DE005B057}"/>
    <cellStyle name="20% - Accent1 4 4" xfId="4996" xr:uid="{00000000-0005-0000-0000-000043010000}"/>
    <cellStyle name="20% - Accent1 4 4 2" xfId="4995" xr:uid="{00000000-0005-0000-0000-000044010000}"/>
    <cellStyle name="20% - Accent1 4 4 2 2" xfId="4994" xr:uid="{00000000-0005-0000-0000-000045010000}"/>
    <cellStyle name="20% - Accent1 4 4 2 2 2" xfId="22891" xr:uid="{8A1D609F-D5AC-4B9A-AD5B-5BE45E56AD2B}"/>
    <cellStyle name="20% - Accent1 4 4 2 2 2 2" xfId="37867" xr:uid="{6FCDE9FC-3433-49A8-8A70-9BBC7A761CB4}"/>
    <cellStyle name="20% - Accent1 4 4 2 2 3" xfId="30263" xr:uid="{67D38F47-2925-4DA3-AE03-9DBC7C1EEE93}"/>
    <cellStyle name="20% - Accent1 4 4 2 3" xfId="4993" xr:uid="{00000000-0005-0000-0000-000046010000}"/>
    <cellStyle name="20% - Accent1 4 4 2 3 2" xfId="22890" xr:uid="{1A548466-826C-41BE-9311-49C7E998EACB}"/>
    <cellStyle name="20% - Accent1 4 4 2 3 2 2" xfId="37866" xr:uid="{B34D5B2A-DDDA-4095-B397-157A9AFF041A}"/>
    <cellStyle name="20% - Accent1 4 4 2 3 3" xfId="30262" xr:uid="{A8639F04-BD05-40A7-BF58-49E59FE4791A}"/>
    <cellStyle name="20% - Accent1 4 4 2 4" xfId="22892" xr:uid="{09282478-E8B3-46A5-93DD-87A8C032E1D5}"/>
    <cellStyle name="20% - Accent1 4 4 2 4 2" xfId="37868" xr:uid="{681FF0BA-C9AE-4E5D-914D-413860DD10F6}"/>
    <cellStyle name="20% - Accent1 4 4 2 5" xfId="30264" xr:uid="{44CC65A8-4DAD-47B0-84F3-0428262E7D12}"/>
    <cellStyle name="20% - Accent1 4 4 3" xfId="5579" xr:uid="{00000000-0005-0000-0000-000047010000}"/>
    <cellStyle name="20% - Accent1 4 4 3 2" xfId="5533" xr:uid="{00000000-0005-0000-0000-000048010000}"/>
    <cellStyle name="20% - Accent1 4 4 3 2 2" xfId="23208" xr:uid="{6E41925A-5917-4EE7-8429-2B2D9FE58BE7}"/>
    <cellStyle name="20% - Accent1 4 4 3 2 2 2" xfId="38179" xr:uid="{2AC47D57-18A9-4DBA-A395-E35692949E18}"/>
    <cellStyle name="20% - Accent1 4 4 3 2 3" xfId="30576" xr:uid="{B10726F4-0BE0-4200-B621-D05EF1EBB7A8}"/>
    <cellStyle name="20% - Accent1 4 4 3 3" xfId="23235" xr:uid="{673A9A00-F565-4AF2-BCEA-CCB2477F62A6}"/>
    <cellStyle name="20% - Accent1 4 4 3 3 2" xfId="38206" xr:uid="{24662E8B-B149-40FB-B8FC-622D0B41E637}"/>
    <cellStyle name="20% - Accent1 4 4 3 4" xfId="30603" xr:uid="{0376717A-3DE9-4F1A-ABB9-904551A9B82C}"/>
    <cellStyle name="20% - Accent1 4 4 4" xfId="4992" xr:uid="{00000000-0005-0000-0000-000049010000}"/>
    <cellStyle name="20% - Accent1 4 4 4 2" xfId="22889" xr:uid="{5B735D04-1B71-4B00-A9F3-EB818775F6BB}"/>
    <cellStyle name="20% - Accent1 4 4 4 2 2" xfId="37865" xr:uid="{CAB039AF-BD52-4033-8259-1364D51EAB90}"/>
    <cellStyle name="20% - Accent1 4 4 4 3" xfId="30261" xr:uid="{69CDE9DB-8A2D-44D2-8983-849FF65357CF}"/>
    <cellStyle name="20% - Accent1 4 4 5" xfId="22893" xr:uid="{CFEAC7E2-92B0-41AE-839D-9CF8E68C6FE1}"/>
    <cellStyle name="20% - Accent1 4 4 5 2" xfId="37869" xr:uid="{8F15083C-5728-401D-A912-78A717DE25B7}"/>
    <cellStyle name="20% - Accent1 4 4 6" xfId="30265" xr:uid="{4D9DC3AF-3904-4E68-8F69-F71A70A1D6DC}"/>
    <cellStyle name="20% - Accent1 4 5" xfId="4991" xr:uid="{00000000-0005-0000-0000-00004A010000}"/>
    <cellStyle name="20% - Accent1 4 5 2" xfId="4990" xr:uid="{00000000-0005-0000-0000-00004B010000}"/>
    <cellStyle name="20% - Accent1 4 5 2 2" xfId="4989" xr:uid="{00000000-0005-0000-0000-00004C010000}"/>
    <cellStyle name="20% - Accent1 4 5 2 2 2" xfId="22886" xr:uid="{9DC2A06E-8288-4D94-AAEF-D23190CBAEC4}"/>
    <cellStyle name="20% - Accent1 4 5 2 2 2 2" xfId="37862" xr:uid="{F21BEC0A-8001-4BAC-96D3-BD3CF22DC1AB}"/>
    <cellStyle name="20% - Accent1 4 5 2 2 3" xfId="30258" xr:uid="{ECEBB751-CE31-473A-94F9-8ACF90606DD7}"/>
    <cellStyle name="20% - Accent1 4 5 2 3" xfId="4988" xr:uid="{00000000-0005-0000-0000-00004D010000}"/>
    <cellStyle name="20% - Accent1 4 5 2 3 2" xfId="22885" xr:uid="{42A520B0-0EE5-4A99-81DF-8F956C4F2661}"/>
    <cellStyle name="20% - Accent1 4 5 2 3 2 2" xfId="37861" xr:uid="{8CA55455-11F3-4279-BF00-315E5444F149}"/>
    <cellStyle name="20% - Accent1 4 5 2 3 3" xfId="30257" xr:uid="{84EE3288-5228-41B6-BFBB-A27D078EFEAB}"/>
    <cellStyle name="20% - Accent1 4 5 2 4" xfId="22887" xr:uid="{64578AC4-4E88-4FE1-92AA-8B6D646E5BFB}"/>
    <cellStyle name="20% - Accent1 4 5 2 4 2" xfId="37863" xr:uid="{12BECD9F-B736-4A6C-B0D9-0F9F4178EB21}"/>
    <cellStyle name="20% - Accent1 4 5 2 5" xfId="30259" xr:uid="{4EA43E13-90A8-4C38-BF37-D11A981E4411}"/>
    <cellStyle name="20% - Accent1 4 5 3" xfId="4987" xr:uid="{00000000-0005-0000-0000-00004E010000}"/>
    <cellStyle name="20% - Accent1 4 5 3 2" xfId="4986" xr:uid="{00000000-0005-0000-0000-00004F010000}"/>
    <cellStyle name="20% - Accent1 4 5 3 2 2" xfId="22883" xr:uid="{486AB9EC-8E8A-47CC-85AE-3E87F9270706}"/>
    <cellStyle name="20% - Accent1 4 5 3 2 2 2" xfId="37859" xr:uid="{1A539B0C-CF1D-4FF0-B1B7-F8A23C6FE9E3}"/>
    <cellStyle name="20% - Accent1 4 5 3 2 3" xfId="30255" xr:uid="{2DF9D4D2-D1D8-4AD3-BA36-DAFC2EB9CC72}"/>
    <cellStyle name="20% - Accent1 4 5 3 3" xfId="22884" xr:uid="{ABE0B38A-A06B-48E7-9B0E-3735C9F70BCD}"/>
    <cellStyle name="20% - Accent1 4 5 3 3 2" xfId="37860" xr:uid="{815D228E-94D2-4C81-B7BB-EE3A33809107}"/>
    <cellStyle name="20% - Accent1 4 5 3 4" xfId="30256" xr:uid="{DBE1953D-1F90-46CE-B39F-C002924E778B}"/>
    <cellStyle name="20% - Accent1 4 5 4" xfId="4985" xr:uid="{00000000-0005-0000-0000-000050010000}"/>
    <cellStyle name="20% - Accent1 4 5 4 2" xfId="22882" xr:uid="{84314282-F82E-4BF1-B54B-6BE758AC5A68}"/>
    <cellStyle name="20% - Accent1 4 5 4 2 2" xfId="37858" xr:uid="{2043F694-B3DF-4058-A070-17094F0748DF}"/>
    <cellStyle name="20% - Accent1 4 5 4 3" xfId="30254" xr:uid="{95A6ECF0-80C0-49EE-9DE6-33DB52F959C9}"/>
    <cellStyle name="20% - Accent1 4 5 5" xfId="22888" xr:uid="{A9124729-1C8C-4201-BCFB-D5B9865375CA}"/>
    <cellStyle name="20% - Accent1 4 5 5 2" xfId="37864" xr:uid="{3BC1BA96-7784-49AC-9B00-E33C6402DF40}"/>
    <cellStyle name="20% - Accent1 4 5 6" xfId="30260" xr:uid="{8D56C5BA-8349-4AC6-BDF5-ED7ECEEC847C}"/>
    <cellStyle name="20% - Accent1 4 6" xfId="4984" xr:uid="{00000000-0005-0000-0000-000051010000}"/>
    <cellStyle name="20% - Accent1 4 6 2" xfId="4983" xr:uid="{00000000-0005-0000-0000-000052010000}"/>
    <cellStyle name="20% - Accent1 4 6 2 2" xfId="22880" xr:uid="{80B65E8E-409B-4A4D-868C-F97EC33E56D7}"/>
    <cellStyle name="20% - Accent1 4 6 2 2 2" xfId="37856" xr:uid="{3EB75A48-136C-4910-9786-5A3814EE3B0C}"/>
    <cellStyle name="20% - Accent1 4 6 2 3" xfId="30252" xr:uid="{456D8E51-61B1-44F5-95AE-AC8261814124}"/>
    <cellStyle name="20% - Accent1 4 6 3" xfId="4982" xr:uid="{00000000-0005-0000-0000-000053010000}"/>
    <cellStyle name="20% - Accent1 4 6 3 2" xfId="22879" xr:uid="{61D51F23-C1A1-4C2E-9CBE-E77BB40C52A7}"/>
    <cellStyle name="20% - Accent1 4 6 3 2 2" xfId="37855" xr:uid="{8EF2D347-B94C-4B99-9B2F-2BC91AAAAE0F}"/>
    <cellStyle name="20% - Accent1 4 6 3 3" xfId="30251" xr:uid="{65A939EB-E00B-45E6-97E3-1D377D546EE0}"/>
    <cellStyle name="20% - Accent1 4 6 4" xfId="22881" xr:uid="{CFF18818-7A5D-478E-85C7-30F3AC4A41EF}"/>
    <cellStyle name="20% - Accent1 4 6 4 2" xfId="37857" xr:uid="{D583F33C-1032-41D6-AE49-11E9D58525BD}"/>
    <cellStyle name="20% - Accent1 4 6 5" xfId="30253" xr:uid="{B464519B-DB34-46C0-8053-2733A26F9BC3}"/>
    <cellStyle name="20% - Accent1 4 7" xfId="4981" xr:uid="{00000000-0005-0000-0000-000054010000}"/>
    <cellStyle name="20% - Accent1 4 7 2" xfId="22878" xr:uid="{94D18AA8-20D8-40D0-9D77-98B8E611B0A1}"/>
    <cellStyle name="20% - Accent1 4 7 2 2" xfId="37854" xr:uid="{7BA66DD7-6FD8-443D-8F78-B5232536BD30}"/>
    <cellStyle name="20% - Accent1 4 7 3" xfId="30250" xr:uid="{5B06F81A-559B-4507-95C1-BE93D6DDEB1E}"/>
    <cellStyle name="20% - Accent1 4 8" xfId="4980" xr:uid="{00000000-0005-0000-0000-000055010000}"/>
    <cellStyle name="20% - Accent1 4 8 2" xfId="4979" xr:uid="{00000000-0005-0000-0000-000056010000}"/>
    <cellStyle name="20% - Accent1 4 8 2 2" xfId="22876" xr:uid="{7FAA2E59-0AD8-4E18-A9F0-D281D6214A16}"/>
    <cellStyle name="20% - Accent1 4 8 2 2 2" xfId="37852" xr:uid="{194340ED-242E-478C-94B0-9DD0628E92F8}"/>
    <cellStyle name="20% - Accent1 4 8 2 3" xfId="30248" xr:uid="{027CF94B-64A3-4CF5-9254-29F24A235D2E}"/>
    <cellStyle name="20% - Accent1 4 8 3" xfId="22877" xr:uid="{FF9CEEB1-FEA1-4279-84C6-3219F9750727}"/>
    <cellStyle name="20% - Accent1 4 8 3 2" xfId="37853" xr:uid="{180646C6-95B3-4441-A75E-664510DC7CDF}"/>
    <cellStyle name="20% - Accent1 4 8 4" xfId="30249" xr:uid="{32D551B2-8F0B-4070-A0F4-9C25FCCED7AF}"/>
    <cellStyle name="20% - Accent1 4 9" xfId="4978" xr:uid="{00000000-0005-0000-0000-000057010000}"/>
    <cellStyle name="20% - Accent1 4 9 2" xfId="22875" xr:uid="{8CBACE3B-A6E3-42A2-B596-86B479D9074D}"/>
    <cellStyle name="20% - Accent1 4 9 2 2" xfId="37851" xr:uid="{FF72166F-493E-4257-9B6A-A09AE87189C4}"/>
    <cellStyle name="20% - Accent1 4 9 3" xfId="30247" xr:uid="{55A428D8-17F2-4785-841A-EABCB8713CDF}"/>
    <cellStyle name="20% - Accent1 5" xfId="199" xr:uid="{00000000-0005-0000-0000-00001A000000}"/>
    <cellStyle name="20% - Accent1 5 2" xfId="4976" xr:uid="{00000000-0005-0000-0000-000059010000}"/>
    <cellStyle name="20% - Accent1 5 2 2" xfId="4975" xr:uid="{00000000-0005-0000-0000-00005A010000}"/>
    <cellStyle name="20% - Accent1 5 2 2 2" xfId="4974" xr:uid="{00000000-0005-0000-0000-00005B010000}"/>
    <cellStyle name="20% - Accent1 5 2 2 2 2" xfId="4973" xr:uid="{00000000-0005-0000-0000-00005C010000}"/>
    <cellStyle name="20% - Accent1 5 2 2 2 2 2" xfId="4972" xr:uid="{00000000-0005-0000-0000-00005D010000}"/>
    <cellStyle name="20% - Accent1 5 2 2 2 2 2 2" xfId="22870" xr:uid="{318935B2-A62A-4D3E-9DD7-E5E11A7DA466}"/>
    <cellStyle name="20% - Accent1 5 2 2 2 2 2 2 2" xfId="37846" xr:uid="{CD54806A-32E3-4AD7-A66C-E6D86118DC8C}"/>
    <cellStyle name="20% - Accent1 5 2 2 2 2 2 3" xfId="30242" xr:uid="{4538135B-CE1C-4090-BB2A-A67D57379AB6}"/>
    <cellStyle name="20% - Accent1 5 2 2 2 2 3" xfId="4971" xr:uid="{00000000-0005-0000-0000-00005E010000}"/>
    <cellStyle name="20% - Accent1 5 2 2 2 2 3 2" xfId="22869" xr:uid="{B936BC1E-EE28-4A94-AF74-1973C61012CD}"/>
    <cellStyle name="20% - Accent1 5 2 2 2 2 3 2 2" xfId="37845" xr:uid="{9CD071B8-3DFA-4A0F-989B-4952C019E7EC}"/>
    <cellStyle name="20% - Accent1 5 2 2 2 2 3 3" xfId="30241" xr:uid="{B24023DB-9AE6-4FF7-B646-160F6F4FCC84}"/>
    <cellStyle name="20% - Accent1 5 2 2 2 2 4" xfId="22871" xr:uid="{55870220-DC5B-43B4-A612-23D01F4B89FA}"/>
    <cellStyle name="20% - Accent1 5 2 2 2 2 4 2" xfId="37847" xr:uid="{4BC2F267-787F-43FE-836A-37BFE1CEC77F}"/>
    <cellStyle name="20% - Accent1 5 2 2 2 2 5" xfId="30243" xr:uid="{870A24B8-DBE7-4074-BCD1-4B3ECAD2F60A}"/>
    <cellStyle name="20% - Accent1 5 2 2 2 3" xfId="4970" xr:uid="{00000000-0005-0000-0000-00005F010000}"/>
    <cellStyle name="20% - Accent1 5 2 2 2 3 2" xfId="4969" xr:uid="{00000000-0005-0000-0000-000060010000}"/>
    <cellStyle name="20% - Accent1 5 2 2 2 3 2 2" xfId="22867" xr:uid="{6183F312-C04E-4F56-BDEC-B5898C5869B3}"/>
    <cellStyle name="20% - Accent1 5 2 2 2 3 2 2 2" xfId="37843" xr:uid="{8594ABC4-4BDD-4F5D-B565-AAB577479559}"/>
    <cellStyle name="20% - Accent1 5 2 2 2 3 2 3" xfId="30239" xr:uid="{33F2D457-BEE5-47D1-A88A-CFA13F5C4425}"/>
    <cellStyle name="20% - Accent1 5 2 2 2 3 3" xfId="22868" xr:uid="{0C4ED1E8-1740-4DA0-BBA2-C948D9456F0F}"/>
    <cellStyle name="20% - Accent1 5 2 2 2 3 3 2" xfId="37844" xr:uid="{8A40EB3C-5B32-48C9-A996-B77E348422AF}"/>
    <cellStyle name="20% - Accent1 5 2 2 2 3 4" xfId="30240" xr:uid="{A98AA400-3D12-4C09-864B-DDABD62FF8CE}"/>
    <cellStyle name="20% - Accent1 5 2 2 2 4" xfId="4968" xr:uid="{00000000-0005-0000-0000-000061010000}"/>
    <cellStyle name="20% - Accent1 5 2 2 2 4 2" xfId="22866" xr:uid="{B226C40F-87CF-4B13-9314-4AE9C810E264}"/>
    <cellStyle name="20% - Accent1 5 2 2 2 4 2 2" xfId="37842" xr:uid="{0645AB1D-2AD0-4248-9338-3A71C1AF2976}"/>
    <cellStyle name="20% - Accent1 5 2 2 2 4 3" xfId="30238" xr:uid="{4AC2CF0C-7DAF-440B-AC68-DE136F1D1501}"/>
    <cellStyle name="20% - Accent1 5 2 2 2 5" xfId="22872" xr:uid="{98E8AC54-FAD6-438F-AD12-4532DC942385}"/>
    <cellStyle name="20% - Accent1 5 2 2 2 5 2" xfId="37848" xr:uid="{E0336348-EEFE-4C89-B47A-AB64B120DE5C}"/>
    <cellStyle name="20% - Accent1 5 2 2 2 6" xfId="30244" xr:uid="{D1DDB5DE-B928-41E0-96A6-92EB65E853AE}"/>
    <cellStyle name="20% - Accent1 5 2 2 3" xfId="4967" xr:uid="{00000000-0005-0000-0000-000062010000}"/>
    <cellStyle name="20% - Accent1 5 2 2 3 2" xfId="4966" xr:uid="{00000000-0005-0000-0000-000063010000}"/>
    <cellStyle name="20% - Accent1 5 2 2 3 2 2" xfId="22864" xr:uid="{2E824C43-EB9B-4EF2-84CB-078552E013C0}"/>
    <cellStyle name="20% - Accent1 5 2 2 3 2 2 2" xfId="37840" xr:uid="{FE7E6E49-435B-4AB5-866A-2FDC18AD5CAD}"/>
    <cellStyle name="20% - Accent1 5 2 2 3 2 3" xfId="30236" xr:uid="{B27E022E-B698-4323-9BA3-2BBEF0AB60CB}"/>
    <cellStyle name="20% - Accent1 5 2 2 3 3" xfId="4965" xr:uid="{00000000-0005-0000-0000-000064010000}"/>
    <cellStyle name="20% - Accent1 5 2 2 3 3 2" xfId="22863" xr:uid="{DBF84E47-7486-419E-84A4-1479D2352E98}"/>
    <cellStyle name="20% - Accent1 5 2 2 3 3 2 2" xfId="37839" xr:uid="{23E9E692-DF7F-4E63-AE32-03501BF9E1B7}"/>
    <cellStyle name="20% - Accent1 5 2 2 3 3 3" xfId="30235" xr:uid="{157930D1-DE08-4EAC-8DA2-C71871FA46E4}"/>
    <cellStyle name="20% - Accent1 5 2 2 3 4" xfId="22865" xr:uid="{25119F3F-E150-4599-B7A8-F35BACCA0A0C}"/>
    <cellStyle name="20% - Accent1 5 2 2 3 4 2" xfId="37841" xr:uid="{EADD8860-7FF0-499D-B509-F830B9F946B5}"/>
    <cellStyle name="20% - Accent1 5 2 2 3 5" xfId="30237" xr:uid="{CF1FA7E9-25D7-4217-A8C7-7D4B6AA8B519}"/>
    <cellStyle name="20% - Accent1 5 2 2 4" xfId="4964" xr:uid="{00000000-0005-0000-0000-000065010000}"/>
    <cellStyle name="20% - Accent1 5 2 2 4 2" xfId="22862" xr:uid="{0135ADFE-AF97-4905-8114-B41D0A9541B6}"/>
    <cellStyle name="20% - Accent1 5 2 2 4 2 2" xfId="37838" xr:uid="{2FBACF9B-42BF-4136-A08B-BE0F1BB4F3F4}"/>
    <cellStyle name="20% - Accent1 5 2 2 4 3" xfId="30234" xr:uid="{F3EB4854-356D-4781-A557-490401963EB6}"/>
    <cellStyle name="20% - Accent1 5 2 2 5" xfId="4963" xr:uid="{00000000-0005-0000-0000-000066010000}"/>
    <cellStyle name="20% - Accent1 5 2 2 5 2" xfId="4962" xr:uid="{00000000-0005-0000-0000-000067010000}"/>
    <cellStyle name="20% - Accent1 5 2 2 5 2 2" xfId="22860" xr:uid="{C6C5EC69-9CF8-48EB-BC27-3B5CEA0C7F12}"/>
    <cellStyle name="20% - Accent1 5 2 2 5 2 2 2" xfId="37836" xr:uid="{1D7E1845-10A0-43E5-891B-3B621578B097}"/>
    <cellStyle name="20% - Accent1 5 2 2 5 2 3" xfId="30232" xr:uid="{6222AEF0-0B92-450E-A28F-7048A5FD43D5}"/>
    <cellStyle name="20% - Accent1 5 2 2 5 3" xfId="22861" xr:uid="{677759BE-7B2F-4BE4-8233-F81A66D7561A}"/>
    <cellStyle name="20% - Accent1 5 2 2 5 3 2" xfId="37837" xr:uid="{E006FED4-2F89-499E-8943-F188D9864FA8}"/>
    <cellStyle name="20% - Accent1 5 2 2 5 4" xfId="30233" xr:uid="{DDAD7543-A001-451C-8E9B-3A8D274B9A4C}"/>
    <cellStyle name="20% - Accent1 5 2 2 6" xfId="4961" xr:uid="{00000000-0005-0000-0000-000068010000}"/>
    <cellStyle name="20% - Accent1 5 2 2 6 2" xfId="22859" xr:uid="{C6A4A61F-9121-433D-8641-A1C44A49AAA4}"/>
    <cellStyle name="20% - Accent1 5 2 2 6 2 2" xfId="37835" xr:uid="{7F5E83E6-1465-456E-84AA-26D7C0D84FEF}"/>
    <cellStyle name="20% - Accent1 5 2 2 6 3" xfId="30231" xr:uid="{B568C6F6-9B53-4766-AF1F-029001B71E3D}"/>
    <cellStyle name="20% - Accent1 5 2 2 7" xfId="22873" xr:uid="{B43B2D95-4616-47E2-A70C-C840CA2E2538}"/>
    <cellStyle name="20% - Accent1 5 2 2 7 2" xfId="37849" xr:uid="{62943C92-7A4E-4819-BA11-9EEFFA85BBC9}"/>
    <cellStyle name="20% - Accent1 5 2 2 8" xfId="30245" xr:uid="{3D95FEBC-9C8F-4790-88B7-6586BD4D4291}"/>
    <cellStyle name="20% - Accent1 5 2 3" xfId="4960" xr:uid="{00000000-0005-0000-0000-000069010000}"/>
    <cellStyle name="20% - Accent1 5 2 3 2" xfId="4959" xr:uid="{00000000-0005-0000-0000-00006A010000}"/>
    <cellStyle name="20% - Accent1 5 2 3 2 2" xfId="4958" xr:uid="{00000000-0005-0000-0000-00006B010000}"/>
    <cellStyle name="20% - Accent1 5 2 3 2 2 2" xfId="22856" xr:uid="{23643A4E-C888-41D0-98D9-31BF924ABC6A}"/>
    <cellStyle name="20% - Accent1 5 2 3 2 2 2 2" xfId="37832" xr:uid="{007D06F8-71EC-4120-A628-141631FC0BD1}"/>
    <cellStyle name="20% - Accent1 5 2 3 2 2 3" xfId="30228" xr:uid="{E87C756A-AB4A-4EB0-B74E-79F8353FF8DB}"/>
    <cellStyle name="20% - Accent1 5 2 3 2 3" xfId="4957" xr:uid="{00000000-0005-0000-0000-00006C010000}"/>
    <cellStyle name="20% - Accent1 5 2 3 2 3 2" xfId="22855" xr:uid="{12939095-D6CB-4620-A54A-410FEE0AFD60}"/>
    <cellStyle name="20% - Accent1 5 2 3 2 3 2 2" xfId="37831" xr:uid="{6FD61D74-0376-4303-839B-996E0BF66F8C}"/>
    <cellStyle name="20% - Accent1 5 2 3 2 3 3" xfId="30227" xr:uid="{428936F1-35EB-40F8-B179-3FE4B639E21F}"/>
    <cellStyle name="20% - Accent1 5 2 3 2 4" xfId="22857" xr:uid="{6747F6E5-FC75-4E61-9D11-26B6AB45A077}"/>
    <cellStyle name="20% - Accent1 5 2 3 2 4 2" xfId="37833" xr:uid="{C22B26BA-BBA3-480A-AB17-F42DFE86C0EE}"/>
    <cellStyle name="20% - Accent1 5 2 3 2 5" xfId="30229" xr:uid="{2193CFC4-0145-4337-ACAA-B091A9AFDFDC}"/>
    <cellStyle name="20% - Accent1 5 2 3 3" xfId="4956" xr:uid="{00000000-0005-0000-0000-00006D010000}"/>
    <cellStyle name="20% - Accent1 5 2 3 3 2" xfId="4955" xr:uid="{00000000-0005-0000-0000-00006E010000}"/>
    <cellStyle name="20% - Accent1 5 2 3 3 2 2" xfId="22853" xr:uid="{DA1D18B1-789B-4179-BE98-E3A1A4B7932A}"/>
    <cellStyle name="20% - Accent1 5 2 3 3 2 2 2" xfId="37829" xr:uid="{126BCE0A-D291-4821-AB80-4AC34F28FB1C}"/>
    <cellStyle name="20% - Accent1 5 2 3 3 2 3" xfId="30225" xr:uid="{8BEAD50B-CA41-4788-905A-9A63B7EA70F1}"/>
    <cellStyle name="20% - Accent1 5 2 3 3 3" xfId="22854" xr:uid="{813AC41E-BD3D-45DC-AA16-5999171A3F06}"/>
    <cellStyle name="20% - Accent1 5 2 3 3 3 2" xfId="37830" xr:uid="{49E0EDF6-F67A-477D-8B8C-F3E053E49AC0}"/>
    <cellStyle name="20% - Accent1 5 2 3 3 4" xfId="30226" xr:uid="{6D378202-5D13-49A2-ABBC-FF8C3B6029B2}"/>
    <cellStyle name="20% - Accent1 5 2 3 4" xfId="4954" xr:uid="{00000000-0005-0000-0000-00006F010000}"/>
    <cellStyle name="20% - Accent1 5 2 3 4 2" xfId="22852" xr:uid="{90E332DF-BB60-4EE7-BDD4-C64FCB37BC55}"/>
    <cellStyle name="20% - Accent1 5 2 3 4 2 2" xfId="37828" xr:uid="{1B734295-CFA0-4F17-842F-D066E93C45CD}"/>
    <cellStyle name="20% - Accent1 5 2 3 4 3" xfId="30224" xr:uid="{04F7AED9-21AF-4BDF-9147-1CA6EA109FF8}"/>
    <cellStyle name="20% - Accent1 5 2 3 5" xfId="22858" xr:uid="{9CD8C399-CA1E-420F-9C86-9891EDA5AE80}"/>
    <cellStyle name="20% - Accent1 5 2 3 5 2" xfId="37834" xr:uid="{9BB0E4D3-57EB-4B7B-B34D-875C809CDEA7}"/>
    <cellStyle name="20% - Accent1 5 2 3 6" xfId="30230" xr:uid="{4E10F89F-A3C8-45C0-A7E8-580E69EF1D10}"/>
    <cellStyle name="20% - Accent1 5 2 4" xfId="4953" xr:uid="{00000000-0005-0000-0000-000070010000}"/>
    <cellStyle name="20% - Accent1 5 2 5" xfId="4952" xr:uid="{00000000-0005-0000-0000-000071010000}"/>
    <cellStyle name="20% - Accent1 5 2 5 2" xfId="22851" xr:uid="{1470131C-C03E-4179-A30B-7C2EDF3973B3}"/>
    <cellStyle name="20% - Accent1 5 2 5 2 2" xfId="37827" xr:uid="{EA77D04E-B5E4-44D9-B029-E77AD8EE18F1}"/>
    <cellStyle name="20% - Accent1 5 2 5 3" xfId="30223" xr:uid="{1204BCF9-ED5C-419D-93F0-D9679AA426D9}"/>
    <cellStyle name="20% - Accent1 5 3" xfId="4951" xr:uid="{00000000-0005-0000-0000-000072010000}"/>
    <cellStyle name="20% - Accent1 5 3 2" xfId="4950" xr:uid="{00000000-0005-0000-0000-000073010000}"/>
    <cellStyle name="20% - Accent1 5 3 2 2" xfId="4949" xr:uid="{00000000-0005-0000-0000-000074010000}"/>
    <cellStyle name="20% - Accent1 5 3 2 2 2" xfId="22848" xr:uid="{067E5786-7511-46B8-9034-E5EF3601415A}"/>
    <cellStyle name="20% - Accent1 5 3 2 2 2 2" xfId="37824" xr:uid="{751D786A-4C86-4EE8-B806-079D4F7B25C9}"/>
    <cellStyle name="20% - Accent1 5 3 2 2 3" xfId="30220" xr:uid="{6101E4EE-070C-4155-AE29-288031F5A8E5}"/>
    <cellStyle name="20% - Accent1 5 3 2 3" xfId="4948" xr:uid="{00000000-0005-0000-0000-000075010000}"/>
    <cellStyle name="20% - Accent1 5 3 2 3 2" xfId="22847" xr:uid="{46B089FF-5824-412D-BC56-8D1E9D758D53}"/>
    <cellStyle name="20% - Accent1 5 3 2 3 2 2" xfId="37823" xr:uid="{D04E70C2-F47A-4CB6-8641-0190569F0676}"/>
    <cellStyle name="20% - Accent1 5 3 2 3 3" xfId="30219" xr:uid="{A8FF2FE7-471B-4583-867C-379A5573334F}"/>
    <cellStyle name="20% - Accent1 5 3 2 4" xfId="22849" xr:uid="{781C85B9-C663-4DD9-BB8E-7A40336D0C7A}"/>
    <cellStyle name="20% - Accent1 5 3 2 4 2" xfId="37825" xr:uid="{5D43DA03-2FE5-44C2-AE93-1F9AF8D44868}"/>
    <cellStyle name="20% - Accent1 5 3 2 5" xfId="30221" xr:uid="{2944D42C-C1E9-4275-BCA1-4DACBDCA77F8}"/>
    <cellStyle name="20% - Accent1 5 3 3" xfId="4947" xr:uid="{00000000-0005-0000-0000-000076010000}"/>
    <cellStyle name="20% - Accent1 5 3 3 2" xfId="22846" xr:uid="{7CE30533-FE72-4D43-AAFB-AAFDC367DACD}"/>
    <cellStyle name="20% - Accent1 5 3 3 2 2" xfId="37822" xr:uid="{2F870626-E19F-4C9B-B210-39CD5390C1CD}"/>
    <cellStyle name="20% - Accent1 5 3 3 3" xfId="30218" xr:uid="{5B43C039-F227-452C-8D1F-62B00AFBDDA0}"/>
    <cellStyle name="20% - Accent1 5 3 4" xfId="4946" xr:uid="{00000000-0005-0000-0000-000077010000}"/>
    <cellStyle name="20% - Accent1 5 3 4 2" xfId="4945" xr:uid="{00000000-0005-0000-0000-000078010000}"/>
    <cellStyle name="20% - Accent1 5 3 4 2 2" xfId="22844" xr:uid="{6D790185-D934-4605-B77D-CC4E49C4F60A}"/>
    <cellStyle name="20% - Accent1 5 3 4 2 2 2" xfId="37820" xr:uid="{5E6E5560-AD41-424D-8E93-0A7FB003CD54}"/>
    <cellStyle name="20% - Accent1 5 3 4 2 3" xfId="30216" xr:uid="{0885A5E7-5CC8-4D8C-99CE-5BD241C03DFB}"/>
    <cellStyle name="20% - Accent1 5 3 4 3" xfId="22845" xr:uid="{DB06CF12-F30A-4385-AA1E-2397DF013583}"/>
    <cellStyle name="20% - Accent1 5 3 4 3 2" xfId="37821" xr:uid="{671C6225-42A7-422C-B019-4BCCA422F9E6}"/>
    <cellStyle name="20% - Accent1 5 3 4 4" xfId="30217" xr:uid="{D61F8385-7DAE-4510-9E6B-663136F7C32B}"/>
    <cellStyle name="20% - Accent1 5 3 5" xfId="4944" xr:uid="{00000000-0005-0000-0000-000079010000}"/>
    <cellStyle name="20% - Accent1 5 3 5 2" xfId="22843" xr:uid="{71DE176E-A3EC-4A12-8CC1-B55CD366CBB2}"/>
    <cellStyle name="20% - Accent1 5 3 5 2 2" xfId="37819" xr:uid="{70A69458-6562-4D5D-97B1-EE77BCE1BBA7}"/>
    <cellStyle name="20% - Accent1 5 3 5 3" xfId="30215" xr:uid="{D5CAD9B9-286B-4752-AC09-0651953BF654}"/>
    <cellStyle name="20% - Accent1 5 3 6" xfId="22850" xr:uid="{60561508-35F4-4003-B7FB-87686697D788}"/>
    <cellStyle name="20% - Accent1 5 3 6 2" xfId="37826" xr:uid="{368E7ABB-7402-4524-8E2F-FE1262A31E91}"/>
    <cellStyle name="20% - Accent1 5 3 7" xfId="30222" xr:uid="{E3985263-93B6-45C9-8CF2-D188AF942CCE}"/>
    <cellStyle name="20% - Accent1 5 4" xfId="4943" xr:uid="{00000000-0005-0000-0000-00007A010000}"/>
    <cellStyle name="20% - Accent1 5 4 2" xfId="4942" xr:uid="{00000000-0005-0000-0000-00007B010000}"/>
    <cellStyle name="20% - Accent1 5 4 2 2" xfId="4941" xr:uid="{00000000-0005-0000-0000-00007C010000}"/>
    <cellStyle name="20% - Accent1 5 4 2 2 2" xfId="22840" xr:uid="{812FA279-E20E-4165-9D16-381A8F420497}"/>
    <cellStyle name="20% - Accent1 5 4 2 2 2 2" xfId="37816" xr:uid="{BEDA0B4B-80C8-4F60-A5B1-5C2CF2D6FD6A}"/>
    <cellStyle name="20% - Accent1 5 4 2 2 3" xfId="30212" xr:uid="{27F4AA1C-546A-40C4-BC9F-409A0E02A6C9}"/>
    <cellStyle name="20% - Accent1 5 4 2 3" xfId="4940" xr:uid="{00000000-0005-0000-0000-00007D010000}"/>
    <cellStyle name="20% - Accent1 5 4 2 3 2" xfId="22839" xr:uid="{2E282077-D7B6-47A8-AFC5-51A221D3AE15}"/>
    <cellStyle name="20% - Accent1 5 4 2 3 2 2" xfId="37815" xr:uid="{9ECA536D-CA55-47AD-BC5E-BBFDAF6A00AC}"/>
    <cellStyle name="20% - Accent1 5 4 2 3 3" xfId="30211" xr:uid="{ECFCB2BE-378D-41A9-9627-6F91D8710E08}"/>
    <cellStyle name="20% - Accent1 5 4 2 4" xfId="22841" xr:uid="{5EF5716C-F99B-4EA5-93FA-47FEA2B0D126}"/>
    <cellStyle name="20% - Accent1 5 4 2 4 2" xfId="37817" xr:uid="{790417DC-D826-4776-A4E4-FA9BB53FC29E}"/>
    <cellStyle name="20% - Accent1 5 4 2 5" xfId="30213" xr:uid="{4D426367-F48C-4184-A786-816447F3211D}"/>
    <cellStyle name="20% - Accent1 5 4 3" xfId="4939" xr:uid="{00000000-0005-0000-0000-00007E010000}"/>
    <cellStyle name="20% - Accent1 5 4 3 2" xfId="4938" xr:uid="{00000000-0005-0000-0000-00007F010000}"/>
    <cellStyle name="20% - Accent1 5 4 3 2 2" xfId="22837" xr:uid="{54EE925B-210D-41A2-9820-81E33B2139C5}"/>
    <cellStyle name="20% - Accent1 5 4 3 2 2 2" xfId="37813" xr:uid="{9CCAF122-B2E6-457C-A862-0750E705F5A6}"/>
    <cellStyle name="20% - Accent1 5 4 3 2 3" xfId="30209" xr:uid="{6C41962D-6FD5-443A-91D9-57459D5EDD51}"/>
    <cellStyle name="20% - Accent1 5 4 3 3" xfId="22838" xr:uid="{67CB2ECE-0D9B-4291-946B-0D57930FC763}"/>
    <cellStyle name="20% - Accent1 5 4 3 3 2" xfId="37814" xr:uid="{DD21F40B-78FA-4F61-9D64-28982A2E98AD}"/>
    <cellStyle name="20% - Accent1 5 4 3 4" xfId="30210" xr:uid="{81A769F1-BA11-4865-93E1-B342EC42E97D}"/>
    <cellStyle name="20% - Accent1 5 4 4" xfId="4937" xr:uid="{00000000-0005-0000-0000-000080010000}"/>
    <cellStyle name="20% - Accent1 5 4 4 2" xfId="22836" xr:uid="{6564D99A-B9AA-4B82-9A55-38DF9B12FF24}"/>
    <cellStyle name="20% - Accent1 5 4 4 2 2" xfId="37812" xr:uid="{60FDA167-384B-4397-BF8B-C80496110F83}"/>
    <cellStyle name="20% - Accent1 5 4 4 3" xfId="30208" xr:uid="{7C1D1BE3-12A7-46A6-947F-9B1A59BB2F67}"/>
    <cellStyle name="20% - Accent1 5 4 5" xfId="22842" xr:uid="{D2EABFE1-CC9D-4F5D-8975-A67046C2C66F}"/>
    <cellStyle name="20% - Accent1 5 4 5 2" xfId="37818" xr:uid="{5744DE3B-49AD-41A9-8C84-452BF966CEF3}"/>
    <cellStyle name="20% - Accent1 5 4 6" xfId="30214" xr:uid="{1BDC5812-F74D-4DC4-B51D-589E1C7293F9}"/>
    <cellStyle name="20% - Accent1 5 5" xfId="4936" xr:uid="{00000000-0005-0000-0000-000081010000}"/>
    <cellStyle name="20% - Accent1 5 5 2" xfId="4935" xr:uid="{00000000-0005-0000-0000-000082010000}"/>
    <cellStyle name="20% - Accent1 5 5 2 2" xfId="22834" xr:uid="{09961AAA-BE73-4B5F-9967-865D47E78552}"/>
    <cellStyle name="20% - Accent1 5 5 2 2 2" xfId="37810" xr:uid="{CF8BBD1F-DB82-424F-8350-C73D025CA86A}"/>
    <cellStyle name="20% - Accent1 5 5 2 3" xfId="30206" xr:uid="{B23260A8-1DA4-41B9-B6ED-862CCF1B3C6B}"/>
    <cellStyle name="20% - Accent1 5 5 3" xfId="4934" xr:uid="{00000000-0005-0000-0000-000083010000}"/>
    <cellStyle name="20% - Accent1 5 5 3 2" xfId="22833" xr:uid="{0ABE8B57-1B31-40E7-B9AB-56ED1E9B4D55}"/>
    <cellStyle name="20% - Accent1 5 5 3 2 2" xfId="37809" xr:uid="{BF8CC350-55CF-4825-A51D-79DF1611B03E}"/>
    <cellStyle name="20% - Accent1 5 5 3 3" xfId="30205" xr:uid="{312FA065-AF47-4A40-83E0-21FB6027F16F}"/>
    <cellStyle name="20% - Accent1 5 5 4" xfId="22835" xr:uid="{B9AC1F9C-F0A4-46CD-885E-7570D51FA227}"/>
    <cellStyle name="20% - Accent1 5 5 4 2" xfId="37811" xr:uid="{BD4D5DAC-2A96-4DCA-943D-14A72EC8A9B5}"/>
    <cellStyle name="20% - Accent1 5 5 5" xfId="30207" xr:uid="{4C9D2773-B961-49A7-8A13-64420D724EB2}"/>
    <cellStyle name="20% - Accent1 5 6" xfId="4933" xr:uid="{00000000-0005-0000-0000-000084010000}"/>
    <cellStyle name="20% - Accent1 5 6 2" xfId="22832" xr:uid="{72A16CB6-8AE3-4AA3-ABA8-577288A892DC}"/>
    <cellStyle name="20% - Accent1 5 6 2 2" xfId="37808" xr:uid="{7C01DB69-8AC7-43A7-AF93-48080A91C8E7}"/>
    <cellStyle name="20% - Accent1 5 6 3" xfId="30204" xr:uid="{874BFB9C-11C7-4044-9851-179354EDD792}"/>
    <cellStyle name="20% - Accent1 5 7" xfId="4932" xr:uid="{00000000-0005-0000-0000-000085010000}"/>
    <cellStyle name="20% - Accent1 5 7 2" xfId="4931" xr:uid="{00000000-0005-0000-0000-000086010000}"/>
    <cellStyle name="20% - Accent1 5 7 2 2" xfId="22830" xr:uid="{4FED6AD5-7221-4171-8D36-60EE7F67356C}"/>
    <cellStyle name="20% - Accent1 5 7 2 2 2" xfId="37806" xr:uid="{0EA3D492-CC58-4CF0-ADE4-9BFBAD6278F3}"/>
    <cellStyle name="20% - Accent1 5 7 2 3" xfId="30202" xr:uid="{3CD9B052-B0DB-4508-9EB7-8FC4C821434A}"/>
    <cellStyle name="20% - Accent1 5 7 3" xfId="22831" xr:uid="{9DC8492C-A8CD-44D9-AEF4-0A291688C93C}"/>
    <cellStyle name="20% - Accent1 5 7 3 2" xfId="37807" xr:uid="{7DE5B809-3758-46CB-8E99-854A9B6F9D75}"/>
    <cellStyle name="20% - Accent1 5 7 4" xfId="30203" xr:uid="{0119A795-1ED8-4285-8871-B60504401E33}"/>
    <cellStyle name="20% - Accent1 5 8" xfId="4930" xr:uid="{00000000-0005-0000-0000-000087010000}"/>
    <cellStyle name="20% - Accent1 5 8 2" xfId="22829" xr:uid="{F5FBB960-A8ED-4ED5-B760-BE090B6272FA}"/>
    <cellStyle name="20% - Accent1 5 8 2 2" xfId="37805" xr:uid="{B1CFF4E4-EDCD-4E25-8DEC-C6098745198D}"/>
    <cellStyle name="20% - Accent1 5 8 3" xfId="30201" xr:uid="{FEBEECED-B647-48F7-8E98-63A4231D2570}"/>
    <cellStyle name="20% - Accent1 5 9" xfId="4977" xr:uid="{00000000-0005-0000-0000-000058010000}"/>
    <cellStyle name="20% - Accent1 5 9 2" xfId="22874" xr:uid="{6B319D35-5192-496C-81E2-6CB0BE88D9E7}"/>
    <cellStyle name="20% - Accent1 5 9 2 2" xfId="37850" xr:uid="{793831C2-FD6D-459E-BD12-DFAFC88C26F6}"/>
    <cellStyle name="20% - Accent1 5 9 3" xfId="30246" xr:uid="{FFEDAC71-C7F1-4563-8C0F-F992A90F04D7}"/>
    <cellStyle name="20% - Accent1 6" xfId="201" xr:uid="{00000000-0005-0000-0000-00001B000000}"/>
    <cellStyle name="20% - Accent1 6 2" xfId="4929" xr:uid="{00000000-0005-0000-0000-000089010000}"/>
    <cellStyle name="20% - Accent1 6 2 2" xfId="4928" xr:uid="{00000000-0005-0000-0000-00008A010000}"/>
    <cellStyle name="20% - Accent1 6 2 2 2" xfId="4927" xr:uid="{00000000-0005-0000-0000-00008B010000}"/>
    <cellStyle name="20% - Accent1 6 2 2 2 2" xfId="4926" xr:uid="{00000000-0005-0000-0000-00008C010000}"/>
    <cellStyle name="20% - Accent1 6 2 2 2 2 2" xfId="22825" xr:uid="{9A1AD881-D2EB-419A-96CF-F24E90E86B5E}"/>
    <cellStyle name="20% - Accent1 6 2 2 2 2 2 2" xfId="37801" xr:uid="{B1A50584-5443-463B-B452-2AA70D5254C4}"/>
    <cellStyle name="20% - Accent1 6 2 2 2 2 3" xfId="30197" xr:uid="{37594AA9-3C3A-4906-8E52-7907B6EB1D41}"/>
    <cellStyle name="20% - Accent1 6 2 2 2 3" xfId="4925" xr:uid="{00000000-0005-0000-0000-00008D010000}"/>
    <cellStyle name="20% - Accent1 6 2 2 2 3 2" xfId="22824" xr:uid="{34524480-2305-443A-BCB5-F328426E7169}"/>
    <cellStyle name="20% - Accent1 6 2 2 2 3 2 2" xfId="37800" xr:uid="{014DB743-1EB5-46FD-9FBD-4729EFA24535}"/>
    <cellStyle name="20% - Accent1 6 2 2 2 3 3" xfId="30196" xr:uid="{3AC091ED-F6C2-4A35-8A46-E3463EEC2F2E}"/>
    <cellStyle name="20% - Accent1 6 2 2 2 4" xfId="22826" xr:uid="{F23255FA-C776-4FB4-A7CE-FF1EF1621D56}"/>
    <cellStyle name="20% - Accent1 6 2 2 2 4 2" xfId="37802" xr:uid="{8A4F4B60-F6F4-42CF-9804-18DCB70ADEB1}"/>
    <cellStyle name="20% - Accent1 6 2 2 2 5" xfId="30198" xr:uid="{7830448A-E0B6-48E7-9201-90D461214F28}"/>
    <cellStyle name="20% - Accent1 6 2 2 3" xfId="4924" xr:uid="{00000000-0005-0000-0000-00008E010000}"/>
    <cellStyle name="20% - Accent1 6 2 2 3 2" xfId="4923" xr:uid="{00000000-0005-0000-0000-00008F010000}"/>
    <cellStyle name="20% - Accent1 6 2 2 3 2 2" xfId="22822" xr:uid="{2F8CD923-D36E-494B-810A-5B7B2BAC7D26}"/>
    <cellStyle name="20% - Accent1 6 2 2 3 2 2 2" xfId="37798" xr:uid="{68C880DE-8F39-4494-83FE-0AFEA556D98A}"/>
    <cellStyle name="20% - Accent1 6 2 2 3 2 3" xfId="30194" xr:uid="{D13E202B-95CB-4919-89BC-6C6000C2558E}"/>
    <cellStyle name="20% - Accent1 6 2 2 3 3" xfId="22823" xr:uid="{C4CF3164-0C34-443F-AF67-E63883A2D4C8}"/>
    <cellStyle name="20% - Accent1 6 2 2 3 3 2" xfId="37799" xr:uid="{D5C864E5-23AC-499E-BB49-9F032099ABA1}"/>
    <cellStyle name="20% - Accent1 6 2 2 3 4" xfId="30195" xr:uid="{ED501801-FA9B-4D80-AE80-C68ABC3787D4}"/>
    <cellStyle name="20% - Accent1 6 2 2 4" xfId="4922" xr:uid="{00000000-0005-0000-0000-000090010000}"/>
    <cellStyle name="20% - Accent1 6 2 2 4 2" xfId="22821" xr:uid="{37C61265-B3A3-47AA-ADA6-ACE10AE3A9AE}"/>
    <cellStyle name="20% - Accent1 6 2 2 4 2 2" xfId="37797" xr:uid="{8949F6CC-9DCE-4BB6-844B-13E93F58FF6B}"/>
    <cellStyle name="20% - Accent1 6 2 2 4 3" xfId="30193" xr:uid="{CDA16843-3A1D-462A-900B-8D1AF10C662F}"/>
    <cellStyle name="20% - Accent1 6 2 2 5" xfId="22827" xr:uid="{4A3A6288-F760-4B75-B75C-58145A3DAB08}"/>
    <cellStyle name="20% - Accent1 6 2 2 5 2" xfId="37803" xr:uid="{7478F489-3802-434A-BECE-9531D3BF905F}"/>
    <cellStyle name="20% - Accent1 6 2 2 6" xfId="30199" xr:uid="{5601FFEE-03F4-40C6-A94B-E4D1BE5EC6E2}"/>
    <cellStyle name="20% - Accent1 6 2 3" xfId="4921" xr:uid="{00000000-0005-0000-0000-000091010000}"/>
    <cellStyle name="20% - Accent1 6 2 3 2" xfId="4920" xr:uid="{00000000-0005-0000-0000-000092010000}"/>
    <cellStyle name="20% - Accent1 6 2 3 2 2" xfId="22819" xr:uid="{A1DCE8DE-246F-47A6-90B9-D1FAD28F6F80}"/>
    <cellStyle name="20% - Accent1 6 2 3 2 2 2" xfId="37795" xr:uid="{34A117C3-1241-43B7-8E27-CE9CA9B9287A}"/>
    <cellStyle name="20% - Accent1 6 2 3 2 3" xfId="30191" xr:uid="{50EC13D7-5EE0-40BA-BCEA-51D58F1E0E6B}"/>
    <cellStyle name="20% - Accent1 6 2 3 3" xfId="4919" xr:uid="{00000000-0005-0000-0000-000093010000}"/>
    <cellStyle name="20% - Accent1 6 2 3 3 2" xfId="22818" xr:uid="{2CE97499-EA76-4E2B-90D4-8314FE120A96}"/>
    <cellStyle name="20% - Accent1 6 2 3 3 2 2" xfId="37794" xr:uid="{0DB589C6-5366-48B6-A737-8A30A9AE2D5B}"/>
    <cellStyle name="20% - Accent1 6 2 3 3 3" xfId="30190" xr:uid="{6DCB3F97-DAAA-40E7-8B95-D0A595728F44}"/>
    <cellStyle name="20% - Accent1 6 2 3 4" xfId="22820" xr:uid="{565E5516-7EF6-4A36-9194-AD2B32AC729D}"/>
    <cellStyle name="20% - Accent1 6 2 3 4 2" xfId="37796" xr:uid="{7576B714-A48D-49D1-8C97-F3330D5FE337}"/>
    <cellStyle name="20% - Accent1 6 2 3 5" xfId="30192" xr:uid="{8DBCE971-B6D2-46EC-A8C9-871031507B74}"/>
    <cellStyle name="20% - Accent1 6 2 4" xfId="4918" xr:uid="{00000000-0005-0000-0000-000094010000}"/>
    <cellStyle name="20% - Accent1 6 2 4 2" xfId="22817" xr:uid="{E4544B09-F774-4C01-BA81-D0E9082AB3D8}"/>
    <cellStyle name="20% - Accent1 6 2 4 2 2" xfId="37793" xr:uid="{702297CC-E760-489A-84F5-CBF37DE8B0F6}"/>
    <cellStyle name="20% - Accent1 6 2 4 3" xfId="30189" xr:uid="{8034418B-79E2-420E-93BE-A73C07A08546}"/>
    <cellStyle name="20% - Accent1 6 2 5" xfId="4917" xr:uid="{00000000-0005-0000-0000-000095010000}"/>
    <cellStyle name="20% - Accent1 6 2 5 2" xfId="4916" xr:uid="{00000000-0005-0000-0000-000096010000}"/>
    <cellStyle name="20% - Accent1 6 2 5 2 2" xfId="22815" xr:uid="{82393272-1810-44DF-A090-65E36BABC384}"/>
    <cellStyle name="20% - Accent1 6 2 5 2 2 2" xfId="37791" xr:uid="{B780E6D5-2E27-415F-83F4-33FEAE4BFA4F}"/>
    <cellStyle name="20% - Accent1 6 2 5 2 3" xfId="30187" xr:uid="{AAC5FF99-0456-4EA9-AA1A-6EED762E745D}"/>
    <cellStyle name="20% - Accent1 6 2 5 3" xfId="22816" xr:uid="{19BEF2CA-B80B-4291-A38A-31AF2F2E3FF9}"/>
    <cellStyle name="20% - Accent1 6 2 5 3 2" xfId="37792" xr:uid="{02D55F06-1925-42F1-83D5-48197346AD00}"/>
    <cellStyle name="20% - Accent1 6 2 5 4" xfId="30188" xr:uid="{05A930F3-97DB-43D1-92AA-091D9A2884AE}"/>
    <cellStyle name="20% - Accent1 6 2 6" xfId="4915" xr:uid="{00000000-0005-0000-0000-000097010000}"/>
    <cellStyle name="20% - Accent1 6 2 6 2" xfId="22814" xr:uid="{DA719CE7-6F4F-49FE-9167-82A12C6D3166}"/>
    <cellStyle name="20% - Accent1 6 2 6 2 2" xfId="37790" xr:uid="{99867EB5-F96C-456E-A0B2-D99EA84C2F0A}"/>
    <cellStyle name="20% - Accent1 6 2 6 3" xfId="30186" xr:uid="{FBD61670-9C65-4559-A9CE-BE7D46143D5B}"/>
    <cellStyle name="20% - Accent1 6 2 7" xfId="22828" xr:uid="{A2844B92-02CD-4C69-954E-0C8E906A688A}"/>
    <cellStyle name="20% - Accent1 6 2 7 2" xfId="37804" xr:uid="{5E3A3D71-9CF0-4E7B-BF8A-2688F2371FD1}"/>
    <cellStyle name="20% - Accent1 6 2 8" xfId="30200" xr:uid="{83FEE35C-86D0-4A23-8BA6-66C7D3EB6B71}"/>
    <cellStyle name="20% - Accent1 6 3" xfId="4914" xr:uid="{00000000-0005-0000-0000-000098010000}"/>
    <cellStyle name="20% - Accent1 6 3 2" xfId="4913" xr:uid="{00000000-0005-0000-0000-000099010000}"/>
    <cellStyle name="20% - Accent1 6 3 2 2" xfId="4912" xr:uid="{00000000-0005-0000-0000-00009A010000}"/>
    <cellStyle name="20% - Accent1 6 3 2 2 2" xfId="22811" xr:uid="{1893F27D-1B8E-4831-862C-70CB3209918E}"/>
    <cellStyle name="20% - Accent1 6 3 2 2 2 2" xfId="37787" xr:uid="{3B39883B-117A-40F0-AEAF-EBCD6A141436}"/>
    <cellStyle name="20% - Accent1 6 3 2 2 3" xfId="30183" xr:uid="{3182F20E-1865-4DA5-8880-FB872D3271C7}"/>
    <cellStyle name="20% - Accent1 6 3 2 3" xfId="4911" xr:uid="{00000000-0005-0000-0000-00009B010000}"/>
    <cellStyle name="20% - Accent1 6 3 2 3 2" xfId="22810" xr:uid="{FADF5676-3CDC-4D75-AC6E-A08D20415A14}"/>
    <cellStyle name="20% - Accent1 6 3 2 3 2 2" xfId="37786" xr:uid="{BA1FB5EB-A197-4889-A33D-1BF3829334D0}"/>
    <cellStyle name="20% - Accent1 6 3 2 3 3" xfId="30182" xr:uid="{9D67FA39-B2CB-4671-961B-28DB9343BFCA}"/>
    <cellStyle name="20% - Accent1 6 3 2 4" xfId="22812" xr:uid="{88A67624-7DFF-4216-8ECE-B8966DD6960E}"/>
    <cellStyle name="20% - Accent1 6 3 2 4 2" xfId="37788" xr:uid="{3492EE57-CEF8-408E-8741-3ACD7B907D36}"/>
    <cellStyle name="20% - Accent1 6 3 2 5" xfId="30184" xr:uid="{6F53212C-865C-4828-94EC-E295953BBDCD}"/>
    <cellStyle name="20% - Accent1 6 3 3" xfId="4910" xr:uid="{00000000-0005-0000-0000-00009C010000}"/>
    <cellStyle name="20% - Accent1 6 3 3 2" xfId="4909" xr:uid="{00000000-0005-0000-0000-00009D010000}"/>
    <cellStyle name="20% - Accent1 6 3 3 2 2" xfId="22808" xr:uid="{6754FCE1-B3E4-4754-9C26-F51A9F8855E1}"/>
    <cellStyle name="20% - Accent1 6 3 3 2 2 2" xfId="37784" xr:uid="{839F8EE9-85DE-42D6-8284-722DC35C3138}"/>
    <cellStyle name="20% - Accent1 6 3 3 2 3" xfId="30180" xr:uid="{58D9C48D-BA8E-478A-BE04-8DD8F25407BE}"/>
    <cellStyle name="20% - Accent1 6 3 3 3" xfId="22809" xr:uid="{78B9C53D-77FF-48D4-9FB5-22237B7DD10E}"/>
    <cellStyle name="20% - Accent1 6 3 3 3 2" xfId="37785" xr:uid="{B9BEBAC7-1500-4BF1-9821-BE0F4E1AB465}"/>
    <cellStyle name="20% - Accent1 6 3 3 4" xfId="30181" xr:uid="{65B72AD1-6335-4229-B435-A65CB1E8E4EF}"/>
    <cellStyle name="20% - Accent1 6 3 4" xfId="4908" xr:uid="{00000000-0005-0000-0000-00009E010000}"/>
    <cellStyle name="20% - Accent1 6 3 4 2" xfId="22807" xr:uid="{C0F06D8C-7B40-4077-8471-47358416916A}"/>
    <cellStyle name="20% - Accent1 6 3 4 2 2" xfId="37783" xr:uid="{7C503FD3-54CF-40C2-8ABD-CC82B4A9988B}"/>
    <cellStyle name="20% - Accent1 6 3 4 3" xfId="30179" xr:uid="{ECE973B7-A052-4E4E-A079-7D3B88191D32}"/>
    <cellStyle name="20% - Accent1 6 3 5" xfId="22813" xr:uid="{2F60171B-76FB-4ADC-A377-4E14AA46422C}"/>
    <cellStyle name="20% - Accent1 6 3 5 2" xfId="37789" xr:uid="{E6AE8339-8708-4EF3-8BF8-68BCF6433360}"/>
    <cellStyle name="20% - Accent1 6 3 6" xfId="30185" xr:uid="{E21A1422-BDBA-4691-8A89-D718BA74F419}"/>
    <cellStyle name="20% - Accent1 6 4" xfId="4907" xr:uid="{00000000-0005-0000-0000-00009F010000}"/>
    <cellStyle name="20% - Accent1 6 5" xfId="4906" xr:uid="{00000000-0005-0000-0000-0000A0010000}"/>
    <cellStyle name="20% - Accent1 6 5 2" xfId="22806" xr:uid="{754A603F-8BEC-4628-9DCD-B5FD726FEA18}"/>
    <cellStyle name="20% - Accent1 6 5 2 2" xfId="37782" xr:uid="{783A2577-58B2-44F3-922F-77950EA36941}"/>
    <cellStyle name="20% - Accent1 6 5 3" xfId="30178" xr:uid="{14251430-F94A-4459-BA3A-FC867438C45B}"/>
    <cellStyle name="20% - Accent1 7" xfId="110" xr:uid="{00000000-0005-0000-0000-00001C000000}"/>
    <cellStyle name="20% - Accent1 7 2" xfId="4905" xr:uid="{00000000-0005-0000-0000-0000A2010000}"/>
    <cellStyle name="20% - Accent1 7 2 2" xfId="22805" xr:uid="{98BA79AD-979E-4C76-8F39-F2890665B7E2}"/>
    <cellStyle name="20% - Accent1 7 2 2 2" xfId="37781" xr:uid="{83325D8B-B91B-4D44-A394-E7D870D24A52}"/>
    <cellStyle name="20% - Accent1 7 2 3" xfId="30177" xr:uid="{E8C0CF37-43CA-488E-8119-86882564E1C5}"/>
    <cellStyle name="20% - Accent1 7 3" xfId="4904" xr:uid="{00000000-0005-0000-0000-0000A3010000}"/>
    <cellStyle name="20% - Accent1 7 4" xfId="4903" xr:uid="{00000000-0005-0000-0000-0000A4010000}"/>
    <cellStyle name="20% - Accent1 7 4 2" xfId="22804" xr:uid="{49DA6A12-A098-46B7-8D08-6ED15210004D}"/>
    <cellStyle name="20% - Accent1 7 4 2 2" xfId="37780" xr:uid="{52DE5A0E-0132-49B7-A845-9E108281555F}"/>
    <cellStyle name="20% - Accent1 7 4 3" xfId="30176" xr:uid="{2AA65E47-8804-459B-B2A2-8EAFF93B8427}"/>
    <cellStyle name="20% - Accent1 8" xfId="4902" xr:uid="{00000000-0005-0000-0000-0000A5010000}"/>
    <cellStyle name="20% - Accent1 8 2" xfId="4901" xr:uid="{00000000-0005-0000-0000-0000A6010000}"/>
    <cellStyle name="20% - Accent1 8 2 2" xfId="4900" xr:uid="{00000000-0005-0000-0000-0000A7010000}"/>
    <cellStyle name="20% - Accent1 8 2 2 2" xfId="22801" xr:uid="{4639737C-0A17-4265-B3F4-6FE36DCA5D8F}"/>
    <cellStyle name="20% - Accent1 8 2 2 2 2" xfId="37777" xr:uid="{890E34C8-76B2-42EC-B36C-DB0A4756E888}"/>
    <cellStyle name="20% - Accent1 8 2 2 3" xfId="30173" xr:uid="{BD225414-B2BF-4774-A641-F33D67C2EC5F}"/>
    <cellStyle name="20% - Accent1 8 2 3" xfId="4899" xr:uid="{00000000-0005-0000-0000-0000A8010000}"/>
    <cellStyle name="20% - Accent1 8 2 3 2" xfId="4898" xr:uid="{00000000-0005-0000-0000-0000A9010000}"/>
    <cellStyle name="20% - Accent1 8 2 3 2 2" xfId="22799" xr:uid="{013D8821-C4C6-461D-B292-D60CFB956EFB}"/>
    <cellStyle name="20% - Accent1 8 2 3 2 2 2" xfId="37775" xr:uid="{F3AAA594-0715-4843-9E20-9577D62C4AF8}"/>
    <cellStyle name="20% - Accent1 8 2 3 2 3" xfId="30171" xr:uid="{EB2C7D90-2A2B-4D5A-9A3A-C5BA34A5B8B5}"/>
    <cellStyle name="20% - Accent1 8 2 3 3" xfId="22800" xr:uid="{4E5273EB-BB52-49E1-9F0B-0496995F672A}"/>
    <cellStyle name="20% - Accent1 8 2 3 3 2" xfId="37776" xr:uid="{00C260F9-DB0C-421A-8429-E18CC5945E0C}"/>
    <cellStyle name="20% - Accent1 8 2 3 4" xfId="30172" xr:uid="{03065D4F-19CD-4BCE-8E25-5C30D3FA8599}"/>
    <cellStyle name="20% - Accent1 8 2 4" xfId="22802" xr:uid="{C1A0239B-BC0A-495C-9641-65C8FE274D78}"/>
    <cellStyle name="20% - Accent1 8 2 4 2" xfId="37778" xr:uid="{AC1B1EDC-86BB-4B79-B5A8-5919E6344AB9}"/>
    <cellStyle name="20% - Accent1 8 2 5" xfId="30174" xr:uid="{66597B30-5145-45D7-B5AD-2019EDD942DA}"/>
    <cellStyle name="20% - Accent1 8 3" xfId="4897" xr:uid="{00000000-0005-0000-0000-0000AA010000}"/>
    <cellStyle name="20% - Accent1 8 3 2" xfId="22798" xr:uid="{91A9F6F9-A6C7-43E5-B4B9-1F7047D9A36B}"/>
    <cellStyle name="20% - Accent1 8 3 2 2" xfId="37774" xr:uid="{89E1F653-E03E-480C-BA3A-3C8418CA9224}"/>
    <cellStyle name="20% - Accent1 8 3 3" xfId="30170" xr:uid="{C3A659A4-AEA7-4304-BBC4-CFCDAEF7A957}"/>
    <cellStyle name="20% - Accent1 8 4" xfId="4896" xr:uid="{00000000-0005-0000-0000-0000AB010000}"/>
    <cellStyle name="20% - Accent1 8 4 2" xfId="4895" xr:uid="{00000000-0005-0000-0000-0000AC010000}"/>
    <cellStyle name="20% - Accent1 8 4 2 2" xfId="22796" xr:uid="{CA081C41-26B0-4B9A-BC0F-46C93376DDFB}"/>
    <cellStyle name="20% - Accent1 8 4 2 2 2" xfId="37772" xr:uid="{A552C1B8-0E05-4ED0-AC46-DA3E36584C3C}"/>
    <cellStyle name="20% - Accent1 8 4 2 3" xfId="30168" xr:uid="{4CC7D6A2-579E-4846-93B9-DE8C31B812CF}"/>
    <cellStyle name="20% - Accent1 8 4 3" xfId="22797" xr:uid="{C8FB4907-07C9-4247-B0B1-5453B5715C4A}"/>
    <cellStyle name="20% - Accent1 8 4 3 2" xfId="37773" xr:uid="{6B352537-452B-4BE4-AF9E-F6BE49CF7964}"/>
    <cellStyle name="20% - Accent1 8 4 4" xfId="30169" xr:uid="{BE0CDC32-D825-4D49-8B77-4F0328E181CC}"/>
    <cellStyle name="20% - Accent1 8 5" xfId="4894" xr:uid="{00000000-0005-0000-0000-0000AD010000}"/>
    <cellStyle name="20% - Accent1 8 5 2" xfId="22795" xr:uid="{644DB9D2-8961-47C7-A14A-FAA76D379AE2}"/>
    <cellStyle name="20% - Accent1 8 5 2 2" xfId="37771" xr:uid="{70D72B2F-10E0-4AE2-B391-D1335BFC1569}"/>
    <cellStyle name="20% - Accent1 8 5 3" xfId="30167" xr:uid="{D7E5C9D2-D89D-4835-8D5E-ADEB24618049}"/>
    <cellStyle name="20% - Accent1 8 6" xfId="22803" xr:uid="{FF5116E7-6623-4242-9B7F-1133083A1919}"/>
    <cellStyle name="20% - Accent1 8 6 2" xfId="37779" xr:uid="{9319B3C0-A628-43D5-834A-B49C11F81A08}"/>
    <cellStyle name="20% - Accent1 8 7" xfId="30175" xr:uid="{452FE0CB-7A26-4300-9E05-C12362C3BB7A}"/>
    <cellStyle name="20% - Accent1 9" xfId="4893" xr:uid="{00000000-0005-0000-0000-0000AE010000}"/>
    <cellStyle name="20% - Accent1 9 2" xfId="4892" xr:uid="{00000000-0005-0000-0000-0000AF010000}"/>
    <cellStyle name="20% - Accent1 9 2 2" xfId="4891" xr:uid="{00000000-0005-0000-0000-0000B0010000}"/>
    <cellStyle name="20% - Accent1 9 2 2 2" xfId="22792" xr:uid="{156170AE-EBD3-478B-B3B5-027B1ACB8D7F}"/>
    <cellStyle name="20% - Accent1 9 2 2 2 2" xfId="37768" xr:uid="{44065736-E538-46CC-A992-1618522E67B4}"/>
    <cellStyle name="20% - Accent1 9 2 2 3" xfId="30164" xr:uid="{C61B0A72-DDF3-4F88-85F9-042BDDC63F51}"/>
    <cellStyle name="20% - Accent1 9 2 3" xfId="4890" xr:uid="{00000000-0005-0000-0000-0000B1010000}"/>
    <cellStyle name="20% - Accent1 9 2 3 2" xfId="22791" xr:uid="{97ED8A68-935C-4B29-9527-5E5C3823A784}"/>
    <cellStyle name="20% - Accent1 9 2 3 2 2" xfId="37767" xr:uid="{88CF7AAB-E090-4807-AD44-EE55CD8D859B}"/>
    <cellStyle name="20% - Accent1 9 2 3 3" xfId="30163" xr:uid="{64E4DA79-8B9F-4A72-B76E-C79CC0524A3F}"/>
    <cellStyle name="20% - Accent1 9 2 4" xfId="22793" xr:uid="{23670A31-D449-4384-A2C9-612BB112FC01}"/>
    <cellStyle name="20% - Accent1 9 2 4 2" xfId="37769" xr:uid="{138468DB-B9ED-4ABF-A734-1500D8B9A426}"/>
    <cellStyle name="20% - Accent1 9 2 5" xfId="30165" xr:uid="{C86D716A-70CD-4999-B522-52F1DAF53C69}"/>
    <cellStyle name="20% - Accent1 9 3" xfId="4889" xr:uid="{00000000-0005-0000-0000-0000B2010000}"/>
    <cellStyle name="20% - Accent1 9 3 2" xfId="22790" xr:uid="{B2D23CFA-C775-4AFB-9C16-589B3CAFFD45}"/>
    <cellStyle name="20% - Accent1 9 3 2 2" xfId="37766" xr:uid="{885693D5-F9C8-45D8-97B2-A6C44E2DF81B}"/>
    <cellStyle name="20% - Accent1 9 3 3" xfId="30162" xr:uid="{AD108F12-CD2D-47F3-84C5-3BBB8E163296}"/>
    <cellStyle name="20% - Accent1 9 4" xfId="4888" xr:uid="{00000000-0005-0000-0000-0000B3010000}"/>
    <cellStyle name="20% - Accent1 9 4 2" xfId="4887" xr:uid="{00000000-0005-0000-0000-0000B4010000}"/>
    <cellStyle name="20% - Accent1 9 4 2 2" xfId="22788" xr:uid="{1D76813B-AD32-42FC-8E37-23F58C175A73}"/>
    <cellStyle name="20% - Accent1 9 4 2 2 2" xfId="37764" xr:uid="{DC429F8E-68D4-4082-BD8C-0A8A2E13BE90}"/>
    <cellStyle name="20% - Accent1 9 4 2 3" xfId="30160" xr:uid="{55591B5E-FAB6-485E-AFAA-0486793E46B8}"/>
    <cellStyle name="20% - Accent1 9 4 3" xfId="22789" xr:uid="{16247AD9-10BF-4CFF-8292-55C31BBE35A0}"/>
    <cellStyle name="20% - Accent1 9 4 3 2" xfId="37765" xr:uid="{A618FCCE-DBF5-43E4-A141-0A4EB35AD855}"/>
    <cellStyle name="20% - Accent1 9 4 4" xfId="30161" xr:uid="{363BD1A9-2661-454F-8C2F-0C1C5311DB45}"/>
    <cellStyle name="20% - Accent1 9 5" xfId="4886" xr:uid="{00000000-0005-0000-0000-0000B5010000}"/>
    <cellStyle name="20% - Accent1 9 5 2" xfId="22787" xr:uid="{D9B19913-26AD-446D-9966-BAFFBE45505C}"/>
    <cellStyle name="20% - Accent1 9 5 2 2" xfId="37763" xr:uid="{61B51594-0D6C-44F2-B0D0-DB919350F293}"/>
    <cellStyle name="20% - Accent1 9 5 3" xfId="30159" xr:uid="{4B2FD9D7-5945-4981-8EDA-AFC88EFBA975}"/>
    <cellStyle name="20% - Accent1 9 6" xfId="22794" xr:uid="{9402FF94-F79E-48AB-8EF0-DB6F01322CFF}"/>
    <cellStyle name="20% - Accent1 9 6 2" xfId="37770" xr:uid="{C767AB58-826D-4CA4-96A6-028A6F066553}"/>
    <cellStyle name="20% - Accent1 9 7" xfId="30166" xr:uid="{04EE8703-4AED-43E3-984D-AAF7C8B446AB}"/>
    <cellStyle name="20% - Accent2" xfId="86" builtinId="34" customBuiltin="1"/>
    <cellStyle name="20% - Accent2 10" xfId="4885" xr:uid="{00000000-0005-0000-0000-0000B6010000}"/>
    <cellStyle name="20% - Accent2 10 2" xfId="4884" xr:uid="{00000000-0005-0000-0000-0000B7010000}"/>
    <cellStyle name="20% - Accent2 10 2 2" xfId="4883" xr:uid="{00000000-0005-0000-0000-0000B8010000}"/>
    <cellStyle name="20% - Accent2 10 2 2 2" xfId="22784" xr:uid="{C205BC03-D8ED-48DE-BF66-71AFAD53B2A7}"/>
    <cellStyle name="20% - Accent2 10 2 2 2 2" xfId="37760" xr:uid="{118EA1F1-BD4F-4039-BEA4-3A52E6A9E41C}"/>
    <cellStyle name="20% - Accent2 10 2 2 3" xfId="30156" xr:uid="{8EAB1F93-76AB-4B13-8246-F149E7A65237}"/>
    <cellStyle name="20% - Accent2 10 2 3" xfId="4882" xr:uid="{00000000-0005-0000-0000-0000B9010000}"/>
    <cellStyle name="20% - Accent2 10 2 3 2" xfId="22783" xr:uid="{0F3CCA4D-FA8D-4DF3-B829-AC66FAECB032}"/>
    <cellStyle name="20% - Accent2 10 2 3 2 2" xfId="37759" xr:uid="{D059F487-19A3-4FC4-BA28-CF447424D0EC}"/>
    <cellStyle name="20% - Accent2 10 2 3 3" xfId="30155" xr:uid="{CA239ED1-9639-4E19-B1B0-894E6C3F730B}"/>
    <cellStyle name="20% - Accent2 10 2 4" xfId="22785" xr:uid="{1D69CB85-D2B5-4976-A528-D61D92B8FACE}"/>
    <cellStyle name="20% - Accent2 10 2 4 2" xfId="37761" xr:uid="{B01F5252-C24C-4D80-99AE-657454F274A3}"/>
    <cellStyle name="20% - Accent2 10 2 5" xfId="30157" xr:uid="{C74A3536-9CFB-4236-90AB-A1EB78C6D9B9}"/>
    <cellStyle name="20% - Accent2 10 3" xfId="4881" xr:uid="{00000000-0005-0000-0000-0000BA010000}"/>
    <cellStyle name="20% - Accent2 10 3 2" xfId="22782" xr:uid="{B6B61EDE-F642-4FF6-B338-60D0F6DE24B9}"/>
    <cellStyle name="20% - Accent2 10 3 2 2" xfId="37758" xr:uid="{73A8E8DB-FFD6-431C-9AF3-D6539DE7B087}"/>
    <cellStyle name="20% - Accent2 10 3 3" xfId="30154" xr:uid="{40964F2F-8386-40CC-8951-412216810E22}"/>
    <cellStyle name="20% - Accent2 10 4" xfId="4880" xr:uid="{00000000-0005-0000-0000-0000BB010000}"/>
    <cellStyle name="20% - Accent2 10 4 2" xfId="4879" xr:uid="{00000000-0005-0000-0000-0000BC010000}"/>
    <cellStyle name="20% - Accent2 10 4 2 2" xfId="22780" xr:uid="{E7A8FE83-8DBF-4CD2-BDD3-426385DB7098}"/>
    <cellStyle name="20% - Accent2 10 4 2 2 2" xfId="37756" xr:uid="{0FB8254D-6FC2-43EE-A08C-F59CFA7568C8}"/>
    <cellStyle name="20% - Accent2 10 4 2 3" xfId="30152" xr:uid="{3E01BD4D-7C13-44E9-8956-298EF2F8D993}"/>
    <cellStyle name="20% - Accent2 10 4 3" xfId="22781" xr:uid="{573043EB-404C-478F-87B3-CCAD696AF447}"/>
    <cellStyle name="20% - Accent2 10 4 3 2" xfId="37757" xr:uid="{4ECD664B-BD4E-46E1-A229-DF2498642CD9}"/>
    <cellStyle name="20% - Accent2 10 4 4" xfId="30153" xr:uid="{615F5265-1C37-4B31-9EF0-77DADBF2342F}"/>
    <cellStyle name="20% - Accent2 10 5" xfId="4878" xr:uid="{00000000-0005-0000-0000-0000BD010000}"/>
    <cellStyle name="20% - Accent2 10 5 2" xfId="22779" xr:uid="{9273A205-4A03-4B85-BAE3-91CCA7F604DF}"/>
    <cellStyle name="20% - Accent2 10 5 2 2" xfId="37755" xr:uid="{72BB96D3-6E94-4DB7-9939-4E38298903CD}"/>
    <cellStyle name="20% - Accent2 10 5 3" xfId="30151" xr:uid="{09B349D8-BBE7-4D93-BE4C-ABBCED1582BB}"/>
    <cellStyle name="20% - Accent2 10 6" xfId="22786" xr:uid="{0FCF69F8-2BF7-4946-8B2B-0729889EAFB1}"/>
    <cellStyle name="20% - Accent2 10 6 2" xfId="37762" xr:uid="{61CB6BE7-B7ED-4615-B68E-F2B9408FD66A}"/>
    <cellStyle name="20% - Accent2 10 7" xfId="30158" xr:uid="{E1638EE3-A43E-4083-B64D-0B9F908F434E}"/>
    <cellStyle name="20% - Accent2 11" xfId="4877" xr:uid="{00000000-0005-0000-0000-0000BE010000}"/>
    <cellStyle name="20% - Accent2 11 2" xfId="4876" xr:uid="{00000000-0005-0000-0000-0000BF010000}"/>
    <cellStyle name="20% - Accent2 11 2 2" xfId="22777" xr:uid="{4E00A092-4E56-4CFE-AB9A-773CD09780A5}"/>
    <cellStyle name="20% - Accent2 11 2 2 2" xfId="37753" xr:uid="{38AEAD9A-FE4D-4D48-A93B-B7BE15D0342A}"/>
    <cellStyle name="20% - Accent2 11 2 3" xfId="30149" xr:uid="{809D0EE8-B5C1-45AB-84B8-66798CC23471}"/>
    <cellStyle name="20% - Accent2 11 3" xfId="4875" xr:uid="{00000000-0005-0000-0000-0000C0010000}"/>
    <cellStyle name="20% - Accent2 11 3 2" xfId="4874" xr:uid="{00000000-0005-0000-0000-0000C1010000}"/>
    <cellStyle name="20% - Accent2 11 3 2 2" xfId="22775" xr:uid="{11657F02-EDEF-45E7-8720-BAB0AC0590FD}"/>
    <cellStyle name="20% - Accent2 11 3 2 2 2" xfId="37751" xr:uid="{96757C56-C949-434E-9008-32AECCA7AAF3}"/>
    <cellStyle name="20% - Accent2 11 3 2 3" xfId="30147" xr:uid="{6D81D2C5-58A7-4096-9FF0-CCB15988EE54}"/>
    <cellStyle name="20% - Accent2 11 3 3" xfId="22776" xr:uid="{6D665376-C333-4C0A-9914-CC6B4E4F0514}"/>
    <cellStyle name="20% - Accent2 11 3 3 2" xfId="37752" xr:uid="{166CC778-C996-4C67-B8A0-4D3814EC5BB3}"/>
    <cellStyle name="20% - Accent2 11 3 4" xfId="30148" xr:uid="{4232CEE2-EB3D-4E02-B4A9-C3A1D158B1A6}"/>
    <cellStyle name="20% - Accent2 11 4" xfId="22778" xr:uid="{59097FAD-EBE4-4B1D-AEC8-76A62CB8E6F7}"/>
    <cellStyle name="20% - Accent2 11 4 2" xfId="37754" xr:uid="{5FED2C5E-DDFE-4161-8CA8-BCC7BEFC2107}"/>
    <cellStyle name="20% - Accent2 11 5" xfId="30150" xr:uid="{1BD06B30-AB3F-4923-963D-F9DA344C6F11}"/>
    <cellStyle name="20% - Accent2 12" xfId="4873" xr:uid="{00000000-0005-0000-0000-0000C2010000}"/>
    <cellStyle name="20% - Accent2 12 2" xfId="4872" xr:uid="{00000000-0005-0000-0000-0000C3010000}"/>
    <cellStyle name="20% - Accent2 12 2 2" xfId="22773" xr:uid="{B39EC989-468A-4F22-BEAB-769EFADD5B05}"/>
    <cellStyle name="20% - Accent2 12 2 2 2" xfId="37749" xr:uid="{403241A1-E2AD-4354-A3CA-9048BE4102A9}"/>
    <cellStyle name="20% - Accent2 12 2 3" xfId="30145" xr:uid="{182D39DD-547C-42F0-BCFD-EF58EAF7286D}"/>
    <cellStyle name="20% - Accent2 12 3" xfId="4871" xr:uid="{00000000-0005-0000-0000-0000C4010000}"/>
    <cellStyle name="20% - Accent2 12 3 2" xfId="22772" xr:uid="{A2AADC2A-809F-4666-B485-614FA51FAB95}"/>
    <cellStyle name="20% - Accent2 12 3 2 2" xfId="37748" xr:uid="{39239837-57A8-4566-B24A-B98336CBE3EF}"/>
    <cellStyle name="20% - Accent2 12 3 3" xfId="30144" xr:uid="{BBB49794-2ED6-4AB2-99F6-3AE0E401FADF}"/>
    <cellStyle name="20% - Accent2 12 4" xfId="22774" xr:uid="{4B34519A-22E8-4464-AEBE-66865ECBB2D7}"/>
    <cellStyle name="20% - Accent2 12 4 2" xfId="37750" xr:uid="{FF280F67-81AB-4F91-BF8A-FB87EFA08BAD}"/>
    <cellStyle name="20% - Accent2 12 5" xfId="30146" xr:uid="{1A8BE707-AE53-41DF-9112-B3999E179A99}"/>
    <cellStyle name="20% - Accent2 13" xfId="4870" xr:uid="{00000000-0005-0000-0000-0000C5010000}"/>
    <cellStyle name="20% - Accent2 13 2" xfId="4869" xr:uid="{00000000-0005-0000-0000-0000C6010000}"/>
    <cellStyle name="20% - Accent2 13 2 2" xfId="22770" xr:uid="{1974B9CC-CC0A-42FF-A46A-2213282EDA9D}"/>
    <cellStyle name="20% - Accent2 13 2 2 2" xfId="37746" xr:uid="{B3854410-3668-4F1C-85B4-48C2E526EEA3}"/>
    <cellStyle name="20% - Accent2 13 2 3" xfId="30142" xr:uid="{9DA666A7-34A4-4EE1-97D0-B8A3E052147C}"/>
    <cellStyle name="20% - Accent2 13 3" xfId="4868" xr:uid="{00000000-0005-0000-0000-0000C7010000}"/>
    <cellStyle name="20% - Accent2 13 3 2" xfId="22769" xr:uid="{477F7332-B10F-4A77-A6EA-16027B417469}"/>
    <cellStyle name="20% - Accent2 13 3 2 2" xfId="37745" xr:uid="{ECE00180-C31B-44B1-AC1A-95270E08A2F1}"/>
    <cellStyle name="20% - Accent2 13 3 3" xfId="30141" xr:uid="{07197745-3896-4378-A56C-65E6ECB14AF3}"/>
    <cellStyle name="20% - Accent2 13 4" xfId="22771" xr:uid="{F109B467-2B1F-454D-A59B-B65860ED600C}"/>
    <cellStyle name="20% - Accent2 13 4 2" xfId="37747" xr:uid="{C0EA61D5-4E49-46DD-A0D0-15E04A715781}"/>
    <cellStyle name="20% - Accent2 13 5" xfId="30143" xr:uid="{B8BE4915-5E95-48BE-B969-B26C8A05B49C}"/>
    <cellStyle name="20% - Accent2 14" xfId="4867" xr:uid="{00000000-0005-0000-0000-0000C8010000}"/>
    <cellStyle name="20% - Accent2 14 2" xfId="4866" xr:uid="{00000000-0005-0000-0000-0000C9010000}"/>
    <cellStyle name="20% - Accent2 14 2 2" xfId="22768" xr:uid="{782FD421-3E44-4519-BF8A-1E27E39B0D6C}"/>
    <cellStyle name="20% - Accent2 14 2 2 2" xfId="37744" xr:uid="{D1864399-8E82-469F-8370-E6590392E1E5}"/>
    <cellStyle name="20% - Accent2 14 2 3" xfId="30140" xr:uid="{29B1EFF6-0E33-4960-B5DC-E5320DB974AA}"/>
    <cellStyle name="20% - Accent2 15" xfId="4865" xr:uid="{00000000-0005-0000-0000-0000CA010000}"/>
    <cellStyle name="20% - Accent2 15 2" xfId="22767" xr:uid="{DF8DF82A-A64F-4003-8A0E-E65661F1FC6C}"/>
    <cellStyle name="20% - Accent2 15 2 2" xfId="37743" xr:uid="{89CA9F8C-4CEB-433F-8FB5-494035DA82A1}"/>
    <cellStyle name="20% - Accent2 15 3" xfId="30139" xr:uid="{5F3F0D11-14E1-4FC3-8519-0680632FF506}"/>
    <cellStyle name="20% - Accent2 16" xfId="4864" xr:uid="{00000000-0005-0000-0000-0000CB010000}"/>
    <cellStyle name="20% - Accent2 17" xfId="20645" xr:uid="{B0DCB751-278A-44D4-A62F-EE7218833106}"/>
    <cellStyle name="20% - Accent2 17 2" xfId="35646" xr:uid="{7B07E5E4-A82D-45A5-8B6A-B0DF28B26BA8}"/>
    <cellStyle name="20% - Accent2 18" xfId="27949" xr:uid="{EC99B8EB-241B-4A5B-8534-75C2CCE4D42F}"/>
    <cellStyle name="20% - Accent2 2" xfId="196" xr:uid="{00000000-0005-0000-0000-00001D000000}"/>
    <cellStyle name="20% - Accent2 2 2" xfId="4863" xr:uid="{00000000-0005-0000-0000-0000CD010000}"/>
    <cellStyle name="20% - Accent2 2 3" xfId="4862" xr:uid="{00000000-0005-0000-0000-0000CE010000}"/>
    <cellStyle name="20% - Accent2 2 3 10" xfId="30138" xr:uid="{9BD3F5F9-9883-4F54-8AB4-14CD906FB20A}"/>
    <cellStyle name="20% - Accent2 2 3 2" xfId="4861" xr:uid="{00000000-0005-0000-0000-0000CF010000}"/>
    <cellStyle name="20% - Accent2 2 3 2 2" xfId="4860" xr:uid="{00000000-0005-0000-0000-0000D0010000}"/>
    <cellStyle name="20% - Accent2 2 3 2 2 2" xfId="4859" xr:uid="{00000000-0005-0000-0000-0000D1010000}"/>
    <cellStyle name="20% - Accent2 2 3 2 2 2 2" xfId="4858" xr:uid="{00000000-0005-0000-0000-0000D2010000}"/>
    <cellStyle name="20% - Accent2 2 3 2 2 2 2 2" xfId="22762" xr:uid="{75AF00EA-3E0A-489E-A6F7-680DBDF9ED56}"/>
    <cellStyle name="20% - Accent2 2 3 2 2 2 2 2 2" xfId="37738" xr:uid="{CA37387B-CD45-4FC2-BFF6-CD33360BA331}"/>
    <cellStyle name="20% - Accent2 2 3 2 2 2 2 3" xfId="30134" xr:uid="{B0A01F03-0F89-4864-B567-52BDC3D7484C}"/>
    <cellStyle name="20% - Accent2 2 3 2 2 2 3" xfId="4857" xr:uid="{00000000-0005-0000-0000-0000D3010000}"/>
    <cellStyle name="20% - Accent2 2 3 2 2 2 3 2" xfId="22761" xr:uid="{BB2FD4BE-B732-4F2C-A64B-BBEC17A346DB}"/>
    <cellStyle name="20% - Accent2 2 3 2 2 2 3 2 2" xfId="37737" xr:uid="{CD95F58D-FA59-4600-BEFD-02DD38373613}"/>
    <cellStyle name="20% - Accent2 2 3 2 2 2 3 3" xfId="30133" xr:uid="{81185046-1692-45E2-B122-ADF76D8A0118}"/>
    <cellStyle name="20% - Accent2 2 3 2 2 2 4" xfId="22763" xr:uid="{880562BB-8739-43AF-89ED-15A6467C9CBB}"/>
    <cellStyle name="20% - Accent2 2 3 2 2 2 4 2" xfId="37739" xr:uid="{BCBD7AB2-5AC2-4736-BAF1-920F6E14480E}"/>
    <cellStyle name="20% - Accent2 2 3 2 2 2 5" xfId="30135" xr:uid="{FFE2ABED-5537-45CF-BDD0-554F06987298}"/>
    <cellStyle name="20% - Accent2 2 3 2 2 3" xfId="4856" xr:uid="{00000000-0005-0000-0000-0000D4010000}"/>
    <cellStyle name="20% - Accent2 2 3 2 2 3 2" xfId="4855" xr:uid="{00000000-0005-0000-0000-0000D5010000}"/>
    <cellStyle name="20% - Accent2 2 3 2 2 3 2 2" xfId="22759" xr:uid="{2C863A1E-170F-4105-8BCF-9955D4CE9E78}"/>
    <cellStyle name="20% - Accent2 2 3 2 2 3 2 2 2" xfId="37735" xr:uid="{9768CD34-0F3E-4C48-A816-7F8DB458E892}"/>
    <cellStyle name="20% - Accent2 2 3 2 2 3 2 3" xfId="30131" xr:uid="{97B1FBD3-B23A-4E54-ADB9-46E8BBC3C603}"/>
    <cellStyle name="20% - Accent2 2 3 2 2 3 3" xfId="22760" xr:uid="{591FAB50-1487-4040-960C-3D2BA76A4677}"/>
    <cellStyle name="20% - Accent2 2 3 2 2 3 3 2" xfId="37736" xr:uid="{837EAFA1-970E-4C8C-9BFB-8D393F360ED6}"/>
    <cellStyle name="20% - Accent2 2 3 2 2 3 4" xfId="30132" xr:uid="{A40018B4-9A0B-45A0-94E9-1B773FB549E5}"/>
    <cellStyle name="20% - Accent2 2 3 2 2 4" xfId="4854" xr:uid="{00000000-0005-0000-0000-0000D6010000}"/>
    <cellStyle name="20% - Accent2 2 3 2 2 4 2" xfId="22758" xr:uid="{B069B6ED-48E6-4D75-842F-9F80B4139F9C}"/>
    <cellStyle name="20% - Accent2 2 3 2 2 4 2 2" xfId="37734" xr:uid="{923E8C7A-5E32-477E-92DB-9F1A7890B624}"/>
    <cellStyle name="20% - Accent2 2 3 2 2 4 3" xfId="30130" xr:uid="{6C014426-3E8F-44FE-85DB-B5E466CF1B8A}"/>
    <cellStyle name="20% - Accent2 2 3 2 2 5" xfId="22764" xr:uid="{6F84C22A-7B84-4999-8F24-9BA21B75487A}"/>
    <cellStyle name="20% - Accent2 2 3 2 2 5 2" xfId="37740" xr:uid="{CB34720A-3317-4B66-AB42-2E03A69E70F9}"/>
    <cellStyle name="20% - Accent2 2 3 2 2 6" xfId="30136" xr:uid="{895217D5-1871-414A-8DE5-2C6DA0CCC7ED}"/>
    <cellStyle name="20% - Accent2 2 3 2 3" xfId="4853" xr:uid="{00000000-0005-0000-0000-0000D7010000}"/>
    <cellStyle name="20% - Accent2 2 3 2 3 2" xfId="4852" xr:uid="{00000000-0005-0000-0000-0000D8010000}"/>
    <cellStyle name="20% - Accent2 2 3 2 3 2 2" xfId="4851" xr:uid="{00000000-0005-0000-0000-0000D9010000}"/>
    <cellStyle name="20% - Accent2 2 3 2 3 2 2 2" xfId="22755" xr:uid="{97666246-611F-4798-B703-53D063D58010}"/>
    <cellStyle name="20% - Accent2 2 3 2 3 2 2 2 2" xfId="37731" xr:uid="{B3622A65-D0B3-45C2-B5BE-1D6C54B715B8}"/>
    <cellStyle name="20% - Accent2 2 3 2 3 2 2 3" xfId="30127" xr:uid="{19EA9057-F9CA-4988-8D08-517802FBB4D1}"/>
    <cellStyle name="20% - Accent2 2 3 2 3 2 3" xfId="4850" xr:uid="{00000000-0005-0000-0000-0000DA010000}"/>
    <cellStyle name="20% - Accent2 2 3 2 3 2 3 2" xfId="22754" xr:uid="{4CAA806A-0E60-41BC-AB44-D6F9E7449E57}"/>
    <cellStyle name="20% - Accent2 2 3 2 3 2 3 2 2" xfId="37730" xr:uid="{753819E4-0880-4954-8235-BD914ED2CAD0}"/>
    <cellStyle name="20% - Accent2 2 3 2 3 2 3 3" xfId="30126" xr:uid="{CB91CDAC-75C9-4B23-A9D6-64D79BB50D5D}"/>
    <cellStyle name="20% - Accent2 2 3 2 3 2 4" xfId="22756" xr:uid="{B1E70379-A671-4612-A38A-05AC98D9EECF}"/>
    <cellStyle name="20% - Accent2 2 3 2 3 2 4 2" xfId="37732" xr:uid="{B30FB53F-4932-49B4-B0EB-4139ECC1D9F4}"/>
    <cellStyle name="20% - Accent2 2 3 2 3 2 5" xfId="30128" xr:uid="{40052B01-57DA-4981-A3AF-F6E70B16033C}"/>
    <cellStyle name="20% - Accent2 2 3 2 3 3" xfId="4849" xr:uid="{00000000-0005-0000-0000-0000DB010000}"/>
    <cellStyle name="20% - Accent2 2 3 2 3 3 2" xfId="4848" xr:uid="{00000000-0005-0000-0000-0000DC010000}"/>
    <cellStyle name="20% - Accent2 2 3 2 3 3 2 2" xfId="22752" xr:uid="{F7885D11-2015-465F-97E9-83DF85C77582}"/>
    <cellStyle name="20% - Accent2 2 3 2 3 3 2 2 2" xfId="37728" xr:uid="{BA523B3C-D3E4-448E-B098-8276B81DFEA0}"/>
    <cellStyle name="20% - Accent2 2 3 2 3 3 2 3" xfId="30124" xr:uid="{3D37C759-016D-436B-BFCB-619AFC14C3F1}"/>
    <cellStyle name="20% - Accent2 2 3 2 3 3 3" xfId="22753" xr:uid="{75405154-A3E7-4BF2-BE75-261323E23A36}"/>
    <cellStyle name="20% - Accent2 2 3 2 3 3 3 2" xfId="37729" xr:uid="{78958FC2-42C3-44C9-B58D-2B47D257FE70}"/>
    <cellStyle name="20% - Accent2 2 3 2 3 3 4" xfId="30125" xr:uid="{87863E4F-9025-486D-944B-5742A285960C}"/>
    <cellStyle name="20% - Accent2 2 3 2 3 4" xfId="4847" xr:uid="{00000000-0005-0000-0000-0000DD010000}"/>
    <cellStyle name="20% - Accent2 2 3 2 3 4 2" xfId="22751" xr:uid="{01F93072-8DB1-4D59-944E-61AA419B462F}"/>
    <cellStyle name="20% - Accent2 2 3 2 3 4 2 2" xfId="37727" xr:uid="{A021EAC7-4F95-4925-B0DF-1808412DC2CD}"/>
    <cellStyle name="20% - Accent2 2 3 2 3 4 3" xfId="30123" xr:uid="{F49A0ABB-ABC0-47EF-906E-9D491F0E13EA}"/>
    <cellStyle name="20% - Accent2 2 3 2 3 5" xfId="22757" xr:uid="{1C2735FB-3749-429C-97E1-D0ECFA4FDA63}"/>
    <cellStyle name="20% - Accent2 2 3 2 3 5 2" xfId="37733" xr:uid="{C1A53216-963D-4D8A-A17E-D1E3813697E7}"/>
    <cellStyle name="20% - Accent2 2 3 2 3 6" xfId="30129" xr:uid="{993A2A29-1C21-44A6-8403-8A05F6CD0612}"/>
    <cellStyle name="20% - Accent2 2 3 2 4" xfId="4846" xr:uid="{00000000-0005-0000-0000-0000DE010000}"/>
    <cellStyle name="20% - Accent2 2 3 2 4 2" xfId="4845" xr:uid="{00000000-0005-0000-0000-0000DF010000}"/>
    <cellStyle name="20% - Accent2 2 3 2 4 2 2" xfId="22749" xr:uid="{FC54F81D-75BB-4712-BA6F-4CBC40949681}"/>
    <cellStyle name="20% - Accent2 2 3 2 4 2 2 2" xfId="37725" xr:uid="{4B89EDA4-DE83-4403-B3AF-6B48E1299374}"/>
    <cellStyle name="20% - Accent2 2 3 2 4 2 3" xfId="30121" xr:uid="{75FF710F-C642-4291-A51B-AE37260B8ACB}"/>
    <cellStyle name="20% - Accent2 2 3 2 4 3" xfId="4844" xr:uid="{00000000-0005-0000-0000-0000E0010000}"/>
    <cellStyle name="20% - Accent2 2 3 2 4 3 2" xfId="22748" xr:uid="{0CDC9CB8-7AC3-4C92-BC95-011F7C17C60C}"/>
    <cellStyle name="20% - Accent2 2 3 2 4 3 2 2" xfId="37724" xr:uid="{7127F2C0-7DA3-43B8-BF62-EE3A22DC3402}"/>
    <cellStyle name="20% - Accent2 2 3 2 4 3 3" xfId="30120" xr:uid="{84483673-9A59-4225-BCA4-ECA84505CF8B}"/>
    <cellStyle name="20% - Accent2 2 3 2 4 4" xfId="22750" xr:uid="{5F506B85-7B79-42A4-A55C-AB058FE9620E}"/>
    <cellStyle name="20% - Accent2 2 3 2 4 4 2" xfId="37726" xr:uid="{E1F1783B-A332-4C72-B0A5-F4E121A2E00D}"/>
    <cellStyle name="20% - Accent2 2 3 2 4 5" xfId="30122" xr:uid="{6D1E2299-11F3-4A65-9BBF-320C4995510F}"/>
    <cellStyle name="20% - Accent2 2 3 2 5" xfId="4843" xr:uid="{00000000-0005-0000-0000-0000E1010000}"/>
    <cellStyle name="20% - Accent2 2 3 2 5 2" xfId="22747" xr:uid="{C16F7A3F-9326-4F7A-BEB3-F256A3FBEEB5}"/>
    <cellStyle name="20% - Accent2 2 3 2 5 2 2" xfId="37723" xr:uid="{3B407F6D-2344-41F5-B9FB-7F7F2C794971}"/>
    <cellStyle name="20% - Accent2 2 3 2 5 3" xfId="30119" xr:uid="{DB599102-9098-4383-974E-8DB2964AF4DB}"/>
    <cellStyle name="20% - Accent2 2 3 2 6" xfId="4842" xr:uid="{00000000-0005-0000-0000-0000E2010000}"/>
    <cellStyle name="20% - Accent2 2 3 2 6 2" xfId="4841" xr:uid="{00000000-0005-0000-0000-0000E3010000}"/>
    <cellStyle name="20% - Accent2 2 3 2 6 2 2" xfId="22745" xr:uid="{04995251-A9A7-41E2-ADC4-F832E89C73C3}"/>
    <cellStyle name="20% - Accent2 2 3 2 6 2 2 2" xfId="37721" xr:uid="{909F8AC4-1BE1-485F-97D0-A0CABF096F38}"/>
    <cellStyle name="20% - Accent2 2 3 2 6 2 3" xfId="30117" xr:uid="{F38D9C12-3F9F-49F4-A324-74565D31FC66}"/>
    <cellStyle name="20% - Accent2 2 3 2 6 3" xfId="22746" xr:uid="{FF3E3D64-2F70-450A-8735-0CDD8DC18FEA}"/>
    <cellStyle name="20% - Accent2 2 3 2 6 3 2" xfId="37722" xr:uid="{FF059C98-C7D8-4666-B3C1-BC32B59D152B}"/>
    <cellStyle name="20% - Accent2 2 3 2 6 4" xfId="30118" xr:uid="{525E15AD-3193-428B-B7F9-6A167E40A939}"/>
    <cellStyle name="20% - Accent2 2 3 2 7" xfId="4840" xr:uid="{00000000-0005-0000-0000-0000E4010000}"/>
    <cellStyle name="20% - Accent2 2 3 2 7 2" xfId="22744" xr:uid="{ADEE621B-8B27-4C71-B657-6DCA90AFCC12}"/>
    <cellStyle name="20% - Accent2 2 3 2 7 2 2" xfId="37720" xr:uid="{0BDB67FB-DEA7-4747-9642-6A7C1892D601}"/>
    <cellStyle name="20% - Accent2 2 3 2 7 3" xfId="30116" xr:uid="{AB4ADDD0-2424-4F24-929D-79FBF2A8C805}"/>
    <cellStyle name="20% - Accent2 2 3 2 8" xfId="22765" xr:uid="{6501ADC1-6FF8-46D0-85A2-6EE87D2F2ED0}"/>
    <cellStyle name="20% - Accent2 2 3 2 8 2" xfId="37741" xr:uid="{C4E0B317-2633-4E70-87F4-9C692BAE3994}"/>
    <cellStyle name="20% - Accent2 2 3 2 9" xfId="30137" xr:uid="{CDA2C9DE-47C8-4F61-810D-7E7D614C9896}"/>
    <cellStyle name="20% - Accent2 2 3 3" xfId="4839" xr:uid="{00000000-0005-0000-0000-0000E5010000}"/>
    <cellStyle name="20% - Accent2 2 3 3 2" xfId="4838" xr:uid="{00000000-0005-0000-0000-0000E6010000}"/>
    <cellStyle name="20% - Accent2 2 3 3 2 2" xfId="4837" xr:uid="{00000000-0005-0000-0000-0000E7010000}"/>
    <cellStyle name="20% - Accent2 2 3 3 2 2 2" xfId="22741" xr:uid="{B1096FD9-791D-455B-9A56-3436E25B615E}"/>
    <cellStyle name="20% - Accent2 2 3 3 2 2 2 2" xfId="37717" xr:uid="{91BDCD74-6674-4FAE-8BC4-6EA03E569088}"/>
    <cellStyle name="20% - Accent2 2 3 3 2 2 3" xfId="30113" xr:uid="{A9B2BB6B-C13E-4F28-9BDA-14818C60E5DE}"/>
    <cellStyle name="20% - Accent2 2 3 3 2 3" xfId="4836" xr:uid="{00000000-0005-0000-0000-0000E8010000}"/>
    <cellStyle name="20% - Accent2 2 3 3 2 3 2" xfId="22740" xr:uid="{1C22AE0E-B519-4645-A683-2ACDEF9ED3B1}"/>
    <cellStyle name="20% - Accent2 2 3 3 2 3 2 2" xfId="37716" xr:uid="{FA6ABA88-B222-4529-A839-55C19CBB1813}"/>
    <cellStyle name="20% - Accent2 2 3 3 2 3 3" xfId="30112" xr:uid="{B7CF4827-B27D-435B-A5F6-725FE80E4171}"/>
    <cellStyle name="20% - Accent2 2 3 3 2 4" xfId="22742" xr:uid="{AEEF799C-A945-466C-8327-1A2026492624}"/>
    <cellStyle name="20% - Accent2 2 3 3 2 4 2" xfId="37718" xr:uid="{A79ABC33-06B5-4B31-88C3-FD72F7B35A4E}"/>
    <cellStyle name="20% - Accent2 2 3 3 2 5" xfId="30114" xr:uid="{133755CD-F5CE-4BA6-8040-ECD193B2320A}"/>
    <cellStyle name="20% - Accent2 2 3 3 3" xfId="4835" xr:uid="{00000000-0005-0000-0000-0000E9010000}"/>
    <cellStyle name="20% - Accent2 2 3 3 3 2" xfId="4834" xr:uid="{00000000-0005-0000-0000-0000EA010000}"/>
    <cellStyle name="20% - Accent2 2 3 3 3 2 2" xfId="22738" xr:uid="{BF958068-9568-4547-A0BB-6BBFA9D2DD93}"/>
    <cellStyle name="20% - Accent2 2 3 3 3 2 2 2" xfId="37714" xr:uid="{1FB48340-CD02-44F1-AF58-2872360303D4}"/>
    <cellStyle name="20% - Accent2 2 3 3 3 2 3" xfId="30110" xr:uid="{50E1B07F-EE31-45EC-B646-DAF38749AE59}"/>
    <cellStyle name="20% - Accent2 2 3 3 3 3" xfId="22739" xr:uid="{96BB062C-84EC-418F-907A-95171E933A8B}"/>
    <cellStyle name="20% - Accent2 2 3 3 3 3 2" xfId="37715" xr:uid="{5A6464E7-DF2F-46D6-AF1B-92F32373F05F}"/>
    <cellStyle name="20% - Accent2 2 3 3 3 4" xfId="30111" xr:uid="{8C7AC06B-0A89-4B59-9F41-445D46BDE36E}"/>
    <cellStyle name="20% - Accent2 2 3 3 4" xfId="4833" xr:uid="{00000000-0005-0000-0000-0000EB010000}"/>
    <cellStyle name="20% - Accent2 2 3 3 4 2" xfId="22737" xr:uid="{E5EEEE1E-A4AC-47A6-9A3E-C8D25E846176}"/>
    <cellStyle name="20% - Accent2 2 3 3 4 2 2" xfId="37713" xr:uid="{3F0BE8C0-EDFC-40BB-BC73-6F260EF36A6D}"/>
    <cellStyle name="20% - Accent2 2 3 3 4 3" xfId="30109" xr:uid="{73721E61-B1B0-4575-8830-97F309FAD389}"/>
    <cellStyle name="20% - Accent2 2 3 3 5" xfId="22743" xr:uid="{E1F8CA36-79A5-4EE3-8BF2-82A633EBFF42}"/>
    <cellStyle name="20% - Accent2 2 3 3 5 2" xfId="37719" xr:uid="{10FC8206-77D7-45E2-8C03-7B7FD0816514}"/>
    <cellStyle name="20% - Accent2 2 3 3 6" xfId="30115" xr:uid="{79FC0766-9524-4FF6-AF42-262BA64C9716}"/>
    <cellStyle name="20% - Accent2 2 3 4" xfId="4832" xr:uid="{00000000-0005-0000-0000-0000EC010000}"/>
    <cellStyle name="20% - Accent2 2 3 4 2" xfId="4831" xr:uid="{00000000-0005-0000-0000-0000ED010000}"/>
    <cellStyle name="20% - Accent2 2 3 4 2 2" xfId="4830" xr:uid="{00000000-0005-0000-0000-0000EE010000}"/>
    <cellStyle name="20% - Accent2 2 3 4 2 2 2" xfId="22734" xr:uid="{3E0EFD6C-3AD2-4C65-944F-1474590F0E2C}"/>
    <cellStyle name="20% - Accent2 2 3 4 2 2 2 2" xfId="37710" xr:uid="{D106D4D9-C690-4387-89D2-29770D13DF79}"/>
    <cellStyle name="20% - Accent2 2 3 4 2 2 3" xfId="30106" xr:uid="{35F1D626-B583-4999-8815-A441DF76D504}"/>
    <cellStyle name="20% - Accent2 2 3 4 2 3" xfId="4829" xr:uid="{00000000-0005-0000-0000-0000EF010000}"/>
    <cellStyle name="20% - Accent2 2 3 4 2 3 2" xfId="22733" xr:uid="{0CC4418C-36E1-4235-A41B-13AAA6393B91}"/>
    <cellStyle name="20% - Accent2 2 3 4 2 3 2 2" xfId="37709" xr:uid="{736855DD-E333-46AE-A274-AB4C8626F586}"/>
    <cellStyle name="20% - Accent2 2 3 4 2 3 3" xfId="30105" xr:uid="{9ABCBC4B-FC52-4302-A441-DE3344B517A3}"/>
    <cellStyle name="20% - Accent2 2 3 4 2 4" xfId="22735" xr:uid="{517A67B8-3197-40BF-AC1D-00FF3CB7AC16}"/>
    <cellStyle name="20% - Accent2 2 3 4 2 4 2" xfId="37711" xr:uid="{A1C2F59A-2DD2-49C2-9F38-C7D2886957F4}"/>
    <cellStyle name="20% - Accent2 2 3 4 2 5" xfId="30107" xr:uid="{A9851696-DAED-4A86-86D4-5E77ABE1BA99}"/>
    <cellStyle name="20% - Accent2 2 3 4 3" xfId="4828" xr:uid="{00000000-0005-0000-0000-0000F0010000}"/>
    <cellStyle name="20% - Accent2 2 3 4 3 2" xfId="4827" xr:uid="{00000000-0005-0000-0000-0000F1010000}"/>
    <cellStyle name="20% - Accent2 2 3 4 3 2 2" xfId="22731" xr:uid="{CBD94A24-710E-4931-BF02-30BD8D40080F}"/>
    <cellStyle name="20% - Accent2 2 3 4 3 2 2 2" xfId="37707" xr:uid="{9112C48E-7F47-4686-A0F1-E683F6FF14DD}"/>
    <cellStyle name="20% - Accent2 2 3 4 3 2 3" xfId="30103" xr:uid="{F1EF4968-3E64-40E9-A10D-8F3A4B39BE86}"/>
    <cellStyle name="20% - Accent2 2 3 4 3 3" xfId="22732" xr:uid="{C924ED61-94E2-4890-80F0-26A22EB88D65}"/>
    <cellStyle name="20% - Accent2 2 3 4 3 3 2" xfId="37708" xr:uid="{5D61B6D9-E36A-4D91-A6FC-0C206EEB2A76}"/>
    <cellStyle name="20% - Accent2 2 3 4 3 4" xfId="30104" xr:uid="{905033D9-5036-4C8B-9D6D-8A83FB7AA121}"/>
    <cellStyle name="20% - Accent2 2 3 4 4" xfId="4826" xr:uid="{00000000-0005-0000-0000-0000F2010000}"/>
    <cellStyle name="20% - Accent2 2 3 4 4 2" xfId="22730" xr:uid="{C1EFDD0E-DED4-491C-8D1C-1739B21B9EE6}"/>
    <cellStyle name="20% - Accent2 2 3 4 4 2 2" xfId="37706" xr:uid="{D103A35D-2A8A-41B1-B935-8DDA238826EC}"/>
    <cellStyle name="20% - Accent2 2 3 4 4 3" xfId="30102" xr:uid="{C9EBB0D1-8D96-46EF-A08F-8F8B80982376}"/>
    <cellStyle name="20% - Accent2 2 3 4 5" xfId="22736" xr:uid="{403AF3F6-7C81-4278-8EF3-52BD0ED53E99}"/>
    <cellStyle name="20% - Accent2 2 3 4 5 2" xfId="37712" xr:uid="{5C5BF97A-579E-477A-AAE7-D1DA0AB4CD45}"/>
    <cellStyle name="20% - Accent2 2 3 4 6" xfId="30108" xr:uid="{C4B95479-2931-48E4-AB0A-CDABC6B9D3DB}"/>
    <cellStyle name="20% - Accent2 2 3 5" xfId="4825" xr:uid="{00000000-0005-0000-0000-0000F3010000}"/>
    <cellStyle name="20% - Accent2 2 3 5 2" xfId="4824" xr:uid="{00000000-0005-0000-0000-0000F4010000}"/>
    <cellStyle name="20% - Accent2 2 3 5 2 2" xfId="22728" xr:uid="{74687F6E-A925-4615-9187-38AF796D5B55}"/>
    <cellStyle name="20% - Accent2 2 3 5 2 2 2" xfId="37704" xr:uid="{097965E9-7EB0-47B7-92A3-6744A8ED60CE}"/>
    <cellStyle name="20% - Accent2 2 3 5 2 3" xfId="30100" xr:uid="{28B34EDA-1766-421D-B407-5F5BCF10668C}"/>
    <cellStyle name="20% - Accent2 2 3 5 3" xfId="4823" xr:uid="{00000000-0005-0000-0000-0000F5010000}"/>
    <cellStyle name="20% - Accent2 2 3 5 3 2" xfId="22727" xr:uid="{04E3767C-9E49-457E-86E9-743F3AFC732B}"/>
    <cellStyle name="20% - Accent2 2 3 5 3 2 2" xfId="37703" xr:uid="{0B9AE658-2D35-487F-B8A2-1F62E7AFF22D}"/>
    <cellStyle name="20% - Accent2 2 3 5 3 3" xfId="30099" xr:uid="{09D06DFC-25E3-4762-AAC4-A796E8390AE3}"/>
    <cellStyle name="20% - Accent2 2 3 5 4" xfId="22729" xr:uid="{8F12E679-1B88-47E5-B35D-53A02EB647D1}"/>
    <cellStyle name="20% - Accent2 2 3 5 4 2" xfId="37705" xr:uid="{82026598-86ED-4B21-A4F4-284047490FEA}"/>
    <cellStyle name="20% - Accent2 2 3 5 5" xfId="30101" xr:uid="{4C41A1F0-556F-48A3-83F6-B6F2BE29463F}"/>
    <cellStyle name="20% - Accent2 2 3 6" xfId="4822" xr:uid="{00000000-0005-0000-0000-0000F6010000}"/>
    <cellStyle name="20% - Accent2 2 3 6 2" xfId="22726" xr:uid="{1E6C7BB6-AAE5-4850-BCDA-E58BEA8C6D78}"/>
    <cellStyle name="20% - Accent2 2 3 6 2 2" xfId="37702" xr:uid="{9B757481-59B2-48E2-83B6-B4AFF5EEF512}"/>
    <cellStyle name="20% - Accent2 2 3 6 3" xfId="30098" xr:uid="{78F7F0F1-14D1-422C-BA2D-77E63EBCE0FF}"/>
    <cellStyle name="20% - Accent2 2 3 7" xfId="4821" xr:uid="{00000000-0005-0000-0000-0000F7010000}"/>
    <cellStyle name="20% - Accent2 2 3 7 2" xfId="4820" xr:uid="{00000000-0005-0000-0000-0000F8010000}"/>
    <cellStyle name="20% - Accent2 2 3 7 2 2" xfId="22724" xr:uid="{44AADC09-9229-4735-B5C8-EC3F001DA963}"/>
    <cellStyle name="20% - Accent2 2 3 7 2 2 2" xfId="37700" xr:uid="{655D82CB-39F0-43AA-AA93-31FFCA1F835F}"/>
    <cellStyle name="20% - Accent2 2 3 7 2 3" xfId="30096" xr:uid="{6D0770FB-536B-478A-A355-FFF0B1DDA23F}"/>
    <cellStyle name="20% - Accent2 2 3 7 3" xfId="22725" xr:uid="{58630920-2B66-4511-B1B9-F490D5160E17}"/>
    <cellStyle name="20% - Accent2 2 3 7 3 2" xfId="37701" xr:uid="{C7D38D6D-BF28-4CE4-907A-01EC81CC31B3}"/>
    <cellStyle name="20% - Accent2 2 3 7 4" xfId="30097" xr:uid="{253F41E4-D7D9-46AA-A8A2-24E2A47D5849}"/>
    <cellStyle name="20% - Accent2 2 3 8" xfId="4819" xr:uid="{00000000-0005-0000-0000-0000F9010000}"/>
    <cellStyle name="20% - Accent2 2 3 8 2" xfId="22723" xr:uid="{AA2AAC18-B625-475A-B5E2-198BF231947F}"/>
    <cellStyle name="20% - Accent2 2 3 8 2 2" xfId="37699" xr:uid="{D8EE1907-D576-4611-A5B0-0F149BFBF996}"/>
    <cellStyle name="20% - Accent2 2 3 8 3" xfId="30095" xr:uid="{112E39F3-A8C3-426C-8926-B9352FB5F5A3}"/>
    <cellStyle name="20% - Accent2 2 3 9" xfId="22766" xr:uid="{87992E96-6775-40EC-9C93-71A14A81DED6}"/>
    <cellStyle name="20% - Accent2 2 3 9 2" xfId="37742" xr:uid="{8A8D9F05-72E5-4941-A70E-D60EA860CC9A}"/>
    <cellStyle name="20% - Accent2 2 4" xfId="4818" xr:uid="{00000000-0005-0000-0000-0000FA010000}"/>
    <cellStyle name="20% - Accent2 2 4 10" xfId="30094" xr:uid="{1381738D-2962-4538-AB84-E5A963CF031A}"/>
    <cellStyle name="20% - Accent2 2 4 2" xfId="4817" xr:uid="{00000000-0005-0000-0000-0000FB010000}"/>
    <cellStyle name="20% - Accent2 2 4 2 2" xfId="4816" xr:uid="{00000000-0005-0000-0000-0000FC010000}"/>
    <cellStyle name="20% - Accent2 2 4 2 2 2" xfId="4815" xr:uid="{00000000-0005-0000-0000-0000FD010000}"/>
    <cellStyle name="20% - Accent2 2 4 2 2 2 2" xfId="4814" xr:uid="{00000000-0005-0000-0000-0000FE010000}"/>
    <cellStyle name="20% - Accent2 2 4 2 2 2 2 2" xfId="22718" xr:uid="{8F00EB31-FE7D-4BD1-99A0-9A3903FA7E3B}"/>
    <cellStyle name="20% - Accent2 2 4 2 2 2 2 2 2" xfId="37694" xr:uid="{D75A766F-D01B-4390-B401-D1ACAAB56134}"/>
    <cellStyle name="20% - Accent2 2 4 2 2 2 2 3" xfId="30090" xr:uid="{6A376E7B-882E-4E1B-8E73-02212F8BA8AD}"/>
    <cellStyle name="20% - Accent2 2 4 2 2 2 3" xfId="4813" xr:uid="{00000000-0005-0000-0000-0000FF010000}"/>
    <cellStyle name="20% - Accent2 2 4 2 2 2 3 2" xfId="22717" xr:uid="{9F9AA52A-549B-4987-A507-3C075D6CC3A9}"/>
    <cellStyle name="20% - Accent2 2 4 2 2 2 3 2 2" xfId="37693" xr:uid="{60E1A59A-D47C-415E-AEA0-870CEFA5DCF7}"/>
    <cellStyle name="20% - Accent2 2 4 2 2 2 3 3" xfId="30089" xr:uid="{75F9138E-F7F7-4144-B29B-D4A725D75583}"/>
    <cellStyle name="20% - Accent2 2 4 2 2 2 4" xfId="22719" xr:uid="{7F81F2CC-5058-4ECB-8018-565986CDD4AD}"/>
    <cellStyle name="20% - Accent2 2 4 2 2 2 4 2" xfId="37695" xr:uid="{E14F4EF4-7869-4E98-8A07-942A9C6DCE9F}"/>
    <cellStyle name="20% - Accent2 2 4 2 2 2 5" xfId="30091" xr:uid="{C849D03D-D3C4-4485-A1A3-9DE73733CA7B}"/>
    <cellStyle name="20% - Accent2 2 4 2 2 3" xfId="4812" xr:uid="{00000000-0005-0000-0000-000000020000}"/>
    <cellStyle name="20% - Accent2 2 4 2 2 3 2" xfId="4811" xr:uid="{00000000-0005-0000-0000-000001020000}"/>
    <cellStyle name="20% - Accent2 2 4 2 2 3 2 2" xfId="22715" xr:uid="{36BB866D-E8C5-4550-BD49-041C6AFDC8D1}"/>
    <cellStyle name="20% - Accent2 2 4 2 2 3 2 2 2" xfId="37691" xr:uid="{0F19CC51-5416-496C-A749-D134CDCD538F}"/>
    <cellStyle name="20% - Accent2 2 4 2 2 3 2 3" xfId="30087" xr:uid="{FD0B8385-B8A4-49E6-ABA5-6BCCFEAF0FA3}"/>
    <cellStyle name="20% - Accent2 2 4 2 2 3 3" xfId="22716" xr:uid="{0ED94164-B8D4-4B82-9055-736E164BB5E6}"/>
    <cellStyle name="20% - Accent2 2 4 2 2 3 3 2" xfId="37692" xr:uid="{1A48AE79-9EE4-480C-9A21-BD2A13873C6D}"/>
    <cellStyle name="20% - Accent2 2 4 2 2 3 4" xfId="30088" xr:uid="{F43FFDCB-0B6E-498C-843B-9BED7E3C8D4D}"/>
    <cellStyle name="20% - Accent2 2 4 2 2 4" xfId="4810" xr:uid="{00000000-0005-0000-0000-000002020000}"/>
    <cellStyle name="20% - Accent2 2 4 2 2 4 2" xfId="22714" xr:uid="{7B5160A7-73D9-4EF4-9B1B-C149B6DD6041}"/>
    <cellStyle name="20% - Accent2 2 4 2 2 4 2 2" xfId="37690" xr:uid="{57C74F02-A7D6-4F46-8185-F4BF001D94E8}"/>
    <cellStyle name="20% - Accent2 2 4 2 2 4 3" xfId="30086" xr:uid="{843C0FAC-3824-495A-BD1B-6198623A1C05}"/>
    <cellStyle name="20% - Accent2 2 4 2 2 5" xfId="22720" xr:uid="{89AA237E-D624-4184-BC2F-B2F601F0313B}"/>
    <cellStyle name="20% - Accent2 2 4 2 2 5 2" xfId="37696" xr:uid="{165E5568-92C1-45FB-87C9-BA775EF7F10E}"/>
    <cellStyle name="20% - Accent2 2 4 2 2 6" xfId="30092" xr:uid="{1A69C294-7847-4C39-8081-730DB1AF1191}"/>
    <cellStyle name="20% - Accent2 2 4 2 3" xfId="4809" xr:uid="{00000000-0005-0000-0000-000003020000}"/>
    <cellStyle name="20% - Accent2 2 4 2 3 2" xfId="4808" xr:uid="{00000000-0005-0000-0000-000004020000}"/>
    <cellStyle name="20% - Accent2 2 4 2 3 2 2" xfId="4807" xr:uid="{00000000-0005-0000-0000-000005020000}"/>
    <cellStyle name="20% - Accent2 2 4 2 3 2 2 2" xfId="22711" xr:uid="{7F9F547C-DB27-47AE-AF88-5E91CA97D27F}"/>
    <cellStyle name="20% - Accent2 2 4 2 3 2 2 2 2" xfId="37687" xr:uid="{5A69DA3A-4835-4734-B64E-F2FECAD8DCE4}"/>
    <cellStyle name="20% - Accent2 2 4 2 3 2 2 3" xfId="30083" xr:uid="{CE23A52C-F87A-460A-8556-385F1B3F4720}"/>
    <cellStyle name="20% - Accent2 2 4 2 3 2 3" xfId="4806" xr:uid="{00000000-0005-0000-0000-000006020000}"/>
    <cellStyle name="20% - Accent2 2 4 2 3 2 3 2" xfId="22710" xr:uid="{EBFF00FD-C50E-4372-8B16-6BECCB2EA33A}"/>
    <cellStyle name="20% - Accent2 2 4 2 3 2 3 2 2" xfId="37686" xr:uid="{5020D855-252C-4515-802E-D849311E0FDC}"/>
    <cellStyle name="20% - Accent2 2 4 2 3 2 3 3" xfId="30082" xr:uid="{43AD7C52-C837-4DA1-AA31-A7627D54A1FD}"/>
    <cellStyle name="20% - Accent2 2 4 2 3 2 4" xfId="22712" xr:uid="{D95AAD87-3A37-4887-BA74-5D121B1BAD72}"/>
    <cellStyle name="20% - Accent2 2 4 2 3 2 4 2" xfId="37688" xr:uid="{0A11AB16-5EC0-4EC8-9884-E5BABB6D1DDC}"/>
    <cellStyle name="20% - Accent2 2 4 2 3 2 5" xfId="30084" xr:uid="{7E1BFCD4-F4FB-4E28-B6F1-E69FB334E54A}"/>
    <cellStyle name="20% - Accent2 2 4 2 3 3" xfId="4805" xr:uid="{00000000-0005-0000-0000-000007020000}"/>
    <cellStyle name="20% - Accent2 2 4 2 3 3 2" xfId="4804" xr:uid="{00000000-0005-0000-0000-000008020000}"/>
    <cellStyle name="20% - Accent2 2 4 2 3 3 2 2" xfId="22708" xr:uid="{30537575-3B45-4918-84BD-9543057E629A}"/>
    <cellStyle name="20% - Accent2 2 4 2 3 3 2 2 2" xfId="37684" xr:uid="{EF0BB799-DB7B-41DD-AD0D-8674D51B63A0}"/>
    <cellStyle name="20% - Accent2 2 4 2 3 3 2 3" xfId="30080" xr:uid="{37142973-FA0A-4B95-951C-161932CE1CCF}"/>
    <cellStyle name="20% - Accent2 2 4 2 3 3 3" xfId="22709" xr:uid="{759F8DBB-1443-4CA5-A9B8-5B9C4C07EDE1}"/>
    <cellStyle name="20% - Accent2 2 4 2 3 3 3 2" xfId="37685" xr:uid="{A9353F69-9095-48E5-B304-F9AF2E470D1F}"/>
    <cellStyle name="20% - Accent2 2 4 2 3 3 4" xfId="30081" xr:uid="{B741B6CD-5BB4-472E-AD66-83C4B41B63FF}"/>
    <cellStyle name="20% - Accent2 2 4 2 3 4" xfId="4803" xr:uid="{00000000-0005-0000-0000-000009020000}"/>
    <cellStyle name="20% - Accent2 2 4 2 3 4 2" xfId="22707" xr:uid="{9BA0FE6D-902B-409E-A222-8E05E250EF8C}"/>
    <cellStyle name="20% - Accent2 2 4 2 3 4 2 2" xfId="37683" xr:uid="{75878273-0235-4598-9CE7-F5CE2F599406}"/>
    <cellStyle name="20% - Accent2 2 4 2 3 4 3" xfId="30079" xr:uid="{CA9C3E0D-EECE-4D1B-A8DA-8C2BCA752D1F}"/>
    <cellStyle name="20% - Accent2 2 4 2 3 5" xfId="22713" xr:uid="{37F30CCD-1BDD-4124-8881-9FA7AA112959}"/>
    <cellStyle name="20% - Accent2 2 4 2 3 5 2" xfId="37689" xr:uid="{D8ACF685-FE78-4838-A38C-A41871658FD4}"/>
    <cellStyle name="20% - Accent2 2 4 2 3 6" xfId="30085" xr:uid="{97A984A1-789C-489F-9CCC-5C4442AC4390}"/>
    <cellStyle name="20% - Accent2 2 4 2 4" xfId="4802" xr:uid="{00000000-0005-0000-0000-00000A020000}"/>
    <cellStyle name="20% - Accent2 2 4 2 4 2" xfId="4801" xr:uid="{00000000-0005-0000-0000-00000B020000}"/>
    <cellStyle name="20% - Accent2 2 4 2 4 2 2" xfId="22705" xr:uid="{BA0AB436-787E-4E0D-AD82-76A6DF1FE2BE}"/>
    <cellStyle name="20% - Accent2 2 4 2 4 2 2 2" xfId="37681" xr:uid="{9060F009-493D-49FB-994A-BA11688D5FF7}"/>
    <cellStyle name="20% - Accent2 2 4 2 4 2 3" xfId="30077" xr:uid="{85FE0F3A-D864-4CBC-B64D-7EEBB6FD3057}"/>
    <cellStyle name="20% - Accent2 2 4 2 4 3" xfId="4800" xr:uid="{00000000-0005-0000-0000-00000C020000}"/>
    <cellStyle name="20% - Accent2 2 4 2 4 3 2" xfId="22704" xr:uid="{043B59F3-2A1A-4F0C-B265-E154148DF373}"/>
    <cellStyle name="20% - Accent2 2 4 2 4 3 2 2" xfId="37680" xr:uid="{1E8A440B-4A44-473C-8F4D-6CADD59F7DD1}"/>
    <cellStyle name="20% - Accent2 2 4 2 4 3 3" xfId="30076" xr:uid="{CB8C8109-9592-4B56-8C78-C86397581C9B}"/>
    <cellStyle name="20% - Accent2 2 4 2 4 4" xfId="22706" xr:uid="{0A5A64E8-9BB5-473C-953E-51F7E987A86B}"/>
    <cellStyle name="20% - Accent2 2 4 2 4 4 2" xfId="37682" xr:uid="{4EF70102-1EC6-48D2-81B7-C78563342405}"/>
    <cellStyle name="20% - Accent2 2 4 2 4 5" xfId="30078" xr:uid="{45F9E325-F894-42D9-B2F4-94BC1F480106}"/>
    <cellStyle name="20% - Accent2 2 4 2 5" xfId="4799" xr:uid="{00000000-0005-0000-0000-00000D020000}"/>
    <cellStyle name="20% - Accent2 2 4 2 5 2" xfId="22703" xr:uid="{B7C0C573-D188-4C13-839A-713E6A7CA825}"/>
    <cellStyle name="20% - Accent2 2 4 2 5 2 2" xfId="37679" xr:uid="{34C57330-CC6F-4D43-B133-0E9B61C3430A}"/>
    <cellStyle name="20% - Accent2 2 4 2 5 3" xfId="30075" xr:uid="{358B6AF7-B057-4F7D-A1A0-4733AEC5B458}"/>
    <cellStyle name="20% - Accent2 2 4 2 6" xfId="4798" xr:uid="{00000000-0005-0000-0000-00000E020000}"/>
    <cellStyle name="20% - Accent2 2 4 2 6 2" xfId="4797" xr:uid="{00000000-0005-0000-0000-00000F020000}"/>
    <cellStyle name="20% - Accent2 2 4 2 6 2 2" xfId="22701" xr:uid="{75570D17-0379-44CC-8836-5EB7EB4AB258}"/>
    <cellStyle name="20% - Accent2 2 4 2 6 2 2 2" xfId="37677" xr:uid="{B4CF51FA-8094-4330-AAF6-08B1EFE54EBF}"/>
    <cellStyle name="20% - Accent2 2 4 2 6 2 3" xfId="30073" xr:uid="{99B3B7AB-E87B-42A2-A90B-A24E07AE4146}"/>
    <cellStyle name="20% - Accent2 2 4 2 6 3" xfId="22702" xr:uid="{A4AF7FFA-9D5B-42E0-8ECC-C4651D3B45E9}"/>
    <cellStyle name="20% - Accent2 2 4 2 6 3 2" xfId="37678" xr:uid="{41CDAEE5-E0FB-4850-BCFC-CC5CB35B0718}"/>
    <cellStyle name="20% - Accent2 2 4 2 6 4" xfId="30074" xr:uid="{82EFDD8A-3950-4AB2-B134-C1996419098F}"/>
    <cellStyle name="20% - Accent2 2 4 2 7" xfId="4796" xr:uid="{00000000-0005-0000-0000-000010020000}"/>
    <cellStyle name="20% - Accent2 2 4 2 7 2" xfId="22700" xr:uid="{0581E1A6-56B1-43C4-833A-C5EE5A7491C0}"/>
    <cellStyle name="20% - Accent2 2 4 2 7 2 2" xfId="37676" xr:uid="{4A47F2CD-D453-4D43-B889-9D27D39608CF}"/>
    <cellStyle name="20% - Accent2 2 4 2 7 3" xfId="30072" xr:uid="{B41E703E-165F-457D-BD24-998C274B64A7}"/>
    <cellStyle name="20% - Accent2 2 4 2 8" xfId="22721" xr:uid="{300C3967-96BB-4A5F-A247-F13EDBC0D26E}"/>
    <cellStyle name="20% - Accent2 2 4 2 8 2" xfId="37697" xr:uid="{22BDBD4E-32A2-4ABB-9D59-EE0ABD07FF63}"/>
    <cellStyle name="20% - Accent2 2 4 2 9" xfId="30093" xr:uid="{DCB61AA2-54DB-4673-A720-1EDD39126822}"/>
    <cellStyle name="20% - Accent2 2 4 3" xfId="4795" xr:uid="{00000000-0005-0000-0000-000011020000}"/>
    <cellStyle name="20% - Accent2 2 4 3 2" xfId="4794" xr:uid="{00000000-0005-0000-0000-000012020000}"/>
    <cellStyle name="20% - Accent2 2 4 3 2 2" xfId="4793" xr:uid="{00000000-0005-0000-0000-000013020000}"/>
    <cellStyle name="20% - Accent2 2 4 3 2 2 2" xfId="22697" xr:uid="{57A87CE3-5EAD-4E3B-8B49-1C31673BA4A6}"/>
    <cellStyle name="20% - Accent2 2 4 3 2 2 2 2" xfId="37673" xr:uid="{89ECDBD7-DAC1-4A67-89BA-A2756E304566}"/>
    <cellStyle name="20% - Accent2 2 4 3 2 2 3" xfId="30069" xr:uid="{03D8A8C7-38A6-4C36-948F-3680B1766DBF}"/>
    <cellStyle name="20% - Accent2 2 4 3 2 3" xfId="4792" xr:uid="{00000000-0005-0000-0000-000014020000}"/>
    <cellStyle name="20% - Accent2 2 4 3 2 3 2" xfId="22696" xr:uid="{AAB31619-4866-41C8-9708-8869882A736A}"/>
    <cellStyle name="20% - Accent2 2 4 3 2 3 2 2" xfId="37672" xr:uid="{C95ECD77-177B-471D-B93C-C88E73FA1FDB}"/>
    <cellStyle name="20% - Accent2 2 4 3 2 3 3" xfId="30068" xr:uid="{3D5EA3CA-7B46-4402-BD0B-4A9B891199F7}"/>
    <cellStyle name="20% - Accent2 2 4 3 2 4" xfId="22698" xr:uid="{B30D483E-F0C6-4291-9189-477D612DEFB9}"/>
    <cellStyle name="20% - Accent2 2 4 3 2 4 2" xfId="37674" xr:uid="{4F3EBF37-D97F-4F53-AFA2-FC2275B9275D}"/>
    <cellStyle name="20% - Accent2 2 4 3 2 5" xfId="30070" xr:uid="{FFB089E9-4335-4933-99AC-5BB49B7F1411}"/>
    <cellStyle name="20% - Accent2 2 4 3 3" xfId="4791" xr:uid="{00000000-0005-0000-0000-000015020000}"/>
    <cellStyle name="20% - Accent2 2 4 3 3 2" xfId="4790" xr:uid="{00000000-0005-0000-0000-000016020000}"/>
    <cellStyle name="20% - Accent2 2 4 3 3 2 2" xfId="22694" xr:uid="{6DC4E651-A6ED-43A5-886B-8FCE9952B72D}"/>
    <cellStyle name="20% - Accent2 2 4 3 3 2 2 2" xfId="37670" xr:uid="{8C4B4CE8-6D72-492D-8FEF-557E3A6B981B}"/>
    <cellStyle name="20% - Accent2 2 4 3 3 2 3" xfId="30066" xr:uid="{3D6BA04A-7373-4FAE-9F8D-989F9FC233E8}"/>
    <cellStyle name="20% - Accent2 2 4 3 3 3" xfId="22695" xr:uid="{E2E47F06-1714-4C58-95AF-6013058D1E56}"/>
    <cellStyle name="20% - Accent2 2 4 3 3 3 2" xfId="37671" xr:uid="{7C6B6114-EABA-4915-AB5A-7897A756F15A}"/>
    <cellStyle name="20% - Accent2 2 4 3 3 4" xfId="30067" xr:uid="{650FB141-CAB7-4116-81C2-92F5C21E117E}"/>
    <cellStyle name="20% - Accent2 2 4 3 4" xfId="4789" xr:uid="{00000000-0005-0000-0000-000017020000}"/>
    <cellStyle name="20% - Accent2 2 4 3 4 2" xfId="22693" xr:uid="{4057C8ED-7556-49AD-BEB2-BD4786D38139}"/>
    <cellStyle name="20% - Accent2 2 4 3 4 2 2" xfId="37669" xr:uid="{D84A0752-AD1E-43AA-AFC3-0D7CCCD35D1D}"/>
    <cellStyle name="20% - Accent2 2 4 3 4 3" xfId="30065" xr:uid="{9AA8193B-5AD2-4A3F-95D1-2AF53B9E7573}"/>
    <cellStyle name="20% - Accent2 2 4 3 5" xfId="22699" xr:uid="{50DE018F-90A0-419B-B2C4-F79D30A89DB7}"/>
    <cellStyle name="20% - Accent2 2 4 3 5 2" xfId="37675" xr:uid="{46AE45AD-BF87-4C24-97B7-86A06080F49C}"/>
    <cellStyle name="20% - Accent2 2 4 3 6" xfId="30071" xr:uid="{B4A38DFD-AE20-4838-95CF-B7964AB5DE73}"/>
    <cellStyle name="20% - Accent2 2 4 4" xfId="4788" xr:uid="{00000000-0005-0000-0000-000018020000}"/>
    <cellStyle name="20% - Accent2 2 4 4 2" xfId="4787" xr:uid="{00000000-0005-0000-0000-000019020000}"/>
    <cellStyle name="20% - Accent2 2 4 4 2 2" xfId="4786" xr:uid="{00000000-0005-0000-0000-00001A020000}"/>
    <cellStyle name="20% - Accent2 2 4 4 2 2 2" xfId="22690" xr:uid="{4310618F-A904-4D54-850D-B6DB2B0D87EA}"/>
    <cellStyle name="20% - Accent2 2 4 4 2 2 2 2" xfId="37666" xr:uid="{88CCE16B-923D-4882-BDC3-3F09687B1384}"/>
    <cellStyle name="20% - Accent2 2 4 4 2 2 3" xfId="30062" xr:uid="{AA7292C3-148A-4F2E-A3ED-83A07B471ADE}"/>
    <cellStyle name="20% - Accent2 2 4 4 2 3" xfId="4785" xr:uid="{00000000-0005-0000-0000-00001B020000}"/>
    <cellStyle name="20% - Accent2 2 4 4 2 3 2" xfId="22689" xr:uid="{A40B6E94-E917-4ACB-909B-574D8D28D511}"/>
    <cellStyle name="20% - Accent2 2 4 4 2 3 2 2" xfId="37665" xr:uid="{2AA6E861-972D-4DA6-BFC1-258B474B4E79}"/>
    <cellStyle name="20% - Accent2 2 4 4 2 3 3" xfId="30061" xr:uid="{AF5F9BF8-10F7-4163-8A2E-2BD0A92F01A7}"/>
    <cellStyle name="20% - Accent2 2 4 4 2 4" xfId="22691" xr:uid="{34E0C83D-918F-49F5-AA95-71E21EB8202F}"/>
    <cellStyle name="20% - Accent2 2 4 4 2 4 2" xfId="37667" xr:uid="{81E098B9-6519-47A9-BE67-7F49AF9EB034}"/>
    <cellStyle name="20% - Accent2 2 4 4 2 5" xfId="30063" xr:uid="{BE4F078B-5841-498F-BD32-55A96CF4133D}"/>
    <cellStyle name="20% - Accent2 2 4 4 3" xfId="4784" xr:uid="{00000000-0005-0000-0000-00001C020000}"/>
    <cellStyle name="20% - Accent2 2 4 4 3 2" xfId="4783" xr:uid="{00000000-0005-0000-0000-00001D020000}"/>
    <cellStyle name="20% - Accent2 2 4 4 3 2 2" xfId="22687" xr:uid="{37ABB994-C084-4AC1-B7BF-78A772A3CA9F}"/>
    <cellStyle name="20% - Accent2 2 4 4 3 2 2 2" xfId="37663" xr:uid="{90619467-96C8-4251-A452-85A65768FDAE}"/>
    <cellStyle name="20% - Accent2 2 4 4 3 2 3" xfId="30059" xr:uid="{71362863-C0FE-4A3F-ACF7-F5690C63AEA6}"/>
    <cellStyle name="20% - Accent2 2 4 4 3 3" xfId="22688" xr:uid="{6EA4943B-0EA1-48A8-8203-9BBF140702B0}"/>
    <cellStyle name="20% - Accent2 2 4 4 3 3 2" xfId="37664" xr:uid="{B35FAD44-07C4-4FA9-9D2C-BD9D031F918B}"/>
    <cellStyle name="20% - Accent2 2 4 4 3 4" xfId="30060" xr:uid="{EE80E7CC-3C9F-49B3-8493-1279B7093C03}"/>
    <cellStyle name="20% - Accent2 2 4 4 4" xfId="4782" xr:uid="{00000000-0005-0000-0000-00001E020000}"/>
    <cellStyle name="20% - Accent2 2 4 4 4 2" xfId="22686" xr:uid="{2608AF78-22C7-492E-846E-2396CC1CB877}"/>
    <cellStyle name="20% - Accent2 2 4 4 4 2 2" xfId="37662" xr:uid="{12EDA35B-DD2A-43C8-A0AB-76D221EC702D}"/>
    <cellStyle name="20% - Accent2 2 4 4 4 3" xfId="30058" xr:uid="{1DEF878E-94A8-4905-AC40-787CEA5F86BE}"/>
    <cellStyle name="20% - Accent2 2 4 4 5" xfId="22692" xr:uid="{9D03BEE8-90D4-494F-98B8-5873DB25FE99}"/>
    <cellStyle name="20% - Accent2 2 4 4 5 2" xfId="37668" xr:uid="{33BA5048-6222-495D-8E6D-75E4CE30D053}"/>
    <cellStyle name="20% - Accent2 2 4 4 6" xfId="30064" xr:uid="{81C04831-1E08-49D1-906A-D069005978A5}"/>
    <cellStyle name="20% - Accent2 2 4 5" xfId="4781" xr:uid="{00000000-0005-0000-0000-00001F020000}"/>
    <cellStyle name="20% - Accent2 2 4 5 2" xfId="4780" xr:uid="{00000000-0005-0000-0000-000020020000}"/>
    <cellStyle name="20% - Accent2 2 4 5 2 2" xfId="22684" xr:uid="{66041F8B-89C4-46A8-8462-C6FBAF3AD563}"/>
    <cellStyle name="20% - Accent2 2 4 5 2 2 2" xfId="37660" xr:uid="{8BE5AB52-AE1E-47E3-9DED-290D25DC4856}"/>
    <cellStyle name="20% - Accent2 2 4 5 2 3" xfId="30056" xr:uid="{B2861C75-BA0C-4BE3-9BD1-A4E5DFDBFA9B}"/>
    <cellStyle name="20% - Accent2 2 4 5 3" xfId="4779" xr:uid="{00000000-0005-0000-0000-000021020000}"/>
    <cellStyle name="20% - Accent2 2 4 5 3 2" xfId="22683" xr:uid="{968FA9AD-1EA8-42AB-A2BE-F672F093B440}"/>
    <cellStyle name="20% - Accent2 2 4 5 3 2 2" xfId="37659" xr:uid="{44198270-3ACD-45E5-B22D-241FCD42A499}"/>
    <cellStyle name="20% - Accent2 2 4 5 3 3" xfId="30055" xr:uid="{4E0E6443-FB52-4D4A-B694-C616048CEDCF}"/>
    <cellStyle name="20% - Accent2 2 4 5 4" xfId="22685" xr:uid="{B85083FF-6B38-4562-8191-FA1B5B2A4FF3}"/>
    <cellStyle name="20% - Accent2 2 4 5 4 2" xfId="37661" xr:uid="{4BDCB253-A0DB-4C2D-8497-CF9BEC6382EF}"/>
    <cellStyle name="20% - Accent2 2 4 5 5" xfId="30057" xr:uid="{B2AAD632-A91A-4D82-8C41-D29688313A75}"/>
    <cellStyle name="20% - Accent2 2 4 6" xfId="4778" xr:uid="{00000000-0005-0000-0000-000022020000}"/>
    <cellStyle name="20% - Accent2 2 4 6 2" xfId="22682" xr:uid="{B4EB39DA-ABBC-4D15-8B4B-F77FC5982A19}"/>
    <cellStyle name="20% - Accent2 2 4 6 2 2" xfId="37658" xr:uid="{693349DA-C7C6-4701-BF32-425679A50784}"/>
    <cellStyle name="20% - Accent2 2 4 6 3" xfId="30054" xr:uid="{6E7E9F8A-6C7A-415F-9391-6572675710F2}"/>
    <cellStyle name="20% - Accent2 2 4 7" xfId="4777" xr:uid="{00000000-0005-0000-0000-000023020000}"/>
    <cellStyle name="20% - Accent2 2 4 7 2" xfId="4776" xr:uid="{00000000-0005-0000-0000-000024020000}"/>
    <cellStyle name="20% - Accent2 2 4 7 2 2" xfId="22680" xr:uid="{5D2BED5F-998F-444C-BA6D-1BF3BE5C1835}"/>
    <cellStyle name="20% - Accent2 2 4 7 2 2 2" xfId="37656" xr:uid="{2B446473-18A3-48C9-96D2-D8FDF7700F50}"/>
    <cellStyle name="20% - Accent2 2 4 7 2 3" xfId="30052" xr:uid="{C5CB1074-3D96-4185-B99E-E56A35058D17}"/>
    <cellStyle name="20% - Accent2 2 4 7 3" xfId="22681" xr:uid="{8E8936B3-BC60-4991-B4D1-78583537DF8E}"/>
    <cellStyle name="20% - Accent2 2 4 7 3 2" xfId="37657" xr:uid="{5331D8AC-197D-4970-89A9-9B21FEC1A9FE}"/>
    <cellStyle name="20% - Accent2 2 4 7 4" xfId="30053" xr:uid="{94672727-14C6-4482-BF06-F046451CE1E2}"/>
    <cellStyle name="20% - Accent2 2 4 8" xfId="4775" xr:uid="{00000000-0005-0000-0000-000025020000}"/>
    <cellStyle name="20% - Accent2 2 4 8 2" xfId="22679" xr:uid="{2A96628A-C824-452B-B22C-ECB0389107A2}"/>
    <cellStyle name="20% - Accent2 2 4 8 2 2" xfId="37655" xr:uid="{85B9A1AE-DF9D-4607-97CE-5160AE471A89}"/>
    <cellStyle name="20% - Accent2 2 4 8 3" xfId="30051" xr:uid="{BAAA169D-670F-43E0-B56D-ECB95D59CF92}"/>
    <cellStyle name="20% - Accent2 2 4 9" xfId="22722" xr:uid="{3BE8DED4-3801-4960-9C9D-B98BE739DAC5}"/>
    <cellStyle name="20% - Accent2 2 4 9 2" xfId="37698" xr:uid="{A45CEF8B-391B-4165-8028-52D61E2FE513}"/>
    <cellStyle name="20% - Accent2 2 5" xfId="4774" xr:uid="{00000000-0005-0000-0000-000026020000}"/>
    <cellStyle name="20% - Accent2 2 5 10" xfId="30050" xr:uid="{6C643CB7-47BE-44E6-9080-5ED5CF25FF84}"/>
    <cellStyle name="20% - Accent2 2 5 2" xfId="4773" xr:uid="{00000000-0005-0000-0000-000027020000}"/>
    <cellStyle name="20% - Accent2 2 5 2 2" xfId="4772" xr:uid="{00000000-0005-0000-0000-000028020000}"/>
    <cellStyle name="20% - Accent2 2 5 2 2 2" xfId="4771" xr:uid="{00000000-0005-0000-0000-000029020000}"/>
    <cellStyle name="20% - Accent2 2 5 2 2 2 2" xfId="4770" xr:uid="{00000000-0005-0000-0000-00002A020000}"/>
    <cellStyle name="20% - Accent2 2 5 2 2 2 2 2" xfId="22674" xr:uid="{27FEF69A-F4F0-41F3-8A4B-2D6ECBC3E20E}"/>
    <cellStyle name="20% - Accent2 2 5 2 2 2 2 2 2" xfId="37650" xr:uid="{D4515D5A-4965-458C-9658-2FECA1F0A5B1}"/>
    <cellStyle name="20% - Accent2 2 5 2 2 2 2 3" xfId="30046" xr:uid="{7B3D5F51-69EC-40C1-8DBF-3614092E54C6}"/>
    <cellStyle name="20% - Accent2 2 5 2 2 2 3" xfId="4769" xr:uid="{00000000-0005-0000-0000-00002B020000}"/>
    <cellStyle name="20% - Accent2 2 5 2 2 2 3 2" xfId="22673" xr:uid="{6C4B9C29-75EC-4D17-A1C5-B4EBAD87D196}"/>
    <cellStyle name="20% - Accent2 2 5 2 2 2 3 2 2" xfId="37649" xr:uid="{217DCF9A-F032-4B96-870A-F1FCF274782A}"/>
    <cellStyle name="20% - Accent2 2 5 2 2 2 3 3" xfId="30045" xr:uid="{14B308C9-127F-4A85-A14A-C658C805682F}"/>
    <cellStyle name="20% - Accent2 2 5 2 2 2 4" xfId="22675" xr:uid="{5658D970-8E4F-4B24-ABAA-F02DCF707C4C}"/>
    <cellStyle name="20% - Accent2 2 5 2 2 2 4 2" xfId="37651" xr:uid="{8614B28B-5E02-4EB8-8086-78E8CAC9DB1E}"/>
    <cellStyle name="20% - Accent2 2 5 2 2 2 5" xfId="30047" xr:uid="{BA8FF83E-89EE-4445-A02A-96C0FFEE705D}"/>
    <cellStyle name="20% - Accent2 2 5 2 2 3" xfId="4768" xr:uid="{00000000-0005-0000-0000-00002C020000}"/>
    <cellStyle name="20% - Accent2 2 5 2 2 3 2" xfId="4767" xr:uid="{00000000-0005-0000-0000-00002D020000}"/>
    <cellStyle name="20% - Accent2 2 5 2 2 3 2 2" xfId="22671" xr:uid="{E3E1F5DF-38EF-4528-9BE0-7919528392BC}"/>
    <cellStyle name="20% - Accent2 2 5 2 2 3 2 2 2" xfId="37647" xr:uid="{155436B6-7753-4957-97D4-B5472445D7FB}"/>
    <cellStyle name="20% - Accent2 2 5 2 2 3 2 3" xfId="30043" xr:uid="{B38C8889-D0F0-47E0-9DC9-99BFE4C71225}"/>
    <cellStyle name="20% - Accent2 2 5 2 2 3 3" xfId="22672" xr:uid="{9D531647-6518-4B10-B3F0-043327F15583}"/>
    <cellStyle name="20% - Accent2 2 5 2 2 3 3 2" xfId="37648" xr:uid="{646D6781-7845-4950-9C2F-45CE4B8B6FD2}"/>
    <cellStyle name="20% - Accent2 2 5 2 2 3 4" xfId="30044" xr:uid="{2F156228-F556-496F-AC9C-BBE958166C5A}"/>
    <cellStyle name="20% - Accent2 2 5 2 2 4" xfId="4766" xr:uid="{00000000-0005-0000-0000-00002E020000}"/>
    <cellStyle name="20% - Accent2 2 5 2 2 4 2" xfId="22670" xr:uid="{C1875D8A-C007-4CE6-AE0D-779AC405F5B1}"/>
    <cellStyle name="20% - Accent2 2 5 2 2 4 2 2" xfId="37646" xr:uid="{11C1274C-1FBF-4A39-BFA9-03A0C9C4C7E7}"/>
    <cellStyle name="20% - Accent2 2 5 2 2 4 3" xfId="30042" xr:uid="{A2E25D3F-A932-4EEB-A2A6-396956CC1F1D}"/>
    <cellStyle name="20% - Accent2 2 5 2 2 5" xfId="22676" xr:uid="{0F7400CA-B83B-4E31-AC78-B5508B228DA3}"/>
    <cellStyle name="20% - Accent2 2 5 2 2 5 2" xfId="37652" xr:uid="{11F378FD-9140-4010-B6A8-B08B00616A35}"/>
    <cellStyle name="20% - Accent2 2 5 2 2 6" xfId="30048" xr:uid="{F19B930F-FF27-44D5-ABD7-16C18D61E865}"/>
    <cellStyle name="20% - Accent2 2 5 2 3" xfId="4765" xr:uid="{00000000-0005-0000-0000-00002F020000}"/>
    <cellStyle name="20% - Accent2 2 5 2 3 2" xfId="4764" xr:uid="{00000000-0005-0000-0000-000030020000}"/>
    <cellStyle name="20% - Accent2 2 5 2 3 2 2" xfId="4763" xr:uid="{00000000-0005-0000-0000-000031020000}"/>
    <cellStyle name="20% - Accent2 2 5 2 3 2 2 2" xfId="22667" xr:uid="{9F915DF1-19AD-4FBE-93B4-250AD29FB979}"/>
    <cellStyle name="20% - Accent2 2 5 2 3 2 2 2 2" xfId="37643" xr:uid="{6F8D88EE-F720-4A37-B89F-835E153F60CB}"/>
    <cellStyle name="20% - Accent2 2 5 2 3 2 2 3" xfId="30039" xr:uid="{7D71562F-3FB1-486C-8DAE-4661AD87437F}"/>
    <cellStyle name="20% - Accent2 2 5 2 3 2 3" xfId="4762" xr:uid="{00000000-0005-0000-0000-000032020000}"/>
    <cellStyle name="20% - Accent2 2 5 2 3 2 3 2" xfId="22666" xr:uid="{301A33EE-4619-4A99-9ABF-10DEA9284A92}"/>
    <cellStyle name="20% - Accent2 2 5 2 3 2 3 2 2" xfId="37642" xr:uid="{53E85A3C-23E1-4944-8C7C-9913E5CC60C0}"/>
    <cellStyle name="20% - Accent2 2 5 2 3 2 3 3" xfId="30038" xr:uid="{A04E9B4E-274A-42DA-BE02-2C6693F0E407}"/>
    <cellStyle name="20% - Accent2 2 5 2 3 2 4" xfId="22668" xr:uid="{4AD62DE6-76EB-4BF6-8F06-C32BE01EFE96}"/>
    <cellStyle name="20% - Accent2 2 5 2 3 2 4 2" xfId="37644" xr:uid="{26D91908-E7A1-4203-A418-AACC954140DE}"/>
    <cellStyle name="20% - Accent2 2 5 2 3 2 5" xfId="30040" xr:uid="{6A7E5A4F-B2BD-49FF-BD49-84F44827F4E9}"/>
    <cellStyle name="20% - Accent2 2 5 2 3 3" xfId="4761" xr:uid="{00000000-0005-0000-0000-000033020000}"/>
    <cellStyle name="20% - Accent2 2 5 2 3 3 2" xfId="4760" xr:uid="{00000000-0005-0000-0000-000034020000}"/>
    <cellStyle name="20% - Accent2 2 5 2 3 3 2 2" xfId="22664" xr:uid="{67E85F9A-A2B7-4D0C-904B-3FDF47F5801C}"/>
    <cellStyle name="20% - Accent2 2 5 2 3 3 2 2 2" xfId="37640" xr:uid="{5C4A7980-3664-4151-BA18-961D04745BA2}"/>
    <cellStyle name="20% - Accent2 2 5 2 3 3 2 3" xfId="30036" xr:uid="{93516A1C-F558-45F3-AA98-94FEF0E0B053}"/>
    <cellStyle name="20% - Accent2 2 5 2 3 3 3" xfId="22665" xr:uid="{4023E251-5B65-4DF4-B52A-0676E58A68FF}"/>
    <cellStyle name="20% - Accent2 2 5 2 3 3 3 2" xfId="37641" xr:uid="{9D1AAF28-F279-4442-92A7-90E1ACB1B160}"/>
    <cellStyle name="20% - Accent2 2 5 2 3 3 4" xfId="30037" xr:uid="{69EC62CB-3CA5-44B3-A2F8-F41CCC08445A}"/>
    <cellStyle name="20% - Accent2 2 5 2 3 4" xfId="4759" xr:uid="{00000000-0005-0000-0000-000035020000}"/>
    <cellStyle name="20% - Accent2 2 5 2 3 4 2" xfId="22663" xr:uid="{A10A76B1-AF3D-4657-A43F-C9BFD14134AE}"/>
    <cellStyle name="20% - Accent2 2 5 2 3 4 2 2" xfId="37639" xr:uid="{2A73FCB7-DB95-4EB2-879D-8C7AF9C560FC}"/>
    <cellStyle name="20% - Accent2 2 5 2 3 4 3" xfId="30035" xr:uid="{0C00A96F-071B-4527-A064-A1F030DB21A1}"/>
    <cellStyle name="20% - Accent2 2 5 2 3 5" xfId="22669" xr:uid="{DBFD81CE-3AEA-43E4-8674-E5131A853B07}"/>
    <cellStyle name="20% - Accent2 2 5 2 3 5 2" xfId="37645" xr:uid="{E83A763F-647F-4B14-9D16-FE717BDC6C7D}"/>
    <cellStyle name="20% - Accent2 2 5 2 3 6" xfId="30041" xr:uid="{EAC6132F-57C3-4512-B301-45A080CE26EF}"/>
    <cellStyle name="20% - Accent2 2 5 2 4" xfId="4758" xr:uid="{00000000-0005-0000-0000-000036020000}"/>
    <cellStyle name="20% - Accent2 2 5 2 4 2" xfId="4757" xr:uid="{00000000-0005-0000-0000-000037020000}"/>
    <cellStyle name="20% - Accent2 2 5 2 4 2 2" xfId="22661" xr:uid="{5D21B707-B6DD-4745-90AA-D1F077B705F2}"/>
    <cellStyle name="20% - Accent2 2 5 2 4 2 2 2" xfId="37637" xr:uid="{B481ACC7-5F91-45A5-9E50-08BD123505EC}"/>
    <cellStyle name="20% - Accent2 2 5 2 4 2 3" xfId="30033" xr:uid="{0EC33ECF-1074-49C6-BC1A-DAFB2122DA99}"/>
    <cellStyle name="20% - Accent2 2 5 2 4 3" xfId="4756" xr:uid="{00000000-0005-0000-0000-000038020000}"/>
    <cellStyle name="20% - Accent2 2 5 2 4 3 2" xfId="22660" xr:uid="{5DC54A23-9846-4FCC-B62D-CC13E50229F3}"/>
    <cellStyle name="20% - Accent2 2 5 2 4 3 2 2" xfId="37636" xr:uid="{548539A4-1053-4F32-9418-F5ACC88A02B3}"/>
    <cellStyle name="20% - Accent2 2 5 2 4 3 3" xfId="30032" xr:uid="{456B178E-6657-4FE0-8B4C-1E3E85803D05}"/>
    <cellStyle name="20% - Accent2 2 5 2 4 4" xfId="22662" xr:uid="{ABBCFCA4-469F-4CF7-AE7A-3B0EE97093B7}"/>
    <cellStyle name="20% - Accent2 2 5 2 4 4 2" xfId="37638" xr:uid="{7165BC33-9BE4-4025-8494-08DE44AC078C}"/>
    <cellStyle name="20% - Accent2 2 5 2 4 5" xfId="30034" xr:uid="{6013DC8C-7E9E-44CE-B462-F8997B4509CF}"/>
    <cellStyle name="20% - Accent2 2 5 2 5" xfId="4755" xr:uid="{00000000-0005-0000-0000-000039020000}"/>
    <cellStyle name="20% - Accent2 2 5 2 5 2" xfId="22659" xr:uid="{8D2A37B3-C2E1-49FC-BFD7-20A675838BAC}"/>
    <cellStyle name="20% - Accent2 2 5 2 5 2 2" xfId="37635" xr:uid="{B3911B9D-16D6-4782-803E-8595BBB11E1D}"/>
    <cellStyle name="20% - Accent2 2 5 2 5 3" xfId="30031" xr:uid="{088F2CAF-550E-451B-9406-BEC5EB6B9967}"/>
    <cellStyle name="20% - Accent2 2 5 2 6" xfId="4754" xr:uid="{00000000-0005-0000-0000-00003A020000}"/>
    <cellStyle name="20% - Accent2 2 5 2 6 2" xfId="4753" xr:uid="{00000000-0005-0000-0000-00003B020000}"/>
    <cellStyle name="20% - Accent2 2 5 2 6 2 2" xfId="22657" xr:uid="{EE625447-3E31-45D0-ACA1-301D6CBDB6FB}"/>
    <cellStyle name="20% - Accent2 2 5 2 6 2 2 2" xfId="37633" xr:uid="{6F0862C6-7094-4B4D-BFC1-E6BE808C4254}"/>
    <cellStyle name="20% - Accent2 2 5 2 6 2 3" xfId="30029" xr:uid="{85EAF46C-0347-4BC4-BBB0-945D8006DDBF}"/>
    <cellStyle name="20% - Accent2 2 5 2 6 3" xfId="22658" xr:uid="{205EC0DF-18DB-40F4-9783-122E236CF087}"/>
    <cellStyle name="20% - Accent2 2 5 2 6 3 2" xfId="37634" xr:uid="{EE5BC175-EE39-4A98-97D9-3C77CB2BD12E}"/>
    <cellStyle name="20% - Accent2 2 5 2 6 4" xfId="30030" xr:uid="{46023E03-5E42-40FC-92BF-2B4A31A0D264}"/>
    <cellStyle name="20% - Accent2 2 5 2 7" xfId="4752" xr:uid="{00000000-0005-0000-0000-00003C020000}"/>
    <cellStyle name="20% - Accent2 2 5 2 7 2" xfId="22656" xr:uid="{B50199B8-22C3-4F89-A9FA-83B89F948A4F}"/>
    <cellStyle name="20% - Accent2 2 5 2 7 2 2" xfId="37632" xr:uid="{D777C89A-4F34-40F9-BB40-EFA944A86BC3}"/>
    <cellStyle name="20% - Accent2 2 5 2 7 3" xfId="30028" xr:uid="{2ED4DE53-5127-4E91-977E-75659857A860}"/>
    <cellStyle name="20% - Accent2 2 5 2 8" xfId="22677" xr:uid="{68CB65B3-FA30-4A02-981C-852DC707CBA8}"/>
    <cellStyle name="20% - Accent2 2 5 2 8 2" xfId="37653" xr:uid="{25DA01F8-DA9F-4FBB-840E-74760DCE2830}"/>
    <cellStyle name="20% - Accent2 2 5 2 9" xfId="30049" xr:uid="{2A1DF44B-BAE7-4FA3-B717-BA4C222FE4C5}"/>
    <cellStyle name="20% - Accent2 2 5 3" xfId="4751" xr:uid="{00000000-0005-0000-0000-00003D020000}"/>
    <cellStyle name="20% - Accent2 2 5 3 2" xfId="4750" xr:uid="{00000000-0005-0000-0000-00003E020000}"/>
    <cellStyle name="20% - Accent2 2 5 3 2 2" xfId="4749" xr:uid="{00000000-0005-0000-0000-00003F020000}"/>
    <cellStyle name="20% - Accent2 2 5 3 2 2 2" xfId="22653" xr:uid="{DCA5E52E-5449-42B2-A7AA-009238D5BA9F}"/>
    <cellStyle name="20% - Accent2 2 5 3 2 2 2 2" xfId="37629" xr:uid="{86C15DD7-398C-4233-9946-D7D28C6768FD}"/>
    <cellStyle name="20% - Accent2 2 5 3 2 2 3" xfId="30025" xr:uid="{2F9CB1B8-C51E-44F8-A7C6-1F390AC3B08D}"/>
    <cellStyle name="20% - Accent2 2 5 3 2 3" xfId="4748" xr:uid="{00000000-0005-0000-0000-000040020000}"/>
    <cellStyle name="20% - Accent2 2 5 3 2 3 2" xfId="22652" xr:uid="{3669E6E6-1728-480E-AC71-9C17C315522D}"/>
    <cellStyle name="20% - Accent2 2 5 3 2 3 2 2" xfId="37628" xr:uid="{F5E4C7CF-B669-4397-BE5A-FC0026855F9A}"/>
    <cellStyle name="20% - Accent2 2 5 3 2 3 3" xfId="30024" xr:uid="{A0884E11-8E19-4994-BF2B-E3EDF9843D91}"/>
    <cellStyle name="20% - Accent2 2 5 3 2 4" xfId="22654" xr:uid="{05A4C3E9-09C6-4001-9ED8-B004F68B7E8F}"/>
    <cellStyle name="20% - Accent2 2 5 3 2 4 2" xfId="37630" xr:uid="{BCB67894-F745-479F-A381-B0A64ABA3812}"/>
    <cellStyle name="20% - Accent2 2 5 3 2 5" xfId="30026" xr:uid="{E0FDF1F4-EE41-4C3C-A412-ACC096414372}"/>
    <cellStyle name="20% - Accent2 2 5 3 3" xfId="4747" xr:uid="{00000000-0005-0000-0000-000041020000}"/>
    <cellStyle name="20% - Accent2 2 5 3 3 2" xfId="4746" xr:uid="{00000000-0005-0000-0000-000042020000}"/>
    <cellStyle name="20% - Accent2 2 5 3 3 2 2" xfId="22650" xr:uid="{34879600-2437-4E1F-B8ED-D2A15799553C}"/>
    <cellStyle name="20% - Accent2 2 5 3 3 2 2 2" xfId="37626" xr:uid="{12A90A98-A961-4214-9DBF-09E83C481BD0}"/>
    <cellStyle name="20% - Accent2 2 5 3 3 2 3" xfId="30022" xr:uid="{22251F46-01BA-4297-8DAE-1F422DD530E6}"/>
    <cellStyle name="20% - Accent2 2 5 3 3 3" xfId="22651" xr:uid="{256FC268-349D-48F3-A3D3-CD163A7490B2}"/>
    <cellStyle name="20% - Accent2 2 5 3 3 3 2" xfId="37627" xr:uid="{C1AEF851-21B2-4FD4-981D-CB461765C491}"/>
    <cellStyle name="20% - Accent2 2 5 3 3 4" xfId="30023" xr:uid="{6640ED53-6F3B-423D-9283-AFEA1C4B2A79}"/>
    <cellStyle name="20% - Accent2 2 5 3 4" xfId="4745" xr:uid="{00000000-0005-0000-0000-000043020000}"/>
    <cellStyle name="20% - Accent2 2 5 3 4 2" xfId="22649" xr:uid="{D163FCDE-2D06-4AD2-8492-E18B9CA1AA65}"/>
    <cellStyle name="20% - Accent2 2 5 3 4 2 2" xfId="37625" xr:uid="{8F9BDFBC-8EA7-4CDD-954E-5351FEE11461}"/>
    <cellStyle name="20% - Accent2 2 5 3 4 3" xfId="30021" xr:uid="{05FBAE71-D874-4782-AC5D-1FDC24350EE3}"/>
    <cellStyle name="20% - Accent2 2 5 3 5" xfId="22655" xr:uid="{D507C440-7D90-47A0-8340-F6574ED33034}"/>
    <cellStyle name="20% - Accent2 2 5 3 5 2" xfId="37631" xr:uid="{C2D44BC7-16F7-4457-9585-7A596089833C}"/>
    <cellStyle name="20% - Accent2 2 5 3 6" xfId="30027" xr:uid="{450BB04A-5459-4FB4-BC44-3EFFB81C3A86}"/>
    <cellStyle name="20% - Accent2 2 5 4" xfId="4744" xr:uid="{00000000-0005-0000-0000-000044020000}"/>
    <cellStyle name="20% - Accent2 2 5 4 2" xfId="4743" xr:uid="{00000000-0005-0000-0000-000045020000}"/>
    <cellStyle name="20% - Accent2 2 5 4 2 2" xfId="4742" xr:uid="{00000000-0005-0000-0000-000046020000}"/>
    <cellStyle name="20% - Accent2 2 5 4 2 2 2" xfId="22646" xr:uid="{8CDAE825-1D3F-4BE8-95AD-F305CD6FAE46}"/>
    <cellStyle name="20% - Accent2 2 5 4 2 2 2 2" xfId="37622" xr:uid="{5E203902-550D-4262-A643-9A606914DF90}"/>
    <cellStyle name="20% - Accent2 2 5 4 2 2 3" xfId="30018" xr:uid="{FBD32B6F-1BB2-4837-9B5B-2AF0C5AE18F2}"/>
    <cellStyle name="20% - Accent2 2 5 4 2 3" xfId="4741" xr:uid="{00000000-0005-0000-0000-000047020000}"/>
    <cellStyle name="20% - Accent2 2 5 4 2 3 2" xfId="22645" xr:uid="{FF5ECCA4-16EF-4C71-8B3D-C5E42D4C4D46}"/>
    <cellStyle name="20% - Accent2 2 5 4 2 3 2 2" xfId="37621" xr:uid="{B07FED0D-471F-4F0A-A182-15CE5EDF1609}"/>
    <cellStyle name="20% - Accent2 2 5 4 2 3 3" xfId="30017" xr:uid="{BDCFEFBA-296F-4F5C-96EB-A4B8E758E4EE}"/>
    <cellStyle name="20% - Accent2 2 5 4 2 4" xfId="22647" xr:uid="{5D09E6A1-BF8F-4C4B-996F-8D73DAEC139D}"/>
    <cellStyle name="20% - Accent2 2 5 4 2 4 2" xfId="37623" xr:uid="{32199243-64C4-4259-A101-156C71ED05D1}"/>
    <cellStyle name="20% - Accent2 2 5 4 2 5" xfId="30019" xr:uid="{6BF9F1AB-DCA6-462D-AFB5-9DA997A5CF02}"/>
    <cellStyle name="20% - Accent2 2 5 4 3" xfId="4740" xr:uid="{00000000-0005-0000-0000-000048020000}"/>
    <cellStyle name="20% - Accent2 2 5 4 3 2" xfId="4739" xr:uid="{00000000-0005-0000-0000-000049020000}"/>
    <cellStyle name="20% - Accent2 2 5 4 3 2 2" xfId="22643" xr:uid="{69A4BF61-F1CD-4357-91F2-33DBBBD52CE3}"/>
    <cellStyle name="20% - Accent2 2 5 4 3 2 2 2" xfId="37619" xr:uid="{D8BA3621-F23F-4FA8-8F16-B599BDA8BB0B}"/>
    <cellStyle name="20% - Accent2 2 5 4 3 2 3" xfId="30015" xr:uid="{D14B3FA8-0DAA-4172-8307-3567F3D3C0A5}"/>
    <cellStyle name="20% - Accent2 2 5 4 3 3" xfId="22644" xr:uid="{FE65943E-32D2-4A52-8D8E-A7529A62F76B}"/>
    <cellStyle name="20% - Accent2 2 5 4 3 3 2" xfId="37620" xr:uid="{DA644E89-FCDC-415A-A00B-E4D6CB7D34A1}"/>
    <cellStyle name="20% - Accent2 2 5 4 3 4" xfId="30016" xr:uid="{B905B90C-1D40-4885-A26F-9F3772738A1A}"/>
    <cellStyle name="20% - Accent2 2 5 4 4" xfId="4738" xr:uid="{00000000-0005-0000-0000-00004A020000}"/>
    <cellStyle name="20% - Accent2 2 5 4 4 2" xfId="22642" xr:uid="{20490A7D-97D4-42D4-A12D-7F9C4C73F326}"/>
    <cellStyle name="20% - Accent2 2 5 4 4 2 2" xfId="37618" xr:uid="{65DDE8E5-FEC5-4F44-9417-E0DF22A4AAC7}"/>
    <cellStyle name="20% - Accent2 2 5 4 4 3" xfId="30014" xr:uid="{F3F1D1BA-0AB8-437C-85EE-B4DB1A8F9E52}"/>
    <cellStyle name="20% - Accent2 2 5 4 5" xfId="22648" xr:uid="{1046683B-AF20-48D7-AFDE-0EBA0A4668D1}"/>
    <cellStyle name="20% - Accent2 2 5 4 5 2" xfId="37624" xr:uid="{AF8D649B-36D8-41E3-A4DD-719A478354DB}"/>
    <cellStyle name="20% - Accent2 2 5 4 6" xfId="30020" xr:uid="{C4A27E04-5634-4628-BC8D-E16F5931A8AE}"/>
    <cellStyle name="20% - Accent2 2 5 5" xfId="4737" xr:uid="{00000000-0005-0000-0000-00004B020000}"/>
    <cellStyle name="20% - Accent2 2 5 5 2" xfId="4736" xr:uid="{00000000-0005-0000-0000-00004C020000}"/>
    <cellStyle name="20% - Accent2 2 5 5 2 2" xfId="22640" xr:uid="{881DABEC-4B27-4CEC-B344-E1F2540A4F5F}"/>
    <cellStyle name="20% - Accent2 2 5 5 2 2 2" xfId="37616" xr:uid="{E5DC5133-F49C-4B28-B33B-C7C35C2C851E}"/>
    <cellStyle name="20% - Accent2 2 5 5 2 3" xfId="30012" xr:uid="{49DD1787-66BD-4A3D-876B-C7B6B516A383}"/>
    <cellStyle name="20% - Accent2 2 5 5 3" xfId="4735" xr:uid="{00000000-0005-0000-0000-00004D020000}"/>
    <cellStyle name="20% - Accent2 2 5 5 3 2" xfId="22639" xr:uid="{3E1DB29D-C069-4630-B9E1-26917CA74189}"/>
    <cellStyle name="20% - Accent2 2 5 5 3 2 2" xfId="37615" xr:uid="{CFB2288D-4C53-414D-B5D7-45F15D3A8BAA}"/>
    <cellStyle name="20% - Accent2 2 5 5 3 3" xfId="30011" xr:uid="{3079029D-FBA0-4CD6-9ADA-5508EF9B2ABF}"/>
    <cellStyle name="20% - Accent2 2 5 5 4" xfId="22641" xr:uid="{B4605EDF-4934-4588-983B-FCB21360AA75}"/>
    <cellStyle name="20% - Accent2 2 5 5 4 2" xfId="37617" xr:uid="{A6DE0C3A-0F02-48A0-8369-335F299E4E6C}"/>
    <cellStyle name="20% - Accent2 2 5 5 5" xfId="30013" xr:uid="{12C798F0-3B69-4028-9357-D8B87322E6AE}"/>
    <cellStyle name="20% - Accent2 2 5 6" xfId="4734" xr:uid="{00000000-0005-0000-0000-00004E020000}"/>
    <cellStyle name="20% - Accent2 2 5 6 2" xfId="22638" xr:uid="{B991FBB7-3856-471A-B470-A3436B887A64}"/>
    <cellStyle name="20% - Accent2 2 5 6 2 2" xfId="37614" xr:uid="{F13D1E0C-3B0B-4B72-98A8-6132DF74EAE2}"/>
    <cellStyle name="20% - Accent2 2 5 6 3" xfId="30010" xr:uid="{9DDB4F6B-ED78-4D8B-88A9-4834227FD92B}"/>
    <cellStyle name="20% - Accent2 2 5 7" xfId="4733" xr:uid="{00000000-0005-0000-0000-00004F020000}"/>
    <cellStyle name="20% - Accent2 2 5 7 2" xfId="4732" xr:uid="{00000000-0005-0000-0000-000050020000}"/>
    <cellStyle name="20% - Accent2 2 5 7 2 2" xfId="22636" xr:uid="{6C44CBDA-B83D-4DBB-A8A0-3F36A7703105}"/>
    <cellStyle name="20% - Accent2 2 5 7 2 2 2" xfId="37612" xr:uid="{434774E9-BE8E-4A1F-952F-AA3A016FD88A}"/>
    <cellStyle name="20% - Accent2 2 5 7 2 3" xfId="30008" xr:uid="{AB0DDDA8-822D-4469-9CC7-13A244163B72}"/>
    <cellStyle name="20% - Accent2 2 5 7 3" xfId="22637" xr:uid="{557167D5-6465-48C4-B5AA-4192DF1AD663}"/>
    <cellStyle name="20% - Accent2 2 5 7 3 2" xfId="37613" xr:uid="{9DCB53F5-9796-4CA5-9059-7EC1D70D93B0}"/>
    <cellStyle name="20% - Accent2 2 5 7 4" xfId="30009" xr:uid="{E34B4156-EEAB-46B0-9309-C7CEB507BF13}"/>
    <cellStyle name="20% - Accent2 2 5 8" xfId="4731" xr:uid="{00000000-0005-0000-0000-000051020000}"/>
    <cellStyle name="20% - Accent2 2 5 8 2" xfId="22635" xr:uid="{BA651247-0011-4ACA-8A80-0CD312AB8C7D}"/>
    <cellStyle name="20% - Accent2 2 5 8 2 2" xfId="37611" xr:uid="{EED18445-0122-452F-8F96-84B688144D83}"/>
    <cellStyle name="20% - Accent2 2 5 8 3" xfId="30007" xr:uid="{F3C80EE3-7D5C-4E5B-8B0B-13A9F5974CF0}"/>
    <cellStyle name="20% - Accent2 2 5 9" xfId="22678" xr:uid="{16B8E4CE-C3AB-4391-96DB-BE395A7DFECA}"/>
    <cellStyle name="20% - Accent2 2 5 9 2" xfId="37654" xr:uid="{D19354F9-9873-4A1A-9E0B-0B56F22EB8DF}"/>
    <cellStyle name="20% - Accent2 2 6" xfId="4730" xr:uid="{00000000-0005-0000-0000-000052020000}"/>
    <cellStyle name="20% - Accent2 2 6 10" xfId="30006" xr:uid="{6B5DC242-84DC-416C-B8AE-9B38B9F6F0F4}"/>
    <cellStyle name="20% - Accent2 2 6 2" xfId="4729" xr:uid="{00000000-0005-0000-0000-000053020000}"/>
    <cellStyle name="20% - Accent2 2 6 2 2" xfId="4728" xr:uid="{00000000-0005-0000-0000-000054020000}"/>
    <cellStyle name="20% - Accent2 2 6 2 2 2" xfId="4727" xr:uid="{00000000-0005-0000-0000-000055020000}"/>
    <cellStyle name="20% - Accent2 2 6 2 2 2 2" xfId="4726" xr:uid="{00000000-0005-0000-0000-000056020000}"/>
    <cellStyle name="20% - Accent2 2 6 2 2 2 2 2" xfId="22630" xr:uid="{0FCAFCA7-C35F-4CAA-952F-89281811C0CD}"/>
    <cellStyle name="20% - Accent2 2 6 2 2 2 2 2 2" xfId="37606" xr:uid="{6BABD60D-C3DB-4D21-BEDD-04CB2750E5DE}"/>
    <cellStyle name="20% - Accent2 2 6 2 2 2 2 3" xfId="30002" xr:uid="{EFCCA398-302A-41EA-8743-0D0435E60989}"/>
    <cellStyle name="20% - Accent2 2 6 2 2 2 3" xfId="4725" xr:uid="{00000000-0005-0000-0000-000057020000}"/>
    <cellStyle name="20% - Accent2 2 6 2 2 2 3 2" xfId="22629" xr:uid="{95E41091-8EB7-4085-A3D6-07F5E00468B3}"/>
    <cellStyle name="20% - Accent2 2 6 2 2 2 3 2 2" xfId="37605" xr:uid="{CA256A50-9C4A-40AE-946D-52429CBF5F41}"/>
    <cellStyle name="20% - Accent2 2 6 2 2 2 3 3" xfId="30001" xr:uid="{1B92B5C3-6603-42FC-8EC2-63163DAEC861}"/>
    <cellStyle name="20% - Accent2 2 6 2 2 2 4" xfId="22631" xr:uid="{89DA95F6-57FB-4C5B-B6C2-D6B64FD915A5}"/>
    <cellStyle name="20% - Accent2 2 6 2 2 2 4 2" xfId="37607" xr:uid="{DF1E18B9-53A5-4F74-8DB1-E09F79E5817D}"/>
    <cellStyle name="20% - Accent2 2 6 2 2 2 5" xfId="30003" xr:uid="{2B558D89-43B9-45CE-9758-3AF06CAA69D0}"/>
    <cellStyle name="20% - Accent2 2 6 2 2 3" xfId="4724" xr:uid="{00000000-0005-0000-0000-000058020000}"/>
    <cellStyle name="20% - Accent2 2 6 2 2 3 2" xfId="4723" xr:uid="{00000000-0005-0000-0000-000059020000}"/>
    <cellStyle name="20% - Accent2 2 6 2 2 3 2 2" xfId="22627" xr:uid="{B1FA372B-2BA6-4E16-AB55-ED2061D1CEF4}"/>
    <cellStyle name="20% - Accent2 2 6 2 2 3 2 2 2" xfId="37603" xr:uid="{20C1E4FD-46A6-40FD-B3E3-2F1FC9452C9D}"/>
    <cellStyle name="20% - Accent2 2 6 2 2 3 2 3" xfId="29999" xr:uid="{64EEC426-F4BF-4ABF-B47B-78A3A82F68D5}"/>
    <cellStyle name="20% - Accent2 2 6 2 2 3 3" xfId="22628" xr:uid="{466B531C-0754-485A-9C62-300ACCA766A3}"/>
    <cellStyle name="20% - Accent2 2 6 2 2 3 3 2" xfId="37604" xr:uid="{78D322F9-1501-46A6-9EFE-6A87FCF6FC3D}"/>
    <cellStyle name="20% - Accent2 2 6 2 2 3 4" xfId="30000" xr:uid="{1A6A8F42-3C3D-4DE7-B4F6-CCE4C9765CC5}"/>
    <cellStyle name="20% - Accent2 2 6 2 2 4" xfId="4722" xr:uid="{00000000-0005-0000-0000-00005A020000}"/>
    <cellStyle name="20% - Accent2 2 6 2 2 4 2" xfId="22626" xr:uid="{C66C2945-D37E-4D2E-9E1E-3C55D5085F2D}"/>
    <cellStyle name="20% - Accent2 2 6 2 2 4 2 2" xfId="37602" xr:uid="{0BB0E5D7-E23F-4C79-B10E-F57AD118013A}"/>
    <cellStyle name="20% - Accent2 2 6 2 2 4 3" xfId="29998" xr:uid="{39D08789-13B6-4240-98DF-A5737DA96494}"/>
    <cellStyle name="20% - Accent2 2 6 2 2 5" xfId="22632" xr:uid="{F6DC8832-DCF1-46A8-B8E3-4467176765A0}"/>
    <cellStyle name="20% - Accent2 2 6 2 2 5 2" xfId="37608" xr:uid="{5C31EFE6-A002-478E-B9B8-0E6612C11E18}"/>
    <cellStyle name="20% - Accent2 2 6 2 2 6" xfId="30004" xr:uid="{B5B6C845-5308-42BC-BB21-ABCF0F22E499}"/>
    <cellStyle name="20% - Accent2 2 6 2 3" xfId="4721" xr:uid="{00000000-0005-0000-0000-00005B020000}"/>
    <cellStyle name="20% - Accent2 2 6 2 3 2" xfId="4720" xr:uid="{00000000-0005-0000-0000-00005C020000}"/>
    <cellStyle name="20% - Accent2 2 6 2 3 2 2" xfId="4719" xr:uid="{00000000-0005-0000-0000-00005D020000}"/>
    <cellStyle name="20% - Accent2 2 6 2 3 2 2 2" xfId="22623" xr:uid="{83D06A5D-6354-4405-8F0F-73F3517F2BEA}"/>
    <cellStyle name="20% - Accent2 2 6 2 3 2 2 2 2" xfId="37599" xr:uid="{6B59A2CE-1576-4106-AA8F-B9EE6293F734}"/>
    <cellStyle name="20% - Accent2 2 6 2 3 2 2 3" xfId="29995" xr:uid="{136316F3-FF66-4321-8B00-59E73144A669}"/>
    <cellStyle name="20% - Accent2 2 6 2 3 2 3" xfId="4718" xr:uid="{00000000-0005-0000-0000-00005E020000}"/>
    <cellStyle name="20% - Accent2 2 6 2 3 2 3 2" xfId="22622" xr:uid="{B8E814E7-1326-44FB-8600-AFA3D8043C40}"/>
    <cellStyle name="20% - Accent2 2 6 2 3 2 3 2 2" xfId="37598" xr:uid="{E09189C3-3126-4DE7-8D6E-8596EFA4F33F}"/>
    <cellStyle name="20% - Accent2 2 6 2 3 2 3 3" xfId="29994" xr:uid="{F9F1188D-897D-454B-BD20-B0DC8D1EE037}"/>
    <cellStyle name="20% - Accent2 2 6 2 3 2 4" xfId="22624" xr:uid="{CB33651B-C3CA-43C2-B2DD-CBC32EE09C4B}"/>
    <cellStyle name="20% - Accent2 2 6 2 3 2 4 2" xfId="37600" xr:uid="{B69DDC2F-F2DE-4573-B136-8EE2C8D416DD}"/>
    <cellStyle name="20% - Accent2 2 6 2 3 2 5" xfId="29996" xr:uid="{C707D6C5-A2AC-4BF4-8FAB-0CCE7396A8DD}"/>
    <cellStyle name="20% - Accent2 2 6 2 3 3" xfId="4717" xr:uid="{00000000-0005-0000-0000-00005F020000}"/>
    <cellStyle name="20% - Accent2 2 6 2 3 3 2" xfId="4716" xr:uid="{00000000-0005-0000-0000-000060020000}"/>
    <cellStyle name="20% - Accent2 2 6 2 3 3 2 2" xfId="22620" xr:uid="{9501ACAC-66BE-41C4-B3C7-3613D481FA82}"/>
    <cellStyle name="20% - Accent2 2 6 2 3 3 2 2 2" xfId="37596" xr:uid="{2DC9281F-B39F-4906-87D1-F192F68E7077}"/>
    <cellStyle name="20% - Accent2 2 6 2 3 3 2 3" xfId="29992" xr:uid="{4496ECE3-92F1-4EA1-ACA8-5DC4655A6890}"/>
    <cellStyle name="20% - Accent2 2 6 2 3 3 3" xfId="22621" xr:uid="{3C470503-D64C-42B6-8069-395F28C1A57F}"/>
    <cellStyle name="20% - Accent2 2 6 2 3 3 3 2" xfId="37597" xr:uid="{ACE2DEC2-0B23-4D4E-A60D-260775C59E3B}"/>
    <cellStyle name="20% - Accent2 2 6 2 3 3 4" xfId="29993" xr:uid="{83C14A61-6752-4D22-97B0-7EBF73946858}"/>
    <cellStyle name="20% - Accent2 2 6 2 3 4" xfId="4715" xr:uid="{00000000-0005-0000-0000-000061020000}"/>
    <cellStyle name="20% - Accent2 2 6 2 3 4 2" xfId="22619" xr:uid="{B3FBD374-CED3-48E6-A2D7-C06BE38F4D6E}"/>
    <cellStyle name="20% - Accent2 2 6 2 3 4 2 2" xfId="37595" xr:uid="{BE82C3CE-1BC3-4E1F-9067-F1DF957EB1C4}"/>
    <cellStyle name="20% - Accent2 2 6 2 3 4 3" xfId="29991" xr:uid="{BB71302A-5768-45F1-A6E4-1672F290095B}"/>
    <cellStyle name="20% - Accent2 2 6 2 3 5" xfId="22625" xr:uid="{0B6E5D4A-A022-4CD5-827C-2B2860C1C985}"/>
    <cellStyle name="20% - Accent2 2 6 2 3 5 2" xfId="37601" xr:uid="{94FAF636-7CA8-411C-9D2F-8F4F19F0771A}"/>
    <cellStyle name="20% - Accent2 2 6 2 3 6" xfId="29997" xr:uid="{6A7A3F22-C1FC-41B2-ACBA-562DEF4672C6}"/>
    <cellStyle name="20% - Accent2 2 6 2 4" xfId="4714" xr:uid="{00000000-0005-0000-0000-000062020000}"/>
    <cellStyle name="20% - Accent2 2 6 2 4 2" xfId="4713" xr:uid="{00000000-0005-0000-0000-000063020000}"/>
    <cellStyle name="20% - Accent2 2 6 2 4 2 2" xfId="22617" xr:uid="{0BD87DE9-AE8F-4343-B29E-AF6745C49336}"/>
    <cellStyle name="20% - Accent2 2 6 2 4 2 2 2" xfId="37593" xr:uid="{3B153F95-BE98-459E-BAAC-5F116FF2B6F7}"/>
    <cellStyle name="20% - Accent2 2 6 2 4 2 3" xfId="29989" xr:uid="{21858DCF-6F1F-479B-8A29-84DCE1E837E1}"/>
    <cellStyle name="20% - Accent2 2 6 2 4 3" xfId="4712" xr:uid="{00000000-0005-0000-0000-000064020000}"/>
    <cellStyle name="20% - Accent2 2 6 2 4 3 2" xfId="22616" xr:uid="{C68C19B1-06F1-4C56-BCA2-90810C74E8B7}"/>
    <cellStyle name="20% - Accent2 2 6 2 4 3 2 2" xfId="37592" xr:uid="{08D257BB-26A4-4F75-97E9-BA514DFCCB37}"/>
    <cellStyle name="20% - Accent2 2 6 2 4 3 3" xfId="29988" xr:uid="{0F2B5230-2D7D-4A36-B294-D7728C800C7F}"/>
    <cellStyle name="20% - Accent2 2 6 2 4 4" xfId="22618" xr:uid="{F51413A4-3968-4DB0-A881-56383EC2F0BC}"/>
    <cellStyle name="20% - Accent2 2 6 2 4 4 2" xfId="37594" xr:uid="{F0736FB7-D5CF-4DEE-BB0C-B225266BA907}"/>
    <cellStyle name="20% - Accent2 2 6 2 4 5" xfId="29990" xr:uid="{7A0EE39D-2770-4FE2-89E7-5CB3645F0048}"/>
    <cellStyle name="20% - Accent2 2 6 2 5" xfId="4711" xr:uid="{00000000-0005-0000-0000-000065020000}"/>
    <cellStyle name="20% - Accent2 2 6 2 5 2" xfId="22615" xr:uid="{FB0954D6-6F2B-4231-8F01-1528650DED00}"/>
    <cellStyle name="20% - Accent2 2 6 2 5 2 2" xfId="37591" xr:uid="{EED3ED82-8C21-4233-ABC7-36EA07B31D13}"/>
    <cellStyle name="20% - Accent2 2 6 2 5 3" xfId="29987" xr:uid="{F2A3E5CC-4166-4343-AB94-F2CEFF7DFF6E}"/>
    <cellStyle name="20% - Accent2 2 6 2 6" xfId="4710" xr:uid="{00000000-0005-0000-0000-000066020000}"/>
    <cellStyle name="20% - Accent2 2 6 2 6 2" xfId="4709" xr:uid="{00000000-0005-0000-0000-000067020000}"/>
    <cellStyle name="20% - Accent2 2 6 2 6 2 2" xfId="22613" xr:uid="{11F3F793-D567-4BD5-AC6D-A797AA2BC86D}"/>
    <cellStyle name="20% - Accent2 2 6 2 6 2 2 2" xfId="37589" xr:uid="{6ED8B6A1-DA3B-4FBD-89DD-6486889713CE}"/>
    <cellStyle name="20% - Accent2 2 6 2 6 2 3" xfId="29985" xr:uid="{928B34FB-7042-46D1-B495-C52FA6635867}"/>
    <cellStyle name="20% - Accent2 2 6 2 6 3" xfId="22614" xr:uid="{1BF24794-4E6A-404B-9778-B8E7A486E431}"/>
    <cellStyle name="20% - Accent2 2 6 2 6 3 2" xfId="37590" xr:uid="{10F783FC-3F36-42F9-B630-4F07E498DC5E}"/>
    <cellStyle name="20% - Accent2 2 6 2 6 4" xfId="29986" xr:uid="{851AC833-EF0A-4D53-9879-A2F86BA42C67}"/>
    <cellStyle name="20% - Accent2 2 6 2 7" xfId="4708" xr:uid="{00000000-0005-0000-0000-000068020000}"/>
    <cellStyle name="20% - Accent2 2 6 2 7 2" xfId="22612" xr:uid="{493B40F5-1DD8-477A-8CCA-6C0DDA2B57BD}"/>
    <cellStyle name="20% - Accent2 2 6 2 7 2 2" xfId="37588" xr:uid="{A5B99276-4FBD-4200-9092-4775B5335ECC}"/>
    <cellStyle name="20% - Accent2 2 6 2 7 3" xfId="29984" xr:uid="{A098A991-18CB-424E-BCEC-0E4D35986697}"/>
    <cellStyle name="20% - Accent2 2 6 2 8" xfId="22633" xr:uid="{065DC92F-B7D0-408C-AC21-C4347AC9527C}"/>
    <cellStyle name="20% - Accent2 2 6 2 8 2" xfId="37609" xr:uid="{3163D1B4-1CAB-47F7-A958-546CB33E5112}"/>
    <cellStyle name="20% - Accent2 2 6 2 9" xfId="30005" xr:uid="{F062FC16-2D8E-4E13-BC69-9478B3DED5EB}"/>
    <cellStyle name="20% - Accent2 2 6 3" xfId="4707" xr:uid="{00000000-0005-0000-0000-000069020000}"/>
    <cellStyle name="20% - Accent2 2 6 3 2" xfId="4706" xr:uid="{00000000-0005-0000-0000-00006A020000}"/>
    <cellStyle name="20% - Accent2 2 6 3 2 2" xfId="4705" xr:uid="{00000000-0005-0000-0000-00006B020000}"/>
    <cellStyle name="20% - Accent2 2 6 3 2 2 2" xfId="22609" xr:uid="{E21F288B-B045-4FBE-922C-C1EC40A7B117}"/>
    <cellStyle name="20% - Accent2 2 6 3 2 2 2 2" xfId="37585" xr:uid="{C909EC0C-ABD0-48E6-9E3E-913474021E61}"/>
    <cellStyle name="20% - Accent2 2 6 3 2 2 3" xfId="29981" xr:uid="{0D7128CB-487D-43A7-9811-C7EBAA85F49A}"/>
    <cellStyle name="20% - Accent2 2 6 3 2 3" xfId="4704" xr:uid="{00000000-0005-0000-0000-00006C020000}"/>
    <cellStyle name="20% - Accent2 2 6 3 2 3 2" xfId="22608" xr:uid="{9E12C7CE-D810-4AE1-AE6D-00F5B221C8D5}"/>
    <cellStyle name="20% - Accent2 2 6 3 2 3 2 2" xfId="37584" xr:uid="{8630E78E-4735-4212-8BF9-C7962BB9268C}"/>
    <cellStyle name="20% - Accent2 2 6 3 2 3 3" xfId="29980" xr:uid="{8306AF82-F70A-4667-AB67-8A2E46DB93CD}"/>
    <cellStyle name="20% - Accent2 2 6 3 2 4" xfId="22610" xr:uid="{9131C456-8C18-4036-B619-C2BF4EB835EC}"/>
    <cellStyle name="20% - Accent2 2 6 3 2 4 2" xfId="37586" xr:uid="{D0F3A43A-8184-4672-A994-B0C20D42C79E}"/>
    <cellStyle name="20% - Accent2 2 6 3 2 5" xfId="29982" xr:uid="{406F8DCB-0E78-4BCD-91FE-F46CCAB90CAF}"/>
    <cellStyle name="20% - Accent2 2 6 3 3" xfId="4703" xr:uid="{00000000-0005-0000-0000-00006D020000}"/>
    <cellStyle name="20% - Accent2 2 6 3 3 2" xfId="4702" xr:uid="{00000000-0005-0000-0000-00006E020000}"/>
    <cellStyle name="20% - Accent2 2 6 3 3 2 2" xfId="22606" xr:uid="{6A966955-98AD-4E05-A868-75ACB956F839}"/>
    <cellStyle name="20% - Accent2 2 6 3 3 2 2 2" xfId="37582" xr:uid="{405B0CE2-BCE7-448A-B02F-761323F535FE}"/>
    <cellStyle name="20% - Accent2 2 6 3 3 2 3" xfId="29978" xr:uid="{4C3A1F01-EC2E-4DDA-AE59-1056D2B1BDAD}"/>
    <cellStyle name="20% - Accent2 2 6 3 3 3" xfId="22607" xr:uid="{342AE7DD-AD17-433D-A4EC-BAB3C4A7E8D2}"/>
    <cellStyle name="20% - Accent2 2 6 3 3 3 2" xfId="37583" xr:uid="{A40808AB-8D8D-4472-939F-3CFED352F88A}"/>
    <cellStyle name="20% - Accent2 2 6 3 3 4" xfId="29979" xr:uid="{A36F4A9D-D6EC-4FE9-B0DF-862D2C7C2C76}"/>
    <cellStyle name="20% - Accent2 2 6 3 4" xfId="4701" xr:uid="{00000000-0005-0000-0000-00006F020000}"/>
    <cellStyle name="20% - Accent2 2 6 3 4 2" xfId="22605" xr:uid="{0B84C2DC-A952-479E-AD1E-4726F85BBA81}"/>
    <cellStyle name="20% - Accent2 2 6 3 4 2 2" xfId="37581" xr:uid="{ED9F1074-F40A-4636-8F68-E58BB69CBA01}"/>
    <cellStyle name="20% - Accent2 2 6 3 4 3" xfId="29977" xr:uid="{4885C34A-781E-4854-B96D-2385A003C531}"/>
    <cellStyle name="20% - Accent2 2 6 3 5" xfId="22611" xr:uid="{D0255ED1-4C40-4D86-AF5D-D1D0A612034D}"/>
    <cellStyle name="20% - Accent2 2 6 3 5 2" xfId="37587" xr:uid="{84345E54-29D0-46E7-84E5-1909B1040D28}"/>
    <cellStyle name="20% - Accent2 2 6 3 6" xfId="29983" xr:uid="{60C602BB-5FB0-40DC-99B0-E7C21AA13C71}"/>
    <cellStyle name="20% - Accent2 2 6 4" xfId="4700" xr:uid="{00000000-0005-0000-0000-000070020000}"/>
    <cellStyle name="20% - Accent2 2 6 4 2" xfId="4699" xr:uid="{00000000-0005-0000-0000-000071020000}"/>
    <cellStyle name="20% - Accent2 2 6 4 2 2" xfId="4698" xr:uid="{00000000-0005-0000-0000-000072020000}"/>
    <cellStyle name="20% - Accent2 2 6 4 2 2 2" xfId="22602" xr:uid="{4995DC04-021F-4143-ACA1-1778A5C4B5AD}"/>
    <cellStyle name="20% - Accent2 2 6 4 2 2 2 2" xfId="37578" xr:uid="{3250292C-2B19-495E-88B8-705519188E3E}"/>
    <cellStyle name="20% - Accent2 2 6 4 2 2 3" xfId="29974" xr:uid="{B65047EB-B70A-484B-930E-69B55793BDA2}"/>
    <cellStyle name="20% - Accent2 2 6 4 2 3" xfId="4697" xr:uid="{00000000-0005-0000-0000-000073020000}"/>
    <cellStyle name="20% - Accent2 2 6 4 2 3 2" xfId="22601" xr:uid="{088D4CF0-02AC-4B4C-88CE-95F223054D22}"/>
    <cellStyle name="20% - Accent2 2 6 4 2 3 2 2" xfId="37577" xr:uid="{60B80640-8075-4482-8A0E-65FDA8A8CF19}"/>
    <cellStyle name="20% - Accent2 2 6 4 2 3 3" xfId="29973" xr:uid="{B13EB5FC-0AD1-4E5E-85F6-BD8FB78042EA}"/>
    <cellStyle name="20% - Accent2 2 6 4 2 4" xfId="22603" xr:uid="{1E00AF91-7447-4C41-8CEB-40F0DBB38A07}"/>
    <cellStyle name="20% - Accent2 2 6 4 2 4 2" xfId="37579" xr:uid="{7F3BCB83-A600-4BDD-80C1-021165BF7E02}"/>
    <cellStyle name="20% - Accent2 2 6 4 2 5" xfId="29975" xr:uid="{F45D031E-75B7-45E3-AAD6-63FCCEF8E744}"/>
    <cellStyle name="20% - Accent2 2 6 4 3" xfId="4696" xr:uid="{00000000-0005-0000-0000-000074020000}"/>
    <cellStyle name="20% - Accent2 2 6 4 3 2" xfId="4695" xr:uid="{00000000-0005-0000-0000-000075020000}"/>
    <cellStyle name="20% - Accent2 2 6 4 3 2 2" xfId="22599" xr:uid="{8CDC2BF8-D4CE-42A4-A9DC-E50C2F0CD007}"/>
    <cellStyle name="20% - Accent2 2 6 4 3 2 2 2" xfId="37575" xr:uid="{99C0E58E-E687-4CFE-9E9D-8084F10C02F0}"/>
    <cellStyle name="20% - Accent2 2 6 4 3 2 3" xfId="29971" xr:uid="{F9CED829-54DA-48F5-8AB3-FDA481151AC1}"/>
    <cellStyle name="20% - Accent2 2 6 4 3 3" xfId="22600" xr:uid="{F485AEAD-4358-4085-A2DE-2B2E22AF40C5}"/>
    <cellStyle name="20% - Accent2 2 6 4 3 3 2" xfId="37576" xr:uid="{EBA90B47-05E6-48DE-B98F-560DC87E24FD}"/>
    <cellStyle name="20% - Accent2 2 6 4 3 4" xfId="29972" xr:uid="{5B84B36D-F5EF-485D-B61B-17CA4C66D739}"/>
    <cellStyle name="20% - Accent2 2 6 4 4" xfId="4694" xr:uid="{00000000-0005-0000-0000-000076020000}"/>
    <cellStyle name="20% - Accent2 2 6 4 4 2" xfId="22598" xr:uid="{1845A909-FCFF-4314-AA80-43F7AE760116}"/>
    <cellStyle name="20% - Accent2 2 6 4 4 2 2" xfId="37574" xr:uid="{5F7F80B0-D35C-41B0-A1C5-D21F2E513703}"/>
    <cellStyle name="20% - Accent2 2 6 4 4 3" xfId="29970" xr:uid="{99CB070E-F18D-4D97-9F42-4EA14D3B09C1}"/>
    <cellStyle name="20% - Accent2 2 6 4 5" xfId="22604" xr:uid="{1443CAA1-8E8D-4F48-9282-8E4D839B0109}"/>
    <cellStyle name="20% - Accent2 2 6 4 5 2" xfId="37580" xr:uid="{ACD0FAEF-BB83-4DD4-9749-277692FC603A}"/>
    <cellStyle name="20% - Accent2 2 6 4 6" xfId="29976" xr:uid="{3833CB4A-A760-481C-BBBF-352706E2CFF2}"/>
    <cellStyle name="20% - Accent2 2 6 5" xfId="4693" xr:uid="{00000000-0005-0000-0000-000077020000}"/>
    <cellStyle name="20% - Accent2 2 6 5 2" xfId="4692" xr:uid="{00000000-0005-0000-0000-000078020000}"/>
    <cellStyle name="20% - Accent2 2 6 5 2 2" xfId="22596" xr:uid="{3DCCFB8E-42EF-485E-8400-15FC821062D9}"/>
    <cellStyle name="20% - Accent2 2 6 5 2 2 2" xfId="37572" xr:uid="{79E71F7F-9F00-43B6-AFAB-AD7F7ED90949}"/>
    <cellStyle name="20% - Accent2 2 6 5 2 3" xfId="29968" xr:uid="{39913D59-EF5F-4D4A-A948-8C959C56C883}"/>
    <cellStyle name="20% - Accent2 2 6 5 3" xfId="4691" xr:uid="{00000000-0005-0000-0000-000079020000}"/>
    <cellStyle name="20% - Accent2 2 6 5 3 2" xfId="22595" xr:uid="{CE76283B-B31B-421C-81E7-80FE1C2A803B}"/>
    <cellStyle name="20% - Accent2 2 6 5 3 2 2" xfId="37571" xr:uid="{4704108F-E74A-4ADA-AE6E-BD02275D1C33}"/>
    <cellStyle name="20% - Accent2 2 6 5 3 3" xfId="29967" xr:uid="{E2DE4688-A2C1-4ACF-AFE0-2E9542D09B9A}"/>
    <cellStyle name="20% - Accent2 2 6 5 4" xfId="22597" xr:uid="{74981782-F765-4AA7-93A5-B5BB149BC398}"/>
    <cellStyle name="20% - Accent2 2 6 5 4 2" xfId="37573" xr:uid="{80C62C2C-CB02-4F25-88C5-A4AE99A4B7E3}"/>
    <cellStyle name="20% - Accent2 2 6 5 5" xfId="29969" xr:uid="{EBD893BD-A047-4DB4-BFE1-A88E5DBD61FA}"/>
    <cellStyle name="20% - Accent2 2 6 6" xfId="4690" xr:uid="{00000000-0005-0000-0000-00007A020000}"/>
    <cellStyle name="20% - Accent2 2 6 6 2" xfId="22594" xr:uid="{1C1D7D83-07C4-4D9B-98F5-8CE259AE1FA9}"/>
    <cellStyle name="20% - Accent2 2 6 6 2 2" xfId="37570" xr:uid="{0BF89B74-61CC-4E34-B3A8-9AC1EC94CFF8}"/>
    <cellStyle name="20% - Accent2 2 6 6 3" xfId="29966" xr:uid="{6AC00B8B-7969-415D-A71D-E24AF98D92B7}"/>
    <cellStyle name="20% - Accent2 2 6 7" xfId="4689" xr:uid="{00000000-0005-0000-0000-00007B020000}"/>
    <cellStyle name="20% - Accent2 2 6 7 2" xfId="4688" xr:uid="{00000000-0005-0000-0000-00007C020000}"/>
    <cellStyle name="20% - Accent2 2 6 7 2 2" xfId="22592" xr:uid="{965D9EC1-6F1F-4DA4-8767-A6422978EBE0}"/>
    <cellStyle name="20% - Accent2 2 6 7 2 2 2" xfId="37568" xr:uid="{5F28FCE3-D198-4ADE-87DD-802C18F3E11B}"/>
    <cellStyle name="20% - Accent2 2 6 7 2 3" xfId="29964" xr:uid="{72B4D808-AEF3-4DF3-8875-D8AA0D068114}"/>
    <cellStyle name="20% - Accent2 2 6 7 3" xfId="22593" xr:uid="{0C117ABA-F8FD-42E0-B4AE-333B699EAE0C}"/>
    <cellStyle name="20% - Accent2 2 6 7 3 2" xfId="37569" xr:uid="{3ACF45E6-8195-4F16-8103-DC874D5368FE}"/>
    <cellStyle name="20% - Accent2 2 6 7 4" xfId="29965" xr:uid="{0D7D63F5-6F98-49BA-93CB-1B26069E00E0}"/>
    <cellStyle name="20% - Accent2 2 6 8" xfId="4687" xr:uid="{00000000-0005-0000-0000-00007D020000}"/>
    <cellStyle name="20% - Accent2 2 6 8 2" xfId="22591" xr:uid="{2755BA23-6539-49ED-9985-E29BA98701E4}"/>
    <cellStyle name="20% - Accent2 2 6 8 2 2" xfId="37567" xr:uid="{0B2310D0-CC45-4E5C-B7E0-D0E3B9CF9F6C}"/>
    <cellStyle name="20% - Accent2 2 6 8 3" xfId="29963" xr:uid="{4C63A907-F889-4B6C-B6C1-C61FAD2F2D3D}"/>
    <cellStyle name="20% - Accent2 2 6 9" xfId="22634" xr:uid="{618A1A0D-842B-4C88-BBE7-83102D01C0D5}"/>
    <cellStyle name="20% - Accent2 2 6 9 2" xfId="37610" xr:uid="{FB5D81ED-BB88-4F7E-A16F-BB6FA80AE6A9}"/>
    <cellStyle name="20% - Accent2 2 7" xfId="4686" xr:uid="{00000000-0005-0000-0000-00007E020000}"/>
    <cellStyle name="20% - Accent2 2 7 2" xfId="4685" xr:uid="{00000000-0005-0000-0000-00007F020000}"/>
    <cellStyle name="20% - Accent2 2 7 2 2" xfId="4684" xr:uid="{00000000-0005-0000-0000-000080020000}"/>
    <cellStyle name="20% - Accent2 2 7 2 2 2" xfId="22588" xr:uid="{D1C3C4E7-3853-41A6-ABD2-6DE10502693B}"/>
    <cellStyle name="20% - Accent2 2 7 2 2 2 2" xfId="37564" xr:uid="{42D6B1A0-ABFF-4297-B2D7-727E70E47016}"/>
    <cellStyle name="20% - Accent2 2 7 2 2 3" xfId="29960" xr:uid="{ECED40E7-0CA1-45BE-847D-0BECA4B7DA1B}"/>
    <cellStyle name="20% - Accent2 2 7 2 3" xfId="4683" xr:uid="{00000000-0005-0000-0000-000081020000}"/>
    <cellStyle name="20% - Accent2 2 7 2 3 2" xfId="22587" xr:uid="{87B2D1F6-8DBE-49C7-BB4B-947C1D774B33}"/>
    <cellStyle name="20% - Accent2 2 7 2 3 2 2" xfId="37563" xr:uid="{30481111-240B-4E74-B187-CFAEC9685375}"/>
    <cellStyle name="20% - Accent2 2 7 2 3 3" xfId="29959" xr:uid="{B6F332FC-8F34-4D00-9675-C9AD058AF22D}"/>
    <cellStyle name="20% - Accent2 2 7 2 4" xfId="22589" xr:uid="{F2CF3FD9-3922-49E1-92BC-845E6CC32B11}"/>
    <cellStyle name="20% - Accent2 2 7 2 4 2" xfId="37565" xr:uid="{446A813C-968D-41AF-A62B-31257A543ED3}"/>
    <cellStyle name="20% - Accent2 2 7 2 5" xfId="29961" xr:uid="{881B626B-008C-482A-A272-526E89EC955F}"/>
    <cellStyle name="20% - Accent2 2 7 3" xfId="4682" xr:uid="{00000000-0005-0000-0000-000082020000}"/>
    <cellStyle name="20% - Accent2 2 7 3 2" xfId="4681" xr:uid="{00000000-0005-0000-0000-000083020000}"/>
    <cellStyle name="20% - Accent2 2 7 3 2 2" xfId="22585" xr:uid="{7383881F-B081-42EA-92BC-2B2FCA2CB258}"/>
    <cellStyle name="20% - Accent2 2 7 3 2 2 2" xfId="37561" xr:uid="{DC92C6D1-D4E0-49AB-A8C2-B0DE529506AB}"/>
    <cellStyle name="20% - Accent2 2 7 3 2 3" xfId="29957" xr:uid="{CB96CA76-2E90-4D06-BDC4-9F12A51A7E8F}"/>
    <cellStyle name="20% - Accent2 2 7 3 3" xfId="22586" xr:uid="{F4895AA5-A137-41B2-B396-C99EDF8D387E}"/>
    <cellStyle name="20% - Accent2 2 7 3 3 2" xfId="37562" xr:uid="{09714C71-AC92-4E42-8353-C92856809DCF}"/>
    <cellStyle name="20% - Accent2 2 7 3 4" xfId="29958" xr:uid="{2A28993D-6CD0-4072-B1DF-1D99EF242F3F}"/>
    <cellStyle name="20% - Accent2 2 7 4" xfId="4680" xr:uid="{00000000-0005-0000-0000-000084020000}"/>
    <cellStyle name="20% - Accent2 2 7 4 2" xfId="22584" xr:uid="{97C2CBB4-7FD0-4B52-836E-2A2A13B21666}"/>
    <cellStyle name="20% - Accent2 2 7 4 2 2" xfId="37560" xr:uid="{FB082ACC-67CA-425F-9ECF-C0A4F390C582}"/>
    <cellStyle name="20% - Accent2 2 7 4 3" xfId="29956" xr:uid="{090CB31A-D395-409C-9C1A-10048977C6D4}"/>
    <cellStyle name="20% - Accent2 2 7 5" xfId="22590" xr:uid="{45164F74-24EF-4F0D-88AA-9D861C708334}"/>
    <cellStyle name="20% - Accent2 2 7 5 2" xfId="37566" xr:uid="{E8E4226C-0EFB-4137-9390-856ABF9F1B36}"/>
    <cellStyle name="20% - Accent2 2 7 6" xfId="29962" xr:uid="{A15E9C63-E80D-40F9-80FE-5B64213F2FF8}"/>
    <cellStyle name="20% - Accent2 3" xfId="185" xr:uid="{00000000-0005-0000-0000-00001E000000}"/>
    <cellStyle name="20% - Accent2 3 10" xfId="4679" xr:uid="{00000000-0005-0000-0000-000085020000}"/>
    <cellStyle name="20% - Accent2 3 10 2" xfId="22583" xr:uid="{0C4CD05F-7D80-4C4E-AC65-5D20CCC3A7CE}"/>
    <cellStyle name="20% - Accent2 3 10 2 2" xfId="37559" xr:uid="{F2B2B67B-F204-4A07-95BD-89AE44C58975}"/>
    <cellStyle name="20% - Accent2 3 10 3" xfId="29955" xr:uid="{6E86ABA5-82C6-49D7-A100-ABE16F2BE115}"/>
    <cellStyle name="20% - Accent2 3 2" xfId="4678" xr:uid="{00000000-0005-0000-0000-000086020000}"/>
    <cellStyle name="20% - Accent2 3 2 2" xfId="4677" xr:uid="{00000000-0005-0000-0000-000087020000}"/>
    <cellStyle name="20% - Accent2 3 2 2 2" xfId="4676" xr:uid="{00000000-0005-0000-0000-000088020000}"/>
    <cellStyle name="20% - Accent2 3 2 2 2 2" xfId="4675" xr:uid="{00000000-0005-0000-0000-000089020000}"/>
    <cellStyle name="20% - Accent2 3 2 2 2 2 2" xfId="4674" xr:uid="{00000000-0005-0000-0000-00008A020000}"/>
    <cellStyle name="20% - Accent2 3 2 2 2 2 2 2" xfId="22579" xr:uid="{34FA2584-D200-4493-BA3A-B18E07E00357}"/>
    <cellStyle name="20% - Accent2 3 2 2 2 2 2 2 2" xfId="37555" xr:uid="{3D1EB285-137F-427F-9952-F0E7F860153F}"/>
    <cellStyle name="20% - Accent2 3 2 2 2 2 2 3" xfId="29951" xr:uid="{F94C6DA7-8EF0-44AD-8162-F9EE6292DCAF}"/>
    <cellStyle name="20% - Accent2 3 2 2 2 2 3" xfId="4673" xr:uid="{00000000-0005-0000-0000-00008B020000}"/>
    <cellStyle name="20% - Accent2 3 2 2 2 2 3 2" xfId="22578" xr:uid="{A4FD53D5-A841-47FC-BB8E-9BB84D838C0F}"/>
    <cellStyle name="20% - Accent2 3 2 2 2 2 3 2 2" xfId="37554" xr:uid="{F7C853AB-46AD-47E8-8325-0A7D9710C2A1}"/>
    <cellStyle name="20% - Accent2 3 2 2 2 2 3 3" xfId="29950" xr:uid="{3051EA3F-AC2A-4E82-8DE9-C70F23BE68EF}"/>
    <cellStyle name="20% - Accent2 3 2 2 2 2 4" xfId="22580" xr:uid="{398D807B-6C0B-4BD5-85E2-14E18593FCF8}"/>
    <cellStyle name="20% - Accent2 3 2 2 2 2 4 2" xfId="37556" xr:uid="{A0E2D9CD-29FF-4B26-86E6-33387DC439F0}"/>
    <cellStyle name="20% - Accent2 3 2 2 2 2 5" xfId="29952" xr:uid="{59420949-96BE-4DF8-BC1D-78D353EAC085}"/>
    <cellStyle name="20% - Accent2 3 2 2 2 3" xfId="4672" xr:uid="{00000000-0005-0000-0000-00008C020000}"/>
    <cellStyle name="20% - Accent2 3 2 2 2 3 2" xfId="4671" xr:uid="{00000000-0005-0000-0000-00008D020000}"/>
    <cellStyle name="20% - Accent2 3 2 2 2 3 2 2" xfId="22576" xr:uid="{2B029975-25EB-4078-8677-81EFCDF6DFE4}"/>
    <cellStyle name="20% - Accent2 3 2 2 2 3 2 2 2" xfId="37552" xr:uid="{81C1F6D4-EC2E-4DFA-8FB4-4ECCB658ED63}"/>
    <cellStyle name="20% - Accent2 3 2 2 2 3 2 3" xfId="29948" xr:uid="{49B0D311-3A00-4F36-B9A0-B81B834A5D9E}"/>
    <cellStyle name="20% - Accent2 3 2 2 2 3 3" xfId="22577" xr:uid="{CC2AB963-2ACD-4984-87DC-B2B71D46A026}"/>
    <cellStyle name="20% - Accent2 3 2 2 2 3 3 2" xfId="37553" xr:uid="{BB2EB7F6-D049-473B-B9D4-3CD76EAE4380}"/>
    <cellStyle name="20% - Accent2 3 2 2 2 3 4" xfId="29949" xr:uid="{917CB853-6F7F-476F-84A7-07E7C784D8CF}"/>
    <cellStyle name="20% - Accent2 3 2 2 2 4" xfId="4670" xr:uid="{00000000-0005-0000-0000-00008E020000}"/>
    <cellStyle name="20% - Accent2 3 2 2 2 4 2" xfId="22575" xr:uid="{02E7402E-BD9F-4CC8-9833-29CA3269D481}"/>
    <cellStyle name="20% - Accent2 3 2 2 2 4 2 2" xfId="37551" xr:uid="{C3F51464-BCF8-4B40-ADA8-ABE5D2831604}"/>
    <cellStyle name="20% - Accent2 3 2 2 2 4 3" xfId="29947" xr:uid="{07B61EFD-D38E-41F6-8929-DF1775627D8B}"/>
    <cellStyle name="20% - Accent2 3 2 2 2 5" xfId="22581" xr:uid="{F95A62C4-D9FA-4861-8CB5-7C83DC4FFD19}"/>
    <cellStyle name="20% - Accent2 3 2 2 2 5 2" xfId="37557" xr:uid="{4A5FF6FE-7A7E-4AF2-8849-53EEB8814664}"/>
    <cellStyle name="20% - Accent2 3 2 2 2 6" xfId="29953" xr:uid="{536CC9BE-CA82-4B71-9BA4-FF37348FE048}"/>
    <cellStyle name="20% - Accent2 3 2 2 3" xfId="4669" xr:uid="{00000000-0005-0000-0000-00008F020000}"/>
    <cellStyle name="20% - Accent2 3 2 2 3 2" xfId="4668" xr:uid="{00000000-0005-0000-0000-000090020000}"/>
    <cellStyle name="20% - Accent2 3 2 2 3 2 2" xfId="22573" xr:uid="{722FADF5-322D-435D-9556-817B14B12047}"/>
    <cellStyle name="20% - Accent2 3 2 2 3 2 2 2" xfId="37549" xr:uid="{326F1724-07CB-4DEC-84B0-29A72A3B619D}"/>
    <cellStyle name="20% - Accent2 3 2 2 3 2 3" xfId="29945" xr:uid="{D332A36D-138A-4F08-BCBB-FEFC98C9257B}"/>
    <cellStyle name="20% - Accent2 3 2 2 3 3" xfId="4667" xr:uid="{00000000-0005-0000-0000-000091020000}"/>
    <cellStyle name="20% - Accent2 3 2 2 3 3 2" xfId="22572" xr:uid="{7888BAD1-A7D3-4BBC-9A18-670E64B28E13}"/>
    <cellStyle name="20% - Accent2 3 2 2 3 3 2 2" xfId="37548" xr:uid="{1595D808-C0AB-42FC-9058-25E0462FA34F}"/>
    <cellStyle name="20% - Accent2 3 2 2 3 3 3" xfId="29944" xr:uid="{F6CB9FCE-D217-47D3-B508-EEA844AEE6B4}"/>
    <cellStyle name="20% - Accent2 3 2 2 3 4" xfId="22574" xr:uid="{82B68726-5126-44BF-8325-3EEE0F9F28A4}"/>
    <cellStyle name="20% - Accent2 3 2 2 3 4 2" xfId="37550" xr:uid="{53D04079-CE5F-4A73-A07B-FA9002F5DC64}"/>
    <cellStyle name="20% - Accent2 3 2 2 3 5" xfId="29946" xr:uid="{AE4B962F-2318-4A8A-B70F-BD313877E2ED}"/>
    <cellStyle name="20% - Accent2 3 2 2 4" xfId="4666" xr:uid="{00000000-0005-0000-0000-000092020000}"/>
    <cellStyle name="20% - Accent2 3 2 2 4 2" xfId="22571" xr:uid="{707EF139-645A-4EC9-894B-02A74AC26469}"/>
    <cellStyle name="20% - Accent2 3 2 2 4 2 2" xfId="37547" xr:uid="{EF91E76D-6D6A-4581-8D44-71663EDD5C4B}"/>
    <cellStyle name="20% - Accent2 3 2 2 4 3" xfId="29943" xr:uid="{FE867BF1-D7CD-4A68-AD80-7CBF1ADD62E2}"/>
    <cellStyle name="20% - Accent2 3 2 2 5" xfId="4665" xr:uid="{00000000-0005-0000-0000-000093020000}"/>
    <cellStyle name="20% - Accent2 3 2 2 5 2" xfId="4664" xr:uid="{00000000-0005-0000-0000-000094020000}"/>
    <cellStyle name="20% - Accent2 3 2 2 5 2 2" xfId="22569" xr:uid="{1BFA84DC-0952-4879-968D-50CE858AA94E}"/>
    <cellStyle name="20% - Accent2 3 2 2 5 2 2 2" xfId="37545" xr:uid="{290A35D4-6088-4B67-A2C8-2BC00DD680F1}"/>
    <cellStyle name="20% - Accent2 3 2 2 5 2 3" xfId="29941" xr:uid="{F9D62D29-2AD3-4F97-B003-91AA2523CF37}"/>
    <cellStyle name="20% - Accent2 3 2 2 5 3" xfId="22570" xr:uid="{58C37E42-7871-48D0-88A9-EA19313DB255}"/>
    <cellStyle name="20% - Accent2 3 2 2 5 3 2" xfId="37546" xr:uid="{361D435F-3DBD-4DE1-B9E8-05CEC909369E}"/>
    <cellStyle name="20% - Accent2 3 2 2 5 4" xfId="29942" xr:uid="{2B075623-C3B6-4A3B-B8FE-1009F1A8FF44}"/>
    <cellStyle name="20% - Accent2 3 2 2 6" xfId="4663" xr:uid="{00000000-0005-0000-0000-000095020000}"/>
    <cellStyle name="20% - Accent2 3 2 2 6 2" xfId="22568" xr:uid="{BD21C994-D32B-4608-AB42-6DF6A175DCA2}"/>
    <cellStyle name="20% - Accent2 3 2 2 6 2 2" xfId="37544" xr:uid="{F5A0757C-9552-43CE-9396-0E0410E36B6E}"/>
    <cellStyle name="20% - Accent2 3 2 2 6 3" xfId="29940" xr:uid="{0C0363D0-9385-4D1F-9430-337C8AFA125B}"/>
    <cellStyle name="20% - Accent2 3 2 2 7" xfId="22582" xr:uid="{0947F602-AC8C-4672-8DC0-94CE45D53FA4}"/>
    <cellStyle name="20% - Accent2 3 2 2 7 2" xfId="37558" xr:uid="{F8182D5F-922C-4D7A-9528-1B28324D3C4F}"/>
    <cellStyle name="20% - Accent2 3 2 2 8" xfId="29954" xr:uid="{09AC03F6-16DB-4D07-9123-304694D1A209}"/>
    <cellStyle name="20% - Accent2 3 2 3" xfId="4662" xr:uid="{00000000-0005-0000-0000-000096020000}"/>
    <cellStyle name="20% - Accent2 3 2 3 2" xfId="4661" xr:uid="{00000000-0005-0000-0000-000097020000}"/>
    <cellStyle name="20% - Accent2 3 2 3 2 2" xfId="4660" xr:uid="{00000000-0005-0000-0000-000098020000}"/>
    <cellStyle name="20% - Accent2 3 2 3 2 2 2" xfId="22565" xr:uid="{A3BCB15F-6D64-4D00-837B-7B0A64670F8E}"/>
    <cellStyle name="20% - Accent2 3 2 3 2 2 2 2" xfId="37541" xr:uid="{82131217-41DA-4067-9F2F-B703D8226BD4}"/>
    <cellStyle name="20% - Accent2 3 2 3 2 2 3" xfId="29937" xr:uid="{2FD16B02-E244-4B8E-B649-B2566107BA70}"/>
    <cellStyle name="20% - Accent2 3 2 3 2 3" xfId="4659" xr:uid="{00000000-0005-0000-0000-000099020000}"/>
    <cellStyle name="20% - Accent2 3 2 3 2 3 2" xfId="22564" xr:uid="{754109C3-4AB4-4FEA-99C1-61B2FDF03D28}"/>
    <cellStyle name="20% - Accent2 3 2 3 2 3 2 2" xfId="37540" xr:uid="{7822D728-39C7-4603-820E-3C58FD9B3EF9}"/>
    <cellStyle name="20% - Accent2 3 2 3 2 3 3" xfId="29936" xr:uid="{86E8CA9C-7092-4C0C-A2CD-D77DD9431C0C}"/>
    <cellStyle name="20% - Accent2 3 2 3 2 4" xfId="22566" xr:uid="{4DBB3438-72F9-468C-9051-C15B5491BD9F}"/>
    <cellStyle name="20% - Accent2 3 2 3 2 4 2" xfId="37542" xr:uid="{8138F10B-4E9F-4528-A88F-3E68D8D31B42}"/>
    <cellStyle name="20% - Accent2 3 2 3 2 5" xfId="29938" xr:uid="{ABDBE1F2-2BC8-4B0B-80DD-8FC9634D6730}"/>
    <cellStyle name="20% - Accent2 3 2 3 3" xfId="4658" xr:uid="{00000000-0005-0000-0000-00009A020000}"/>
    <cellStyle name="20% - Accent2 3 2 3 3 2" xfId="4657" xr:uid="{00000000-0005-0000-0000-00009B020000}"/>
    <cellStyle name="20% - Accent2 3 2 3 3 2 2" xfId="22562" xr:uid="{27CA6484-D2C7-4E08-8FF9-6738D850622B}"/>
    <cellStyle name="20% - Accent2 3 2 3 3 2 2 2" xfId="37538" xr:uid="{20812927-F3D8-419C-B9F1-1AB8C07A50D1}"/>
    <cellStyle name="20% - Accent2 3 2 3 3 2 3" xfId="29934" xr:uid="{B643A38E-6154-4C66-8D0D-7C7FF8CDF991}"/>
    <cellStyle name="20% - Accent2 3 2 3 3 3" xfId="22563" xr:uid="{95BE680F-19D7-4971-920D-04794CCBB120}"/>
    <cellStyle name="20% - Accent2 3 2 3 3 3 2" xfId="37539" xr:uid="{6A105833-E2F9-45F2-BD54-75DEFF04EBF3}"/>
    <cellStyle name="20% - Accent2 3 2 3 3 4" xfId="29935" xr:uid="{0BFC90CE-9E5F-4078-A362-9AE76F6118AE}"/>
    <cellStyle name="20% - Accent2 3 2 3 4" xfId="4656" xr:uid="{00000000-0005-0000-0000-00009C020000}"/>
    <cellStyle name="20% - Accent2 3 2 3 4 2" xfId="22561" xr:uid="{22EB5990-7D0C-435C-BF37-E301A35E4A56}"/>
    <cellStyle name="20% - Accent2 3 2 3 4 2 2" xfId="37537" xr:uid="{D6EA93C4-817F-4EA8-A90A-57260554EAF7}"/>
    <cellStyle name="20% - Accent2 3 2 3 4 3" xfId="29933" xr:uid="{B21CCC11-ADA3-4287-8189-9D512120480F}"/>
    <cellStyle name="20% - Accent2 3 2 3 5" xfId="22567" xr:uid="{E9D30242-F143-41E6-B59F-90835BF65BAB}"/>
    <cellStyle name="20% - Accent2 3 2 3 5 2" xfId="37543" xr:uid="{E9AAE4B7-F17C-47D8-8ABB-3F351E00EB97}"/>
    <cellStyle name="20% - Accent2 3 2 3 6" xfId="29939" xr:uid="{AFCB36E2-5719-46EB-B105-88DF48334D12}"/>
    <cellStyle name="20% - Accent2 3 2 4" xfId="4655" xr:uid="{00000000-0005-0000-0000-00009D020000}"/>
    <cellStyle name="20% - Accent2 3 2 5" xfId="4654" xr:uid="{00000000-0005-0000-0000-00009E020000}"/>
    <cellStyle name="20% - Accent2 3 2 5 2" xfId="22560" xr:uid="{09485EC6-403F-41CC-A38F-F368CC93D9C5}"/>
    <cellStyle name="20% - Accent2 3 2 5 2 2" xfId="37536" xr:uid="{B97EBADF-F1D2-4D1C-B9F7-D41F2C5C6E5C}"/>
    <cellStyle name="20% - Accent2 3 2 5 3" xfId="29932" xr:uid="{593BE7EA-1A9C-4FC2-AADE-32564526D059}"/>
    <cellStyle name="20% - Accent2 3 3" xfId="4653" xr:uid="{00000000-0005-0000-0000-00009F020000}"/>
    <cellStyle name="20% - Accent2 3 3 2" xfId="4652" xr:uid="{00000000-0005-0000-0000-0000A0020000}"/>
    <cellStyle name="20% - Accent2 3 3 2 2" xfId="4651" xr:uid="{00000000-0005-0000-0000-0000A1020000}"/>
    <cellStyle name="20% - Accent2 3 3 2 2 2" xfId="22557" xr:uid="{F8C007F0-4A18-4F4F-A709-8FCBBA7B1ED8}"/>
    <cellStyle name="20% - Accent2 3 3 2 2 2 2" xfId="37533" xr:uid="{D75DD84F-B903-4EC9-BC15-493C74E16A30}"/>
    <cellStyle name="20% - Accent2 3 3 2 2 3" xfId="29929" xr:uid="{F8AC5EFE-4A85-4648-A0CB-F6183B0075FA}"/>
    <cellStyle name="20% - Accent2 3 3 2 3" xfId="4650" xr:uid="{00000000-0005-0000-0000-0000A2020000}"/>
    <cellStyle name="20% - Accent2 3 3 2 3 2" xfId="4649" xr:uid="{00000000-0005-0000-0000-0000A3020000}"/>
    <cellStyle name="20% - Accent2 3 3 2 3 2 2" xfId="22555" xr:uid="{7FD0A472-547D-40D1-9AB0-9969D3FBD6BB}"/>
    <cellStyle name="20% - Accent2 3 3 2 3 2 2 2" xfId="37531" xr:uid="{C6FC29C9-BCC0-49AF-8151-48C4A457E976}"/>
    <cellStyle name="20% - Accent2 3 3 2 3 2 3" xfId="29927" xr:uid="{9ADE8F6B-8E4A-4E94-A16F-DE42C0DC070A}"/>
    <cellStyle name="20% - Accent2 3 3 2 3 3" xfId="22556" xr:uid="{E46C01CE-1A2A-484F-B00F-E59558E1DA94}"/>
    <cellStyle name="20% - Accent2 3 3 2 3 3 2" xfId="37532" xr:uid="{5DBDB2BA-C27D-46D0-8DF0-0AF662E2C520}"/>
    <cellStyle name="20% - Accent2 3 3 2 3 4" xfId="29928" xr:uid="{CAF8B18C-247E-45FD-AF73-6B0F17685A3C}"/>
    <cellStyle name="20% - Accent2 3 3 2 4" xfId="22558" xr:uid="{3F3584AA-89DB-4BFA-BBAA-77D0048425B4}"/>
    <cellStyle name="20% - Accent2 3 3 2 4 2" xfId="37534" xr:uid="{E32730B4-7E38-4F33-9DD8-B13CCF1FAF3B}"/>
    <cellStyle name="20% - Accent2 3 3 2 5" xfId="29930" xr:uid="{5FDC107E-5A4A-4C2A-834A-B2A8AE99160F}"/>
    <cellStyle name="20% - Accent2 3 3 3" xfId="4648" xr:uid="{00000000-0005-0000-0000-0000A4020000}"/>
    <cellStyle name="20% - Accent2 3 3 3 2" xfId="22554" xr:uid="{64C57051-4944-483C-8CCB-166CFEEFAB71}"/>
    <cellStyle name="20% - Accent2 3 3 3 2 2" xfId="37530" xr:uid="{D14542CA-5BA8-4CBF-8D92-13CBB5E9AC1C}"/>
    <cellStyle name="20% - Accent2 3 3 3 3" xfId="29926" xr:uid="{24F75A9D-9483-4639-B58D-7E5D71702BC5}"/>
    <cellStyle name="20% - Accent2 3 3 4" xfId="4647" xr:uid="{00000000-0005-0000-0000-0000A5020000}"/>
    <cellStyle name="20% - Accent2 3 3 4 2" xfId="4646" xr:uid="{00000000-0005-0000-0000-0000A6020000}"/>
    <cellStyle name="20% - Accent2 3 3 4 2 2" xfId="22552" xr:uid="{3D546677-A9FD-40DE-BBD5-26FE4BC11591}"/>
    <cellStyle name="20% - Accent2 3 3 4 2 2 2" xfId="37528" xr:uid="{F2CC5716-15BF-4E6D-ADAA-BF55727B8E1A}"/>
    <cellStyle name="20% - Accent2 3 3 4 2 3" xfId="29924" xr:uid="{3A0C1C2C-9802-429B-A6DF-E62974696CCA}"/>
    <cellStyle name="20% - Accent2 3 3 4 3" xfId="22553" xr:uid="{9B77CC24-60BC-4C5D-953E-BF78DF53A5DE}"/>
    <cellStyle name="20% - Accent2 3 3 4 3 2" xfId="37529" xr:uid="{07216BD0-3110-4C82-8A21-5868EDA087E9}"/>
    <cellStyle name="20% - Accent2 3 3 4 4" xfId="29925" xr:uid="{804384E2-942A-4F44-9CC6-9BC6EBF2DF0F}"/>
    <cellStyle name="20% - Accent2 3 3 5" xfId="4645" xr:uid="{00000000-0005-0000-0000-0000A7020000}"/>
    <cellStyle name="20% - Accent2 3 3 5 2" xfId="22551" xr:uid="{082A5DCD-AD77-4987-9E0D-D6B3A6A14CD5}"/>
    <cellStyle name="20% - Accent2 3 3 5 2 2" xfId="37527" xr:uid="{D01EA73A-9076-4012-9E47-3922E8D1FD9D}"/>
    <cellStyle name="20% - Accent2 3 3 5 3" xfId="29923" xr:uid="{0399436F-A7A7-4BA5-B94E-6F70CAC05DF7}"/>
    <cellStyle name="20% - Accent2 3 3 6" xfId="22559" xr:uid="{9C6D96D1-8A1C-4471-8741-DF1493FD8737}"/>
    <cellStyle name="20% - Accent2 3 3 6 2" xfId="37535" xr:uid="{69096AE1-CF80-43C2-8A65-9EA3EEACE5F6}"/>
    <cellStyle name="20% - Accent2 3 3 7" xfId="29931" xr:uid="{193033E5-7875-487D-A865-0FF5C3F8EEBB}"/>
    <cellStyle name="20% - Accent2 3 4" xfId="4644" xr:uid="{00000000-0005-0000-0000-0000A8020000}"/>
    <cellStyle name="20% - Accent2 3 4 2" xfId="4643" xr:uid="{00000000-0005-0000-0000-0000A9020000}"/>
    <cellStyle name="20% - Accent2 3 4 2 2" xfId="4642" xr:uid="{00000000-0005-0000-0000-0000AA020000}"/>
    <cellStyle name="20% - Accent2 3 4 2 2 2" xfId="22548" xr:uid="{ECC566A3-C011-43B3-9A63-350C88D577F3}"/>
    <cellStyle name="20% - Accent2 3 4 2 2 2 2" xfId="37524" xr:uid="{F97CF21F-6691-46E0-B188-D43F35B027AD}"/>
    <cellStyle name="20% - Accent2 3 4 2 2 3" xfId="29920" xr:uid="{931FCD96-F2A4-4951-8E3D-EFBD38DCB241}"/>
    <cellStyle name="20% - Accent2 3 4 2 3" xfId="4641" xr:uid="{00000000-0005-0000-0000-0000AB020000}"/>
    <cellStyle name="20% - Accent2 3 4 2 3 2" xfId="22547" xr:uid="{2B041689-CF63-46EC-8C76-53A2CC9A6585}"/>
    <cellStyle name="20% - Accent2 3 4 2 3 2 2" xfId="37523" xr:uid="{38E635D6-73D1-422C-9A3F-A4D0DF7D5F61}"/>
    <cellStyle name="20% - Accent2 3 4 2 3 3" xfId="29919" xr:uid="{CEF47C05-8AB9-40E5-8F9B-9FC4572846CA}"/>
    <cellStyle name="20% - Accent2 3 4 2 4" xfId="22549" xr:uid="{14A00A82-DD50-42AE-9CF6-CA655118C0B1}"/>
    <cellStyle name="20% - Accent2 3 4 2 4 2" xfId="37525" xr:uid="{E874A086-9DA3-4BB8-AB07-3BB3524F65B4}"/>
    <cellStyle name="20% - Accent2 3 4 2 5" xfId="29921" xr:uid="{074F4141-7B0D-44B4-A081-8C68EAEBEC0D}"/>
    <cellStyle name="20% - Accent2 3 4 3" xfId="4640" xr:uid="{00000000-0005-0000-0000-0000AC020000}"/>
    <cellStyle name="20% - Accent2 3 4 3 2" xfId="22546" xr:uid="{032D0471-2239-4817-9A07-D818F5BAF0AF}"/>
    <cellStyle name="20% - Accent2 3 4 3 2 2" xfId="37522" xr:uid="{7725C88F-9053-45AA-9AD0-3F860E16A360}"/>
    <cellStyle name="20% - Accent2 3 4 3 3" xfId="29918" xr:uid="{C8E0C8F5-12A7-49FF-BBC6-5303BF780DBD}"/>
    <cellStyle name="20% - Accent2 3 4 4" xfId="4639" xr:uid="{00000000-0005-0000-0000-0000AD020000}"/>
    <cellStyle name="20% - Accent2 3 4 4 2" xfId="4638" xr:uid="{00000000-0005-0000-0000-0000AE020000}"/>
    <cellStyle name="20% - Accent2 3 4 4 2 2" xfId="22544" xr:uid="{626186B0-9748-4E94-8EFE-9A2444A408B0}"/>
    <cellStyle name="20% - Accent2 3 4 4 2 2 2" xfId="37520" xr:uid="{4CD50E64-2420-4812-9B16-036320AE45D3}"/>
    <cellStyle name="20% - Accent2 3 4 4 2 3" xfId="29916" xr:uid="{F735001B-0045-4509-A1B7-124F41BD50A1}"/>
    <cellStyle name="20% - Accent2 3 4 4 3" xfId="22545" xr:uid="{581CE9FD-AD24-424F-B8B9-34208706B908}"/>
    <cellStyle name="20% - Accent2 3 4 4 3 2" xfId="37521" xr:uid="{779C78C8-D729-4199-ACA1-4021CBDB373B}"/>
    <cellStyle name="20% - Accent2 3 4 4 4" xfId="29917" xr:uid="{E7C8AC4C-485D-4B40-9591-1A24CEDCBEB5}"/>
    <cellStyle name="20% - Accent2 3 4 5" xfId="4637" xr:uid="{00000000-0005-0000-0000-0000AF020000}"/>
    <cellStyle name="20% - Accent2 3 4 5 2" xfId="22543" xr:uid="{AEB43F55-9963-4EF5-A2AF-2EA5ABFFE461}"/>
    <cellStyle name="20% - Accent2 3 4 5 2 2" xfId="37519" xr:uid="{919B6211-39C1-4935-9434-0676A92CBBFD}"/>
    <cellStyle name="20% - Accent2 3 4 5 3" xfId="29915" xr:uid="{8ACBDF7C-CD9A-4616-80FF-2CDE1F849185}"/>
    <cellStyle name="20% - Accent2 3 4 6" xfId="22550" xr:uid="{904B1F53-5D9D-455C-B642-D25198BCD081}"/>
    <cellStyle name="20% - Accent2 3 4 6 2" xfId="37526" xr:uid="{700BAA69-5C0C-4A65-A730-7017236498BE}"/>
    <cellStyle name="20% - Accent2 3 4 7" xfId="29922" xr:uid="{01444360-914D-4395-B1FD-8DB0E9A55167}"/>
    <cellStyle name="20% - Accent2 3 5" xfId="4636" xr:uid="{00000000-0005-0000-0000-0000B0020000}"/>
    <cellStyle name="20% - Accent2 3 5 2" xfId="4635" xr:uid="{00000000-0005-0000-0000-0000B1020000}"/>
    <cellStyle name="20% - Accent2 3 5 2 2" xfId="4634" xr:uid="{00000000-0005-0000-0000-0000B2020000}"/>
    <cellStyle name="20% - Accent2 3 5 2 2 2" xfId="22540" xr:uid="{7C1A488B-B1FF-4CCE-9399-0C5F9D8C5702}"/>
    <cellStyle name="20% - Accent2 3 5 2 2 2 2" xfId="37516" xr:uid="{DBC17A0D-33CF-416D-A7F2-58D3271D69C6}"/>
    <cellStyle name="20% - Accent2 3 5 2 2 3" xfId="29912" xr:uid="{8127F5C8-1C0C-4312-BDB1-9785594EFAC5}"/>
    <cellStyle name="20% - Accent2 3 5 2 3" xfId="4633" xr:uid="{00000000-0005-0000-0000-0000B3020000}"/>
    <cellStyle name="20% - Accent2 3 5 2 3 2" xfId="22539" xr:uid="{978CD92E-14E5-408C-A2A4-CFFA23193A30}"/>
    <cellStyle name="20% - Accent2 3 5 2 3 2 2" xfId="37515" xr:uid="{CEBDCA9E-0FD3-48DB-A157-DC366647C3A2}"/>
    <cellStyle name="20% - Accent2 3 5 2 3 3" xfId="29911" xr:uid="{EE937C78-A9E2-43B4-9387-003B022D01F7}"/>
    <cellStyle name="20% - Accent2 3 5 2 4" xfId="22541" xr:uid="{8C89CB17-1873-4100-BB52-15C364EED09E}"/>
    <cellStyle name="20% - Accent2 3 5 2 4 2" xfId="37517" xr:uid="{4A140334-E44B-41A5-B73F-6AC12352F1EB}"/>
    <cellStyle name="20% - Accent2 3 5 2 5" xfId="29913" xr:uid="{12332348-B8FA-4B9F-A72B-139C3A7320E4}"/>
    <cellStyle name="20% - Accent2 3 5 3" xfId="4632" xr:uid="{00000000-0005-0000-0000-0000B4020000}"/>
    <cellStyle name="20% - Accent2 3 5 3 2" xfId="4631" xr:uid="{00000000-0005-0000-0000-0000B5020000}"/>
    <cellStyle name="20% - Accent2 3 5 3 2 2" xfId="22537" xr:uid="{2125D7F1-4EDD-4A8E-B4E4-12BC91B90FC5}"/>
    <cellStyle name="20% - Accent2 3 5 3 2 2 2" xfId="37513" xr:uid="{02396B16-7B9A-4BBE-A97D-B4E872F1810B}"/>
    <cellStyle name="20% - Accent2 3 5 3 2 3" xfId="29909" xr:uid="{D5C2F693-F5E8-4D36-AEB6-2DF804825504}"/>
    <cellStyle name="20% - Accent2 3 5 3 3" xfId="22538" xr:uid="{8C7F6974-1CEC-4AD4-8543-7ACA7DAF887D}"/>
    <cellStyle name="20% - Accent2 3 5 3 3 2" xfId="37514" xr:uid="{A3B55BE4-5C90-4B39-97D1-DAC23A050409}"/>
    <cellStyle name="20% - Accent2 3 5 3 4" xfId="29910" xr:uid="{32D97EAB-7034-4484-9702-9C59A33091D1}"/>
    <cellStyle name="20% - Accent2 3 5 4" xfId="4630" xr:uid="{00000000-0005-0000-0000-0000B6020000}"/>
    <cellStyle name="20% - Accent2 3 5 4 2" xfId="22536" xr:uid="{A950C652-9D53-44F5-8BEA-30E9427EFFC7}"/>
    <cellStyle name="20% - Accent2 3 5 4 2 2" xfId="37512" xr:uid="{E991BAC1-3876-427A-8831-F1432321D063}"/>
    <cellStyle name="20% - Accent2 3 5 4 3" xfId="29908" xr:uid="{4AE4ADBE-D6A5-40E6-9784-E9C3D1831D82}"/>
    <cellStyle name="20% - Accent2 3 5 5" xfId="22542" xr:uid="{B51B947F-3186-41FB-AD07-2B4AB06599A7}"/>
    <cellStyle name="20% - Accent2 3 5 5 2" xfId="37518" xr:uid="{F7D5627E-0B0A-4552-A136-FC22BF5825C4}"/>
    <cellStyle name="20% - Accent2 3 5 6" xfId="29914" xr:uid="{71579D33-4D26-4BA7-A84D-330D5B958FD4}"/>
    <cellStyle name="20% - Accent2 3 6" xfId="4629" xr:uid="{00000000-0005-0000-0000-0000B7020000}"/>
    <cellStyle name="20% - Accent2 3 6 2" xfId="4628" xr:uid="{00000000-0005-0000-0000-0000B8020000}"/>
    <cellStyle name="20% - Accent2 3 6 2 2" xfId="22534" xr:uid="{7B2397F8-3ADD-41E6-A5BC-CAC82B685133}"/>
    <cellStyle name="20% - Accent2 3 6 2 2 2" xfId="37510" xr:uid="{288E4ABB-8560-4F53-85AD-EEFC6E6B41C8}"/>
    <cellStyle name="20% - Accent2 3 6 2 3" xfId="29906" xr:uid="{0FFAF3F5-F109-440B-9E05-5A20F473A0C2}"/>
    <cellStyle name="20% - Accent2 3 6 3" xfId="4627" xr:uid="{00000000-0005-0000-0000-0000B9020000}"/>
    <cellStyle name="20% - Accent2 3 6 3 2" xfId="22533" xr:uid="{E687C829-30D1-4720-BCB9-CC6CF80D6B32}"/>
    <cellStyle name="20% - Accent2 3 6 3 2 2" xfId="37509" xr:uid="{F96A77C4-1D81-4B27-81B7-46BEE7F167E4}"/>
    <cellStyle name="20% - Accent2 3 6 3 3" xfId="29905" xr:uid="{68A47485-479F-43E5-B888-FC01EAEC1ABB}"/>
    <cellStyle name="20% - Accent2 3 6 4" xfId="22535" xr:uid="{02CB4AC0-5014-4256-94A1-343BE6ADA30A}"/>
    <cellStyle name="20% - Accent2 3 6 4 2" xfId="37511" xr:uid="{8D616BA0-6FE9-478F-80B7-ECF96EBCBF2E}"/>
    <cellStyle name="20% - Accent2 3 6 5" xfId="29907" xr:uid="{2FD60397-B8FD-478D-946F-58851238EEB7}"/>
    <cellStyle name="20% - Accent2 3 7" xfId="4626" xr:uid="{00000000-0005-0000-0000-0000BA020000}"/>
    <cellStyle name="20% - Accent2 3 7 2" xfId="22532" xr:uid="{6D3F1530-1C68-4771-B37F-C1EED93DF24A}"/>
    <cellStyle name="20% - Accent2 3 7 2 2" xfId="37508" xr:uid="{434ED94D-A07D-43BA-9A10-9A5E7DE48DB2}"/>
    <cellStyle name="20% - Accent2 3 7 3" xfId="29904" xr:uid="{DA397F2C-B3BE-43A4-B494-2B6BB783A882}"/>
    <cellStyle name="20% - Accent2 3 8" xfId="4625" xr:uid="{00000000-0005-0000-0000-0000BB020000}"/>
    <cellStyle name="20% - Accent2 3 8 2" xfId="4624" xr:uid="{00000000-0005-0000-0000-0000BC020000}"/>
    <cellStyle name="20% - Accent2 3 8 2 2" xfId="22530" xr:uid="{DABCCE0E-326F-437A-A208-A8649DA7047A}"/>
    <cellStyle name="20% - Accent2 3 8 2 2 2" xfId="37506" xr:uid="{6929A620-6436-4B4A-A5BA-A413940EF532}"/>
    <cellStyle name="20% - Accent2 3 8 2 3" xfId="29902" xr:uid="{1E1F573F-9F28-43AF-8272-9FFDAD70BE7D}"/>
    <cellStyle name="20% - Accent2 3 8 3" xfId="22531" xr:uid="{C68C2429-7547-46CB-B6A6-58553EB5443A}"/>
    <cellStyle name="20% - Accent2 3 8 3 2" xfId="37507" xr:uid="{AADCDE84-326F-45D3-A40D-093A585DD007}"/>
    <cellStyle name="20% - Accent2 3 8 4" xfId="29903" xr:uid="{BBE97E57-27D1-443C-9A23-950DCB47A4DA}"/>
    <cellStyle name="20% - Accent2 3 9" xfId="4623" xr:uid="{00000000-0005-0000-0000-0000BD020000}"/>
    <cellStyle name="20% - Accent2 3 9 2" xfId="22529" xr:uid="{C01312B8-D34C-4A75-ABE4-AD4D63D4108F}"/>
    <cellStyle name="20% - Accent2 3 9 2 2" xfId="37505" xr:uid="{E0B92E5F-B299-47E3-9E21-244A12DAB2FC}"/>
    <cellStyle name="20% - Accent2 3 9 3" xfId="29901" xr:uid="{D5D78113-75D5-4928-8BD6-96513BE11B18}"/>
    <cellStyle name="20% - Accent2 4" xfId="186" xr:uid="{00000000-0005-0000-0000-00001F000000}"/>
    <cellStyle name="20% - Accent2 4 10" xfId="4622" xr:uid="{00000000-0005-0000-0000-0000BE020000}"/>
    <cellStyle name="20% - Accent2 4 10 2" xfId="22528" xr:uid="{B3484C7B-0F48-48C3-BEAD-EAE3B1FAF3FC}"/>
    <cellStyle name="20% - Accent2 4 10 2 2" xfId="37504" xr:uid="{D5836184-A2EB-4DDA-8460-5908DAD288AE}"/>
    <cellStyle name="20% - Accent2 4 10 3" xfId="29900" xr:uid="{E46114EF-4E31-495D-ACB4-E3A702540262}"/>
    <cellStyle name="20% - Accent2 4 2" xfId="4621" xr:uid="{00000000-0005-0000-0000-0000BF020000}"/>
    <cellStyle name="20% - Accent2 4 2 2" xfId="4620" xr:uid="{00000000-0005-0000-0000-0000C0020000}"/>
    <cellStyle name="20% - Accent2 4 2 2 2" xfId="4619" xr:uid="{00000000-0005-0000-0000-0000C1020000}"/>
    <cellStyle name="20% - Accent2 4 2 2 2 2" xfId="4618" xr:uid="{00000000-0005-0000-0000-0000C2020000}"/>
    <cellStyle name="20% - Accent2 4 2 2 2 2 2" xfId="4617" xr:uid="{00000000-0005-0000-0000-0000C3020000}"/>
    <cellStyle name="20% - Accent2 4 2 2 2 2 2 2" xfId="22524" xr:uid="{8E1946CB-69FF-4339-912E-9ADAB13858CE}"/>
    <cellStyle name="20% - Accent2 4 2 2 2 2 2 2 2" xfId="37500" xr:uid="{D658B5E9-424E-4DA9-8EBF-D9DF36E3181C}"/>
    <cellStyle name="20% - Accent2 4 2 2 2 2 2 3" xfId="29896" xr:uid="{593274D3-59D4-4F71-BB86-E643EE125905}"/>
    <cellStyle name="20% - Accent2 4 2 2 2 2 3" xfId="4616" xr:uid="{00000000-0005-0000-0000-0000C4020000}"/>
    <cellStyle name="20% - Accent2 4 2 2 2 2 3 2" xfId="22523" xr:uid="{4A68C390-286E-4D02-9B46-5F71F87D8C7D}"/>
    <cellStyle name="20% - Accent2 4 2 2 2 2 3 2 2" xfId="37499" xr:uid="{C1A3DE81-441E-4365-B874-9EC4001C805B}"/>
    <cellStyle name="20% - Accent2 4 2 2 2 2 3 3" xfId="29895" xr:uid="{6F0537CD-5410-4190-90B9-106F117D6C1C}"/>
    <cellStyle name="20% - Accent2 4 2 2 2 2 4" xfId="22525" xr:uid="{7927CCC9-5A16-461F-AA37-03EC683BA764}"/>
    <cellStyle name="20% - Accent2 4 2 2 2 2 4 2" xfId="37501" xr:uid="{2456C3C8-68F5-41AC-819A-D841C97466D9}"/>
    <cellStyle name="20% - Accent2 4 2 2 2 2 5" xfId="29897" xr:uid="{5435BF0D-75B1-497C-992B-AB4CF989F2A5}"/>
    <cellStyle name="20% - Accent2 4 2 2 2 3" xfId="4615" xr:uid="{00000000-0005-0000-0000-0000C5020000}"/>
    <cellStyle name="20% - Accent2 4 2 2 2 3 2" xfId="4614" xr:uid="{00000000-0005-0000-0000-0000C6020000}"/>
    <cellStyle name="20% - Accent2 4 2 2 2 3 2 2" xfId="22521" xr:uid="{C983E089-29C0-47CF-BF38-92C2734EAC0F}"/>
    <cellStyle name="20% - Accent2 4 2 2 2 3 2 2 2" xfId="37497" xr:uid="{177F5BA8-BDE9-4EA9-BCEC-199DCF8FC3B5}"/>
    <cellStyle name="20% - Accent2 4 2 2 2 3 2 3" xfId="29893" xr:uid="{D69530CF-E9A7-44C0-BC6F-E8E7740DB3D5}"/>
    <cellStyle name="20% - Accent2 4 2 2 2 3 3" xfId="22522" xr:uid="{DE1A673D-04F3-4F95-A1B4-2E3FAA35CE48}"/>
    <cellStyle name="20% - Accent2 4 2 2 2 3 3 2" xfId="37498" xr:uid="{F3CF4DAE-8BAE-4CD8-A14B-602E41D8A2AB}"/>
    <cellStyle name="20% - Accent2 4 2 2 2 3 4" xfId="29894" xr:uid="{B8852507-C51C-41BF-BBD8-C40393DD3993}"/>
    <cellStyle name="20% - Accent2 4 2 2 2 4" xfId="4613" xr:uid="{00000000-0005-0000-0000-0000C7020000}"/>
    <cellStyle name="20% - Accent2 4 2 2 2 4 2" xfId="22520" xr:uid="{CC287766-8BE4-4900-BE87-22E43E5F65B4}"/>
    <cellStyle name="20% - Accent2 4 2 2 2 4 2 2" xfId="37496" xr:uid="{E1FF0320-AFD3-42A7-A1B2-871C3162027E}"/>
    <cellStyle name="20% - Accent2 4 2 2 2 4 3" xfId="29892" xr:uid="{EE332ADC-335C-48F1-B34C-6B4FEA07E75B}"/>
    <cellStyle name="20% - Accent2 4 2 2 2 5" xfId="22526" xr:uid="{CEC5CEBB-3998-4DE5-8FAA-43E26A160FE8}"/>
    <cellStyle name="20% - Accent2 4 2 2 2 5 2" xfId="37502" xr:uid="{B1A25D00-83C3-437B-8285-A51E903E757E}"/>
    <cellStyle name="20% - Accent2 4 2 2 2 6" xfId="29898" xr:uid="{FA75AF32-4E03-4E86-B74E-A7798E6F6DB0}"/>
    <cellStyle name="20% - Accent2 4 2 2 3" xfId="4612" xr:uid="{00000000-0005-0000-0000-0000C8020000}"/>
    <cellStyle name="20% - Accent2 4 2 2 3 2" xfId="4611" xr:uid="{00000000-0005-0000-0000-0000C9020000}"/>
    <cellStyle name="20% - Accent2 4 2 2 3 2 2" xfId="22518" xr:uid="{D838CFE3-86DF-4890-BBE5-2A378BEFA2D5}"/>
    <cellStyle name="20% - Accent2 4 2 2 3 2 2 2" xfId="37494" xr:uid="{EF45BE77-A2B6-48E4-918A-7FB502E2E45E}"/>
    <cellStyle name="20% - Accent2 4 2 2 3 2 3" xfId="29890" xr:uid="{1D891D8C-C341-4C31-9D23-9F384618C962}"/>
    <cellStyle name="20% - Accent2 4 2 2 3 3" xfId="4610" xr:uid="{00000000-0005-0000-0000-0000CA020000}"/>
    <cellStyle name="20% - Accent2 4 2 2 3 3 2" xfId="22517" xr:uid="{93054BC4-BB20-471D-B759-355F6112DC42}"/>
    <cellStyle name="20% - Accent2 4 2 2 3 3 2 2" xfId="37493" xr:uid="{FAB785F0-3706-487C-83D0-31A260A8DB30}"/>
    <cellStyle name="20% - Accent2 4 2 2 3 3 3" xfId="29889" xr:uid="{63FC0C79-DBC3-46D0-9928-9C968A6E1B83}"/>
    <cellStyle name="20% - Accent2 4 2 2 3 4" xfId="22519" xr:uid="{91CF27E3-7C56-4CFB-9875-8D061E8AF2C3}"/>
    <cellStyle name="20% - Accent2 4 2 2 3 4 2" xfId="37495" xr:uid="{E3E8BF88-82B2-4960-AE1B-2A9DD7C25F4A}"/>
    <cellStyle name="20% - Accent2 4 2 2 3 5" xfId="29891" xr:uid="{0950EB4A-3A5A-4ADA-9BBB-5591C1F1B4E2}"/>
    <cellStyle name="20% - Accent2 4 2 2 4" xfId="4609" xr:uid="{00000000-0005-0000-0000-0000CB020000}"/>
    <cellStyle name="20% - Accent2 4 2 2 4 2" xfId="22516" xr:uid="{411F7EC1-FE2C-4064-8B97-323C67467C13}"/>
    <cellStyle name="20% - Accent2 4 2 2 4 2 2" xfId="37492" xr:uid="{9CB4DFDC-BF8C-455A-9976-4822FA200A1B}"/>
    <cellStyle name="20% - Accent2 4 2 2 4 3" xfId="29888" xr:uid="{5C5E02DB-22CB-422D-B902-71DC6A1987ED}"/>
    <cellStyle name="20% - Accent2 4 2 2 5" xfId="4608" xr:uid="{00000000-0005-0000-0000-0000CC020000}"/>
    <cellStyle name="20% - Accent2 4 2 2 5 2" xfId="4607" xr:uid="{00000000-0005-0000-0000-0000CD020000}"/>
    <cellStyle name="20% - Accent2 4 2 2 5 2 2" xfId="22514" xr:uid="{154BDC68-394D-4833-8A31-A9A9BD3FE095}"/>
    <cellStyle name="20% - Accent2 4 2 2 5 2 2 2" xfId="37490" xr:uid="{A551019D-2E8C-4CB1-BC65-F3C1F08D5214}"/>
    <cellStyle name="20% - Accent2 4 2 2 5 2 3" xfId="29886" xr:uid="{8835A1B0-73F9-4E0D-B69F-6FBB5C5FA96C}"/>
    <cellStyle name="20% - Accent2 4 2 2 5 3" xfId="22515" xr:uid="{4C75826E-735F-4381-864E-3777A0023A6F}"/>
    <cellStyle name="20% - Accent2 4 2 2 5 3 2" xfId="37491" xr:uid="{05732536-8EBB-42C1-929C-5BC1B88606C4}"/>
    <cellStyle name="20% - Accent2 4 2 2 5 4" xfId="29887" xr:uid="{2659167C-8149-4221-A7E2-6CBC583BD21B}"/>
    <cellStyle name="20% - Accent2 4 2 2 6" xfId="4606" xr:uid="{00000000-0005-0000-0000-0000CE020000}"/>
    <cellStyle name="20% - Accent2 4 2 2 6 2" xfId="22513" xr:uid="{31097F2E-3A9B-43D6-B023-98013802EBB8}"/>
    <cellStyle name="20% - Accent2 4 2 2 6 2 2" xfId="37489" xr:uid="{08E7B7DE-33F6-4AD0-A8BA-C01FBDB5C1F4}"/>
    <cellStyle name="20% - Accent2 4 2 2 6 3" xfId="29885" xr:uid="{0F6C7F54-6851-40F1-B27A-5269D837FF3A}"/>
    <cellStyle name="20% - Accent2 4 2 2 7" xfId="22527" xr:uid="{E8AD1383-B43E-4820-AC24-8DCA761A2FA5}"/>
    <cellStyle name="20% - Accent2 4 2 2 7 2" xfId="37503" xr:uid="{2DD56FC1-B979-49F1-85BD-ADE6D909E049}"/>
    <cellStyle name="20% - Accent2 4 2 2 8" xfId="29899" xr:uid="{EA623DD5-C237-4380-9C25-813BEE87EC29}"/>
    <cellStyle name="20% - Accent2 4 2 3" xfId="4605" xr:uid="{00000000-0005-0000-0000-0000CF020000}"/>
    <cellStyle name="20% - Accent2 4 2 3 2" xfId="4604" xr:uid="{00000000-0005-0000-0000-0000D0020000}"/>
    <cellStyle name="20% - Accent2 4 2 3 2 2" xfId="4603" xr:uid="{00000000-0005-0000-0000-0000D1020000}"/>
    <cellStyle name="20% - Accent2 4 2 3 2 2 2" xfId="22510" xr:uid="{D2CFEAB4-AD6A-4326-A322-8BBBD6F142D9}"/>
    <cellStyle name="20% - Accent2 4 2 3 2 2 2 2" xfId="37486" xr:uid="{35D38869-1DBF-45E5-9B47-EFDFC408F8A9}"/>
    <cellStyle name="20% - Accent2 4 2 3 2 2 3" xfId="29882" xr:uid="{BB443BC6-608D-4E3F-9E33-A02D13C2AF47}"/>
    <cellStyle name="20% - Accent2 4 2 3 2 3" xfId="4602" xr:uid="{00000000-0005-0000-0000-0000D2020000}"/>
    <cellStyle name="20% - Accent2 4 2 3 2 3 2" xfId="22509" xr:uid="{E0780007-2AFC-446A-8874-5463AED7A1ED}"/>
    <cellStyle name="20% - Accent2 4 2 3 2 3 2 2" xfId="37485" xr:uid="{7A195710-1155-4D1F-B650-AD2E8F9FE212}"/>
    <cellStyle name="20% - Accent2 4 2 3 2 3 3" xfId="29881" xr:uid="{DBC2DBBA-9F55-4443-8ECA-2D67B6662D72}"/>
    <cellStyle name="20% - Accent2 4 2 3 2 4" xfId="22511" xr:uid="{CEB35DA4-1818-4F64-B6D0-31B952C06D6B}"/>
    <cellStyle name="20% - Accent2 4 2 3 2 4 2" xfId="37487" xr:uid="{61260B5B-EA2F-408C-85EB-5CAC8EC3DD0B}"/>
    <cellStyle name="20% - Accent2 4 2 3 2 5" xfId="29883" xr:uid="{1BA34DAF-1F09-42F2-AF74-6C52AA482327}"/>
    <cellStyle name="20% - Accent2 4 2 3 3" xfId="4601" xr:uid="{00000000-0005-0000-0000-0000D3020000}"/>
    <cellStyle name="20% - Accent2 4 2 3 3 2" xfId="4600" xr:uid="{00000000-0005-0000-0000-0000D4020000}"/>
    <cellStyle name="20% - Accent2 4 2 3 3 2 2" xfId="22507" xr:uid="{85D2E243-AE93-44C2-B60A-ACF10AC1D16C}"/>
    <cellStyle name="20% - Accent2 4 2 3 3 2 2 2" xfId="37483" xr:uid="{C6BF1419-9F91-4E14-9DB4-A83283072367}"/>
    <cellStyle name="20% - Accent2 4 2 3 3 2 3" xfId="29879" xr:uid="{8320ECF4-CE02-446E-9958-C753EE7E2A6A}"/>
    <cellStyle name="20% - Accent2 4 2 3 3 3" xfId="22508" xr:uid="{93D843A9-127E-42B4-A2A9-FC159D9F47E3}"/>
    <cellStyle name="20% - Accent2 4 2 3 3 3 2" xfId="37484" xr:uid="{A116E32F-D850-44FE-8AA0-005125EF7961}"/>
    <cellStyle name="20% - Accent2 4 2 3 3 4" xfId="29880" xr:uid="{00BE3F8F-D5B9-4611-82B1-26225B1FB604}"/>
    <cellStyle name="20% - Accent2 4 2 3 4" xfId="4599" xr:uid="{00000000-0005-0000-0000-0000D5020000}"/>
    <cellStyle name="20% - Accent2 4 2 3 4 2" xfId="22506" xr:uid="{ED4CA135-1D4E-4401-853B-5184C60B99EC}"/>
    <cellStyle name="20% - Accent2 4 2 3 4 2 2" xfId="37482" xr:uid="{641F4EBC-868E-4E31-8663-B3CD5CF49C33}"/>
    <cellStyle name="20% - Accent2 4 2 3 4 3" xfId="29878" xr:uid="{A174D232-D9B6-4FD0-8BD0-57ED98EAFDC0}"/>
    <cellStyle name="20% - Accent2 4 2 3 5" xfId="22512" xr:uid="{021B9173-E2B8-43B0-83D5-47EC341F6CC8}"/>
    <cellStyle name="20% - Accent2 4 2 3 5 2" xfId="37488" xr:uid="{7F35FC3E-D537-4817-B5EC-5375EE427B7A}"/>
    <cellStyle name="20% - Accent2 4 2 3 6" xfId="29884" xr:uid="{9A6FB816-B0D7-4131-B82C-6E117FE31496}"/>
    <cellStyle name="20% - Accent2 4 2 4" xfId="4598" xr:uid="{00000000-0005-0000-0000-0000D6020000}"/>
    <cellStyle name="20% - Accent2 4 2 5" xfId="4597" xr:uid="{00000000-0005-0000-0000-0000D7020000}"/>
    <cellStyle name="20% - Accent2 4 2 5 2" xfId="22505" xr:uid="{66279807-B815-47E7-B0FA-3DBA328D4E48}"/>
    <cellStyle name="20% - Accent2 4 2 5 2 2" xfId="37481" xr:uid="{989D1FB3-1881-4708-829E-E13679C15EE6}"/>
    <cellStyle name="20% - Accent2 4 2 5 3" xfId="29877" xr:uid="{2AC32872-A830-493C-A74D-A2B063640499}"/>
    <cellStyle name="20% - Accent2 4 3" xfId="4596" xr:uid="{00000000-0005-0000-0000-0000D8020000}"/>
    <cellStyle name="20% - Accent2 4 3 2" xfId="4595" xr:uid="{00000000-0005-0000-0000-0000D9020000}"/>
    <cellStyle name="20% - Accent2 4 3 2 2" xfId="4594" xr:uid="{00000000-0005-0000-0000-0000DA020000}"/>
    <cellStyle name="20% - Accent2 4 3 2 2 2" xfId="22502" xr:uid="{2CFA5097-85E4-4D39-9041-53BFD0728377}"/>
    <cellStyle name="20% - Accent2 4 3 2 2 2 2" xfId="37478" xr:uid="{2678705E-01EC-4A00-AAC5-F5994B224C88}"/>
    <cellStyle name="20% - Accent2 4 3 2 2 3" xfId="29874" xr:uid="{C75DB58C-1292-4580-B4AB-A1451F5D53BB}"/>
    <cellStyle name="20% - Accent2 4 3 2 3" xfId="4593" xr:uid="{00000000-0005-0000-0000-0000DB020000}"/>
    <cellStyle name="20% - Accent2 4 3 2 3 2" xfId="22501" xr:uid="{E1101CA1-F015-4D16-AD49-C1C300FEC8BC}"/>
    <cellStyle name="20% - Accent2 4 3 2 3 2 2" xfId="37477" xr:uid="{98ABFBA3-55B9-40D2-AAE7-349939136AA3}"/>
    <cellStyle name="20% - Accent2 4 3 2 3 3" xfId="29873" xr:uid="{B1DD0585-7615-4ED2-856C-B64E7D937879}"/>
    <cellStyle name="20% - Accent2 4 3 2 4" xfId="22503" xr:uid="{757A6C15-3239-4519-B54E-6EE6EB92022E}"/>
    <cellStyle name="20% - Accent2 4 3 2 4 2" xfId="37479" xr:uid="{A33C3871-74A0-49C2-A750-01451BBB9CAB}"/>
    <cellStyle name="20% - Accent2 4 3 2 5" xfId="29875" xr:uid="{B55712B2-2861-4AF6-81F8-CBA75A320347}"/>
    <cellStyle name="20% - Accent2 4 3 3" xfId="4592" xr:uid="{00000000-0005-0000-0000-0000DC020000}"/>
    <cellStyle name="20% - Accent2 4 3 3 2" xfId="22500" xr:uid="{9C22C090-E348-4FA5-89CD-0EFF476FC1C1}"/>
    <cellStyle name="20% - Accent2 4 3 3 2 2" xfId="37476" xr:uid="{15871C41-AEAD-4E31-899F-30BD0CFD14D1}"/>
    <cellStyle name="20% - Accent2 4 3 3 3" xfId="29872" xr:uid="{E2449329-8386-45E9-90B3-1A0242B49EF8}"/>
    <cellStyle name="20% - Accent2 4 3 4" xfId="4591" xr:uid="{00000000-0005-0000-0000-0000DD020000}"/>
    <cellStyle name="20% - Accent2 4 3 4 2" xfId="4590" xr:uid="{00000000-0005-0000-0000-0000DE020000}"/>
    <cellStyle name="20% - Accent2 4 3 4 2 2" xfId="22498" xr:uid="{9EB3E55B-F1A9-49CD-9E26-8D54926A5CFA}"/>
    <cellStyle name="20% - Accent2 4 3 4 2 2 2" xfId="37474" xr:uid="{FC7EA2A2-939A-4724-8CF2-8E7E20C1A26E}"/>
    <cellStyle name="20% - Accent2 4 3 4 2 3" xfId="29870" xr:uid="{733657DC-7D8B-453D-85AE-B40972D17943}"/>
    <cellStyle name="20% - Accent2 4 3 4 3" xfId="22499" xr:uid="{574EDD3A-3671-4441-A9FA-C48CBD923D85}"/>
    <cellStyle name="20% - Accent2 4 3 4 3 2" xfId="37475" xr:uid="{EF6E4E05-3368-49DB-B188-6D7442AA930F}"/>
    <cellStyle name="20% - Accent2 4 3 4 4" xfId="29871" xr:uid="{4B333A26-6EC5-46D4-B698-85637B814BD9}"/>
    <cellStyle name="20% - Accent2 4 3 5" xfId="4589" xr:uid="{00000000-0005-0000-0000-0000DF020000}"/>
    <cellStyle name="20% - Accent2 4 3 5 2" xfId="22497" xr:uid="{650E69FE-E9DE-4E0D-B876-1F16547E9E72}"/>
    <cellStyle name="20% - Accent2 4 3 5 2 2" xfId="37473" xr:uid="{2606C5D6-3148-4309-AFDE-A7BC07C6FFA8}"/>
    <cellStyle name="20% - Accent2 4 3 5 3" xfId="29869" xr:uid="{CC0121C7-0289-46D9-AA28-9816BB6F7369}"/>
    <cellStyle name="20% - Accent2 4 3 6" xfId="22504" xr:uid="{84C0B6B9-438D-4AB3-A250-CE72A626F174}"/>
    <cellStyle name="20% - Accent2 4 3 6 2" xfId="37480" xr:uid="{E698F23B-7F44-4B29-922A-885ACA006952}"/>
    <cellStyle name="20% - Accent2 4 3 7" xfId="29876" xr:uid="{C6978BD8-D365-4CE6-B777-014A719AD1BB}"/>
    <cellStyle name="20% - Accent2 4 4" xfId="4588" xr:uid="{00000000-0005-0000-0000-0000E0020000}"/>
    <cellStyle name="20% - Accent2 4 4 2" xfId="4587" xr:uid="{00000000-0005-0000-0000-0000E1020000}"/>
    <cellStyle name="20% - Accent2 4 4 2 2" xfId="4586" xr:uid="{00000000-0005-0000-0000-0000E2020000}"/>
    <cellStyle name="20% - Accent2 4 4 2 2 2" xfId="22494" xr:uid="{C9827C15-883A-4A6F-BE42-1217E6265944}"/>
    <cellStyle name="20% - Accent2 4 4 2 2 2 2" xfId="37470" xr:uid="{3549C19F-ADF2-453F-945E-48973005638F}"/>
    <cellStyle name="20% - Accent2 4 4 2 2 3" xfId="29866" xr:uid="{E3D5931A-B63D-448F-ABD7-886365E47B5B}"/>
    <cellStyle name="20% - Accent2 4 4 2 3" xfId="4585" xr:uid="{00000000-0005-0000-0000-0000E3020000}"/>
    <cellStyle name="20% - Accent2 4 4 2 3 2" xfId="22493" xr:uid="{FC3B3364-472E-4A12-AB68-E2F6A31B21A5}"/>
    <cellStyle name="20% - Accent2 4 4 2 3 2 2" xfId="37469" xr:uid="{F26D8A85-4010-4EF0-B911-3EB0603063DC}"/>
    <cellStyle name="20% - Accent2 4 4 2 3 3" xfId="29865" xr:uid="{0B6D5751-D5D9-4620-874D-078494988DEC}"/>
    <cellStyle name="20% - Accent2 4 4 2 4" xfId="22495" xr:uid="{10CE9A45-849B-4F08-B446-93938CC8BEEC}"/>
    <cellStyle name="20% - Accent2 4 4 2 4 2" xfId="37471" xr:uid="{B626F647-71F0-480C-91DA-00E5B3C57D4F}"/>
    <cellStyle name="20% - Accent2 4 4 2 5" xfId="29867" xr:uid="{EEF682EE-5EE6-4290-A1C0-39D68EA16D39}"/>
    <cellStyle name="20% - Accent2 4 4 3" xfId="4584" xr:uid="{00000000-0005-0000-0000-0000E4020000}"/>
    <cellStyle name="20% - Accent2 4 4 3 2" xfId="4583" xr:uid="{00000000-0005-0000-0000-0000E5020000}"/>
    <cellStyle name="20% - Accent2 4 4 3 2 2" xfId="22491" xr:uid="{11752AE8-6AD9-4400-80E0-8DAD856638FD}"/>
    <cellStyle name="20% - Accent2 4 4 3 2 2 2" xfId="37467" xr:uid="{0709A46E-469D-4838-AA5F-48110D70943D}"/>
    <cellStyle name="20% - Accent2 4 4 3 2 3" xfId="29863" xr:uid="{64162D7D-2C6A-45D2-A734-CCA4A7AEB84D}"/>
    <cellStyle name="20% - Accent2 4 4 3 3" xfId="22492" xr:uid="{8E1C268C-1992-4281-92E3-5EA1EC00FEED}"/>
    <cellStyle name="20% - Accent2 4 4 3 3 2" xfId="37468" xr:uid="{2FF1032F-FDB5-4724-9B87-4E7730E6E8F5}"/>
    <cellStyle name="20% - Accent2 4 4 3 4" xfId="29864" xr:uid="{F45690FF-DAA8-4C51-AAB3-604857A4D5E7}"/>
    <cellStyle name="20% - Accent2 4 4 4" xfId="4582" xr:uid="{00000000-0005-0000-0000-0000E6020000}"/>
    <cellStyle name="20% - Accent2 4 4 4 2" xfId="22490" xr:uid="{6FB21E2E-C851-4F14-9B2C-A6ABBADC9C0D}"/>
    <cellStyle name="20% - Accent2 4 4 4 2 2" xfId="37466" xr:uid="{471B664A-63D0-48B3-A927-FB75FE6C178A}"/>
    <cellStyle name="20% - Accent2 4 4 4 3" xfId="29862" xr:uid="{9DA5FEFE-312F-4B39-98BA-17FAE3144C89}"/>
    <cellStyle name="20% - Accent2 4 4 5" xfId="22496" xr:uid="{E70EEAA2-C6E6-4234-8684-7551A193FD97}"/>
    <cellStyle name="20% - Accent2 4 4 5 2" xfId="37472" xr:uid="{5B04FB27-543E-4B45-9062-90D66EF3A899}"/>
    <cellStyle name="20% - Accent2 4 4 6" xfId="29868" xr:uid="{4CFD38F0-25CF-4A91-B582-5451DB9D0937}"/>
    <cellStyle name="20% - Accent2 4 5" xfId="4581" xr:uid="{00000000-0005-0000-0000-0000E7020000}"/>
    <cellStyle name="20% - Accent2 4 5 2" xfId="4580" xr:uid="{00000000-0005-0000-0000-0000E8020000}"/>
    <cellStyle name="20% - Accent2 4 5 2 2" xfId="4579" xr:uid="{00000000-0005-0000-0000-0000E9020000}"/>
    <cellStyle name="20% - Accent2 4 5 2 2 2" xfId="22487" xr:uid="{42C058C5-FEFD-4DE2-9539-BE01DEE565BD}"/>
    <cellStyle name="20% - Accent2 4 5 2 2 2 2" xfId="37463" xr:uid="{2A9E7A82-57BE-4E8E-B2B6-FE0C6A4FD452}"/>
    <cellStyle name="20% - Accent2 4 5 2 2 3" xfId="29859" xr:uid="{E4B0F573-32EC-4809-937D-A40714BB96B2}"/>
    <cellStyle name="20% - Accent2 4 5 2 3" xfId="4578" xr:uid="{00000000-0005-0000-0000-0000EA020000}"/>
    <cellStyle name="20% - Accent2 4 5 2 3 2" xfId="22486" xr:uid="{9F4F1F18-F565-4044-B124-C850974429F2}"/>
    <cellStyle name="20% - Accent2 4 5 2 3 2 2" xfId="37462" xr:uid="{DF464FD6-DCFE-443A-BEFA-C9901E2DF5DC}"/>
    <cellStyle name="20% - Accent2 4 5 2 3 3" xfId="29858" xr:uid="{2587D54C-D655-40E4-8284-AD500C4240DD}"/>
    <cellStyle name="20% - Accent2 4 5 2 4" xfId="22488" xr:uid="{9EE1D845-6FD7-4E4F-8ACC-A689A9D01BBB}"/>
    <cellStyle name="20% - Accent2 4 5 2 4 2" xfId="37464" xr:uid="{F95E3ED5-E7B4-47F3-AA11-BF9801139400}"/>
    <cellStyle name="20% - Accent2 4 5 2 5" xfId="29860" xr:uid="{ADE2A3C1-6539-4135-B82E-2A5882419FBE}"/>
    <cellStyle name="20% - Accent2 4 5 3" xfId="4577" xr:uid="{00000000-0005-0000-0000-0000EB020000}"/>
    <cellStyle name="20% - Accent2 4 5 3 2" xfId="4576" xr:uid="{00000000-0005-0000-0000-0000EC020000}"/>
    <cellStyle name="20% - Accent2 4 5 3 2 2" xfId="22484" xr:uid="{C8F855DE-103A-48CC-AF4F-D7B3CD5876BF}"/>
    <cellStyle name="20% - Accent2 4 5 3 2 2 2" xfId="37460" xr:uid="{9984D7A3-2DBB-49B0-80AE-39C8956D3271}"/>
    <cellStyle name="20% - Accent2 4 5 3 2 3" xfId="29856" xr:uid="{799CCF70-DD13-4D45-8B7D-E55CEAF6A2A1}"/>
    <cellStyle name="20% - Accent2 4 5 3 3" xfId="22485" xr:uid="{18E54D45-06D3-49AD-B6CF-8B37507EA17D}"/>
    <cellStyle name="20% - Accent2 4 5 3 3 2" xfId="37461" xr:uid="{05ADC8EE-9626-4D77-A869-C06F434E7BDB}"/>
    <cellStyle name="20% - Accent2 4 5 3 4" xfId="29857" xr:uid="{ED6F790F-22E2-4B2F-8CB9-E7FF693488AE}"/>
    <cellStyle name="20% - Accent2 4 5 4" xfId="4575" xr:uid="{00000000-0005-0000-0000-0000ED020000}"/>
    <cellStyle name="20% - Accent2 4 5 4 2" xfId="22483" xr:uid="{6D7A4515-18B3-4320-9751-E63B6357329F}"/>
    <cellStyle name="20% - Accent2 4 5 4 2 2" xfId="37459" xr:uid="{53482621-38F8-4D28-9614-1BC0A148A3FD}"/>
    <cellStyle name="20% - Accent2 4 5 4 3" xfId="29855" xr:uid="{2195E1D1-0B68-4A30-88CE-8370D0E6BFBE}"/>
    <cellStyle name="20% - Accent2 4 5 5" xfId="22489" xr:uid="{7EA8D919-4F6E-4EE5-A438-0570142412EB}"/>
    <cellStyle name="20% - Accent2 4 5 5 2" xfId="37465" xr:uid="{6225F141-0493-4A3E-A24D-804A086CFF47}"/>
    <cellStyle name="20% - Accent2 4 5 6" xfId="29861" xr:uid="{4B77F487-B9CB-46CE-899E-627E9CCB4EED}"/>
    <cellStyle name="20% - Accent2 4 6" xfId="4574" xr:uid="{00000000-0005-0000-0000-0000EE020000}"/>
    <cellStyle name="20% - Accent2 4 6 2" xfId="4573" xr:uid="{00000000-0005-0000-0000-0000EF020000}"/>
    <cellStyle name="20% - Accent2 4 6 2 2" xfId="22481" xr:uid="{A6B20208-9FE1-4A2D-A463-47190B69B1B5}"/>
    <cellStyle name="20% - Accent2 4 6 2 2 2" xfId="37457" xr:uid="{5B7E999B-1C30-4E57-9372-B703DBBA831A}"/>
    <cellStyle name="20% - Accent2 4 6 2 3" xfId="29853" xr:uid="{6B15C8A2-CFC8-4A47-8C92-4993BAB07D30}"/>
    <cellStyle name="20% - Accent2 4 6 3" xfId="4572" xr:uid="{00000000-0005-0000-0000-0000F0020000}"/>
    <cellStyle name="20% - Accent2 4 6 3 2" xfId="22480" xr:uid="{89BB254A-9AAB-4128-B372-637F577E53CC}"/>
    <cellStyle name="20% - Accent2 4 6 3 2 2" xfId="37456" xr:uid="{69727BA1-A9C8-4944-881A-E339B032049C}"/>
    <cellStyle name="20% - Accent2 4 6 3 3" xfId="29852" xr:uid="{D964ED61-94DB-4F27-9B92-B931B207D089}"/>
    <cellStyle name="20% - Accent2 4 6 4" xfId="22482" xr:uid="{0ECE9733-9D19-4799-8540-D706D9C5906B}"/>
    <cellStyle name="20% - Accent2 4 6 4 2" xfId="37458" xr:uid="{148A3FB6-5ADA-433B-A4C6-2549C42224B5}"/>
    <cellStyle name="20% - Accent2 4 6 5" xfId="29854" xr:uid="{10DF57E3-9141-494C-A94F-656849590FA2}"/>
    <cellStyle name="20% - Accent2 4 7" xfId="4571" xr:uid="{00000000-0005-0000-0000-0000F1020000}"/>
    <cellStyle name="20% - Accent2 4 7 2" xfId="22479" xr:uid="{46674850-03CE-49A5-980A-6AA281A721AC}"/>
    <cellStyle name="20% - Accent2 4 7 2 2" xfId="37455" xr:uid="{AD015C93-3B4B-4E20-A5A0-354FADB6375E}"/>
    <cellStyle name="20% - Accent2 4 7 3" xfId="29851" xr:uid="{1FBE0FEB-5276-42A3-812F-806601601196}"/>
    <cellStyle name="20% - Accent2 4 8" xfId="4570" xr:uid="{00000000-0005-0000-0000-0000F2020000}"/>
    <cellStyle name="20% - Accent2 4 8 2" xfId="4569" xr:uid="{00000000-0005-0000-0000-0000F3020000}"/>
    <cellStyle name="20% - Accent2 4 8 2 2" xfId="22477" xr:uid="{D86F7A95-AFBB-4D29-9EA3-316E23612D32}"/>
    <cellStyle name="20% - Accent2 4 8 2 2 2" xfId="37453" xr:uid="{DED90FC8-FBEF-44F0-93A9-8754E2AA6EBC}"/>
    <cellStyle name="20% - Accent2 4 8 2 3" xfId="29849" xr:uid="{A7C34D66-4980-4FEA-8A00-6770CAB6F74C}"/>
    <cellStyle name="20% - Accent2 4 8 3" xfId="22478" xr:uid="{26A41E4B-8A6B-414C-ADAE-7C1483B19BEC}"/>
    <cellStyle name="20% - Accent2 4 8 3 2" xfId="37454" xr:uid="{A0276520-BCA5-4595-81CA-EE9E396CF063}"/>
    <cellStyle name="20% - Accent2 4 8 4" xfId="29850" xr:uid="{18D68180-83CF-4AEA-BF8D-387AE8ABEB68}"/>
    <cellStyle name="20% - Accent2 4 9" xfId="4568" xr:uid="{00000000-0005-0000-0000-0000F4020000}"/>
    <cellStyle name="20% - Accent2 4 9 2" xfId="22476" xr:uid="{9A7F8CD2-95EC-41D0-90E2-31C58164DA75}"/>
    <cellStyle name="20% - Accent2 4 9 2 2" xfId="37452" xr:uid="{315CBD4E-EB4C-4A90-80D7-9B2E53CAFB20}"/>
    <cellStyle name="20% - Accent2 4 9 3" xfId="29848" xr:uid="{242BB8DA-DDCE-4DD0-8883-04747BEC399B}"/>
    <cellStyle name="20% - Accent2 5" xfId="105" xr:uid="{00000000-0005-0000-0000-000020000000}"/>
    <cellStyle name="20% - Accent2 5 2" xfId="4566" xr:uid="{00000000-0005-0000-0000-0000F6020000}"/>
    <cellStyle name="20% - Accent2 5 2 2" xfId="4565" xr:uid="{00000000-0005-0000-0000-0000F7020000}"/>
    <cellStyle name="20% - Accent2 5 2 2 2" xfId="4564" xr:uid="{00000000-0005-0000-0000-0000F8020000}"/>
    <cellStyle name="20% - Accent2 5 2 2 2 2" xfId="4563" xr:uid="{00000000-0005-0000-0000-0000F9020000}"/>
    <cellStyle name="20% - Accent2 5 2 2 2 2 2" xfId="4562" xr:uid="{00000000-0005-0000-0000-0000FA020000}"/>
    <cellStyle name="20% - Accent2 5 2 2 2 2 2 2" xfId="22471" xr:uid="{9B45FC0A-D9DB-461B-A9E0-5D9E549F5329}"/>
    <cellStyle name="20% - Accent2 5 2 2 2 2 2 2 2" xfId="37447" xr:uid="{E23324A2-F9AD-4B62-B284-B817EAEF6013}"/>
    <cellStyle name="20% - Accent2 5 2 2 2 2 2 3" xfId="29843" xr:uid="{AF544F2F-B7F1-4B90-9A5F-B731B64A1CD8}"/>
    <cellStyle name="20% - Accent2 5 2 2 2 2 3" xfId="4561" xr:uid="{00000000-0005-0000-0000-0000FB020000}"/>
    <cellStyle name="20% - Accent2 5 2 2 2 2 3 2" xfId="22470" xr:uid="{7ECD406C-544A-4542-A114-7C074C939E6F}"/>
    <cellStyle name="20% - Accent2 5 2 2 2 2 3 2 2" xfId="37446" xr:uid="{72176AFF-B2EA-4A17-AEA3-AE21A0810F59}"/>
    <cellStyle name="20% - Accent2 5 2 2 2 2 3 3" xfId="29842" xr:uid="{30F83800-82D9-4EF0-9535-99937C090FA2}"/>
    <cellStyle name="20% - Accent2 5 2 2 2 2 4" xfId="22472" xr:uid="{C07E7113-39E1-411C-BB7F-2AC8E8F70921}"/>
    <cellStyle name="20% - Accent2 5 2 2 2 2 4 2" xfId="37448" xr:uid="{AA9CED52-1521-4B8C-9F75-1CAF9ECD9BE4}"/>
    <cellStyle name="20% - Accent2 5 2 2 2 2 5" xfId="29844" xr:uid="{3B6259FF-465B-443A-80D4-A316A56AF2B8}"/>
    <cellStyle name="20% - Accent2 5 2 2 2 3" xfId="4560" xr:uid="{00000000-0005-0000-0000-0000FC020000}"/>
    <cellStyle name="20% - Accent2 5 2 2 2 3 2" xfId="4559" xr:uid="{00000000-0005-0000-0000-0000FD020000}"/>
    <cellStyle name="20% - Accent2 5 2 2 2 3 2 2" xfId="22468" xr:uid="{EFF343CA-5451-45DC-8DB0-18ECA2BE966C}"/>
    <cellStyle name="20% - Accent2 5 2 2 2 3 2 2 2" xfId="37444" xr:uid="{9833F330-8457-42ED-B33A-9A5956C213AA}"/>
    <cellStyle name="20% - Accent2 5 2 2 2 3 2 3" xfId="29840" xr:uid="{AD318413-26F9-4E22-AE36-2A76CF3B64C1}"/>
    <cellStyle name="20% - Accent2 5 2 2 2 3 3" xfId="22469" xr:uid="{B548D78D-A479-4668-8E49-6B6AE8DE212A}"/>
    <cellStyle name="20% - Accent2 5 2 2 2 3 3 2" xfId="37445" xr:uid="{4589F2C6-CB7B-46BC-A58D-1CE241582C06}"/>
    <cellStyle name="20% - Accent2 5 2 2 2 3 4" xfId="29841" xr:uid="{3C5C586B-AAE3-4AEE-BA87-6E8F41AA800E}"/>
    <cellStyle name="20% - Accent2 5 2 2 2 4" xfId="4558" xr:uid="{00000000-0005-0000-0000-0000FE020000}"/>
    <cellStyle name="20% - Accent2 5 2 2 2 4 2" xfId="22467" xr:uid="{B772DFE0-E431-4F1F-9291-691D932FFCFD}"/>
    <cellStyle name="20% - Accent2 5 2 2 2 4 2 2" xfId="37443" xr:uid="{F5694224-A604-4007-9CEA-AED92FEA2520}"/>
    <cellStyle name="20% - Accent2 5 2 2 2 4 3" xfId="29839" xr:uid="{6648E44A-2EF5-4D34-B385-E163DBCAA4C7}"/>
    <cellStyle name="20% - Accent2 5 2 2 2 5" xfId="22473" xr:uid="{C25E6A04-37F7-4A9C-AFE4-8BB6121ED186}"/>
    <cellStyle name="20% - Accent2 5 2 2 2 5 2" xfId="37449" xr:uid="{E11DE776-A55C-465C-8C62-852EEDB501CB}"/>
    <cellStyle name="20% - Accent2 5 2 2 2 6" xfId="29845" xr:uid="{D9EE9545-A37C-497A-A43C-7738F922DE62}"/>
    <cellStyle name="20% - Accent2 5 2 2 3" xfId="4557" xr:uid="{00000000-0005-0000-0000-0000FF020000}"/>
    <cellStyle name="20% - Accent2 5 2 2 3 2" xfId="4556" xr:uid="{00000000-0005-0000-0000-000000030000}"/>
    <cellStyle name="20% - Accent2 5 2 2 3 2 2" xfId="22465" xr:uid="{0F7EE96E-36BA-4022-9795-63617641A0A3}"/>
    <cellStyle name="20% - Accent2 5 2 2 3 2 2 2" xfId="37441" xr:uid="{3998A708-81EB-4C98-93CE-0BB86377FF62}"/>
    <cellStyle name="20% - Accent2 5 2 2 3 2 3" xfId="29837" xr:uid="{5746E770-5F58-4C86-B0AD-3D30D0277932}"/>
    <cellStyle name="20% - Accent2 5 2 2 3 3" xfId="4555" xr:uid="{00000000-0005-0000-0000-000001030000}"/>
    <cellStyle name="20% - Accent2 5 2 2 3 3 2" xfId="22464" xr:uid="{97C6B50F-CB43-4C28-95DB-479A77342866}"/>
    <cellStyle name="20% - Accent2 5 2 2 3 3 2 2" xfId="37440" xr:uid="{931251F3-23D9-4F7C-9701-3271157422E7}"/>
    <cellStyle name="20% - Accent2 5 2 2 3 3 3" xfId="29836" xr:uid="{FD4EF2A8-6BA7-418D-97AF-9519246E7D4D}"/>
    <cellStyle name="20% - Accent2 5 2 2 3 4" xfId="22466" xr:uid="{CA1BC3AD-E297-44B1-89B7-D6FC3D4BBBCE}"/>
    <cellStyle name="20% - Accent2 5 2 2 3 4 2" xfId="37442" xr:uid="{A2FECD76-DAFB-446F-944B-642EA2D1694E}"/>
    <cellStyle name="20% - Accent2 5 2 2 3 5" xfId="29838" xr:uid="{82E8A50A-E6D7-4C83-BD1D-071BB2D9625A}"/>
    <cellStyle name="20% - Accent2 5 2 2 4" xfId="4554" xr:uid="{00000000-0005-0000-0000-000002030000}"/>
    <cellStyle name="20% - Accent2 5 2 2 4 2" xfId="22463" xr:uid="{150AC319-B7CC-4857-977E-DEA5C2ED1067}"/>
    <cellStyle name="20% - Accent2 5 2 2 4 2 2" xfId="37439" xr:uid="{5410CFF0-8A10-4D39-A9E5-201D3AF8F354}"/>
    <cellStyle name="20% - Accent2 5 2 2 4 3" xfId="29835" xr:uid="{756D2BF3-2209-4BCB-B15D-6096631246EC}"/>
    <cellStyle name="20% - Accent2 5 2 2 5" xfId="4553" xr:uid="{00000000-0005-0000-0000-000003030000}"/>
    <cellStyle name="20% - Accent2 5 2 2 5 2" xfId="4552" xr:uid="{00000000-0005-0000-0000-000004030000}"/>
    <cellStyle name="20% - Accent2 5 2 2 5 2 2" xfId="22461" xr:uid="{F59B8892-7EEE-48DE-85D9-4C07ACC43644}"/>
    <cellStyle name="20% - Accent2 5 2 2 5 2 2 2" xfId="37437" xr:uid="{C20C7979-39F5-49DB-A1F3-64B677862B4F}"/>
    <cellStyle name="20% - Accent2 5 2 2 5 2 3" xfId="29833" xr:uid="{6DFD95D5-2C5B-4577-9AD7-746BDAD6061D}"/>
    <cellStyle name="20% - Accent2 5 2 2 5 3" xfId="22462" xr:uid="{AC357B0A-B8D4-484C-9343-3BC51554BC85}"/>
    <cellStyle name="20% - Accent2 5 2 2 5 3 2" xfId="37438" xr:uid="{931896A4-164A-4E3C-AD17-7511A553E604}"/>
    <cellStyle name="20% - Accent2 5 2 2 5 4" xfId="29834" xr:uid="{12B9CA75-3A66-4A06-8940-8A3B45206FE4}"/>
    <cellStyle name="20% - Accent2 5 2 2 6" xfId="4551" xr:uid="{00000000-0005-0000-0000-000005030000}"/>
    <cellStyle name="20% - Accent2 5 2 2 6 2" xfId="22460" xr:uid="{17AC09FE-8269-4599-AB30-EF24432BBDE6}"/>
    <cellStyle name="20% - Accent2 5 2 2 6 2 2" xfId="37436" xr:uid="{116734E1-EF8D-419D-91B4-CFC5C64AC7E7}"/>
    <cellStyle name="20% - Accent2 5 2 2 6 3" xfId="29832" xr:uid="{F907E7C6-EF24-44FC-A669-9C7D9EBA972F}"/>
    <cellStyle name="20% - Accent2 5 2 2 7" xfId="22474" xr:uid="{F1F9C809-0EFB-468F-9552-3560E6AE7DA2}"/>
    <cellStyle name="20% - Accent2 5 2 2 7 2" xfId="37450" xr:uid="{6ECEF7F1-E3BA-46EA-800A-EDD6037A0F8B}"/>
    <cellStyle name="20% - Accent2 5 2 2 8" xfId="29846" xr:uid="{5969A187-AF41-46D3-901E-C02430314A9B}"/>
    <cellStyle name="20% - Accent2 5 2 3" xfId="4550" xr:uid="{00000000-0005-0000-0000-000006030000}"/>
    <cellStyle name="20% - Accent2 5 2 3 2" xfId="4549" xr:uid="{00000000-0005-0000-0000-000007030000}"/>
    <cellStyle name="20% - Accent2 5 2 3 2 2" xfId="4548" xr:uid="{00000000-0005-0000-0000-000008030000}"/>
    <cellStyle name="20% - Accent2 5 2 3 2 2 2" xfId="22457" xr:uid="{CA38302E-F05A-4D32-96F9-4B7B352E3927}"/>
    <cellStyle name="20% - Accent2 5 2 3 2 2 2 2" xfId="37433" xr:uid="{82E76C2C-8677-481E-A113-6A9B1FE0D5DA}"/>
    <cellStyle name="20% - Accent2 5 2 3 2 2 3" xfId="29829" xr:uid="{E39EC3D3-4113-48E2-B1B2-D8415D5426BA}"/>
    <cellStyle name="20% - Accent2 5 2 3 2 3" xfId="4547" xr:uid="{00000000-0005-0000-0000-000009030000}"/>
    <cellStyle name="20% - Accent2 5 2 3 2 3 2" xfId="22456" xr:uid="{A5438795-16A2-49CA-BDB9-0F7F98D97EA9}"/>
    <cellStyle name="20% - Accent2 5 2 3 2 3 2 2" xfId="37432" xr:uid="{870E29C4-2E71-4661-A4F5-A3DFD97B74A8}"/>
    <cellStyle name="20% - Accent2 5 2 3 2 3 3" xfId="29828" xr:uid="{5D43514A-F63A-4F52-82AE-1860CFB931EA}"/>
    <cellStyle name="20% - Accent2 5 2 3 2 4" xfId="22458" xr:uid="{28B2476C-91E6-48A9-8A06-446ED27DABA8}"/>
    <cellStyle name="20% - Accent2 5 2 3 2 4 2" xfId="37434" xr:uid="{9F8A7678-B7C4-42BF-AE55-F8E1D6DCD2E2}"/>
    <cellStyle name="20% - Accent2 5 2 3 2 5" xfId="29830" xr:uid="{5061EA28-B576-4682-9421-47E86D04E331}"/>
    <cellStyle name="20% - Accent2 5 2 3 3" xfId="4546" xr:uid="{00000000-0005-0000-0000-00000A030000}"/>
    <cellStyle name="20% - Accent2 5 2 3 3 2" xfId="4545" xr:uid="{00000000-0005-0000-0000-00000B030000}"/>
    <cellStyle name="20% - Accent2 5 2 3 3 2 2" xfId="22454" xr:uid="{F4353A86-C243-4EC1-9CE3-6C9CC6B03298}"/>
    <cellStyle name="20% - Accent2 5 2 3 3 2 2 2" xfId="37430" xr:uid="{200A2C64-969D-44FD-B865-C08093D161CE}"/>
    <cellStyle name="20% - Accent2 5 2 3 3 2 3" xfId="29826" xr:uid="{23C271FA-7A4E-48AD-A434-2AAF653A9EF9}"/>
    <cellStyle name="20% - Accent2 5 2 3 3 3" xfId="22455" xr:uid="{E5FC8918-5913-4035-89C3-1C3D0AEF3B58}"/>
    <cellStyle name="20% - Accent2 5 2 3 3 3 2" xfId="37431" xr:uid="{BFF53851-ED24-4941-A7FB-BDA43288A12F}"/>
    <cellStyle name="20% - Accent2 5 2 3 3 4" xfId="29827" xr:uid="{2DA3A5A1-AA43-4EBA-8FC3-A5CD784F1F19}"/>
    <cellStyle name="20% - Accent2 5 2 3 4" xfId="4544" xr:uid="{00000000-0005-0000-0000-00000C030000}"/>
    <cellStyle name="20% - Accent2 5 2 3 4 2" xfId="22453" xr:uid="{F92628CF-F7A2-4E9A-B804-966F79D7F62D}"/>
    <cellStyle name="20% - Accent2 5 2 3 4 2 2" xfId="37429" xr:uid="{170FB865-D032-41C1-A8B5-9BB329FCDDF9}"/>
    <cellStyle name="20% - Accent2 5 2 3 4 3" xfId="29825" xr:uid="{4F9319CD-2DDB-4231-A330-7475A6495006}"/>
    <cellStyle name="20% - Accent2 5 2 3 5" xfId="22459" xr:uid="{5D84A193-1B62-4BDF-AE1F-33C6BE3C74C1}"/>
    <cellStyle name="20% - Accent2 5 2 3 5 2" xfId="37435" xr:uid="{5BDD6404-0A1B-4648-96A6-DF4C4657821A}"/>
    <cellStyle name="20% - Accent2 5 2 3 6" xfId="29831" xr:uid="{C1C718DC-F62F-4ED7-B4F7-66104F2BD36B}"/>
    <cellStyle name="20% - Accent2 5 2 4" xfId="4543" xr:uid="{00000000-0005-0000-0000-00000D030000}"/>
    <cellStyle name="20% - Accent2 5 2 5" xfId="4542" xr:uid="{00000000-0005-0000-0000-00000E030000}"/>
    <cellStyle name="20% - Accent2 5 2 5 2" xfId="22452" xr:uid="{94840E0D-136A-4B18-98EA-E76C66AD502C}"/>
    <cellStyle name="20% - Accent2 5 2 5 2 2" xfId="37428" xr:uid="{BDE8C840-602F-4925-8DB7-0D7AC01B3A04}"/>
    <cellStyle name="20% - Accent2 5 2 5 3" xfId="29824" xr:uid="{8481BB57-DB6E-4A68-9895-4DBCB5D09830}"/>
    <cellStyle name="20% - Accent2 5 3" xfId="4541" xr:uid="{00000000-0005-0000-0000-00000F030000}"/>
    <cellStyle name="20% - Accent2 5 3 2" xfId="4540" xr:uid="{00000000-0005-0000-0000-000010030000}"/>
    <cellStyle name="20% - Accent2 5 3 2 2" xfId="4539" xr:uid="{00000000-0005-0000-0000-000011030000}"/>
    <cellStyle name="20% - Accent2 5 3 2 2 2" xfId="22449" xr:uid="{94C5E00C-22DC-47F5-BA93-D7EACE8275A5}"/>
    <cellStyle name="20% - Accent2 5 3 2 2 2 2" xfId="37425" xr:uid="{8537C833-718C-49C8-B01F-F08B9C15662A}"/>
    <cellStyle name="20% - Accent2 5 3 2 2 3" xfId="29821" xr:uid="{E5B18DA7-0A85-4459-B14C-0F5B3FE05A5C}"/>
    <cellStyle name="20% - Accent2 5 3 2 3" xfId="4538" xr:uid="{00000000-0005-0000-0000-000012030000}"/>
    <cellStyle name="20% - Accent2 5 3 2 3 2" xfId="22448" xr:uid="{15B49DA6-2AF9-4890-897B-4461717920B4}"/>
    <cellStyle name="20% - Accent2 5 3 2 3 2 2" xfId="37424" xr:uid="{4E3A4AD4-440D-4079-9F30-289A6882E33D}"/>
    <cellStyle name="20% - Accent2 5 3 2 3 3" xfId="29820" xr:uid="{13E9D22E-62B5-4714-B85A-7E46B8034F92}"/>
    <cellStyle name="20% - Accent2 5 3 2 4" xfId="22450" xr:uid="{5EB873BC-A8EC-45A7-9F6E-400C1211C5CD}"/>
    <cellStyle name="20% - Accent2 5 3 2 4 2" xfId="37426" xr:uid="{06E9F858-B380-45C5-813F-A730EB450353}"/>
    <cellStyle name="20% - Accent2 5 3 2 5" xfId="29822" xr:uid="{C1078EF3-FE88-4F5F-8F62-554323A359C2}"/>
    <cellStyle name="20% - Accent2 5 3 3" xfId="4537" xr:uid="{00000000-0005-0000-0000-000013030000}"/>
    <cellStyle name="20% - Accent2 5 3 3 2" xfId="22447" xr:uid="{A76239A8-9566-40AC-8BE4-7F8DCCC3D125}"/>
    <cellStyle name="20% - Accent2 5 3 3 2 2" xfId="37423" xr:uid="{BDC74814-FDF8-4B99-AC96-62E0CFE9F1E7}"/>
    <cellStyle name="20% - Accent2 5 3 3 3" xfId="29819" xr:uid="{D3843251-663D-446D-A077-60530362EB85}"/>
    <cellStyle name="20% - Accent2 5 3 4" xfId="4536" xr:uid="{00000000-0005-0000-0000-000014030000}"/>
    <cellStyle name="20% - Accent2 5 3 4 2" xfId="4535" xr:uid="{00000000-0005-0000-0000-000015030000}"/>
    <cellStyle name="20% - Accent2 5 3 4 2 2" xfId="22445" xr:uid="{A61E35B4-70E5-44D4-98CD-884FD5519531}"/>
    <cellStyle name="20% - Accent2 5 3 4 2 2 2" xfId="37421" xr:uid="{78A93711-C212-47FA-8FBD-F1BF5BB9C262}"/>
    <cellStyle name="20% - Accent2 5 3 4 2 3" xfId="29817" xr:uid="{65614955-AC1F-4951-AF58-954E4EB082AE}"/>
    <cellStyle name="20% - Accent2 5 3 4 3" xfId="22446" xr:uid="{DD065D0F-3DA7-4A69-B6DE-273B7D27DDFD}"/>
    <cellStyle name="20% - Accent2 5 3 4 3 2" xfId="37422" xr:uid="{E442EA78-7335-4D89-848B-7983249B20A7}"/>
    <cellStyle name="20% - Accent2 5 3 4 4" xfId="29818" xr:uid="{1EFE0774-2A27-4903-BE2B-F3CB42E8C96C}"/>
    <cellStyle name="20% - Accent2 5 3 5" xfId="4534" xr:uid="{00000000-0005-0000-0000-000016030000}"/>
    <cellStyle name="20% - Accent2 5 3 5 2" xfId="22444" xr:uid="{4C807465-DE6C-45C2-BC7F-01CC20519913}"/>
    <cellStyle name="20% - Accent2 5 3 5 2 2" xfId="37420" xr:uid="{78E04B1A-A878-4108-AE82-7F83A5A1D0FC}"/>
    <cellStyle name="20% - Accent2 5 3 5 3" xfId="29816" xr:uid="{CDB3094F-2416-473A-BA24-9CBE60417F1F}"/>
    <cellStyle name="20% - Accent2 5 3 6" xfId="22451" xr:uid="{6A30B243-C551-475B-992A-A08CAE429546}"/>
    <cellStyle name="20% - Accent2 5 3 6 2" xfId="37427" xr:uid="{7F6692FB-33C7-482A-A016-81F451B60CFB}"/>
    <cellStyle name="20% - Accent2 5 3 7" xfId="29823" xr:uid="{3D603166-79EF-4023-A96D-1FC3641861A4}"/>
    <cellStyle name="20% - Accent2 5 4" xfId="4533" xr:uid="{00000000-0005-0000-0000-000017030000}"/>
    <cellStyle name="20% - Accent2 5 4 2" xfId="4532" xr:uid="{00000000-0005-0000-0000-000018030000}"/>
    <cellStyle name="20% - Accent2 5 4 2 2" xfId="4531" xr:uid="{00000000-0005-0000-0000-000019030000}"/>
    <cellStyle name="20% - Accent2 5 4 2 2 2" xfId="22441" xr:uid="{EBF406D5-2FE7-42AE-AA64-355463B6A4DB}"/>
    <cellStyle name="20% - Accent2 5 4 2 2 2 2" xfId="37417" xr:uid="{64712FC4-1837-4B2D-985D-508A87E6DC3C}"/>
    <cellStyle name="20% - Accent2 5 4 2 2 3" xfId="29813" xr:uid="{BEA616CE-62DB-486A-B67D-EAA8CABC4FE3}"/>
    <cellStyle name="20% - Accent2 5 4 2 3" xfId="4530" xr:uid="{00000000-0005-0000-0000-00001A030000}"/>
    <cellStyle name="20% - Accent2 5 4 2 3 2" xfId="22440" xr:uid="{675C0A32-74D9-4F92-B997-B1B37013B81D}"/>
    <cellStyle name="20% - Accent2 5 4 2 3 2 2" xfId="37416" xr:uid="{6FC7EE17-98AC-4603-8C5E-85B42E16304B}"/>
    <cellStyle name="20% - Accent2 5 4 2 3 3" xfId="29812" xr:uid="{FF9139DD-910A-460F-B919-0B43451EAD62}"/>
    <cellStyle name="20% - Accent2 5 4 2 4" xfId="22442" xr:uid="{8C7B1F3A-47D3-4809-A034-E94B7A95A396}"/>
    <cellStyle name="20% - Accent2 5 4 2 4 2" xfId="37418" xr:uid="{1A6EB941-7C2B-4027-8279-399B82C1A392}"/>
    <cellStyle name="20% - Accent2 5 4 2 5" xfId="29814" xr:uid="{4DFA2299-F145-4340-AA09-CBA781042BEA}"/>
    <cellStyle name="20% - Accent2 5 4 3" xfId="4529" xr:uid="{00000000-0005-0000-0000-00001B030000}"/>
    <cellStyle name="20% - Accent2 5 4 3 2" xfId="4528" xr:uid="{00000000-0005-0000-0000-00001C030000}"/>
    <cellStyle name="20% - Accent2 5 4 3 2 2" xfId="22438" xr:uid="{7CFB737F-9490-46AA-B9B4-109F59AD3EAA}"/>
    <cellStyle name="20% - Accent2 5 4 3 2 2 2" xfId="37414" xr:uid="{85E6FF20-6985-4419-8F55-071955E145D2}"/>
    <cellStyle name="20% - Accent2 5 4 3 2 3" xfId="29810" xr:uid="{15D6FFB0-9256-48BC-8EAA-2512FA296C13}"/>
    <cellStyle name="20% - Accent2 5 4 3 3" xfId="22439" xr:uid="{B7DE437E-2A83-443C-9C93-AE3274E7212A}"/>
    <cellStyle name="20% - Accent2 5 4 3 3 2" xfId="37415" xr:uid="{A7C7B1C9-1A22-4A82-9585-AEFC0554DD8C}"/>
    <cellStyle name="20% - Accent2 5 4 3 4" xfId="29811" xr:uid="{A4FF9AFF-8B93-4575-8012-C7095ECF3285}"/>
    <cellStyle name="20% - Accent2 5 4 4" xfId="4527" xr:uid="{00000000-0005-0000-0000-00001D030000}"/>
    <cellStyle name="20% - Accent2 5 4 4 2" xfId="22437" xr:uid="{76390361-2F38-4097-B323-9F0364A35CD4}"/>
    <cellStyle name="20% - Accent2 5 4 4 2 2" xfId="37413" xr:uid="{1BEEBA54-8EF8-4AC7-BFB7-B2D1AF655133}"/>
    <cellStyle name="20% - Accent2 5 4 4 3" xfId="29809" xr:uid="{14F900FA-F3D7-43D8-8176-BD42CB1C23DA}"/>
    <cellStyle name="20% - Accent2 5 4 5" xfId="22443" xr:uid="{4E9AD2EB-D8F6-4260-9E93-65281218365A}"/>
    <cellStyle name="20% - Accent2 5 4 5 2" xfId="37419" xr:uid="{01BCEC6F-0D12-4AEC-A745-7CDCF9EB8F04}"/>
    <cellStyle name="20% - Accent2 5 4 6" xfId="29815" xr:uid="{1B4B819D-CD76-43CE-94EF-8E824FA60D0C}"/>
    <cellStyle name="20% - Accent2 5 5" xfId="4526" xr:uid="{00000000-0005-0000-0000-00001E030000}"/>
    <cellStyle name="20% - Accent2 5 5 2" xfId="4525" xr:uid="{00000000-0005-0000-0000-00001F030000}"/>
    <cellStyle name="20% - Accent2 5 5 2 2" xfId="22435" xr:uid="{FFEA54DF-2CFE-4D19-9860-9EC3BBAC11A9}"/>
    <cellStyle name="20% - Accent2 5 5 2 2 2" xfId="37411" xr:uid="{C8BC701F-1503-4DF4-AAB8-0927CDBDC735}"/>
    <cellStyle name="20% - Accent2 5 5 2 3" xfId="29807" xr:uid="{F62CB710-9C12-4544-9C07-47F091DED8DF}"/>
    <cellStyle name="20% - Accent2 5 5 3" xfId="4524" xr:uid="{00000000-0005-0000-0000-000020030000}"/>
    <cellStyle name="20% - Accent2 5 5 3 2" xfId="22434" xr:uid="{7FA55413-B820-4A49-B9FF-2FAEAEE3E0B5}"/>
    <cellStyle name="20% - Accent2 5 5 3 2 2" xfId="37410" xr:uid="{3A9B82EB-E9D0-4044-B4D0-0D8CAF409BC7}"/>
    <cellStyle name="20% - Accent2 5 5 3 3" xfId="29806" xr:uid="{D6216DE4-EA09-43EB-A2B0-2D854B6F29E7}"/>
    <cellStyle name="20% - Accent2 5 5 4" xfId="22436" xr:uid="{EE255469-4258-4309-8BDE-9397BBF77722}"/>
    <cellStyle name="20% - Accent2 5 5 4 2" xfId="37412" xr:uid="{466DECA3-8BB8-4EFB-A3D4-44E46CE56B6E}"/>
    <cellStyle name="20% - Accent2 5 5 5" xfId="29808" xr:uid="{EDB4A8F1-81ED-4187-B270-B4FD1841D6FB}"/>
    <cellStyle name="20% - Accent2 5 6" xfId="4523" xr:uid="{00000000-0005-0000-0000-000021030000}"/>
    <cellStyle name="20% - Accent2 5 6 2" xfId="22433" xr:uid="{286B78A2-6A17-4B71-8E84-D24C5738D9A5}"/>
    <cellStyle name="20% - Accent2 5 6 2 2" xfId="37409" xr:uid="{66284098-783C-4601-8C80-483F547950E6}"/>
    <cellStyle name="20% - Accent2 5 6 3" xfId="29805" xr:uid="{8A99C9B1-4595-433C-A37C-11160A42F9AA}"/>
    <cellStyle name="20% - Accent2 5 7" xfId="4522" xr:uid="{00000000-0005-0000-0000-000022030000}"/>
    <cellStyle name="20% - Accent2 5 7 2" xfId="4521" xr:uid="{00000000-0005-0000-0000-000023030000}"/>
    <cellStyle name="20% - Accent2 5 7 2 2" xfId="22431" xr:uid="{B0D64A00-73AB-422D-803A-73E23B201618}"/>
    <cellStyle name="20% - Accent2 5 7 2 2 2" xfId="37407" xr:uid="{0E191389-44AA-478B-AD20-96646B1EDF2F}"/>
    <cellStyle name="20% - Accent2 5 7 2 3" xfId="29803" xr:uid="{22CA6C98-43F9-4A2B-A2D1-BBA83CCF5EB5}"/>
    <cellStyle name="20% - Accent2 5 7 3" xfId="22432" xr:uid="{B5781CF4-7840-43C7-A436-75096864F130}"/>
    <cellStyle name="20% - Accent2 5 7 3 2" xfId="37408" xr:uid="{1127A64B-EC8D-407B-9BEE-10A303E96D39}"/>
    <cellStyle name="20% - Accent2 5 7 4" xfId="29804" xr:uid="{BF51041D-881E-4243-8062-C6AF9027D2B0}"/>
    <cellStyle name="20% - Accent2 5 8" xfId="4520" xr:uid="{00000000-0005-0000-0000-000024030000}"/>
    <cellStyle name="20% - Accent2 5 8 2" xfId="22430" xr:uid="{2FD318E0-A441-4544-9D48-FDA240A99A20}"/>
    <cellStyle name="20% - Accent2 5 8 2 2" xfId="37406" xr:uid="{EC185865-934F-4183-8B12-8E8136A60481}"/>
    <cellStyle name="20% - Accent2 5 8 3" xfId="29802" xr:uid="{3DB3BFD0-E307-48F6-A6B4-29ECBC639E81}"/>
    <cellStyle name="20% - Accent2 5 9" xfId="4567" xr:uid="{00000000-0005-0000-0000-0000F5020000}"/>
    <cellStyle name="20% - Accent2 5 9 2" xfId="22475" xr:uid="{0032DE95-6A74-4362-9369-38ED47389BD5}"/>
    <cellStyle name="20% - Accent2 5 9 2 2" xfId="37451" xr:uid="{EBA236E1-B260-408A-8C11-3C026ED39B7A}"/>
    <cellStyle name="20% - Accent2 5 9 3" xfId="29847" xr:uid="{C1C492AA-17B5-4245-9ECC-5887C468B117}"/>
    <cellStyle name="20% - Accent2 6" xfId="203" xr:uid="{00000000-0005-0000-0000-000021000000}"/>
    <cellStyle name="20% - Accent2 6 2" xfId="4519" xr:uid="{00000000-0005-0000-0000-000026030000}"/>
    <cellStyle name="20% - Accent2 6 2 2" xfId="4518" xr:uid="{00000000-0005-0000-0000-000027030000}"/>
    <cellStyle name="20% - Accent2 6 2 2 2" xfId="4517" xr:uid="{00000000-0005-0000-0000-000028030000}"/>
    <cellStyle name="20% - Accent2 6 2 2 2 2" xfId="4516" xr:uid="{00000000-0005-0000-0000-000029030000}"/>
    <cellStyle name="20% - Accent2 6 2 2 2 2 2" xfId="22426" xr:uid="{FC9A6FB6-86DD-4556-A3C8-08064DF61800}"/>
    <cellStyle name="20% - Accent2 6 2 2 2 2 2 2" xfId="37402" xr:uid="{DDE188DD-866E-4626-9D27-7EF7150654F7}"/>
    <cellStyle name="20% - Accent2 6 2 2 2 2 3" xfId="29798" xr:uid="{17D76A2D-EBCB-417D-93DB-E7B1A00AFD5A}"/>
    <cellStyle name="20% - Accent2 6 2 2 2 3" xfId="4515" xr:uid="{00000000-0005-0000-0000-00002A030000}"/>
    <cellStyle name="20% - Accent2 6 2 2 2 3 2" xfId="22425" xr:uid="{295D77BB-1890-4307-9369-092526896E33}"/>
    <cellStyle name="20% - Accent2 6 2 2 2 3 2 2" xfId="37401" xr:uid="{7A35FF3E-BF88-4355-9AAA-2DAE407FE51C}"/>
    <cellStyle name="20% - Accent2 6 2 2 2 3 3" xfId="29797" xr:uid="{3375F91C-9088-418E-ADF6-2BF085ADED93}"/>
    <cellStyle name="20% - Accent2 6 2 2 2 4" xfId="22427" xr:uid="{4A0C7906-BAAD-474F-A004-4766AE98F5C5}"/>
    <cellStyle name="20% - Accent2 6 2 2 2 4 2" xfId="37403" xr:uid="{0FB37DF1-F3E2-4957-9DB6-6F1E2C845269}"/>
    <cellStyle name="20% - Accent2 6 2 2 2 5" xfId="29799" xr:uid="{1189F947-35D5-4D55-B97F-10A25A3565C8}"/>
    <cellStyle name="20% - Accent2 6 2 2 3" xfId="4514" xr:uid="{00000000-0005-0000-0000-00002B030000}"/>
    <cellStyle name="20% - Accent2 6 2 2 3 2" xfId="4513" xr:uid="{00000000-0005-0000-0000-00002C030000}"/>
    <cellStyle name="20% - Accent2 6 2 2 3 2 2" xfId="22423" xr:uid="{79420BD1-6821-4CDA-B2B3-46A727EE62D6}"/>
    <cellStyle name="20% - Accent2 6 2 2 3 2 2 2" xfId="37399" xr:uid="{28559C2C-84B6-41E8-BBE6-F549E7FE83CA}"/>
    <cellStyle name="20% - Accent2 6 2 2 3 2 3" xfId="29795" xr:uid="{57742DF3-0296-400B-9486-5E7B4AF8AB34}"/>
    <cellStyle name="20% - Accent2 6 2 2 3 3" xfId="22424" xr:uid="{DB7035E4-85C8-423B-918C-AF097C8ED0BC}"/>
    <cellStyle name="20% - Accent2 6 2 2 3 3 2" xfId="37400" xr:uid="{B50AB7CD-E985-4B09-90DD-7976187DB53D}"/>
    <cellStyle name="20% - Accent2 6 2 2 3 4" xfId="29796" xr:uid="{94B1E74B-0D9E-4F66-BCE2-33EA4094941A}"/>
    <cellStyle name="20% - Accent2 6 2 2 4" xfId="4512" xr:uid="{00000000-0005-0000-0000-00002D030000}"/>
    <cellStyle name="20% - Accent2 6 2 2 4 2" xfId="22422" xr:uid="{7599B77E-F11E-44BF-A219-D97B695C6BD9}"/>
    <cellStyle name="20% - Accent2 6 2 2 4 2 2" xfId="37398" xr:uid="{E611F8D5-7107-48E4-B389-6120CE649A95}"/>
    <cellStyle name="20% - Accent2 6 2 2 4 3" xfId="29794" xr:uid="{6C7E9B37-4790-4230-AEA2-A52A85E4D48D}"/>
    <cellStyle name="20% - Accent2 6 2 2 5" xfId="22428" xr:uid="{ABB76218-DCE0-418E-BC3B-FB28ABE43BFF}"/>
    <cellStyle name="20% - Accent2 6 2 2 5 2" xfId="37404" xr:uid="{2D57D1FC-E131-41E7-AB0E-41C2571A1C3E}"/>
    <cellStyle name="20% - Accent2 6 2 2 6" xfId="29800" xr:uid="{D79DF184-F816-4DD8-899A-E76AD6C9CD1B}"/>
    <cellStyle name="20% - Accent2 6 2 3" xfId="4511" xr:uid="{00000000-0005-0000-0000-00002E030000}"/>
    <cellStyle name="20% - Accent2 6 2 3 2" xfId="4510" xr:uid="{00000000-0005-0000-0000-00002F030000}"/>
    <cellStyle name="20% - Accent2 6 2 3 2 2" xfId="22420" xr:uid="{D1D9F4BF-588F-4424-AB74-8BA7B407FDAB}"/>
    <cellStyle name="20% - Accent2 6 2 3 2 2 2" xfId="37396" xr:uid="{9FFFB22D-B1A5-4327-9E2D-7660C4A02286}"/>
    <cellStyle name="20% - Accent2 6 2 3 2 3" xfId="29792" xr:uid="{EEA06C37-8F1C-4522-AC2D-3ABBF916BFB0}"/>
    <cellStyle name="20% - Accent2 6 2 3 3" xfId="4509" xr:uid="{00000000-0005-0000-0000-000030030000}"/>
    <cellStyle name="20% - Accent2 6 2 3 3 2" xfId="22419" xr:uid="{0C93D032-98F8-43AE-A1A4-27C8A06E76F2}"/>
    <cellStyle name="20% - Accent2 6 2 3 3 2 2" xfId="37395" xr:uid="{56C7F94B-5EC8-499C-9B5E-54CE32076B2A}"/>
    <cellStyle name="20% - Accent2 6 2 3 3 3" xfId="29791" xr:uid="{81FDB206-E9D3-4415-8E1A-4F04181C5DB5}"/>
    <cellStyle name="20% - Accent2 6 2 3 4" xfId="22421" xr:uid="{4F324D2F-5D7F-45A0-A41F-67DD209A0710}"/>
    <cellStyle name="20% - Accent2 6 2 3 4 2" xfId="37397" xr:uid="{88E6F4B5-F0C5-4B00-B0D9-4BF577685030}"/>
    <cellStyle name="20% - Accent2 6 2 3 5" xfId="29793" xr:uid="{26B7B524-F840-47B3-AE85-F2E1BC15128E}"/>
    <cellStyle name="20% - Accent2 6 2 4" xfId="4508" xr:uid="{00000000-0005-0000-0000-000031030000}"/>
    <cellStyle name="20% - Accent2 6 2 4 2" xfId="22418" xr:uid="{131843A0-6656-4E17-8007-1183A1353047}"/>
    <cellStyle name="20% - Accent2 6 2 4 2 2" xfId="37394" xr:uid="{21F33E42-8B0A-4382-904C-08F09758E7D2}"/>
    <cellStyle name="20% - Accent2 6 2 4 3" xfId="29790" xr:uid="{A1B49A1B-F049-49A3-9472-54E30BE67A2D}"/>
    <cellStyle name="20% - Accent2 6 2 5" xfId="4507" xr:uid="{00000000-0005-0000-0000-000032030000}"/>
    <cellStyle name="20% - Accent2 6 2 5 2" xfId="4506" xr:uid="{00000000-0005-0000-0000-000033030000}"/>
    <cellStyle name="20% - Accent2 6 2 5 2 2" xfId="22416" xr:uid="{159430E6-1E57-4A6E-B1E5-6641BD5A0DFD}"/>
    <cellStyle name="20% - Accent2 6 2 5 2 2 2" xfId="37392" xr:uid="{26BE7345-47DC-4329-9888-046E7FD99B1A}"/>
    <cellStyle name="20% - Accent2 6 2 5 2 3" xfId="29788" xr:uid="{9433373D-0E1F-483E-A16D-F1246402DA78}"/>
    <cellStyle name="20% - Accent2 6 2 5 3" xfId="22417" xr:uid="{62E2214C-E0C6-477B-85F7-F95C743572AD}"/>
    <cellStyle name="20% - Accent2 6 2 5 3 2" xfId="37393" xr:uid="{593BEDDF-A501-4008-88F6-772AFDFC8875}"/>
    <cellStyle name="20% - Accent2 6 2 5 4" xfId="29789" xr:uid="{586EE442-B6F5-456C-97A9-3C4EB34C2CB5}"/>
    <cellStyle name="20% - Accent2 6 2 6" xfId="4505" xr:uid="{00000000-0005-0000-0000-000034030000}"/>
    <cellStyle name="20% - Accent2 6 2 6 2" xfId="22415" xr:uid="{8CB3CD18-ECC7-452A-ACA0-83065973AF49}"/>
    <cellStyle name="20% - Accent2 6 2 6 2 2" xfId="37391" xr:uid="{259F612B-F9E3-4843-9066-62856079FE7C}"/>
    <cellStyle name="20% - Accent2 6 2 6 3" xfId="29787" xr:uid="{C10AA2A3-AD4E-4FE1-AFCB-474376AADC89}"/>
    <cellStyle name="20% - Accent2 6 2 7" xfId="22429" xr:uid="{DF2A4AD2-D784-4E01-A20D-897AF18E860E}"/>
    <cellStyle name="20% - Accent2 6 2 7 2" xfId="37405" xr:uid="{B600A43E-CBF0-4479-B671-1AF0EE68DEC9}"/>
    <cellStyle name="20% - Accent2 6 2 8" xfId="29801" xr:uid="{C61C4BFD-7BEE-40DD-AB38-7CB4E58AEF7F}"/>
    <cellStyle name="20% - Accent2 6 3" xfId="4504" xr:uid="{00000000-0005-0000-0000-000035030000}"/>
    <cellStyle name="20% - Accent2 6 3 2" xfId="4503" xr:uid="{00000000-0005-0000-0000-000036030000}"/>
    <cellStyle name="20% - Accent2 6 3 2 2" xfId="4502" xr:uid="{00000000-0005-0000-0000-000037030000}"/>
    <cellStyle name="20% - Accent2 6 3 2 2 2" xfId="22412" xr:uid="{52BE1173-B552-4715-955D-F6FA964AB841}"/>
    <cellStyle name="20% - Accent2 6 3 2 2 2 2" xfId="37388" xr:uid="{5703D030-7FDA-4DC5-9011-CD2F5E8F9BF4}"/>
    <cellStyle name="20% - Accent2 6 3 2 2 3" xfId="29784" xr:uid="{1CB6DA1E-9623-490A-A9B4-66A987F24B1D}"/>
    <cellStyle name="20% - Accent2 6 3 2 3" xfId="4501" xr:uid="{00000000-0005-0000-0000-000038030000}"/>
    <cellStyle name="20% - Accent2 6 3 2 3 2" xfId="22411" xr:uid="{158EC24F-3818-4458-84DF-2DF25DB4A437}"/>
    <cellStyle name="20% - Accent2 6 3 2 3 2 2" xfId="37387" xr:uid="{8EF1FD0A-BB94-4B24-8337-6112DF348578}"/>
    <cellStyle name="20% - Accent2 6 3 2 3 3" xfId="29783" xr:uid="{BD309A42-CA07-48C9-90EA-D5A0BAD0428E}"/>
    <cellStyle name="20% - Accent2 6 3 2 4" xfId="22413" xr:uid="{88557D9D-FC1C-4BED-A62C-620D004E6F52}"/>
    <cellStyle name="20% - Accent2 6 3 2 4 2" xfId="37389" xr:uid="{70469B9C-2161-4217-A1C2-14E88D145DF8}"/>
    <cellStyle name="20% - Accent2 6 3 2 5" xfId="29785" xr:uid="{4C7F69C4-DB40-4B0A-8256-DEF6048C4786}"/>
    <cellStyle name="20% - Accent2 6 3 3" xfId="4500" xr:uid="{00000000-0005-0000-0000-000039030000}"/>
    <cellStyle name="20% - Accent2 6 3 3 2" xfId="4499" xr:uid="{00000000-0005-0000-0000-00003A030000}"/>
    <cellStyle name="20% - Accent2 6 3 3 2 2" xfId="22409" xr:uid="{8C0D7122-A1FD-451D-9D38-3B0F734F5684}"/>
    <cellStyle name="20% - Accent2 6 3 3 2 2 2" xfId="37385" xr:uid="{630F4E1A-703D-4D35-BB93-33C42948EB72}"/>
    <cellStyle name="20% - Accent2 6 3 3 2 3" xfId="29781" xr:uid="{33E9D3F7-C45F-414F-AA15-D5F81A1FDD9F}"/>
    <cellStyle name="20% - Accent2 6 3 3 3" xfId="22410" xr:uid="{D656B3FB-ADF2-4A1F-BAAF-0F4B9FD2A43D}"/>
    <cellStyle name="20% - Accent2 6 3 3 3 2" xfId="37386" xr:uid="{B1CCEEBD-67AE-4B78-9AD6-12C644B2E416}"/>
    <cellStyle name="20% - Accent2 6 3 3 4" xfId="29782" xr:uid="{43BD65E1-FA19-444E-B45C-3D5AA311C99F}"/>
    <cellStyle name="20% - Accent2 6 3 4" xfId="4498" xr:uid="{00000000-0005-0000-0000-00003B030000}"/>
    <cellStyle name="20% - Accent2 6 3 4 2" xfId="22408" xr:uid="{359A4A30-DEB2-4E3D-B44C-715E68E88999}"/>
    <cellStyle name="20% - Accent2 6 3 4 2 2" xfId="37384" xr:uid="{651D4CA4-F082-4B65-8048-378F9DA30521}"/>
    <cellStyle name="20% - Accent2 6 3 4 3" xfId="29780" xr:uid="{A077BFB2-462D-4010-8078-1342A977EE7D}"/>
    <cellStyle name="20% - Accent2 6 3 5" xfId="22414" xr:uid="{CA94EC42-2FF0-436B-822D-73A73DC95EB8}"/>
    <cellStyle name="20% - Accent2 6 3 5 2" xfId="37390" xr:uid="{047FF04D-CBC9-421F-BD4F-0614F05F3608}"/>
    <cellStyle name="20% - Accent2 6 3 6" xfId="29786" xr:uid="{6E9F232D-C267-4404-A164-306AB0B38357}"/>
    <cellStyle name="20% - Accent2 6 4" xfId="4497" xr:uid="{00000000-0005-0000-0000-00003C030000}"/>
    <cellStyle name="20% - Accent2 6 5" xfId="4496" xr:uid="{00000000-0005-0000-0000-00003D030000}"/>
    <cellStyle name="20% - Accent2 6 5 2" xfId="22407" xr:uid="{4AC9EA97-2F46-40FE-B445-51EC78A9E0D2}"/>
    <cellStyle name="20% - Accent2 6 5 2 2" xfId="37383" xr:uid="{B540BE6F-7636-4B7C-846B-9DBE4DD917DD}"/>
    <cellStyle name="20% - Accent2 6 5 3" xfId="29779" xr:uid="{F8567410-B05B-40E6-90F9-1C4BDD9F808E}"/>
    <cellStyle name="20% - Accent2 7" xfId="192" xr:uid="{00000000-0005-0000-0000-000022000000}"/>
    <cellStyle name="20% - Accent2 7 2" xfId="4495" xr:uid="{00000000-0005-0000-0000-00003F030000}"/>
    <cellStyle name="20% - Accent2 7 2 2" xfId="22406" xr:uid="{368E73B9-AFE9-45AD-8A14-8154C41B5DBC}"/>
    <cellStyle name="20% - Accent2 7 2 2 2" xfId="37382" xr:uid="{85755217-5D6D-4042-896C-E532E782A60B}"/>
    <cellStyle name="20% - Accent2 7 2 3" xfId="29778" xr:uid="{3C7C363B-6799-472C-8397-63FB820CC9A6}"/>
    <cellStyle name="20% - Accent2 7 3" xfId="4494" xr:uid="{00000000-0005-0000-0000-000040030000}"/>
    <cellStyle name="20% - Accent2 7 4" xfId="4493" xr:uid="{00000000-0005-0000-0000-000041030000}"/>
    <cellStyle name="20% - Accent2 7 4 2" xfId="22405" xr:uid="{F859E875-E70E-41EC-B5C5-E51895B3F1FB}"/>
    <cellStyle name="20% - Accent2 7 4 2 2" xfId="37381" xr:uid="{37CDC6A4-A9F9-42D6-A293-FD844F077CF2}"/>
    <cellStyle name="20% - Accent2 7 4 3" xfId="29777" xr:uid="{DF7B5DC4-279B-4D58-B790-B6F775BA91DC}"/>
    <cellStyle name="20% - Accent2 8" xfId="4492" xr:uid="{00000000-0005-0000-0000-000042030000}"/>
    <cellStyle name="20% - Accent2 8 2" xfId="4491" xr:uid="{00000000-0005-0000-0000-000043030000}"/>
    <cellStyle name="20% - Accent2 8 2 2" xfId="4490" xr:uid="{00000000-0005-0000-0000-000044030000}"/>
    <cellStyle name="20% - Accent2 8 2 2 2" xfId="22402" xr:uid="{AC3F070F-D1CC-4DD0-86BC-8EA005744DD9}"/>
    <cellStyle name="20% - Accent2 8 2 2 2 2" xfId="37378" xr:uid="{B2C4D09C-3307-414E-B8DB-3E9BCBED1755}"/>
    <cellStyle name="20% - Accent2 8 2 2 3" xfId="29774" xr:uid="{56396B0B-3017-43D8-8712-3343F59C138B}"/>
    <cellStyle name="20% - Accent2 8 2 3" xfId="4489" xr:uid="{00000000-0005-0000-0000-000045030000}"/>
    <cellStyle name="20% - Accent2 8 2 3 2" xfId="4488" xr:uid="{00000000-0005-0000-0000-000046030000}"/>
    <cellStyle name="20% - Accent2 8 2 3 2 2" xfId="22400" xr:uid="{4420A654-828C-4836-AB1F-61D7D3FB5905}"/>
    <cellStyle name="20% - Accent2 8 2 3 2 2 2" xfId="37376" xr:uid="{AA3D24B3-ED56-44C1-8302-4D5D55D2C02C}"/>
    <cellStyle name="20% - Accent2 8 2 3 2 3" xfId="29772" xr:uid="{8FF90DB3-37FE-421B-9166-4D60F147452B}"/>
    <cellStyle name="20% - Accent2 8 2 3 3" xfId="22401" xr:uid="{F0CCF4F5-FCF5-4113-B951-75EB5C998397}"/>
    <cellStyle name="20% - Accent2 8 2 3 3 2" xfId="37377" xr:uid="{8945BEBD-F4D0-4BA1-BAFE-D562ECD53817}"/>
    <cellStyle name="20% - Accent2 8 2 3 4" xfId="29773" xr:uid="{45A063FB-7380-43D9-BD31-8EFAA8598C90}"/>
    <cellStyle name="20% - Accent2 8 2 4" xfId="22403" xr:uid="{C51E4434-5E7C-4CD6-9862-91390971E418}"/>
    <cellStyle name="20% - Accent2 8 2 4 2" xfId="37379" xr:uid="{918E5587-888D-4F1A-95C6-6DC3BDD56A2F}"/>
    <cellStyle name="20% - Accent2 8 2 5" xfId="29775" xr:uid="{7DEB2F49-D075-4206-B782-313110DB7C83}"/>
    <cellStyle name="20% - Accent2 8 3" xfId="4487" xr:uid="{00000000-0005-0000-0000-000047030000}"/>
    <cellStyle name="20% - Accent2 8 3 2" xfId="22399" xr:uid="{3DD95B82-CE19-452C-99BB-E66914F455D4}"/>
    <cellStyle name="20% - Accent2 8 3 2 2" xfId="37375" xr:uid="{A62D498C-A1A1-4827-BC9E-EE63D343291C}"/>
    <cellStyle name="20% - Accent2 8 3 3" xfId="29771" xr:uid="{E0278067-1C9C-41DB-A02E-1427F8A81797}"/>
    <cellStyle name="20% - Accent2 8 4" xfId="4486" xr:uid="{00000000-0005-0000-0000-000048030000}"/>
    <cellStyle name="20% - Accent2 8 4 2" xfId="4485" xr:uid="{00000000-0005-0000-0000-000049030000}"/>
    <cellStyle name="20% - Accent2 8 4 2 2" xfId="22397" xr:uid="{24E227C2-823E-4B7D-8BEC-03617071693F}"/>
    <cellStyle name="20% - Accent2 8 4 2 2 2" xfId="37373" xr:uid="{544BD4C1-74DF-45BC-B0C0-3A7C6524BB6F}"/>
    <cellStyle name="20% - Accent2 8 4 2 3" xfId="29769" xr:uid="{37EB7D55-7A42-43EF-BC4C-8AAB37415E58}"/>
    <cellStyle name="20% - Accent2 8 4 3" xfId="22398" xr:uid="{041B210A-5A1E-4D8F-A72E-5D811DB707B7}"/>
    <cellStyle name="20% - Accent2 8 4 3 2" xfId="37374" xr:uid="{239F6030-E1B6-4FAA-B5EC-C2581150425C}"/>
    <cellStyle name="20% - Accent2 8 4 4" xfId="29770" xr:uid="{B77D7F32-E65A-4634-91A2-D34560DE03E0}"/>
    <cellStyle name="20% - Accent2 8 5" xfId="4484" xr:uid="{00000000-0005-0000-0000-00004A030000}"/>
    <cellStyle name="20% - Accent2 8 5 2" xfId="22396" xr:uid="{A5C8B178-C15D-46B4-B992-61AD03730033}"/>
    <cellStyle name="20% - Accent2 8 5 2 2" xfId="37372" xr:uid="{4DACC6D4-ADA9-4B4C-9CAE-25F44328FD16}"/>
    <cellStyle name="20% - Accent2 8 5 3" xfId="29768" xr:uid="{7DFF97CB-91BB-4185-8D03-CF21FFC0CE24}"/>
    <cellStyle name="20% - Accent2 8 6" xfId="22404" xr:uid="{4495981A-5903-48CF-AF74-F4A12885E933}"/>
    <cellStyle name="20% - Accent2 8 6 2" xfId="37380" xr:uid="{F968AF0E-3962-4E32-A95A-26621A78D74C}"/>
    <cellStyle name="20% - Accent2 8 7" xfId="29776" xr:uid="{DD151FBC-45E1-4837-98DD-D59C084C1F52}"/>
    <cellStyle name="20% - Accent2 9" xfId="4483" xr:uid="{00000000-0005-0000-0000-00004B030000}"/>
    <cellStyle name="20% - Accent2 9 2" xfId="4482" xr:uid="{00000000-0005-0000-0000-00004C030000}"/>
    <cellStyle name="20% - Accent2 9 2 2" xfId="4481" xr:uid="{00000000-0005-0000-0000-00004D030000}"/>
    <cellStyle name="20% - Accent2 9 2 2 2" xfId="22393" xr:uid="{96DAD925-5E1C-46DF-9DEE-AAE354764D9D}"/>
    <cellStyle name="20% - Accent2 9 2 2 2 2" xfId="37369" xr:uid="{53068EF1-E1DB-40BD-99DF-8EEA3019F13E}"/>
    <cellStyle name="20% - Accent2 9 2 2 3" xfId="29765" xr:uid="{7A37F9C8-A8FE-4ABE-B6E7-A5747FE2A01F}"/>
    <cellStyle name="20% - Accent2 9 2 3" xfId="4480" xr:uid="{00000000-0005-0000-0000-00004E030000}"/>
    <cellStyle name="20% - Accent2 9 2 3 2" xfId="22392" xr:uid="{8F49CE74-6D42-455D-A42A-58AC0E79A0B6}"/>
    <cellStyle name="20% - Accent2 9 2 3 2 2" xfId="37368" xr:uid="{B406FB1F-E838-455F-9692-B2ECE51A4E29}"/>
    <cellStyle name="20% - Accent2 9 2 3 3" xfId="29764" xr:uid="{E872FB02-022F-408F-85ED-CDB96858DFB5}"/>
    <cellStyle name="20% - Accent2 9 2 4" xfId="22394" xr:uid="{70594E44-1DD4-4867-8CFE-C798DA5589FA}"/>
    <cellStyle name="20% - Accent2 9 2 4 2" xfId="37370" xr:uid="{F02F0D9F-4E6C-411D-92C9-03CB125A5B1A}"/>
    <cellStyle name="20% - Accent2 9 2 5" xfId="29766" xr:uid="{09EA61C4-6FED-4799-A021-E5FA9E9EA5E3}"/>
    <cellStyle name="20% - Accent2 9 3" xfId="4479" xr:uid="{00000000-0005-0000-0000-00004F030000}"/>
    <cellStyle name="20% - Accent2 9 3 2" xfId="22391" xr:uid="{0935027E-8EEA-4B9B-8E02-FC9F40404FED}"/>
    <cellStyle name="20% - Accent2 9 3 2 2" xfId="37367" xr:uid="{AFE14D12-84D8-4D34-A5A8-F878A28151FA}"/>
    <cellStyle name="20% - Accent2 9 3 3" xfId="29763" xr:uid="{DADC7D7A-756B-4847-8D81-27DAE089B162}"/>
    <cellStyle name="20% - Accent2 9 4" xfId="4478" xr:uid="{00000000-0005-0000-0000-000050030000}"/>
    <cellStyle name="20% - Accent2 9 4 2" xfId="4477" xr:uid="{00000000-0005-0000-0000-000051030000}"/>
    <cellStyle name="20% - Accent2 9 4 2 2" xfId="22389" xr:uid="{451A74F1-5C9B-4999-9B00-FF1FDB7D69C0}"/>
    <cellStyle name="20% - Accent2 9 4 2 2 2" xfId="37365" xr:uid="{28EFBE6B-97F0-418C-B574-E9FE43101FAD}"/>
    <cellStyle name="20% - Accent2 9 4 2 3" xfId="29761" xr:uid="{6301F0E3-AF4E-4B92-8B4C-A8AE6B89FEE3}"/>
    <cellStyle name="20% - Accent2 9 4 3" xfId="22390" xr:uid="{349BE3D1-B0F8-4954-862D-3CE287CFC75E}"/>
    <cellStyle name="20% - Accent2 9 4 3 2" xfId="37366" xr:uid="{FEEFEC16-F46C-467C-9197-C7DD88F15D57}"/>
    <cellStyle name="20% - Accent2 9 4 4" xfId="29762" xr:uid="{E8EDF101-B3CA-43B8-8B40-06EAF800D259}"/>
    <cellStyle name="20% - Accent2 9 5" xfId="4476" xr:uid="{00000000-0005-0000-0000-000052030000}"/>
    <cellStyle name="20% - Accent2 9 5 2" xfId="22388" xr:uid="{91FDDCCD-DE21-4A7C-A938-A2746657B423}"/>
    <cellStyle name="20% - Accent2 9 5 2 2" xfId="37364" xr:uid="{E11CB73C-EC55-4C55-B832-3CF519E9E07C}"/>
    <cellStyle name="20% - Accent2 9 5 3" xfId="29760" xr:uid="{1A1686ED-F876-406F-8DEF-28775BB568A0}"/>
    <cellStyle name="20% - Accent2 9 6" xfId="22395" xr:uid="{41045DA5-942B-4CEF-9FBA-03FD4F71E5EC}"/>
    <cellStyle name="20% - Accent2 9 6 2" xfId="37371" xr:uid="{8269F126-C0A1-484A-A91B-C121E335CC1A}"/>
    <cellStyle name="20% - Accent2 9 7" xfId="29767" xr:uid="{735AAE37-2AA6-4484-B202-DCCC9AE60EC2}"/>
    <cellStyle name="20% - Accent3" xfId="90" builtinId="38" customBuiltin="1"/>
    <cellStyle name="20% - Accent3 10" xfId="4475" xr:uid="{00000000-0005-0000-0000-000053030000}"/>
    <cellStyle name="20% - Accent3 10 2" xfId="4474" xr:uid="{00000000-0005-0000-0000-000054030000}"/>
    <cellStyle name="20% - Accent3 10 2 2" xfId="4473" xr:uid="{00000000-0005-0000-0000-000055030000}"/>
    <cellStyle name="20% - Accent3 10 2 2 2" xfId="22385" xr:uid="{D5DC98F0-D817-4E27-9219-1D17762C8618}"/>
    <cellStyle name="20% - Accent3 10 2 2 2 2" xfId="37361" xr:uid="{8E6B11D8-7A2E-4A27-801D-298BE21CFC1B}"/>
    <cellStyle name="20% - Accent3 10 2 2 3" xfId="29757" xr:uid="{DA8C150C-226F-410D-862E-3CCFEAAC5050}"/>
    <cellStyle name="20% - Accent3 10 2 3" xfId="4472" xr:uid="{00000000-0005-0000-0000-000056030000}"/>
    <cellStyle name="20% - Accent3 10 2 3 2" xfId="22384" xr:uid="{CE32B743-0A4E-4F4E-BA50-2971EEFF797B}"/>
    <cellStyle name="20% - Accent3 10 2 3 2 2" xfId="37360" xr:uid="{BDDCAF89-0F2B-4E43-AD18-B0D89BB364E5}"/>
    <cellStyle name="20% - Accent3 10 2 3 3" xfId="29756" xr:uid="{88ECD4A5-4463-4449-ADCE-B9D1833241CA}"/>
    <cellStyle name="20% - Accent3 10 2 4" xfId="22386" xr:uid="{F86C1F8E-8E4A-4797-9C77-F47B66760E4D}"/>
    <cellStyle name="20% - Accent3 10 2 4 2" xfId="37362" xr:uid="{E01CFCD4-65C6-4379-AF80-AC7B15384EED}"/>
    <cellStyle name="20% - Accent3 10 2 5" xfId="29758" xr:uid="{99B0D11A-FB69-42E9-9B47-067A10776D65}"/>
    <cellStyle name="20% - Accent3 10 3" xfId="4471" xr:uid="{00000000-0005-0000-0000-000057030000}"/>
    <cellStyle name="20% - Accent3 10 3 2" xfId="22383" xr:uid="{E37EF249-6D76-416C-B074-517C7D1D4C33}"/>
    <cellStyle name="20% - Accent3 10 3 2 2" xfId="37359" xr:uid="{B4DFC069-F41E-4E75-888E-3C652ADB7032}"/>
    <cellStyle name="20% - Accent3 10 3 3" xfId="29755" xr:uid="{BB5F41E1-C699-4CA0-ADBC-6C0F1B3A3289}"/>
    <cellStyle name="20% - Accent3 10 4" xfId="4470" xr:uid="{00000000-0005-0000-0000-000058030000}"/>
    <cellStyle name="20% - Accent3 10 4 2" xfId="4469" xr:uid="{00000000-0005-0000-0000-000059030000}"/>
    <cellStyle name="20% - Accent3 10 4 2 2" xfId="22381" xr:uid="{29239F7A-B81B-47F6-AFB2-2C19A6C5DF9F}"/>
    <cellStyle name="20% - Accent3 10 4 2 2 2" xfId="37357" xr:uid="{19746C31-ED1A-4389-828B-02497054D03B}"/>
    <cellStyle name="20% - Accent3 10 4 2 3" xfId="29753" xr:uid="{411A4AFA-D73D-4D74-866F-3DBDCDB055D8}"/>
    <cellStyle name="20% - Accent3 10 4 3" xfId="22382" xr:uid="{D553749E-8A9F-4950-9AA0-0C13C33B602C}"/>
    <cellStyle name="20% - Accent3 10 4 3 2" xfId="37358" xr:uid="{3E71E6CE-08FD-4BB2-A287-FD51F453D3E6}"/>
    <cellStyle name="20% - Accent3 10 4 4" xfId="29754" xr:uid="{1927FD45-5DCB-42C5-8781-86CE66E062A8}"/>
    <cellStyle name="20% - Accent3 10 5" xfId="4468" xr:uid="{00000000-0005-0000-0000-00005A030000}"/>
    <cellStyle name="20% - Accent3 10 5 2" xfId="22380" xr:uid="{234A1F07-F2C9-45B9-875F-25A8986BD0AE}"/>
    <cellStyle name="20% - Accent3 10 5 2 2" xfId="37356" xr:uid="{226C5AB7-1E05-4F37-BFB5-8386C0C87430}"/>
    <cellStyle name="20% - Accent3 10 5 3" xfId="29752" xr:uid="{B85C0612-330E-4C7B-8652-D762766FF7A0}"/>
    <cellStyle name="20% - Accent3 10 6" xfId="22387" xr:uid="{B02C0BA1-706D-4C31-A78D-C5B5516DA821}"/>
    <cellStyle name="20% - Accent3 10 6 2" xfId="37363" xr:uid="{3596FE8B-69D6-4B87-AB2D-8B4DCEC4DEBF}"/>
    <cellStyle name="20% - Accent3 10 7" xfId="29759" xr:uid="{FC1A2E87-F0B4-4E5E-AFA3-F4F50418D677}"/>
    <cellStyle name="20% - Accent3 11" xfId="4467" xr:uid="{00000000-0005-0000-0000-00005B030000}"/>
    <cellStyle name="20% - Accent3 11 2" xfId="4466" xr:uid="{00000000-0005-0000-0000-00005C030000}"/>
    <cellStyle name="20% - Accent3 11 2 2" xfId="22378" xr:uid="{A5243418-D15B-42CD-BAC6-4BEA9AFD53C2}"/>
    <cellStyle name="20% - Accent3 11 2 2 2" xfId="37354" xr:uid="{306A4F4B-8713-4C05-9AAE-C076E1DAAE68}"/>
    <cellStyle name="20% - Accent3 11 2 3" xfId="29750" xr:uid="{B499296D-BB03-4060-A43E-CBA8158A13B4}"/>
    <cellStyle name="20% - Accent3 11 3" xfId="4465" xr:uid="{00000000-0005-0000-0000-00005D030000}"/>
    <cellStyle name="20% - Accent3 11 3 2" xfId="4464" xr:uid="{00000000-0005-0000-0000-00005E030000}"/>
    <cellStyle name="20% - Accent3 11 3 2 2" xfId="22376" xr:uid="{C0C9F9A8-4238-488E-9EC0-1D41FD2668EF}"/>
    <cellStyle name="20% - Accent3 11 3 2 2 2" xfId="37352" xr:uid="{2254483D-6397-452D-AC6C-66092F3E969E}"/>
    <cellStyle name="20% - Accent3 11 3 2 3" xfId="29748" xr:uid="{B7680197-D7BB-4837-B743-0E40A50A3C43}"/>
    <cellStyle name="20% - Accent3 11 3 3" xfId="22377" xr:uid="{25F1F957-B4DB-4A27-80FE-2F91C63FE926}"/>
    <cellStyle name="20% - Accent3 11 3 3 2" xfId="37353" xr:uid="{491514B3-381B-4106-98CD-8D2B07EE71A0}"/>
    <cellStyle name="20% - Accent3 11 3 4" xfId="29749" xr:uid="{D59082CA-0167-4844-85C5-20009AD1D286}"/>
    <cellStyle name="20% - Accent3 11 4" xfId="22379" xr:uid="{11CABD5C-D9A0-4B0E-9117-CBB4ACB2173B}"/>
    <cellStyle name="20% - Accent3 11 4 2" xfId="37355" xr:uid="{9D1766C2-BD8E-403F-8CCD-4FA693FC1265}"/>
    <cellStyle name="20% - Accent3 11 5" xfId="29751" xr:uid="{EE0BE1C7-56F5-4738-A3B6-1B96B715F3E0}"/>
    <cellStyle name="20% - Accent3 12" xfId="4463" xr:uid="{00000000-0005-0000-0000-00005F030000}"/>
    <cellStyle name="20% - Accent3 12 2" xfId="4462" xr:uid="{00000000-0005-0000-0000-000060030000}"/>
    <cellStyle name="20% - Accent3 12 2 2" xfId="22374" xr:uid="{01B1E2C0-7FB1-4D07-8F7A-DF22E87DDDB2}"/>
    <cellStyle name="20% - Accent3 12 2 2 2" xfId="37350" xr:uid="{8E4EBD8D-A73B-4749-8637-50CE3A5B93F3}"/>
    <cellStyle name="20% - Accent3 12 2 3" xfId="29746" xr:uid="{C6B15F26-8F4B-4146-A4D2-C71A0A491302}"/>
    <cellStyle name="20% - Accent3 12 3" xfId="4461" xr:uid="{00000000-0005-0000-0000-000061030000}"/>
    <cellStyle name="20% - Accent3 12 3 2" xfId="22373" xr:uid="{01BAC57E-C9D6-4F2A-9ACD-27B7448ABAF4}"/>
    <cellStyle name="20% - Accent3 12 3 2 2" xfId="37349" xr:uid="{110E27CF-438C-44A7-84A0-36C594A35527}"/>
    <cellStyle name="20% - Accent3 12 3 3" xfId="29745" xr:uid="{6FCD4039-155F-4ECE-8203-BCFE1248479D}"/>
    <cellStyle name="20% - Accent3 12 4" xfId="22375" xr:uid="{BB975F1F-9265-4C19-88A5-7BA311EC35EC}"/>
    <cellStyle name="20% - Accent3 12 4 2" xfId="37351" xr:uid="{BCDB72CF-3D6D-4AA2-A900-DCA5C31A3CD6}"/>
    <cellStyle name="20% - Accent3 12 5" xfId="29747" xr:uid="{6B016414-0463-4B7B-8AAC-61CD07CDB0EA}"/>
    <cellStyle name="20% - Accent3 13" xfId="4460" xr:uid="{00000000-0005-0000-0000-000062030000}"/>
    <cellStyle name="20% - Accent3 13 2" xfId="4459" xr:uid="{00000000-0005-0000-0000-000063030000}"/>
    <cellStyle name="20% - Accent3 13 2 2" xfId="22371" xr:uid="{B0A7EF0C-D2FA-43EE-909F-5EA716C2FDA7}"/>
    <cellStyle name="20% - Accent3 13 2 2 2" xfId="37347" xr:uid="{9B9FE71E-94D4-400C-A00D-CC4F6FCAE138}"/>
    <cellStyle name="20% - Accent3 13 2 3" xfId="29743" xr:uid="{51CAAEA4-73C8-4B9C-B6A3-7DD43F77B9CC}"/>
    <cellStyle name="20% - Accent3 13 3" xfId="4458" xr:uid="{00000000-0005-0000-0000-000064030000}"/>
    <cellStyle name="20% - Accent3 13 3 2" xfId="22370" xr:uid="{887D9BD0-8F79-4C7E-973E-E3B614356D2D}"/>
    <cellStyle name="20% - Accent3 13 3 2 2" xfId="37346" xr:uid="{39612928-20E6-417C-BEF1-C1F040EB9C68}"/>
    <cellStyle name="20% - Accent3 13 3 3" xfId="29742" xr:uid="{DD9B3AF0-B070-4A71-946D-8FB04030177D}"/>
    <cellStyle name="20% - Accent3 13 4" xfId="22372" xr:uid="{D03DC4AE-7D27-4AF8-8714-A84050DA4882}"/>
    <cellStyle name="20% - Accent3 13 4 2" xfId="37348" xr:uid="{0EF5D1A5-EAEF-4C34-93CC-E9B570E18598}"/>
    <cellStyle name="20% - Accent3 13 5" xfId="29744" xr:uid="{E2406D44-E84D-4113-B39E-5740BDDD6930}"/>
    <cellStyle name="20% - Accent3 14" xfId="4457" xr:uid="{00000000-0005-0000-0000-000065030000}"/>
    <cellStyle name="20% - Accent3 14 2" xfId="4456" xr:uid="{00000000-0005-0000-0000-000066030000}"/>
    <cellStyle name="20% - Accent3 14 2 2" xfId="22369" xr:uid="{F86AE337-1D85-436D-98D4-F155EFA4C3C0}"/>
    <cellStyle name="20% - Accent3 14 2 2 2" xfId="37345" xr:uid="{803D1689-F352-40FC-91FC-4A2BAC45F6A8}"/>
    <cellStyle name="20% - Accent3 14 2 3" xfId="29741" xr:uid="{68BC7A5B-5571-4A89-85EF-83D863BD779E}"/>
    <cellStyle name="20% - Accent3 15" xfId="4455" xr:uid="{00000000-0005-0000-0000-000067030000}"/>
    <cellStyle name="20% - Accent3 15 2" xfId="22368" xr:uid="{6F8AE754-D934-4656-8491-616F2182DA5E}"/>
    <cellStyle name="20% - Accent3 15 2 2" xfId="37344" xr:uid="{3FDC663B-7396-4920-BF11-5C1B382A8A43}"/>
    <cellStyle name="20% - Accent3 15 3" xfId="29740" xr:uid="{14953492-98B7-479D-ABCB-1876469B3A69}"/>
    <cellStyle name="20% - Accent3 16" xfId="4454" xr:uid="{00000000-0005-0000-0000-000068030000}"/>
    <cellStyle name="20% - Accent3 17" xfId="20648" xr:uid="{6EE57D96-007C-4522-8944-41E2BB1E67AC}"/>
    <cellStyle name="20% - Accent3 17 2" xfId="35649" xr:uid="{2A38209C-F3D5-4A78-8E55-F06651F3B6FF}"/>
    <cellStyle name="20% - Accent3 18" xfId="27952" xr:uid="{4DE86E8A-6C6B-43E0-A85C-9BE8B725ED89}"/>
    <cellStyle name="20% - Accent3 2" xfId="195" xr:uid="{00000000-0005-0000-0000-000023000000}"/>
    <cellStyle name="20% - Accent3 2 2" xfId="4453" xr:uid="{00000000-0005-0000-0000-00006A030000}"/>
    <cellStyle name="20% - Accent3 2 3" xfId="4452" xr:uid="{00000000-0005-0000-0000-00006B030000}"/>
    <cellStyle name="20% - Accent3 2 3 10" xfId="29739" xr:uid="{54C73F33-BF6F-479B-A44F-037615638ADC}"/>
    <cellStyle name="20% - Accent3 2 3 2" xfId="4451" xr:uid="{00000000-0005-0000-0000-00006C030000}"/>
    <cellStyle name="20% - Accent3 2 3 2 2" xfId="4450" xr:uid="{00000000-0005-0000-0000-00006D030000}"/>
    <cellStyle name="20% - Accent3 2 3 2 2 2" xfId="4449" xr:uid="{00000000-0005-0000-0000-00006E030000}"/>
    <cellStyle name="20% - Accent3 2 3 2 2 2 2" xfId="4448" xr:uid="{00000000-0005-0000-0000-00006F030000}"/>
    <cellStyle name="20% - Accent3 2 3 2 2 2 2 2" xfId="22363" xr:uid="{4049D384-BBDD-4F1A-8955-1B0A89617F68}"/>
    <cellStyle name="20% - Accent3 2 3 2 2 2 2 2 2" xfId="37339" xr:uid="{7E263A6C-53DC-4C8D-8628-15C8B9E59B53}"/>
    <cellStyle name="20% - Accent3 2 3 2 2 2 2 3" xfId="29735" xr:uid="{F7E13C93-7387-4D5D-B8A6-03C4BE4D79E1}"/>
    <cellStyle name="20% - Accent3 2 3 2 2 2 3" xfId="4447" xr:uid="{00000000-0005-0000-0000-000070030000}"/>
    <cellStyle name="20% - Accent3 2 3 2 2 2 3 2" xfId="22362" xr:uid="{35FB1425-F6E7-448E-99F3-81FB0EBCEB51}"/>
    <cellStyle name="20% - Accent3 2 3 2 2 2 3 2 2" xfId="37338" xr:uid="{27930749-66EB-485F-AF5B-98EDE8877182}"/>
    <cellStyle name="20% - Accent3 2 3 2 2 2 3 3" xfId="29734" xr:uid="{E3FD5060-B0F8-4023-BFCB-4368E959A53B}"/>
    <cellStyle name="20% - Accent3 2 3 2 2 2 4" xfId="22364" xr:uid="{ED4F5B42-77C9-4EFD-BD21-3A2D2CAE3419}"/>
    <cellStyle name="20% - Accent3 2 3 2 2 2 4 2" xfId="37340" xr:uid="{F3D0E874-3C22-4D8F-B207-81DE84146E20}"/>
    <cellStyle name="20% - Accent3 2 3 2 2 2 5" xfId="29736" xr:uid="{CA5BD3F5-7CA4-4C4E-B43B-2CB945B69B37}"/>
    <cellStyle name="20% - Accent3 2 3 2 2 3" xfId="4446" xr:uid="{00000000-0005-0000-0000-000071030000}"/>
    <cellStyle name="20% - Accent3 2 3 2 2 3 2" xfId="4445" xr:uid="{00000000-0005-0000-0000-000072030000}"/>
    <cellStyle name="20% - Accent3 2 3 2 2 3 2 2" xfId="22360" xr:uid="{FEA2FF3E-848E-4C61-84C4-4B28E7207E1F}"/>
    <cellStyle name="20% - Accent3 2 3 2 2 3 2 2 2" xfId="37336" xr:uid="{4A3E6569-A386-4FE4-AF80-55F5707C1DB4}"/>
    <cellStyle name="20% - Accent3 2 3 2 2 3 2 3" xfId="29732" xr:uid="{F84425A7-BDB9-45F3-B2F1-DA0FDF9E2259}"/>
    <cellStyle name="20% - Accent3 2 3 2 2 3 3" xfId="22361" xr:uid="{94A2D9B6-05D0-42A4-94E7-A4234AC341FA}"/>
    <cellStyle name="20% - Accent3 2 3 2 2 3 3 2" xfId="37337" xr:uid="{BB9DF1F3-E643-4ECE-B098-7308FC0A7A33}"/>
    <cellStyle name="20% - Accent3 2 3 2 2 3 4" xfId="29733" xr:uid="{175E377E-E0B9-490B-B8D0-5FAF3FE9E731}"/>
    <cellStyle name="20% - Accent3 2 3 2 2 4" xfId="4444" xr:uid="{00000000-0005-0000-0000-000073030000}"/>
    <cellStyle name="20% - Accent3 2 3 2 2 4 2" xfId="22359" xr:uid="{669FE8B5-01BE-4C60-A495-D70F96A9DA86}"/>
    <cellStyle name="20% - Accent3 2 3 2 2 4 2 2" xfId="37335" xr:uid="{47CF67C0-6CED-4ECE-97C4-92ECC5EE928D}"/>
    <cellStyle name="20% - Accent3 2 3 2 2 4 3" xfId="29731" xr:uid="{FAEC7539-2FD1-4265-839D-746B1FC1FF7C}"/>
    <cellStyle name="20% - Accent3 2 3 2 2 5" xfId="22365" xr:uid="{2F70DFB9-5CEB-48E2-B710-F876B7ADB053}"/>
    <cellStyle name="20% - Accent3 2 3 2 2 5 2" xfId="37341" xr:uid="{B11DD31C-2F5E-49EF-A6EC-C24562E0B093}"/>
    <cellStyle name="20% - Accent3 2 3 2 2 6" xfId="29737" xr:uid="{D689C595-2238-4642-95E8-9034E3840BC8}"/>
    <cellStyle name="20% - Accent3 2 3 2 3" xfId="4443" xr:uid="{00000000-0005-0000-0000-000074030000}"/>
    <cellStyle name="20% - Accent3 2 3 2 3 2" xfId="4442" xr:uid="{00000000-0005-0000-0000-000075030000}"/>
    <cellStyle name="20% - Accent3 2 3 2 3 2 2" xfId="4441" xr:uid="{00000000-0005-0000-0000-000076030000}"/>
    <cellStyle name="20% - Accent3 2 3 2 3 2 2 2" xfId="22356" xr:uid="{BD1F98D5-5056-47D1-A30A-3797E456D9D0}"/>
    <cellStyle name="20% - Accent3 2 3 2 3 2 2 2 2" xfId="37332" xr:uid="{DAE0B681-23F2-4455-9580-7755E2F23001}"/>
    <cellStyle name="20% - Accent3 2 3 2 3 2 2 3" xfId="29728" xr:uid="{BB487751-F0C8-485B-BBA2-9F19889FC33D}"/>
    <cellStyle name="20% - Accent3 2 3 2 3 2 3" xfId="4440" xr:uid="{00000000-0005-0000-0000-000077030000}"/>
    <cellStyle name="20% - Accent3 2 3 2 3 2 3 2" xfId="22355" xr:uid="{920DA298-2413-4B54-88F7-67D95C189E9E}"/>
    <cellStyle name="20% - Accent3 2 3 2 3 2 3 2 2" xfId="37331" xr:uid="{F3ABCC38-354D-4BD2-A505-AF7837965692}"/>
    <cellStyle name="20% - Accent3 2 3 2 3 2 3 3" xfId="29727" xr:uid="{178DBBF9-BA75-4F34-A86E-03F1DD92F07A}"/>
    <cellStyle name="20% - Accent3 2 3 2 3 2 4" xfId="22357" xr:uid="{9E6AB29D-298A-4424-B1B7-E0CDAC137876}"/>
    <cellStyle name="20% - Accent3 2 3 2 3 2 4 2" xfId="37333" xr:uid="{714AB418-9BB1-4E66-89EE-71518281F6C4}"/>
    <cellStyle name="20% - Accent3 2 3 2 3 2 5" xfId="29729" xr:uid="{3D593AD4-2BED-4DA2-8A7C-0CA900316399}"/>
    <cellStyle name="20% - Accent3 2 3 2 3 3" xfId="4439" xr:uid="{00000000-0005-0000-0000-000078030000}"/>
    <cellStyle name="20% - Accent3 2 3 2 3 3 2" xfId="4438" xr:uid="{00000000-0005-0000-0000-000079030000}"/>
    <cellStyle name="20% - Accent3 2 3 2 3 3 2 2" xfId="22353" xr:uid="{C874591E-122F-4091-B03D-ED4D98B4BB66}"/>
    <cellStyle name="20% - Accent3 2 3 2 3 3 2 2 2" xfId="37329" xr:uid="{388AE50A-00CA-44BE-ADBE-DBB0FF8DE15F}"/>
    <cellStyle name="20% - Accent3 2 3 2 3 3 2 3" xfId="29725" xr:uid="{CEB0F7EC-22F8-4641-AAC3-FFC9EA149F3D}"/>
    <cellStyle name="20% - Accent3 2 3 2 3 3 3" xfId="22354" xr:uid="{9CAC7F9F-85C5-426A-A7EC-23680369C342}"/>
    <cellStyle name="20% - Accent3 2 3 2 3 3 3 2" xfId="37330" xr:uid="{6D7F83F5-D428-4FA0-B027-33B57329ED9F}"/>
    <cellStyle name="20% - Accent3 2 3 2 3 3 4" xfId="29726" xr:uid="{7FE218BD-DE3A-4FCC-9A63-42A44780A1B2}"/>
    <cellStyle name="20% - Accent3 2 3 2 3 4" xfId="4437" xr:uid="{00000000-0005-0000-0000-00007A030000}"/>
    <cellStyle name="20% - Accent3 2 3 2 3 4 2" xfId="22352" xr:uid="{4CD3C5FF-65BF-4D00-8F14-4265BA93CBBC}"/>
    <cellStyle name="20% - Accent3 2 3 2 3 4 2 2" xfId="37328" xr:uid="{0976E481-9853-4FB6-9330-E426F3BBB3BD}"/>
    <cellStyle name="20% - Accent3 2 3 2 3 4 3" xfId="29724" xr:uid="{467F3670-0086-4E92-AA8A-484E5D34FF57}"/>
    <cellStyle name="20% - Accent3 2 3 2 3 5" xfId="22358" xr:uid="{BC24DED4-C8C4-4411-95E4-20EBC1063DFB}"/>
    <cellStyle name="20% - Accent3 2 3 2 3 5 2" xfId="37334" xr:uid="{413CE694-59E7-4656-9BFF-AE0E70486524}"/>
    <cellStyle name="20% - Accent3 2 3 2 3 6" xfId="29730" xr:uid="{AE6E5053-80BC-4D3A-A125-7D7791D56BD5}"/>
    <cellStyle name="20% - Accent3 2 3 2 4" xfId="4436" xr:uid="{00000000-0005-0000-0000-00007B030000}"/>
    <cellStyle name="20% - Accent3 2 3 2 4 2" xfId="4435" xr:uid="{00000000-0005-0000-0000-00007C030000}"/>
    <cellStyle name="20% - Accent3 2 3 2 4 2 2" xfId="22350" xr:uid="{C98BFD5E-9BE6-43DA-82E7-3F1CD19E70CD}"/>
    <cellStyle name="20% - Accent3 2 3 2 4 2 2 2" xfId="37326" xr:uid="{BE6F48A0-8DAB-4B2F-BF8A-976B85CDCBE9}"/>
    <cellStyle name="20% - Accent3 2 3 2 4 2 3" xfId="29722" xr:uid="{E6916FEC-0A35-4571-9CA6-233D378CCAFD}"/>
    <cellStyle name="20% - Accent3 2 3 2 4 3" xfId="4434" xr:uid="{00000000-0005-0000-0000-00007D030000}"/>
    <cellStyle name="20% - Accent3 2 3 2 4 3 2" xfId="22349" xr:uid="{7A1714D9-7E98-454B-AF9A-02B9E90061B1}"/>
    <cellStyle name="20% - Accent3 2 3 2 4 3 2 2" xfId="37325" xr:uid="{F02503FA-4DF4-4261-AA4B-902705EBA540}"/>
    <cellStyle name="20% - Accent3 2 3 2 4 3 3" xfId="29721" xr:uid="{765D96BB-31CE-44E3-803B-E42B578F7573}"/>
    <cellStyle name="20% - Accent3 2 3 2 4 4" xfId="22351" xr:uid="{62060565-6FBC-46FC-92B6-944D287DD618}"/>
    <cellStyle name="20% - Accent3 2 3 2 4 4 2" xfId="37327" xr:uid="{60E01A7D-5D00-4E20-AF48-AE7778F7190F}"/>
    <cellStyle name="20% - Accent3 2 3 2 4 5" xfId="29723" xr:uid="{4D598A0F-CF2A-4C9D-99C2-6F8414B6EFE1}"/>
    <cellStyle name="20% - Accent3 2 3 2 5" xfId="5563" xr:uid="{00000000-0005-0000-0000-00007E030000}"/>
    <cellStyle name="20% - Accent3 2 3 2 5 2" xfId="23220" xr:uid="{ECF4FD34-D64F-4C71-964E-12185B2F177E}"/>
    <cellStyle name="20% - Accent3 2 3 2 5 2 2" xfId="38191" xr:uid="{B96DE407-EEF2-46CB-B652-E7EBFFB922D2}"/>
    <cellStyle name="20% - Accent3 2 3 2 5 3" xfId="30588" xr:uid="{BDC73EBF-10D5-4AB6-ACEE-F7144C7865FB}"/>
    <cellStyle name="20% - Accent3 2 3 2 6" xfId="5578" xr:uid="{00000000-0005-0000-0000-00007F030000}"/>
    <cellStyle name="20% - Accent3 2 3 2 6 2" xfId="5532" xr:uid="{00000000-0005-0000-0000-000080030000}"/>
    <cellStyle name="20% - Accent3 2 3 2 6 2 2" xfId="23207" xr:uid="{1FC18709-E54B-4526-8ABD-6C4977A74AB4}"/>
    <cellStyle name="20% - Accent3 2 3 2 6 2 2 2" xfId="38178" xr:uid="{CE05C238-FAE9-4407-BBB2-F6924DDDA3F8}"/>
    <cellStyle name="20% - Accent3 2 3 2 6 2 3" xfId="30575" xr:uid="{F330EA3C-E42F-4D57-B671-C118DB5F6EED}"/>
    <cellStyle name="20% - Accent3 2 3 2 6 3" xfId="23234" xr:uid="{3794AAE1-7D99-42D7-B198-F4B31995B71D}"/>
    <cellStyle name="20% - Accent3 2 3 2 6 3 2" xfId="38205" xr:uid="{67E2EFCD-2881-461B-90CB-61A888D67DC1}"/>
    <cellStyle name="20% - Accent3 2 3 2 6 4" xfId="30602" xr:uid="{19422EEC-130F-4687-AF69-F2FFB573889B}"/>
    <cellStyle name="20% - Accent3 2 3 2 7" xfId="4433" xr:uid="{00000000-0005-0000-0000-000081030000}"/>
    <cellStyle name="20% - Accent3 2 3 2 7 2" xfId="22348" xr:uid="{8DF3F24C-9A2A-4DC0-AFBD-8A2168B4FD83}"/>
    <cellStyle name="20% - Accent3 2 3 2 7 2 2" xfId="37324" xr:uid="{F23D5E9D-D525-4291-9A0E-06960822B24C}"/>
    <cellStyle name="20% - Accent3 2 3 2 7 3" xfId="29720" xr:uid="{CBD08593-AC82-4467-8049-9538FB1306B8}"/>
    <cellStyle name="20% - Accent3 2 3 2 8" xfId="22366" xr:uid="{7E09CDD5-1BA0-4787-8298-C9587F5F7976}"/>
    <cellStyle name="20% - Accent3 2 3 2 8 2" xfId="37342" xr:uid="{CE012D28-3974-4678-8F69-DF89FA6C81EE}"/>
    <cellStyle name="20% - Accent3 2 3 2 9" xfId="29738" xr:uid="{3FB23BAF-0B30-42EA-A5F3-65E193353751}"/>
    <cellStyle name="20% - Accent3 2 3 3" xfId="4432" xr:uid="{00000000-0005-0000-0000-000082030000}"/>
    <cellStyle name="20% - Accent3 2 3 3 2" xfId="5577" xr:uid="{00000000-0005-0000-0000-000083030000}"/>
    <cellStyle name="20% - Accent3 2 3 3 2 2" xfId="5531" xr:uid="{00000000-0005-0000-0000-000084030000}"/>
    <cellStyle name="20% - Accent3 2 3 3 2 2 2" xfId="23206" xr:uid="{ED477AA6-45E8-405E-968B-F4334EE68FC1}"/>
    <cellStyle name="20% - Accent3 2 3 3 2 2 2 2" xfId="38177" xr:uid="{E77B6212-2A9B-4F6E-8CF9-3147A9F0CF0B}"/>
    <cellStyle name="20% - Accent3 2 3 3 2 2 3" xfId="30574" xr:uid="{0394EC0F-6AA3-40FE-B0A2-8C3B1B45EF7F}"/>
    <cellStyle name="20% - Accent3 2 3 3 2 3" xfId="4431" xr:uid="{00000000-0005-0000-0000-000085030000}"/>
    <cellStyle name="20% - Accent3 2 3 3 2 3 2" xfId="22346" xr:uid="{B0E694FE-FA16-46BD-90C6-0FE9050F9134}"/>
    <cellStyle name="20% - Accent3 2 3 3 2 3 2 2" xfId="37322" xr:uid="{9B908389-5DEC-4B2D-B89D-C2DEE7E6F17F}"/>
    <cellStyle name="20% - Accent3 2 3 3 2 3 3" xfId="29718" xr:uid="{4FE6436A-6D82-4164-97F5-6E89AB4E0499}"/>
    <cellStyle name="20% - Accent3 2 3 3 2 4" xfId="23233" xr:uid="{291956C6-D513-4FCF-A554-C55B9E64AA64}"/>
    <cellStyle name="20% - Accent3 2 3 3 2 4 2" xfId="38204" xr:uid="{217558C6-4EDD-4825-BBE0-08192C2FCEC0}"/>
    <cellStyle name="20% - Accent3 2 3 3 2 5" xfId="30601" xr:uid="{1A865CAF-FC55-4674-BC4B-F5C272DE45DB}"/>
    <cellStyle name="20% - Accent3 2 3 3 3" xfId="5576" xr:uid="{00000000-0005-0000-0000-000086030000}"/>
    <cellStyle name="20% - Accent3 2 3 3 3 2" xfId="5530" xr:uid="{00000000-0005-0000-0000-000087030000}"/>
    <cellStyle name="20% - Accent3 2 3 3 3 2 2" xfId="23205" xr:uid="{18D62C9A-DD6A-47FB-A553-1CE7510DD217}"/>
    <cellStyle name="20% - Accent3 2 3 3 3 2 2 2" xfId="38176" xr:uid="{38E203D9-D552-4D8A-8A1B-C09700BFEA60}"/>
    <cellStyle name="20% - Accent3 2 3 3 3 2 3" xfId="30573" xr:uid="{D1B2D208-6C71-489F-8AD3-4BDAC9554C8B}"/>
    <cellStyle name="20% - Accent3 2 3 3 3 3" xfId="23232" xr:uid="{EF720F5F-90CA-4742-BB39-2DC1B4FC23AA}"/>
    <cellStyle name="20% - Accent3 2 3 3 3 3 2" xfId="38203" xr:uid="{F2A8AAAF-153E-4293-8833-8D22858F8436}"/>
    <cellStyle name="20% - Accent3 2 3 3 3 4" xfId="30600" xr:uid="{0030F3C1-2586-401B-B376-35ED1AEB0487}"/>
    <cellStyle name="20% - Accent3 2 3 3 4" xfId="4430" xr:uid="{00000000-0005-0000-0000-000088030000}"/>
    <cellStyle name="20% - Accent3 2 3 3 4 2" xfId="22345" xr:uid="{83916448-0DF9-4526-A83A-CF890243F629}"/>
    <cellStyle name="20% - Accent3 2 3 3 4 2 2" xfId="37321" xr:uid="{DD431534-4388-4ED7-B684-71F7D60F0185}"/>
    <cellStyle name="20% - Accent3 2 3 3 4 3" xfId="29717" xr:uid="{DB94BA8B-BD34-48A6-BA90-05437ACD4C99}"/>
    <cellStyle name="20% - Accent3 2 3 3 5" xfId="22347" xr:uid="{47F94809-DC62-470B-8542-DB61E63E6E39}"/>
    <cellStyle name="20% - Accent3 2 3 3 5 2" xfId="37323" xr:uid="{97EEA93C-8A81-46C4-9F27-8C92DA78474C}"/>
    <cellStyle name="20% - Accent3 2 3 3 6" xfId="29719" xr:uid="{C47F5357-38D4-43B1-AB26-41D59F116D09}"/>
    <cellStyle name="20% - Accent3 2 3 4" xfId="5575" xr:uid="{00000000-0005-0000-0000-000089030000}"/>
    <cellStyle name="20% - Accent3 2 3 4 2" xfId="5529" xr:uid="{00000000-0005-0000-0000-00008A030000}"/>
    <cellStyle name="20% - Accent3 2 3 4 2 2" xfId="4429" xr:uid="{00000000-0005-0000-0000-00008B030000}"/>
    <cellStyle name="20% - Accent3 2 3 4 2 2 2" xfId="22344" xr:uid="{CAFC6CEA-1242-4D9F-8646-27CB0E51996A}"/>
    <cellStyle name="20% - Accent3 2 3 4 2 2 2 2" xfId="37320" xr:uid="{4919257C-8EC0-442D-B389-B03A321B8B16}"/>
    <cellStyle name="20% - Accent3 2 3 4 2 2 3" xfId="29716" xr:uid="{948877A9-9CDB-46AD-8B1F-A819F9432DBC}"/>
    <cellStyle name="20% - Accent3 2 3 4 2 3" xfId="4428" xr:uid="{00000000-0005-0000-0000-00008C030000}"/>
    <cellStyle name="20% - Accent3 2 3 4 2 3 2" xfId="22343" xr:uid="{A3E51533-AB75-4D7F-8FFF-B60EF0DED33D}"/>
    <cellStyle name="20% - Accent3 2 3 4 2 3 2 2" xfId="37319" xr:uid="{50C91DD2-37D7-480F-93DA-67A95EFBB0BA}"/>
    <cellStyle name="20% - Accent3 2 3 4 2 3 3" xfId="29715" xr:uid="{2D048759-FB1B-4C89-BDA5-BC4603DCA593}"/>
    <cellStyle name="20% - Accent3 2 3 4 2 4" xfId="23204" xr:uid="{22C947B7-A444-44CF-BE6F-E488CDF2745B}"/>
    <cellStyle name="20% - Accent3 2 3 4 2 4 2" xfId="38175" xr:uid="{5BAE1511-AB4C-461A-818E-874EC2D04FAB}"/>
    <cellStyle name="20% - Accent3 2 3 4 2 5" xfId="30572" xr:uid="{9A0D01A3-C470-4E3F-81EE-BC4078C715F3}"/>
    <cellStyle name="20% - Accent3 2 3 4 3" xfId="4427" xr:uid="{00000000-0005-0000-0000-00008D030000}"/>
    <cellStyle name="20% - Accent3 2 3 4 3 2" xfId="5574" xr:uid="{00000000-0005-0000-0000-00008E030000}"/>
    <cellStyle name="20% - Accent3 2 3 4 3 2 2" xfId="23230" xr:uid="{81A6496A-E5D8-4283-89BC-211762C09D4A}"/>
    <cellStyle name="20% - Accent3 2 3 4 3 2 2 2" xfId="38201" xr:uid="{776FD0C1-6797-4599-9666-DD37CF479A60}"/>
    <cellStyle name="20% - Accent3 2 3 4 3 2 3" xfId="30598" xr:uid="{184AC38E-D8EA-4E99-B844-54B84CD5A2BB}"/>
    <cellStyle name="20% - Accent3 2 3 4 3 3" xfId="22342" xr:uid="{4862DBC2-69DF-47F5-BBA8-B3DCC954A551}"/>
    <cellStyle name="20% - Accent3 2 3 4 3 3 2" xfId="37318" xr:uid="{5D54952C-687C-4133-B9B4-18D3A9FDD86F}"/>
    <cellStyle name="20% - Accent3 2 3 4 3 4" xfId="29714" xr:uid="{4C0815DB-3484-45FD-B670-7AF7B915538B}"/>
    <cellStyle name="20% - Accent3 2 3 4 4" xfId="5528" xr:uid="{00000000-0005-0000-0000-00008F030000}"/>
    <cellStyle name="20% - Accent3 2 3 4 4 2" xfId="23203" xr:uid="{AF289C65-3885-4CC9-AD68-4DC6907E53A4}"/>
    <cellStyle name="20% - Accent3 2 3 4 4 2 2" xfId="38174" xr:uid="{F8172314-E9DE-4616-AB96-130A65C4D1E3}"/>
    <cellStyle name="20% - Accent3 2 3 4 4 3" xfId="30571" xr:uid="{7875934A-D7E1-4D86-9E25-A9A700AC9DE6}"/>
    <cellStyle name="20% - Accent3 2 3 4 5" xfId="23231" xr:uid="{636936FC-946F-411A-88B9-CACA31E78F93}"/>
    <cellStyle name="20% - Accent3 2 3 4 5 2" xfId="38202" xr:uid="{833F3DF2-5527-4361-A78D-3F3ED017966D}"/>
    <cellStyle name="20% - Accent3 2 3 4 6" xfId="30599" xr:uid="{4DA8CC46-ABC2-4942-BFCA-337BF4804B07}"/>
    <cellStyle name="20% - Accent3 2 3 5" xfId="4426" xr:uid="{00000000-0005-0000-0000-000090030000}"/>
    <cellStyle name="20% - Accent3 2 3 5 2" xfId="4425" xr:uid="{00000000-0005-0000-0000-000091030000}"/>
    <cellStyle name="20% - Accent3 2 3 5 2 2" xfId="22340" xr:uid="{9C4D4A15-0DA5-42A2-82EF-7C651C985964}"/>
    <cellStyle name="20% - Accent3 2 3 5 2 2 2" xfId="37316" xr:uid="{C5EB73F1-F271-4730-9611-D95CB9B795D6}"/>
    <cellStyle name="20% - Accent3 2 3 5 2 3" xfId="29712" xr:uid="{401FA188-2D36-438E-955F-20F5DF4CD8E7}"/>
    <cellStyle name="20% - Accent3 2 3 5 3" xfId="4424" xr:uid="{00000000-0005-0000-0000-000092030000}"/>
    <cellStyle name="20% - Accent3 2 3 5 3 2" xfId="22339" xr:uid="{415B2516-3DA8-446A-BD1A-00777503525D}"/>
    <cellStyle name="20% - Accent3 2 3 5 3 2 2" xfId="37315" xr:uid="{CD4C65F5-9966-4F81-B3A5-14101D98310F}"/>
    <cellStyle name="20% - Accent3 2 3 5 3 3" xfId="29711" xr:uid="{A663312A-7665-4D1E-83CB-CC3CFE05D222}"/>
    <cellStyle name="20% - Accent3 2 3 5 4" xfId="22341" xr:uid="{4D4BA337-A5C2-4C32-9E69-A0A51F20A6F4}"/>
    <cellStyle name="20% - Accent3 2 3 5 4 2" xfId="37317" xr:uid="{50E5303F-ECDC-4C75-B450-9BE760931B63}"/>
    <cellStyle name="20% - Accent3 2 3 5 5" xfId="29713" xr:uid="{6F7AB838-DE59-49BE-9ABF-EA4B9C3435F2}"/>
    <cellStyle name="20% - Accent3 2 3 6" xfId="5573" xr:uid="{00000000-0005-0000-0000-000093030000}"/>
    <cellStyle name="20% - Accent3 2 3 6 2" xfId="23229" xr:uid="{6078766F-CBFB-46C7-A3DB-89B8743D1115}"/>
    <cellStyle name="20% - Accent3 2 3 6 2 2" xfId="38200" xr:uid="{05219331-15E9-430B-9FF1-1C6D6C5A4D3E}"/>
    <cellStyle name="20% - Accent3 2 3 6 3" xfId="30597" xr:uid="{B46DA0B4-D858-4C0E-BB9A-633CED746B53}"/>
    <cellStyle name="20% - Accent3 2 3 7" xfId="5527" xr:uid="{00000000-0005-0000-0000-000094030000}"/>
    <cellStyle name="20% - Accent3 2 3 7 2" xfId="4423" xr:uid="{00000000-0005-0000-0000-000095030000}"/>
    <cellStyle name="20% - Accent3 2 3 7 2 2" xfId="22338" xr:uid="{F2D4D36B-B867-4209-AEB8-126CFDCD6034}"/>
    <cellStyle name="20% - Accent3 2 3 7 2 2 2" xfId="37314" xr:uid="{D567DDA4-9F67-4945-8303-52C1F9CEE1BF}"/>
    <cellStyle name="20% - Accent3 2 3 7 2 3" xfId="29710" xr:uid="{1163B75D-5A5D-4C63-9635-811CB0A6EEC4}"/>
    <cellStyle name="20% - Accent3 2 3 7 3" xfId="23202" xr:uid="{C3E68319-101D-4CAA-A3E8-7684D5261C75}"/>
    <cellStyle name="20% - Accent3 2 3 7 3 2" xfId="38173" xr:uid="{318D6A8C-2AC1-42DA-AD63-E886D41637FD}"/>
    <cellStyle name="20% - Accent3 2 3 7 4" xfId="30570" xr:uid="{CFCE5055-840D-4312-AE83-8D187E569EDB}"/>
    <cellStyle name="20% - Accent3 2 3 8" xfId="4422" xr:uid="{00000000-0005-0000-0000-000096030000}"/>
    <cellStyle name="20% - Accent3 2 3 8 2" xfId="22337" xr:uid="{970D1133-C334-4FFA-AA9C-D61A5BEBD0C7}"/>
    <cellStyle name="20% - Accent3 2 3 8 2 2" xfId="37313" xr:uid="{5F1DA2CB-8187-41BC-A16A-321F0BEAB317}"/>
    <cellStyle name="20% - Accent3 2 3 8 3" xfId="29709" xr:uid="{C4AEF644-451C-4C24-B852-ADFD23D7FF59}"/>
    <cellStyle name="20% - Accent3 2 3 9" xfId="22367" xr:uid="{705A1C3C-BA1C-45EA-B7E9-5B971B16F996}"/>
    <cellStyle name="20% - Accent3 2 3 9 2" xfId="37343" xr:uid="{D94932D4-3870-45C2-987B-CEC82FAD1DC8}"/>
    <cellStyle name="20% - Accent3 2 4" xfId="4421" xr:uid="{00000000-0005-0000-0000-000097030000}"/>
    <cellStyle name="20% - Accent3 2 4 10" xfId="29708" xr:uid="{328F7F7A-165B-4100-B607-5DC80EF3FEEA}"/>
    <cellStyle name="20% - Accent3 2 4 2" xfId="4420" xr:uid="{00000000-0005-0000-0000-000098030000}"/>
    <cellStyle name="20% - Accent3 2 4 2 2" xfId="5572" xr:uid="{00000000-0005-0000-0000-000099030000}"/>
    <cellStyle name="20% - Accent3 2 4 2 2 2" xfId="5526" xr:uid="{00000000-0005-0000-0000-00009A030000}"/>
    <cellStyle name="20% - Accent3 2 4 2 2 2 2" xfId="4419" xr:uid="{00000000-0005-0000-0000-00009B030000}"/>
    <cellStyle name="20% - Accent3 2 4 2 2 2 2 2" xfId="22334" xr:uid="{94BD5DE5-24FD-4C0F-9238-0EC3E9D5F456}"/>
    <cellStyle name="20% - Accent3 2 4 2 2 2 2 2 2" xfId="37310" xr:uid="{1ADE4B5A-C5D0-45FA-94FE-EDF6F5A9A64F}"/>
    <cellStyle name="20% - Accent3 2 4 2 2 2 2 3" xfId="29706" xr:uid="{B91142D7-635C-41F8-BFA5-68EA2B8E818F}"/>
    <cellStyle name="20% - Accent3 2 4 2 2 2 3" xfId="4418" xr:uid="{00000000-0005-0000-0000-00009C030000}"/>
    <cellStyle name="20% - Accent3 2 4 2 2 2 3 2" xfId="22333" xr:uid="{4DD64C7B-EA62-42BA-A85D-183B0DB0082A}"/>
    <cellStyle name="20% - Accent3 2 4 2 2 2 3 2 2" xfId="37309" xr:uid="{56D02AC7-61BD-467F-9A57-5088FC992E03}"/>
    <cellStyle name="20% - Accent3 2 4 2 2 2 3 3" xfId="29705" xr:uid="{482E8356-F7A7-436D-AB72-1A8E1DB537CB}"/>
    <cellStyle name="20% - Accent3 2 4 2 2 2 4" xfId="23201" xr:uid="{DA101CD4-3764-4207-B468-29C3E23AB333}"/>
    <cellStyle name="20% - Accent3 2 4 2 2 2 4 2" xfId="38172" xr:uid="{9B227356-0047-4AEC-B91D-423A68B52D5F}"/>
    <cellStyle name="20% - Accent3 2 4 2 2 2 5" xfId="30569" xr:uid="{93992375-3FBB-4073-B17B-12F3C77BC59A}"/>
    <cellStyle name="20% - Accent3 2 4 2 2 3" xfId="4417" xr:uid="{00000000-0005-0000-0000-00009D030000}"/>
    <cellStyle name="20% - Accent3 2 4 2 2 3 2" xfId="5567" xr:uid="{00000000-0005-0000-0000-00009E030000}"/>
    <cellStyle name="20% - Accent3 2 4 2 2 3 2 2" xfId="23224" xr:uid="{505A09D4-3843-4D76-AF73-6100B4ADCF48}"/>
    <cellStyle name="20% - Accent3 2 4 2 2 3 2 2 2" xfId="38195" xr:uid="{AC64F1D2-90D4-4662-A6D5-5DF282CF0286}"/>
    <cellStyle name="20% - Accent3 2 4 2 2 3 2 3" xfId="30592" xr:uid="{598CC06D-9E03-44AC-B126-249BBE7E2DF7}"/>
    <cellStyle name="20% - Accent3 2 4 2 2 3 3" xfId="22332" xr:uid="{FEB314ED-40AB-470E-ABC0-484C734F2B29}"/>
    <cellStyle name="20% - Accent3 2 4 2 2 3 3 2" xfId="37308" xr:uid="{69FE15B6-B8C3-4128-8BCD-FFFC8A42B57E}"/>
    <cellStyle name="20% - Accent3 2 4 2 2 3 4" xfId="29704" xr:uid="{58971AD7-5790-47D0-ADC0-3253362E60B6}"/>
    <cellStyle name="20% - Accent3 2 4 2 2 4" xfId="5517" xr:uid="{00000000-0005-0000-0000-00009F030000}"/>
    <cellStyle name="20% - Accent3 2 4 2 2 4 2" xfId="23193" xr:uid="{03531AE6-5C19-4F87-8E71-EAD1712EFFCC}"/>
    <cellStyle name="20% - Accent3 2 4 2 2 4 2 2" xfId="38164" xr:uid="{B9EDA2D0-9E16-4319-A2F0-045313C11325}"/>
    <cellStyle name="20% - Accent3 2 4 2 2 4 3" xfId="30561" xr:uid="{BC510E77-78A7-4FA6-92BC-60DEA4862905}"/>
    <cellStyle name="20% - Accent3 2 4 2 2 5" xfId="23228" xr:uid="{908EA809-2582-4C3B-B361-C265DE67A2D5}"/>
    <cellStyle name="20% - Accent3 2 4 2 2 5 2" xfId="38199" xr:uid="{7600C588-9306-4990-A01D-F4A4E7800E42}"/>
    <cellStyle name="20% - Accent3 2 4 2 2 6" xfId="30596" xr:uid="{5A575136-3198-448C-B6B3-9CB240679E0A}"/>
    <cellStyle name="20% - Accent3 2 4 2 3" xfId="5571" xr:uid="{00000000-0005-0000-0000-0000A0030000}"/>
    <cellStyle name="20% - Accent3 2 4 2 3 2" xfId="5525" xr:uid="{00000000-0005-0000-0000-0000A1030000}"/>
    <cellStyle name="20% - Accent3 2 4 2 3 2 2" xfId="4416" xr:uid="{00000000-0005-0000-0000-0000A2030000}"/>
    <cellStyle name="20% - Accent3 2 4 2 3 2 2 2" xfId="22331" xr:uid="{220E8F3B-5D6A-4CFF-BD7C-2A9191DE9966}"/>
    <cellStyle name="20% - Accent3 2 4 2 3 2 2 2 2" xfId="37307" xr:uid="{5865320C-1E0B-4DCE-91BA-D08E483A4062}"/>
    <cellStyle name="20% - Accent3 2 4 2 3 2 2 3" xfId="29703" xr:uid="{566D42D9-643A-4F4D-9944-2308C504AF70}"/>
    <cellStyle name="20% - Accent3 2 4 2 3 2 3" xfId="5570" xr:uid="{00000000-0005-0000-0000-0000A3030000}"/>
    <cellStyle name="20% - Accent3 2 4 2 3 2 3 2" xfId="23226" xr:uid="{877E5EEB-600C-4C65-BFE0-4524ADB5EDFC}"/>
    <cellStyle name="20% - Accent3 2 4 2 3 2 3 2 2" xfId="38197" xr:uid="{013B8346-7D7F-4AA1-84B4-D199CE16F45D}"/>
    <cellStyle name="20% - Accent3 2 4 2 3 2 3 3" xfId="30594" xr:uid="{0842D329-AA65-4A55-86C6-C298186EE1BD}"/>
    <cellStyle name="20% - Accent3 2 4 2 3 2 4" xfId="23200" xr:uid="{6B7D8B3A-EC5A-4CE6-BD27-69D4312543A4}"/>
    <cellStyle name="20% - Accent3 2 4 2 3 2 4 2" xfId="38171" xr:uid="{FC524CBD-78D2-41CA-88F1-6AB84B653294}"/>
    <cellStyle name="20% - Accent3 2 4 2 3 2 5" xfId="30568" xr:uid="{0EE4BB5D-FBAD-407A-9DE4-7E292F3D72F9}"/>
    <cellStyle name="20% - Accent3 2 4 2 3 3" xfId="5524" xr:uid="{00000000-0005-0000-0000-0000A4030000}"/>
    <cellStyle name="20% - Accent3 2 4 2 3 3 2" xfId="4415" xr:uid="{00000000-0005-0000-0000-0000A5030000}"/>
    <cellStyle name="20% - Accent3 2 4 2 3 3 2 2" xfId="22330" xr:uid="{299572CA-61C4-493E-8129-433D3DC7CF07}"/>
    <cellStyle name="20% - Accent3 2 4 2 3 3 2 2 2" xfId="37306" xr:uid="{9C8922DB-9E4E-46C4-9428-52FCCBCA4E53}"/>
    <cellStyle name="20% - Accent3 2 4 2 3 3 2 3" xfId="29702" xr:uid="{CCF11A3B-55D2-43EF-B7F0-24A6C35A7211}"/>
    <cellStyle name="20% - Accent3 2 4 2 3 3 3" xfId="23199" xr:uid="{470394C2-EDA9-4CDB-AD5B-DF7C8BC1E381}"/>
    <cellStyle name="20% - Accent3 2 4 2 3 3 3 2" xfId="38170" xr:uid="{05C59AF4-7000-4C48-B7A4-18C7842F43DB}"/>
    <cellStyle name="20% - Accent3 2 4 2 3 3 4" xfId="30567" xr:uid="{370E8D28-D25B-4247-8854-29E4ECC470FC}"/>
    <cellStyle name="20% - Accent3 2 4 2 3 4" xfId="4414" xr:uid="{00000000-0005-0000-0000-0000A6030000}"/>
    <cellStyle name="20% - Accent3 2 4 2 3 4 2" xfId="22329" xr:uid="{8C16BEE7-2532-4EEA-B491-A9C142BEE038}"/>
    <cellStyle name="20% - Accent3 2 4 2 3 4 2 2" xfId="37305" xr:uid="{D44D2C69-1646-4224-9D01-A49B06747114}"/>
    <cellStyle name="20% - Accent3 2 4 2 3 4 3" xfId="29701" xr:uid="{E75A6DE2-252F-41A9-AC21-9BCADDED79E1}"/>
    <cellStyle name="20% - Accent3 2 4 2 3 5" xfId="23227" xr:uid="{F6F5C393-DC66-4B61-BF28-CD8D17EA9199}"/>
    <cellStyle name="20% - Accent3 2 4 2 3 5 2" xfId="38198" xr:uid="{84878F5F-E902-4DBD-9553-22C0E9530D6F}"/>
    <cellStyle name="20% - Accent3 2 4 2 3 6" xfId="30595" xr:uid="{53F7A914-EDE9-4371-A8D0-2CA744770E94}"/>
    <cellStyle name="20% - Accent3 2 4 2 4" xfId="4413" xr:uid="{00000000-0005-0000-0000-0000A7030000}"/>
    <cellStyle name="20% - Accent3 2 4 2 4 2" xfId="4412" xr:uid="{00000000-0005-0000-0000-0000A8030000}"/>
    <cellStyle name="20% - Accent3 2 4 2 4 2 2" xfId="22327" xr:uid="{54E05578-C96D-4B89-9115-BAB63DE366C9}"/>
    <cellStyle name="20% - Accent3 2 4 2 4 2 2 2" xfId="37303" xr:uid="{3B674CA7-7FF3-4B36-B50B-277C5F7EE475}"/>
    <cellStyle name="20% - Accent3 2 4 2 4 2 3" xfId="29699" xr:uid="{5933C4E3-CFE2-452C-A295-FFD2F6218FDD}"/>
    <cellStyle name="20% - Accent3 2 4 2 4 3" xfId="4411" xr:uid="{00000000-0005-0000-0000-0000A9030000}"/>
    <cellStyle name="20% - Accent3 2 4 2 4 3 2" xfId="22326" xr:uid="{0B3E63FD-2CE8-40E6-929E-8D40CBEBDD20}"/>
    <cellStyle name="20% - Accent3 2 4 2 4 3 2 2" xfId="37302" xr:uid="{11120E1A-C1BF-44CB-AFCD-D204E8216DC6}"/>
    <cellStyle name="20% - Accent3 2 4 2 4 3 3" xfId="29698" xr:uid="{D546F82D-8461-49B5-83E3-1341331CDDA9}"/>
    <cellStyle name="20% - Accent3 2 4 2 4 4" xfId="22328" xr:uid="{F7266BDE-27CC-4770-9AF3-3DBF0F018FF7}"/>
    <cellStyle name="20% - Accent3 2 4 2 4 4 2" xfId="37304" xr:uid="{F19CE478-F4D8-4E7C-AEE5-0B1968DE12FD}"/>
    <cellStyle name="20% - Accent3 2 4 2 4 5" xfId="29700" xr:uid="{82734D63-1E8B-4A2E-9758-70532B768786}"/>
    <cellStyle name="20% - Accent3 2 4 2 5" xfId="4410" xr:uid="{00000000-0005-0000-0000-0000AA030000}"/>
    <cellStyle name="20% - Accent3 2 4 2 5 2" xfId="22325" xr:uid="{AF24EC6F-067E-4705-9CFA-A0B395A95C95}"/>
    <cellStyle name="20% - Accent3 2 4 2 5 2 2" xfId="37301" xr:uid="{B46BE363-1D6D-4FD9-943F-E539C8D93541}"/>
    <cellStyle name="20% - Accent3 2 4 2 5 3" xfId="29697" xr:uid="{3C20F5EE-5FFD-4FDE-A68E-29B2F69F89FA}"/>
    <cellStyle name="20% - Accent3 2 4 2 6" xfId="4409" xr:uid="{00000000-0005-0000-0000-0000AB030000}"/>
    <cellStyle name="20% - Accent3 2 4 2 6 2" xfId="4408" xr:uid="{00000000-0005-0000-0000-0000AC030000}"/>
    <cellStyle name="20% - Accent3 2 4 2 6 2 2" xfId="22323" xr:uid="{FCA5317C-86E7-4888-8ECA-D3E20B5C2891}"/>
    <cellStyle name="20% - Accent3 2 4 2 6 2 2 2" xfId="37299" xr:uid="{EEFBE325-5434-459A-8BE6-A52173304681}"/>
    <cellStyle name="20% - Accent3 2 4 2 6 2 3" xfId="29695" xr:uid="{FDB0962E-63CA-47C5-81F4-2A9C36E80D00}"/>
    <cellStyle name="20% - Accent3 2 4 2 6 3" xfId="22324" xr:uid="{FD0A8532-3DFD-4F00-AD6D-FADC4F99B58D}"/>
    <cellStyle name="20% - Accent3 2 4 2 6 3 2" xfId="37300" xr:uid="{60EC16F0-8BF8-48B3-99BD-2C8C4D055EA5}"/>
    <cellStyle name="20% - Accent3 2 4 2 6 4" xfId="29696" xr:uid="{94E1827D-8FF0-47C1-A2CD-7AB2D85C8177}"/>
    <cellStyle name="20% - Accent3 2 4 2 7" xfId="4407" xr:uid="{00000000-0005-0000-0000-0000AD030000}"/>
    <cellStyle name="20% - Accent3 2 4 2 7 2" xfId="22322" xr:uid="{6C3A78EB-7CEC-42E5-A789-82C4236A0263}"/>
    <cellStyle name="20% - Accent3 2 4 2 7 2 2" xfId="37298" xr:uid="{6C679294-2A6F-4A9F-A094-E2192CC65370}"/>
    <cellStyle name="20% - Accent3 2 4 2 7 3" xfId="29694" xr:uid="{59BCB8AF-C6D6-40DD-997D-E45593DD73CD}"/>
    <cellStyle name="20% - Accent3 2 4 2 8" xfId="22335" xr:uid="{3E6839C1-F06F-4380-BFE3-C7DFA788BD07}"/>
    <cellStyle name="20% - Accent3 2 4 2 8 2" xfId="37311" xr:uid="{8E59DB74-2430-46E2-B540-82F960C984A6}"/>
    <cellStyle name="20% - Accent3 2 4 2 9" xfId="29707" xr:uid="{4D0986C0-9716-469E-867C-1CAC6750726E}"/>
    <cellStyle name="20% - Accent3 2 4 3" xfId="4406" xr:uid="{00000000-0005-0000-0000-0000AE030000}"/>
    <cellStyle name="20% - Accent3 2 4 3 2" xfId="4405" xr:uid="{00000000-0005-0000-0000-0000AF030000}"/>
    <cellStyle name="20% - Accent3 2 4 3 2 2" xfId="4404" xr:uid="{00000000-0005-0000-0000-0000B0030000}"/>
    <cellStyle name="20% - Accent3 2 4 3 2 2 2" xfId="22319" xr:uid="{33BED1F0-FA5F-4F3C-BAAC-363A91384B47}"/>
    <cellStyle name="20% - Accent3 2 4 3 2 2 2 2" xfId="37295" xr:uid="{B8548950-EA89-4210-B71E-7D819084B4E9}"/>
    <cellStyle name="20% - Accent3 2 4 3 2 2 3" xfId="29691" xr:uid="{F34F14D0-19D4-4CDE-8D2C-733A83A87837}"/>
    <cellStyle name="20% - Accent3 2 4 3 2 3" xfId="4403" xr:uid="{00000000-0005-0000-0000-0000B1030000}"/>
    <cellStyle name="20% - Accent3 2 4 3 2 3 2" xfId="22318" xr:uid="{C3AB676B-617F-4B6F-BCFB-550EF76FADEA}"/>
    <cellStyle name="20% - Accent3 2 4 3 2 3 2 2" xfId="37294" xr:uid="{107CAA38-FBF0-4693-BC04-82C899C5A18C}"/>
    <cellStyle name="20% - Accent3 2 4 3 2 3 3" xfId="29690" xr:uid="{EED1771C-90C2-4236-A377-D0EDAABBB9EB}"/>
    <cellStyle name="20% - Accent3 2 4 3 2 4" xfId="22320" xr:uid="{7FE4FFA0-E9C3-4EEB-A715-85A4A24DDDA8}"/>
    <cellStyle name="20% - Accent3 2 4 3 2 4 2" xfId="37296" xr:uid="{7C195BFE-F530-458F-8BF6-6CDF4FE957F7}"/>
    <cellStyle name="20% - Accent3 2 4 3 2 5" xfId="29692" xr:uid="{E7FEAF86-D0C7-4635-B03B-82B0BF943CBD}"/>
    <cellStyle name="20% - Accent3 2 4 3 3" xfId="4402" xr:uid="{00000000-0005-0000-0000-0000B2030000}"/>
    <cellStyle name="20% - Accent3 2 4 3 3 2" xfId="4401" xr:uid="{00000000-0005-0000-0000-0000B3030000}"/>
    <cellStyle name="20% - Accent3 2 4 3 3 2 2" xfId="22316" xr:uid="{7D3D82F6-1B3E-455B-92D3-8521F673A1C4}"/>
    <cellStyle name="20% - Accent3 2 4 3 3 2 2 2" xfId="37292" xr:uid="{822852B4-4A65-49A3-894F-19BE0475AC90}"/>
    <cellStyle name="20% - Accent3 2 4 3 3 2 3" xfId="29688" xr:uid="{8BA8377C-B47E-4CDF-8E0D-92402454CA15}"/>
    <cellStyle name="20% - Accent3 2 4 3 3 3" xfId="22317" xr:uid="{201C91F2-BB83-43C9-83BF-08D4137C68F6}"/>
    <cellStyle name="20% - Accent3 2 4 3 3 3 2" xfId="37293" xr:uid="{E5B43BF7-AC1F-4BBC-A4C4-1470B1CFFF05}"/>
    <cellStyle name="20% - Accent3 2 4 3 3 4" xfId="29689" xr:uid="{D08A7072-B57A-4596-884E-87962EE5A492}"/>
    <cellStyle name="20% - Accent3 2 4 3 4" xfId="4400" xr:uid="{00000000-0005-0000-0000-0000B4030000}"/>
    <cellStyle name="20% - Accent3 2 4 3 4 2" xfId="22315" xr:uid="{040B6407-CF60-4540-9DC3-F81DE9BE5E96}"/>
    <cellStyle name="20% - Accent3 2 4 3 4 2 2" xfId="37291" xr:uid="{FA2473FA-F3AA-4DA7-BD18-07D72AAF11D4}"/>
    <cellStyle name="20% - Accent3 2 4 3 4 3" xfId="29687" xr:uid="{5A30A3CE-8672-4459-93F8-C38235CCB625}"/>
    <cellStyle name="20% - Accent3 2 4 3 5" xfId="22321" xr:uid="{E831854A-BBCF-4C97-9C43-1173FDB41598}"/>
    <cellStyle name="20% - Accent3 2 4 3 5 2" xfId="37297" xr:uid="{F5E69755-87C1-4D09-83EC-EC1AD5392078}"/>
    <cellStyle name="20% - Accent3 2 4 3 6" xfId="29693" xr:uid="{D69836CF-E4E2-4C31-A837-39EE795EA759}"/>
    <cellStyle name="20% - Accent3 2 4 4" xfId="4399" xr:uid="{00000000-0005-0000-0000-0000B5030000}"/>
    <cellStyle name="20% - Accent3 2 4 4 2" xfId="4398" xr:uid="{00000000-0005-0000-0000-0000B6030000}"/>
    <cellStyle name="20% - Accent3 2 4 4 2 2" xfId="4397" xr:uid="{00000000-0005-0000-0000-0000B7030000}"/>
    <cellStyle name="20% - Accent3 2 4 4 2 2 2" xfId="22312" xr:uid="{CB5EE6B4-E75E-4BA3-872D-F1C9AD5D9EEA}"/>
    <cellStyle name="20% - Accent3 2 4 4 2 2 2 2" xfId="37288" xr:uid="{0F437150-ED86-487C-8355-0EC258045397}"/>
    <cellStyle name="20% - Accent3 2 4 4 2 2 3" xfId="29684" xr:uid="{71B92395-1E1A-485F-9DE7-06613A5D648A}"/>
    <cellStyle name="20% - Accent3 2 4 4 2 3" xfId="4396" xr:uid="{00000000-0005-0000-0000-0000B8030000}"/>
    <cellStyle name="20% - Accent3 2 4 4 2 3 2" xfId="22311" xr:uid="{815F38D0-5E4E-4461-80BD-746A6778025A}"/>
    <cellStyle name="20% - Accent3 2 4 4 2 3 2 2" xfId="37287" xr:uid="{0FA39FC4-0A7F-44BA-A9F3-52927A2712B8}"/>
    <cellStyle name="20% - Accent3 2 4 4 2 3 3" xfId="29683" xr:uid="{2FA23780-9BAF-42A8-AD83-142E237159E7}"/>
    <cellStyle name="20% - Accent3 2 4 4 2 4" xfId="22313" xr:uid="{5A96A094-899E-43D2-91B4-9F2651030916}"/>
    <cellStyle name="20% - Accent3 2 4 4 2 4 2" xfId="37289" xr:uid="{0C82ED81-6C50-4FDE-80D4-A22BC05D7846}"/>
    <cellStyle name="20% - Accent3 2 4 4 2 5" xfId="29685" xr:uid="{A9BDCD2C-7BB2-44CA-BE2D-7C01A612AB02}"/>
    <cellStyle name="20% - Accent3 2 4 4 3" xfId="4395" xr:uid="{00000000-0005-0000-0000-0000B9030000}"/>
    <cellStyle name="20% - Accent3 2 4 4 3 2" xfId="4394" xr:uid="{00000000-0005-0000-0000-0000BA030000}"/>
    <cellStyle name="20% - Accent3 2 4 4 3 2 2" xfId="22309" xr:uid="{51807431-26AC-4366-AC42-F17035755288}"/>
    <cellStyle name="20% - Accent3 2 4 4 3 2 2 2" xfId="37285" xr:uid="{78F73BD2-2589-4B79-964D-6B8E83A618B3}"/>
    <cellStyle name="20% - Accent3 2 4 4 3 2 3" xfId="29681" xr:uid="{1890EB04-A267-4D10-8D5D-040FC8ED3A71}"/>
    <cellStyle name="20% - Accent3 2 4 4 3 3" xfId="22310" xr:uid="{56BE55E2-7528-448A-8420-E4D258256187}"/>
    <cellStyle name="20% - Accent3 2 4 4 3 3 2" xfId="37286" xr:uid="{A9F372DF-35F9-49AF-9BE3-2BFD927C3B46}"/>
    <cellStyle name="20% - Accent3 2 4 4 3 4" xfId="29682" xr:uid="{1F5A04E5-01C4-4A71-AB2E-717B8FF7DF21}"/>
    <cellStyle name="20% - Accent3 2 4 4 4" xfId="4393" xr:uid="{00000000-0005-0000-0000-0000BB030000}"/>
    <cellStyle name="20% - Accent3 2 4 4 4 2" xfId="22308" xr:uid="{816E47DD-A063-4229-BBB9-17C4657CDDFD}"/>
    <cellStyle name="20% - Accent3 2 4 4 4 2 2" xfId="37284" xr:uid="{6A66DB4B-8E95-4533-8028-626C11D2409A}"/>
    <cellStyle name="20% - Accent3 2 4 4 4 3" xfId="29680" xr:uid="{FAB84F9D-9509-4AD6-8912-F0DC0B8F0750}"/>
    <cellStyle name="20% - Accent3 2 4 4 5" xfId="22314" xr:uid="{26675D53-773D-4F98-8A57-8D22B8CB9B79}"/>
    <cellStyle name="20% - Accent3 2 4 4 5 2" xfId="37290" xr:uid="{E53C8436-0E64-45A0-A249-CED7DDBAF361}"/>
    <cellStyle name="20% - Accent3 2 4 4 6" xfId="29686" xr:uid="{0748B53D-8E4E-48BC-883A-6FB909E7D60F}"/>
    <cellStyle name="20% - Accent3 2 4 5" xfId="4392" xr:uid="{00000000-0005-0000-0000-0000BC030000}"/>
    <cellStyle name="20% - Accent3 2 4 5 2" xfId="4391" xr:uid="{00000000-0005-0000-0000-0000BD030000}"/>
    <cellStyle name="20% - Accent3 2 4 5 2 2" xfId="22306" xr:uid="{2AFAFED7-D875-4691-9D7B-CCCBDB1CED65}"/>
    <cellStyle name="20% - Accent3 2 4 5 2 2 2" xfId="37282" xr:uid="{B02D78FA-A1D9-480D-8A3A-5114B69147E6}"/>
    <cellStyle name="20% - Accent3 2 4 5 2 3" xfId="29678" xr:uid="{683103BA-C401-4BDE-B16B-B253E954550E}"/>
    <cellStyle name="20% - Accent3 2 4 5 3" xfId="4390" xr:uid="{00000000-0005-0000-0000-0000BE030000}"/>
    <cellStyle name="20% - Accent3 2 4 5 3 2" xfId="22305" xr:uid="{B76C5727-6AD4-49C6-92DC-A776C44714E2}"/>
    <cellStyle name="20% - Accent3 2 4 5 3 2 2" xfId="37281" xr:uid="{899E3BE8-3ED6-44BF-8E74-4E28C241C4AC}"/>
    <cellStyle name="20% - Accent3 2 4 5 3 3" xfId="29677" xr:uid="{EF768641-952B-4898-A1E9-CF6F52A49C99}"/>
    <cellStyle name="20% - Accent3 2 4 5 4" xfId="22307" xr:uid="{27710BA2-F883-490A-A30C-B4F0BFDC6A22}"/>
    <cellStyle name="20% - Accent3 2 4 5 4 2" xfId="37283" xr:uid="{5C4FB1E6-187A-4737-B3C0-749D8D63222E}"/>
    <cellStyle name="20% - Accent3 2 4 5 5" xfId="29679" xr:uid="{CD9D6C6A-B6BB-4D00-BE54-3C17CDE82F80}"/>
    <cellStyle name="20% - Accent3 2 4 6" xfId="4389" xr:uid="{00000000-0005-0000-0000-0000BF030000}"/>
    <cellStyle name="20% - Accent3 2 4 6 2" xfId="22304" xr:uid="{E6BFD643-E85B-4201-B1FB-425958E8C018}"/>
    <cellStyle name="20% - Accent3 2 4 6 2 2" xfId="37280" xr:uid="{FA7B3618-7850-4F3E-BC87-8A131F87BF0C}"/>
    <cellStyle name="20% - Accent3 2 4 6 3" xfId="29676" xr:uid="{3497FDCF-AD8B-4D7B-B8A0-EDBC2EC97D85}"/>
    <cellStyle name="20% - Accent3 2 4 7" xfId="4388" xr:uid="{00000000-0005-0000-0000-0000C0030000}"/>
    <cellStyle name="20% - Accent3 2 4 7 2" xfId="4387" xr:uid="{00000000-0005-0000-0000-0000C1030000}"/>
    <cellStyle name="20% - Accent3 2 4 7 2 2" xfId="22302" xr:uid="{E6CED321-55A2-4EFA-A6C6-F0A1A48628E8}"/>
    <cellStyle name="20% - Accent3 2 4 7 2 2 2" xfId="37278" xr:uid="{6F519F4F-EC50-4890-8546-A726D7ABEACA}"/>
    <cellStyle name="20% - Accent3 2 4 7 2 3" xfId="29674" xr:uid="{D51EBB3D-4582-4691-A2F7-C39C91201175}"/>
    <cellStyle name="20% - Accent3 2 4 7 3" xfId="22303" xr:uid="{C5E9B0C8-069C-4CE4-A040-D191701EA25C}"/>
    <cellStyle name="20% - Accent3 2 4 7 3 2" xfId="37279" xr:uid="{578A4D97-603E-4A19-9D3B-92CF6582A7DE}"/>
    <cellStyle name="20% - Accent3 2 4 7 4" xfId="29675" xr:uid="{EF11F2CA-9D54-40F8-88D6-CA5E0B32894D}"/>
    <cellStyle name="20% - Accent3 2 4 8" xfId="4386" xr:uid="{00000000-0005-0000-0000-0000C2030000}"/>
    <cellStyle name="20% - Accent3 2 4 8 2" xfId="22301" xr:uid="{9541B26D-176D-4DFA-963E-137C9C78CEF6}"/>
    <cellStyle name="20% - Accent3 2 4 8 2 2" xfId="37277" xr:uid="{4F69FEB0-C7F2-4E55-825B-DFDB3B2B0F75}"/>
    <cellStyle name="20% - Accent3 2 4 8 3" xfId="29673" xr:uid="{7BCF28A0-7588-466F-8BEA-DECDBED008BA}"/>
    <cellStyle name="20% - Accent3 2 4 9" xfId="22336" xr:uid="{F34D4413-2D67-4D50-9256-ED5623FDACA2}"/>
    <cellStyle name="20% - Accent3 2 4 9 2" xfId="37312" xr:uid="{DBBDA17B-42C8-41E1-BF34-8D3254D348BB}"/>
    <cellStyle name="20% - Accent3 2 5" xfId="4385" xr:uid="{00000000-0005-0000-0000-0000C3030000}"/>
    <cellStyle name="20% - Accent3 2 5 10" xfId="29672" xr:uid="{8BE6A07B-D124-47E5-B415-FDB820710FE5}"/>
    <cellStyle name="20% - Accent3 2 5 2" xfId="4384" xr:uid="{00000000-0005-0000-0000-0000C4030000}"/>
    <cellStyle name="20% - Accent3 2 5 2 2" xfId="4383" xr:uid="{00000000-0005-0000-0000-0000C5030000}"/>
    <cellStyle name="20% - Accent3 2 5 2 2 2" xfId="4382" xr:uid="{00000000-0005-0000-0000-0000C6030000}"/>
    <cellStyle name="20% - Accent3 2 5 2 2 2 2" xfId="4381" xr:uid="{00000000-0005-0000-0000-0000C7030000}"/>
    <cellStyle name="20% - Accent3 2 5 2 2 2 2 2" xfId="22296" xr:uid="{0E43ADDA-5D29-41AB-90AA-50A5FDB68BDE}"/>
    <cellStyle name="20% - Accent3 2 5 2 2 2 2 2 2" xfId="37272" xr:uid="{6C24F039-6528-47B3-949B-A4B618CB090C}"/>
    <cellStyle name="20% - Accent3 2 5 2 2 2 2 3" xfId="29668" xr:uid="{EDF0C8AA-7D36-4C60-A245-795C45FF5E30}"/>
    <cellStyle name="20% - Accent3 2 5 2 2 2 3" xfId="4380" xr:uid="{00000000-0005-0000-0000-0000C8030000}"/>
    <cellStyle name="20% - Accent3 2 5 2 2 2 3 2" xfId="22295" xr:uid="{EDD2C2FB-F818-4A94-A5DD-EDFC90ADEACF}"/>
    <cellStyle name="20% - Accent3 2 5 2 2 2 3 2 2" xfId="37271" xr:uid="{0AFEFEDE-9E45-4442-BF90-CE70488FBCCB}"/>
    <cellStyle name="20% - Accent3 2 5 2 2 2 3 3" xfId="29667" xr:uid="{9DFC282E-B565-4886-A447-0C219CE0246C}"/>
    <cellStyle name="20% - Accent3 2 5 2 2 2 4" xfId="22297" xr:uid="{2916B772-268A-4815-9FF7-FDD64AE2574D}"/>
    <cellStyle name="20% - Accent3 2 5 2 2 2 4 2" xfId="37273" xr:uid="{C6092324-DBDD-40F5-ADA4-6321946D7ADB}"/>
    <cellStyle name="20% - Accent3 2 5 2 2 2 5" xfId="29669" xr:uid="{9B7BD043-B2FA-4C95-80DD-8921120FF037}"/>
    <cellStyle name="20% - Accent3 2 5 2 2 3" xfId="4379" xr:uid="{00000000-0005-0000-0000-0000C9030000}"/>
    <cellStyle name="20% - Accent3 2 5 2 2 3 2" xfId="4378" xr:uid="{00000000-0005-0000-0000-0000CA030000}"/>
    <cellStyle name="20% - Accent3 2 5 2 2 3 2 2" xfId="22293" xr:uid="{9A7FF2A7-FF97-4808-94ED-7226DA18C16D}"/>
    <cellStyle name="20% - Accent3 2 5 2 2 3 2 2 2" xfId="37269" xr:uid="{B407FE85-5526-4099-8C47-061A1B42EE72}"/>
    <cellStyle name="20% - Accent3 2 5 2 2 3 2 3" xfId="29665" xr:uid="{6C6876C7-6CED-40E6-AD40-F82D407673DF}"/>
    <cellStyle name="20% - Accent3 2 5 2 2 3 3" xfId="22294" xr:uid="{24CEC346-0091-49A4-8A96-6D6E4C5F32A1}"/>
    <cellStyle name="20% - Accent3 2 5 2 2 3 3 2" xfId="37270" xr:uid="{7DEF2A8D-0F00-41E3-A620-EE5202035979}"/>
    <cellStyle name="20% - Accent3 2 5 2 2 3 4" xfId="29666" xr:uid="{342EDB18-B115-4177-AD7E-6A2B33ED8F47}"/>
    <cellStyle name="20% - Accent3 2 5 2 2 4" xfId="4377" xr:uid="{00000000-0005-0000-0000-0000CB030000}"/>
    <cellStyle name="20% - Accent3 2 5 2 2 4 2" xfId="22292" xr:uid="{F0A389E3-BFE8-4601-AE6F-0F88BE8384BD}"/>
    <cellStyle name="20% - Accent3 2 5 2 2 4 2 2" xfId="37268" xr:uid="{0CF8FE8E-AE2D-4AE6-96F4-060C9CA6B37E}"/>
    <cellStyle name="20% - Accent3 2 5 2 2 4 3" xfId="29664" xr:uid="{28A5B8E6-6661-4C1C-B873-CCEA160405F3}"/>
    <cellStyle name="20% - Accent3 2 5 2 2 5" xfId="22298" xr:uid="{126D9139-CA67-4F77-A974-F3D98B127C4F}"/>
    <cellStyle name="20% - Accent3 2 5 2 2 5 2" xfId="37274" xr:uid="{AB8E9923-0F45-4A49-8ED5-F3DA837CA731}"/>
    <cellStyle name="20% - Accent3 2 5 2 2 6" xfId="29670" xr:uid="{6F0954B2-FAEF-4ED8-BE2F-A7FB63EFCECA}"/>
    <cellStyle name="20% - Accent3 2 5 2 3" xfId="4376" xr:uid="{00000000-0005-0000-0000-0000CC030000}"/>
    <cellStyle name="20% - Accent3 2 5 2 3 2" xfId="4375" xr:uid="{00000000-0005-0000-0000-0000CD030000}"/>
    <cellStyle name="20% - Accent3 2 5 2 3 2 2" xfId="4374" xr:uid="{00000000-0005-0000-0000-0000CE030000}"/>
    <cellStyle name="20% - Accent3 2 5 2 3 2 2 2" xfId="22289" xr:uid="{3F7757C0-A2FD-486A-A80B-C60CE3DEB529}"/>
    <cellStyle name="20% - Accent3 2 5 2 3 2 2 2 2" xfId="37265" xr:uid="{05D8C638-4048-4F37-9513-596A856AA3CE}"/>
    <cellStyle name="20% - Accent3 2 5 2 3 2 2 3" xfId="29661" xr:uid="{D2E04F97-CFE8-4210-8587-CEB9D1F7CC93}"/>
    <cellStyle name="20% - Accent3 2 5 2 3 2 3" xfId="4373" xr:uid="{00000000-0005-0000-0000-0000CF030000}"/>
    <cellStyle name="20% - Accent3 2 5 2 3 2 3 2" xfId="22288" xr:uid="{F29B045A-6553-4519-AFD2-B91FFCC9C534}"/>
    <cellStyle name="20% - Accent3 2 5 2 3 2 3 2 2" xfId="37264" xr:uid="{748A7228-848A-49DB-8ADF-D903F580120D}"/>
    <cellStyle name="20% - Accent3 2 5 2 3 2 3 3" xfId="29660" xr:uid="{8D4D7B84-727D-49F2-8035-DAB651EA114C}"/>
    <cellStyle name="20% - Accent3 2 5 2 3 2 4" xfId="22290" xr:uid="{C29A9336-9272-4148-B2C6-9A2D29CA93EF}"/>
    <cellStyle name="20% - Accent3 2 5 2 3 2 4 2" xfId="37266" xr:uid="{00DD81EE-D642-439D-AF71-DE1B7EDEEE06}"/>
    <cellStyle name="20% - Accent3 2 5 2 3 2 5" xfId="29662" xr:uid="{352C97DA-9FFB-4129-AA1D-5CB6F2E49AE4}"/>
    <cellStyle name="20% - Accent3 2 5 2 3 3" xfId="4372" xr:uid="{00000000-0005-0000-0000-0000D0030000}"/>
    <cellStyle name="20% - Accent3 2 5 2 3 3 2" xfId="4371" xr:uid="{00000000-0005-0000-0000-0000D1030000}"/>
    <cellStyle name="20% - Accent3 2 5 2 3 3 2 2" xfId="22286" xr:uid="{39DD95CD-F00F-43E5-B4CB-DE1C4BF282BB}"/>
    <cellStyle name="20% - Accent3 2 5 2 3 3 2 2 2" xfId="37262" xr:uid="{4832369C-0B73-4059-BCDF-035C145ABF3B}"/>
    <cellStyle name="20% - Accent3 2 5 2 3 3 2 3" xfId="29658" xr:uid="{B74B8EC2-C9ED-4C08-AFBB-270B55C26A59}"/>
    <cellStyle name="20% - Accent3 2 5 2 3 3 3" xfId="22287" xr:uid="{8AFC4D4E-7EA3-4E76-AD97-E473EACA5210}"/>
    <cellStyle name="20% - Accent3 2 5 2 3 3 3 2" xfId="37263" xr:uid="{4CC5A5D4-89CE-45E0-8608-D530264E5C89}"/>
    <cellStyle name="20% - Accent3 2 5 2 3 3 4" xfId="29659" xr:uid="{11DBD2F8-A9F0-4828-897C-C3792669C6CB}"/>
    <cellStyle name="20% - Accent3 2 5 2 3 4" xfId="4370" xr:uid="{00000000-0005-0000-0000-0000D2030000}"/>
    <cellStyle name="20% - Accent3 2 5 2 3 4 2" xfId="22285" xr:uid="{5F9F55B8-7300-41A8-95D0-AC2527D9412B}"/>
    <cellStyle name="20% - Accent3 2 5 2 3 4 2 2" xfId="37261" xr:uid="{4439F56C-7008-47C2-89B8-96BED98F948A}"/>
    <cellStyle name="20% - Accent3 2 5 2 3 4 3" xfId="29657" xr:uid="{C3F1A833-DA97-4B79-A17F-6800BAEE059C}"/>
    <cellStyle name="20% - Accent3 2 5 2 3 5" xfId="22291" xr:uid="{2588FEB9-139C-4EA0-B702-3F65D3F94C8F}"/>
    <cellStyle name="20% - Accent3 2 5 2 3 5 2" xfId="37267" xr:uid="{90852BC8-0739-4F85-9425-8D856FD88A00}"/>
    <cellStyle name="20% - Accent3 2 5 2 3 6" xfId="29663" xr:uid="{245D7E9C-9512-47CC-BE07-10214DE25A79}"/>
    <cellStyle name="20% - Accent3 2 5 2 4" xfId="4369" xr:uid="{00000000-0005-0000-0000-0000D3030000}"/>
    <cellStyle name="20% - Accent3 2 5 2 4 2" xfId="4368" xr:uid="{00000000-0005-0000-0000-0000D4030000}"/>
    <cellStyle name="20% - Accent3 2 5 2 4 2 2" xfId="22283" xr:uid="{B3045B96-097C-482F-A51A-31E6D1EC41E9}"/>
    <cellStyle name="20% - Accent3 2 5 2 4 2 2 2" xfId="37259" xr:uid="{0323053E-3351-4153-889A-06F255FA28B5}"/>
    <cellStyle name="20% - Accent3 2 5 2 4 2 3" xfId="29655" xr:uid="{1A41F3FC-7B6B-4BB7-BFAC-EF0982B7FE2B}"/>
    <cellStyle name="20% - Accent3 2 5 2 4 3" xfId="4367" xr:uid="{00000000-0005-0000-0000-0000D5030000}"/>
    <cellStyle name="20% - Accent3 2 5 2 4 3 2" xfId="22282" xr:uid="{2D21E1E2-CA26-40D8-A22E-E0B483FF91F3}"/>
    <cellStyle name="20% - Accent3 2 5 2 4 3 2 2" xfId="37258" xr:uid="{D30E69A3-99A9-4EBE-A2AB-66784DE288E6}"/>
    <cellStyle name="20% - Accent3 2 5 2 4 3 3" xfId="29654" xr:uid="{920E4BD4-A087-473C-9A4C-18E3A2FE9391}"/>
    <cellStyle name="20% - Accent3 2 5 2 4 4" xfId="22284" xr:uid="{6D61918F-006D-4021-A788-5CAF39261B9F}"/>
    <cellStyle name="20% - Accent3 2 5 2 4 4 2" xfId="37260" xr:uid="{2D64B21B-4438-4A55-8B25-E974E2CB6288}"/>
    <cellStyle name="20% - Accent3 2 5 2 4 5" xfId="29656" xr:uid="{8EE317E6-9801-456D-BE29-BB41A770FF80}"/>
    <cellStyle name="20% - Accent3 2 5 2 5" xfId="4366" xr:uid="{00000000-0005-0000-0000-0000D6030000}"/>
    <cellStyle name="20% - Accent3 2 5 2 5 2" xfId="22281" xr:uid="{8D92A307-8878-4C15-B13C-75A7F12AE5B2}"/>
    <cellStyle name="20% - Accent3 2 5 2 5 2 2" xfId="37257" xr:uid="{40796627-C854-4CDF-9C4B-D1958B80AFC0}"/>
    <cellStyle name="20% - Accent3 2 5 2 5 3" xfId="29653" xr:uid="{0A362B45-16DB-4BC6-9FA5-14EA9C34CAAA}"/>
    <cellStyle name="20% - Accent3 2 5 2 6" xfId="4365" xr:uid="{00000000-0005-0000-0000-0000D7030000}"/>
    <cellStyle name="20% - Accent3 2 5 2 6 2" xfId="4364" xr:uid="{00000000-0005-0000-0000-0000D8030000}"/>
    <cellStyle name="20% - Accent3 2 5 2 6 2 2" xfId="22279" xr:uid="{2C66D646-1E6C-45B8-9FF8-F260EC104F1E}"/>
    <cellStyle name="20% - Accent3 2 5 2 6 2 2 2" xfId="37255" xr:uid="{629CAB2D-AD08-4EC4-8C6B-3C28511EC370}"/>
    <cellStyle name="20% - Accent3 2 5 2 6 2 3" xfId="29651" xr:uid="{55948219-47D5-42DC-A407-D931A11FE3E1}"/>
    <cellStyle name="20% - Accent3 2 5 2 6 3" xfId="22280" xr:uid="{3378C127-7967-4A51-8B8C-32354B274B2E}"/>
    <cellStyle name="20% - Accent3 2 5 2 6 3 2" xfId="37256" xr:uid="{9CB7E829-2F2D-4B15-BBDF-833619796C4E}"/>
    <cellStyle name="20% - Accent3 2 5 2 6 4" xfId="29652" xr:uid="{590D38EB-3843-4ACA-B48C-01C7DBF9EB4A}"/>
    <cellStyle name="20% - Accent3 2 5 2 7" xfId="4363" xr:uid="{00000000-0005-0000-0000-0000D9030000}"/>
    <cellStyle name="20% - Accent3 2 5 2 7 2" xfId="22278" xr:uid="{A8E480AA-B85A-4FF3-89E7-9A5D4B5B3FCB}"/>
    <cellStyle name="20% - Accent3 2 5 2 7 2 2" xfId="37254" xr:uid="{25EBE0AC-F88E-46AE-BE86-A69875BDDC9E}"/>
    <cellStyle name="20% - Accent3 2 5 2 7 3" xfId="29650" xr:uid="{F8BED9AB-6419-4562-A606-5C80260F0BE6}"/>
    <cellStyle name="20% - Accent3 2 5 2 8" xfId="22299" xr:uid="{E33F913F-5DA2-4FE4-9CA6-68D52C1B955B}"/>
    <cellStyle name="20% - Accent3 2 5 2 8 2" xfId="37275" xr:uid="{C14B64A2-3D4B-4FD2-8685-4CF9285ECB61}"/>
    <cellStyle name="20% - Accent3 2 5 2 9" xfId="29671" xr:uid="{2D7B5CCD-505F-4366-822A-7F3BB67A4195}"/>
    <cellStyle name="20% - Accent3 2 5 3" xfId="4362" xr:uid="{00000000-0005-0000-0000-0000DA030000}"/>
    <cellStyle name="20% - Accent3 2 5 3 2" xfId="4361" xr:uid="{00000000-0005-0000-0000-0000DB030000}"/>
    <cellStyle name="20% - Accent3 2 5 3 2 2" xfId="4360" xr:uid="{00000000-0005-0000-0000-0000DC030000}"/>
    <cellStyle name="20% - Accent3 2 5 3 2 2 2" xfId="22275" xr:uid="{C684F060-2388-48A6-9885-23BBD28FF84A}"/>
    <cellStyle name="20% - Accent3 2 5 3 2 2 2 2" xfId="37251" xr:uid="{89BB8547-68C8-44C6-BC27-0AEA430F9C45}"/>
    <cellStyle name="20% - Accent3 2 5 3 2 2 3" xfId="29647" xr:uid="{6D106D8F-C7AD-449B-B0BA-888CA1784E2E}"/>
    <cellStyle name="20% - Accent3 2 5 3 2 3" xfId="4359" xr:uid="{00000000-0005-0000-0000-0000DD030000}"/>
    <cellStyle name="20% - Accent3 2 5 3 2 3 2" xfId="22274" xr:uid="{E86FE53C-5783-4452-8143-B36692A9DFE5}"/>
    <cellStyle name="20% - Accent3 2 5 3 2 3 2 2" xfId="37250" xr:uid="{E68CFA4D-72C9-42DD-A709-494B64029B61}"/>
    <cellStyle name="20% - Accent3 2 5 3 2 3 3" xfId="29646" xr:uid="{739B7BAF-050B-456E-BA1C-FC3C5680082F}"/>
    <cellStyle name="20% - Accent3 2 5 3 2 4" xfId="22276" xr:uid="{AB2DDDB7-C28D-4305-B851-47566FC5F6D1}"/>
    <cellStyle name="20% - Accent3 2 5 3 2 4 2" xfId="37252" xr:uid="{5E861D2F-6E99-47C4-81AC-3F3C955FDEF9}"/>
    <cellStyle name="20% - Accent3 2 5 3 2 5" xfId="29648" xr:uid="{9569415C-3960-4B60-BC6F-03948EF9EB87}"/>
    <cellStyle name="20% - Accent3 2 5 3 3" xfId="4358" xr:uid="{00000000-0005-0000-0000-0000DE030000}"/>
    <cellStyle name="20% - Accent3 2 5 3 3 2" xfId="4357" xr:uid="{00000000-0005-0000-0000-0000DF030000}"/>
    <cellStyle name="20% - Accent3 2 5 3 3 2 2" xfId="22272" xr:uid="{EB3DAAC5-1B95-46C5-BCA9-47A91EADF6CB}"/>
    <cellStyle name="20% - Accent3 2 5 3 3 2 2 2" xfId="37248" xr:uid="{CCF787BE-7A35-4BB4-8A9B-06E17F6ACDD3}"/>
    <cellStyle name="20% - Accent3 2 5 3 3 2 3" xfId="29644" xr:uid="{CBAA5779-100D-4177-8D52-7913B8D663A2}"/>
    <cellStyle name="20% - Accent3 2 5 3 3 3" xfId="22273" xr:uid="{DC5BBAEA-CAA1-4A6D-9216-2E4902F27DC1}"/>
    <cellStyle name="20% - Accent3 2 5 3 3 3 2" xfId="37249" xr:uid="{038F4A36-76B9-45A8-BDEE-E1767D4E6563}"/>
    <cellStyle name="20% - Accent3 2 5 3 3 4" xfId="29645" xr:uid="{B707BD7E-6A67-4D9E-AF0F-39C9788B1DA2}"/>
    <cellStyle name="20% - Accent3 2 5 3 4" xfId="4356" xr:uid="{00000000-0005-0000-0000-0000E0030000}"/>
    <cellStyle name="20% - Accent3 2 5 3 4 2" xfId="22271" xr:uid="{386911EB-DB47-4F57-956F-85BFC4C49B79}"/>
    <cellStyle name="20% - Accent3 2 5 3 4 2 2" xfId="37247" xr:uid="{08DE10C1-37BA-49FC-8488-DD62F6F02A28}"/>
    <cellStyle name="20% - Accent3 2 5 3 4 3" xfId="29643" xr:uid="{FB868DF6-DA46-4520-B897-C93434A7218B}"/>
    <cellStyle name="20% - Accent3 2 5 3 5" xfId="22277" xr:uid="{A4E6A947-DCCC-4A48-86E3-4AA4CFF82DBC}"/>
    <cellStyle name="20% - Accent3 2 5 3 5 2" xfId="37253" xr:uid="{6FF92811-834B-4503-8E47-27FAA6853C7B}"/>
    <cellStyle name="20% - Accent3 2 5 3 6" xfId="29649" xr:uid="{28EDC7B4-5097-4942-9746-8C2973F3D101}"/>
    <cellStyle name="20% - Accent3 2 5 4" xfId="4355" xr:uid="{00000000-0005-0000-0000-0000E1030000}"/>
    <cellStyle name="20% - Accent3 2 5 4 2" xfId="4354" xr:uid="{00000000-0005-0000-0000-0000E2030000}"/>
    <cellStyle name="20% - Accent3 2 5 4 2 2" xfId="4353" xr:uid="{00000000-0005-0000-0000-0000E3030000}"/>
    <cellStyle name="20% - Accent3 2 5 4 2 2 2" xfId="22268" xr:uid="{A3868C39-B7D5-4EFC-9DFA-374BCC368559}"/>
    <cellStyle name="20% - Accent3 2 5 4 2 2 2 2" xfId="37244" xr:uid="{55BD45CA-68E7-4BF5-809C-691944B1E746}"/>
    <cellStyle name="20% - Accent3 2 5 4 2 2 3" xfId="29640" xr:uid="{46A4C0BB-DEDA-4C11-8FB3-3852B9CAB2A4}"/>
    <cellStyle name="20% - Accent3 2 5 4 2 3" xfId="4352" xr:uid="{00000000-0005-0000-0000-0000E4030000}"/>
    <cellStyle name="20% - Accent3 2 5 4 2 3 2" xfId="22267" xr:uid="{0705BB6F-31FF-43D9-AD2B-1C519EB6EC04}"/>
    <cellStyle name="20% - Accent3 2 5 4 2 3 2 2" xfId="37243" xr:uid="{757A6E2D-D5CB-472E-B60C-A2186C8085C8}"/>
    <cellStyle name="20% - Accent3 2 5 4 2 3 3" xfId="29639" xr:uid="{43F37021-1CFF-475D-B729-984F3074FE28}"/>
    <cellStyle name="20% - Accent3 2 5 4 2 4" xfId="22269" xr:uid="{9597D58F-98AA-43AA-9FFA-E66600E39EBD}"/>
    <cellStyle name="20% - Accent3 2 5 4 2 4 2" xfId="37245" xr:uid="{352B9B14-D560-48F5-8DA5-F18DCBC655CB}"/>
    <cellStyle name="20% - Accent3 2 5 4 2 5" xfId="29641" xr:uid="{2FDDD405-DAFB-4D39-80D3-394CD9AEBE8C}"/>
    <cellStyle name="20% - Accent3 2 5 4 3" xfId="4351" xr:uid="{00000000-0005-0000-0000-0000E5030000}"/>
    <cellStyle name="20% - Accent3 2 5 4 3 2" xfId="4350" xr:uid="{00000000-0005-0000-0000-0000E6030000}"/>
    <cellStyle name="20% - Accent3 2 5 4 3 2 2" xfId="22265" xr:uid="{C643D9DC-3239-4000-BDA6-CC0E56353140}"/>
    <cellStyle name="20% - Accent3 2 5 4 3 2 2 2" xfId="37241" xr:uid="{AD512B09-21B5-47BF-B7E2-3492376E16CF}"/>
    <cellStyle name="20% - Accent3 2 5 4 3 2 3" xfId="29637" xr:uid="{DF2A98A0-A7BC-4711-8BF6-55AC3F629973}"/>
    <cellStyle name="20% - Accent3 2 5 4 3 3" xfId="22266" xr:uid="{A426EB16-CCE6-4B62-93F9-765A945C569D}"/>
    <cellStyle name="20% - Accent3 2 5 4 3 3 2" xfId="37242" xr:uid="{2C789909-6EA5-41E4-9AAD-14DA0D6FF5A3}"/>
    <cellStyle name="20% - Accent3 2 5 4 3 4" xfId="29638" xr:uid="{F5881809-B0F5-4C93-BE04-438FD5FA3C91}"/>
    <cellStyle name="20% - Accent3 2 5 4 4" xfId="4349" xr:uid="{00000000-0005-0000-0000-0000E7030000}"/>
    <cellStyle name="20% - Accent3 2 5 4 4 2" xfId="22264" xr:uid="{E0E80DAC-EB29-4EFB-88AC-1E9BBC2F5AD5}"/>
    <cellStyle name="20% - Accent3 2 5 4 4 2 2" xfId="37240" xr:uid="{547AF804-6A8F-454B-B216-282E02515DC0}"/>
    <cellStyle name="20% - Accent3 2 5 4 4 3" xfId="29636" xr:uid="{0B92A039-4FFD-40DF-AF7B-F5552BE6B00D}"/>
    <cellStyle name="20% - Accent3 2 5 4 5" xfId="22270" xr:uid="{723DCE44-E374-403F-8C5C-07B7E5121BF2}"/>
    <cellStyle name="20% - Accent3 2 5 4 5 2" xfId="37246" xr:uid="{CDC3518C-4759-44AB-9656-D43A532545E2}"/>
    <cellStyle name="20% - Accent3 2 5 4 6" xfId="29642" xr:uid="{06C1A8D0-0380-4493-9595-2C73F91200BB}"/>
    <cellStyle name="20% - Accent3 2 5 5" xfId="4348" xr:uid="{00000000-0005-0000-0000-0000E8030000}"/>
    <cellStyle name="20% - Accent3 2 5 5 2" xfId="4347" xr:uid="{00000000-0005-0000-0000-0000E9030000}"/>
    <cellStyle name="20% - Accent3 2 5 5 2 2" xfId="22262" xr:uid="{D7B19827-5AEE-4D0E-ADA0-273FDF765ACC}"/>
    <cellStyle name="20% - Accent3 2 5 5 2 2 2" xfId="37238" xr:uid="{AA4CC162-B4DB-4284-AC30-673033F18831}"/>
    <cellStyle name="20% - Accent3 2 5 5 2 3" xfId="29634" xr:uid="{9341E0D7-B63B-4283-A8AB-15934D43263F}"/>
    <cellStyle name="20% - Accent3 2 5 5 3" xfId="4346" xr:uid="{00000000-0005-0000-0000-0000EA030000}"/>
    <cellStyle name="20% - Accent3 2 5 5 3 2" xfId="22261" xr:uid="{8E0EA655-A795-418D-B272-8830B568E60A}"/>
    <cellStyle name="20% - Accent3 2 5 5 3 2 2" xfId="37237" xr:uid="{55CDD67C-A16F-4F26-8E9D-C313B5B5C821}"/>
    <cellStyle name="20% - Accent3 2 5 5 3 3" xfId="29633" xr:uid="{D0E56DAC-35D5-4ADC-B6D8-F7D95E6CA3D5}"/>
    <cellStyle name="20% - Accent3 2 5 5 4" xfId="22263" xr:uid="{8C619381-15BE-423F-9FCB-4799E0CE39F6}"/>
    <cellStyle name="20% - Accent3 2 5 5 4 2" xfId="37239" xr:uid="{55653514-EF8C-4B8A-9537-79370167AEBE}"/>
    <cellStyle name="20% - Accent3 2 5 5 5" xfId="29635" xr:uid="{A003AE13-5798-4FAC-A637-C3A06B29DE21}"/>
    <cellStyle name="20% - Accent3 2 5 6" xfId="4345" xr:uid="{00000000-0005-0000-0000-0000EB030000}"/>
    <cellStyle name="20% - Accent3 2 5 6 2" xfId="22260" xr:uid="{047873A7-0CA5-43B3-962F-1F2CA09654C8}"/>
    <cellStyle name="20% - Accent3 2 5 6 2 2" xfId="37236" xr:uid="{289F8D21-DACC-480B-856E-EE85FE56B593}"/>
    <cellStyle name="20% - Accent3 2 5 6 3" xfId="29632" xr:uid="{F2035C1C-3B39-42C6-881F-DBF7C0C031A5}"/>
    <cellStyle name="20% - Accent3 2 5 7" xfId="4344" xr:uid="{00000000-0005-0000-0000-0000EC030000}"/>
    <cellStyle name="20% - Accent3 2 5 7 2" xfId="4343" xr:uid="{00000000-0005-0000-0000-0000ED030000}"/>
    <cellStyle name="20% - Accent3 2 5 7 2 2" xfId="22258" xr:uid="{B144EF25-DCCB-44E5-B706-15E2859FBCC3}"/>
    <cellStyle name="20% - Accent3 2 5 7 2 2 2" xfId="37234" xr:uid="{1A2D95ED-FB04-4179-869D-ACB7ADFDF9F2}"/>
    <cellStyle name="20% - Accent3 2 5 7 2 3" xfId="29630" xr:uid="{5B920807-0248-470D-AC09-181B20AEA5A8}"/>
    <cellStyle name="20% - Accent3 2 5 7 3" xfId="22259" xr:uid="{F1387C26-990B-4173-94F9-42EB88046AB7}"/>
    <cellStyle name="20% - Accent3 2 5 7 3 2" xfId="37235" xr:uid="{08FB41F1-35BD-4F85-BA18-0528F44D945A}"/>
    <cellStyle name="20% - Accent3 2 5 7 4" xfId="29631" xr:uid="{8EA49D54-1804-4866-ACDC-BC24B83AE206}"/>
    <cellStyle name="20% - Accent3 2 5 8" xfId="4342" xr:uid="{00000000-0005-0000-0000-0000EE030000}"/>
    <cellStyle name="20% - Accent3 2 5 8 2" xfId="22257" xr:uid="{37147133-E9BC-4548-BBB1-737028EC98FD}"/>
    <cellStyle name="20% - Accent3 2 5 8 2 2" xfId="37233" xr:uid="{6865FB55-D0BD-4659-B33F-089A059AC0C9}"/>
    <cellStyle name="20% - Accent3 2 5 8 3" xfId="29629" xr:uid="{F0DFECC1-20E2-4B6E-825A-1616ADD5551B}"/>
    <cellStyle name="20% - Accent3 2 5 9" xfId="22300" xr:uid="{2753B1AC-34F7-46BB-BC1A-F2D07AF6BE81}"/>
    <cellStyle name="20% - Accent3 2 5 9 2" xfId="37276" xr:uid="{88D4F779-2D17-4FD2-85E7-0A585799C9C5}"/>
    <cellStyle name="20% - Accent3 2 6" xfId="4341" xr:uid="{00000000-0005-0000-0000-0000EF030000}"/>
    <cellStyle name="20% - Accent3 2 6 10" xfId="29628" xr:uid="{086D08B8-E8A0-475C-A684-E1B801BC2CB4}"/>
    <cellStyle name="20% - Accent3 2 6 2" xfId="4340" xr:uid="{00000000-0005-0000-0000-0000F0030000}"/>
    <cellStyle name="20% - Accent3 2 6 2 2" xfId="4339" xr:uid="{00000000-0005-0000-0000-0000F1030000}"/>
    <cellStyle name="20% - Accent3 2 6 2 2 2" xfId="4338" xr:uid="{00000000-0005-0000-0000-0000F2030000}"/>
    <cellStyle name="20% - Accent3 2 6 2 2 2 2" xfId="4337" xr:uid="{00000000-0005-0000-0000-0000F3030000}"/>
    <cellStyle name="20% - Accent3 2 6 2 2 2 2 2" xfId="22252" xr:uid="{F14A37E4-3D43-4CB0-9119-B1922DB5730E}"/>
    <cellStyle name="20% - Accent3 2 6 2 2 2 2 2 2" xfId="37228" xr:uid="{438C3243-7F80-42A8-BFCA-5C86CB5C6BD6}"/>
    <cellStyle name="20% - Accent3 2 6 2 2 2 2 3" xfId="29624" xr:uid="{5E319B20-8734-4BD3-B37E-4035ACEAADD6}"/>
    <cellStyle name="20% - Accent3 2 6 2 2 2 3" xfId="4336" xr:uid="{00000000-0005-0000-0000-0000F4030000}"/>
    <cellStyle name="20% - Accent3 2 6 2 2 2 3 2" xfId="22251" xr:uid="{6D94A37B-CF90-4BBA-8213-339022961A83}"/>
    <cellStyle name="20% - Accent3 2 6 2 2 2 3 2 2" xfId="37227" xr:uid="{03C7537E-80D8-4567-9425-8792920D98C4}"/>
    <cellStyle name="20% - Accent3 2 6 2 2 2 3 3" xfId="29623" xr:uid="{025B9F7B-692A-43B5-B42B-1E451F0C8752}"/>
    <cellStyle name="20% - Accent3 2 6 2 2 2 4" xfId="22253" xr:uid="{72432E74-D5AB-4CFB-BDDC-2C2894770101}"/>
    <cellStyle name="20% - Accent3 2 6 2 2 2 4 2" xfId="37229" xr:uid="{55C08E65-A686-4A07-A5A7-E50C40A610AE}"/>
    <cellStyle name="20% - Accent3 2 6 2 2 2 5" xfId="29625" xr:uid="{F3935C22-0A32-489E-A636-E0F17DC188AA}"/>
    <cellStyle name="20% - Accent3 2 6 2 2 3" xfId="4335" xr:uid="{00000000-0005-0000-0000-0000F5030000}"/>
    <cellStyle name="20% - Accent3 2 6 2 2 3 2" xfId="4334" xr:uid="{00000000-0005-0000-0000-0000F6030000}"/>
    <cellStyle name="20% - Accent3 2 6 2 2 3 2 2" xfId="22249" xr:uid="{E0568AEC-05AE-4F38-9F49-23AD05A3A73A}"/>
    <cellStyle name="20% - Accent3 2 6 2 2 3 2 2 2" xfId="37225" xr:uid="{880BED72-2B57-40A1-8D35-23AA46E2DD03}"/>
    <cellStyle name="20% - Accent3 2 6 2 2 3 2 3" xfId="29621" xr:uid="{358C712D-D3C4-4361-A727-B7AC7E820A2E}"/>
    <cellStyle name="20% - Accent3 2 6 2 2 3 3" xfId="22250" xr:uid="{72AFEA22-8D39-447D-9AFA-84A454CF95DB}"/>
    <cellStyle name="20% - Accent3 2 6 2 2 3 3 2" xfId="37226" xr:uid="{DC0AA64F-D2BD-4AE6-8652-3E8453B3590E}"/>
    <cellStyle name="20% - Accent3 2 6 2 2 3 4" xfId="29622" xr:uid="{A864653F-362C-4109-AB2D-0B2541B8D093}"/>
    <cellStyle name="20% - Accent3 2 6 2 2 4" xfId="4333" xr:uid="{00000000-0005-0000-0000-0000F7030000}"/>
    <cellStyle name="20% - Accent3 2 6 2 2 4 2" xfId="22248" xr:uid="{F05945B9-35D4-4175-91B6-8CED9B8EAF46}"/>
    <cellStyle name="20% - Accent3 2 6 2 2 4 2 2" xfId="37224" xr:uid="{5FE2CA52-BA02-462A-A515-5002DC33F2BC}"/>
    <cellStyle name="20% - Accent3 2 6 2 2 4 3" xfId="29620" xr:uid="{8C485649-955C-4952-AAC5-6D155D8AE6F6}"/>
    <cellStyle name="20% - Accent3 2 6 2 2 5" xfId="22254" xr:uid="{ECC19838-7F2C-43F0-A2E1-6991FC9C1BC6}"/>
    <cellStyle name="20% - Accent3 2 6 2 2 5 2" xfId="37230" xr:uid="{14311204-AA94-4984-B0DA-4C0F03331770}"/>
    <cellStyle name="20% - Accent3 2 6 2 2 6" xfId="29626" xr:uid="{AD8E4242-E324-47C3-BE2D-2AC050997D3C}"/>
    <cellStyle name="20% - Accent3 2 6 2 3" xfId="4332" xr:uid="{00000000-0005-0000-0000-0000F8030000}"/>
    <cellStyle name="20% - Accent3 2 6 2 3 2" xfId="4331" xr:uid="{00000000-0005-0000-0000-0000F9030000}"/>
    <cellStyle name="20% - Accent3 2 6 2 3 2 2" xfId="4330" xr:uid="{00000000-0005-0000-0000-0000FA030000}"/>
    <cellStyle name="20% - Accent3 2 6 2 3 2 2 2" xfId="22245" xr:uid="{73AD2268-F6C1-4897-B8A3-2E30455D9E9A}"/>
    <cellStyle name="20% - Accent3 2 6 2 3 2 2 2 2" xfId="37221" xr:uid="{135172BA-A6F7-425C-B61E-C60EC9F75799}"/>
    <cellStyle name="20% - Accent3 2 6 2 3 2 2 3" xfId="29617" xr:uid="{A28AF617-E4A9-4ABB-8EE4-BAFF6F2516DC}"/>
    <cellStyle name="20% - Accent3 2 6 2 3 2 3" xfId="4329" xr:uid="{00000000-0005-0000-0000-0000FB030000}"/>
    <cellStyle name="20% - Accent3 2 6 2 3 2 3 2" xfId="22244" xr:uid="{165AF9DA-89C2-4CB1-BCDD-3E95ABBA793C}"/>
    <cellStyle name="20% - Accent3 2 6 2 3 2 3 2 2" xfId="37220" xr:uid="{CD8C096B-580A-41DF-8184-84574EE13513}"/>
    <cellStyle name="20% - Accent3 2 6 2 3 2 3 3" xfId="29616" xr:uid="{D21B7906-1344-418B-AC48-CFBF995D47F9}"/>
    <cellStyle name="20% - Accent3 2 6 2 3 2 4" xfId="22246" xr:uid="{6052CEE9-8D52-44C1-B8F9-D9C03DE4086F}"/>
    <cellStyle name="20% - Accent3 2 6 2 3 2 4 2" xfId="37222" xr:uid="{C3561576-77A0-4855-9847-065D801B8DC9}"/>
    <cellStyle name="20% - Accent3 2 6 2 3 2 5" xfId="29618" xr:uid="{7FDD33D1-F124-4501-B751-4FB9C079D3DA}"/>
    <cellStyle name="20% - Accent3 2 6 2 3 3" xfId="4328" xr:uid="{00000000-0005-0000-0000-0000FC030000}"/>
    <cellStyle name="20% - Accent3 2 6 2 3 3 2" xfId="4327" xr:uid="{00000000-0005-0000-0000-0000FD030000}"/>
    <cellStyle name="20% - Accent3 2 6 2 3 3 2 2" xfId="22242" xr:uid="{4564B395-0BA7-40CB-85CA-01C6F5187549}"/>
    <cellStyle name="20% - Accent3 2 6 2 3 3 2 2 2" xfId="37218" xr:uid="{08968AE7-1853-455D-8F4D-2EB9EB6CBE06}"/>
    <cellStyle name="20% - Accent3 2 6 2 3 3 2 3" xfId="29614" xr:uid="{581B7708-3B47-41C7-829B-D1D4DEC7C024}"/>
    <cellStyle name="20% - Accent3 2 6 2 3 3 3" xfId="22243" xr:uid="{C4279487-C527-4E23-8815-873DF1BF75C3}"/>
    <cellStyle name="20% - Accent3 2 6 2 3 3 3 2" xfId="37219" xr:uid="{0EE4F844-8878-4671-B1D6-3653528B7148}"/>
    <cellStyle name="20% - Accent3 2 6 2 3 3 4" xfId="29615" xr:uid="{77034E5F-60D4-41A1-986D-E528757A80F1}"/>
    <cellStyle name="20% - Accent3 2 6 2 3 4" xfId="4326" xr:uid="{00000000-0005-0000-0000-0000FE030000}"/>
    <cellStyle name="20% - Accent3 2 6 2 3 4 2" xfId="22241" xr:uid="{8F89F211-4A11-4840-8E5E-8A2C441BED61}"/>
    <cellStyle name="20% - Accent3 2 6 2 3 4 2 2" xfId="37217" xr:uid="{9FD3B868-D459-41DE-A843-630177383C0B}"/>
    <cellStyle name="20% - Accent3 2 6 2 3 4 3" xfId="29613" xr:uid="{5E42900E-B73F-4D2C-B019-57470A366CE3}"/>
    <cellStyle name="20% - Accent3 2 6 2 3 5" xfId="22247" xr:uid="{20BD6EE6-B9D1-47CA-8D24-AF8D4306B679}"/>
    <cellStyle name="20% - Accent3 2 6 2 3 5 2" xfId="37223" xr:uid="{3C40BE5B-41E5-4233-8270-115C68A5CA27}"/>
    <cellStyle name="20% - Accent3 2 6 2 3 6" xfId="29619" xr:uid="{02C7E652-4C05-4487-9CBD-0AFADB7A4898}"/>
    <cellStyle name="20% - Accent3 2 6 2 4" xfId="4325" xr:uid="{00000000-0005-0000-0000-0000FF030000}"/>
    <cellStyle name="20% - Accent3 2 6 2 4 2" xfId="4324" xr:uid="{00000000-0005-0000-0000-000000040000}"/>
    <cellStyle name="20% - Accent3 2 6 2 4 2 2" xfId="22239" xr:uid="{ADE2E9BC-6F60-4E0B-B3C0-923A70A158AF}"/>
    <cellStyle name="20% - Accent3 2 6 2 4 2 2 2" xfId="37215" xr:uid="{5690A2F5-2BA9-49ED-9DB1-9115AD8374AB}"/>
    <cellStyle name="20% - Accent3 2 6 2 4 2 3" xfId="29611" xr:uid="{15297DBF-6329-4D36-9904-0C09CB4CDFC1}"/>
    <cellStyle name="20% - Accent3 2 6 2 4 3" xfId="4323" xr:uid="{00000000-0005-0000-0000-000001040000}"/>
    <cellStyle name="20% - Accent3 2 6 2 4 3 2" xfId="22238" xr:uid="{148975FC-F44A-46BC-B90C-00D19495B2DB}"/>
    <cellStyle name="20% - Accent3 2 6 2 4 3 2 2" xfId="37214" xr:uid="{C8C7740F-4867-410C-AA35-25067DB7D354}"/>
    <cellStyle name="20% - Accent3 2 6 2 4 3 3" xfId="29610" xr:uid="{A463E6A5-01BF-4587-8244-5850AD3F8B01}"/>
    <cellStyle name="20% - Accent3 2 6 2 4 4" xfId="22240" xr:uid="{F82D6A48-6266-4E5A-9FEE-FC9C84E2C0EC}"/>
    <cellStyle name="20% - Accent3 2 6 2 4 4 2" xfId="37216" xr:uid="{0FF17D4D-EBF5-4646-BA09-1C3280FAA346}"/>
    <cellStyle name="20% - Accent3 2 6 2 4 5" xfId="29612" xr:uid="{193983E9-3097-4DCF-ACBB-68D4D7B2743C}"/>
    <cellStyle name="20% - Accent3 2 6 2 5" xfId="4322" xr:uid="{00000000-0005-0000-0000-000002040000}"/>
    <cellStyle name="20% - Accent3 2 6 2 5 2" xfId="22237" xr:uid="{3B9124E1-E91F-4BC4-90F1-6DC6EEBA3A95}"/>
    <cellStyle name="20% - Accent3 2 6 2 5 2 2" xfId="37213" xr:uid="{83D7D1F0-BFEC-463D-ADC5-9910E9D229F7}"/>
    <cellStyle name="20% - Accent3 2 6 2 5 3" xfId="29609" xr:uid="{00320C73-5C61-490F-A105-895D239BCE81}"/>
    <cellStyle name="20% - Accent3 2 6 2 6" xfId="4321" xr:uid="{00000000-0005-0000-0000-000003040000}"/>
    <cellStyle name="20% - Accent3 2 6 2 6 2" xfId="4320" xr:uid="{00000000-0005-0000-0000-000004040000}"/>
    <cellStyle name="20% - Accent3 2 6 2 6 2 2" xfId="22235" xr:uid="{2890059B-7D81-48FA-8C4B-BE674EF6BD3D}"/>
    <cellStyle name="20% - Accent3 2 6 2 6 2 2 2" xfId="37211" xr:uid="{9E33C339-C279-4BD0-956E-BBB3ED4000AE}"/>
    <cellStyle name="20% - Accent3 2 6 2 6 2 3" xfId="29607" xr:uid="{48EB420E-EB3A-48A6-8AC3-5CC8E2037492}"/>
    <cellStyle name="20% - Accent3 2 6 2 6 3" xfId="22236" xr:uid="{DB52C46B-E9AF-4706-92AC-7D923F542507}"/>
    <cellStyle name="20% - Accent3 2 6 2 6 3 2" xfId="37212" xr:uid="{9642FBB6-4145-4D22-AEB5-D620F0DFEFB8}"/>
    <cellStyle name="20% - Accent3 2 6 2 6 4" xfId="29608" xr:uid="{D0A7BC1A-1E01-4812-A954-4C5BC82F917F}"/>
    <cellStyle name="20% - Accent3 2 6 2 7" xfId="4319" xr:uid="{00000000-0005-0000-0000-000005040000}"/>
    <cellStyle name="20% - Accent3 2 6 2 7 2" xfId="22234" xr:uid="{D2C24722-A54A-4069-B754-276660DC05EE}"/>
    <cellStyle name="20% - Accent3 2 6 2 7 2 2" xfId="37210" xr:uid="{4C1B0796-5835-4FC5-B05D-C67B46E621E4}"/>
    <cellStyle name="20% - Accent3 2 6 2 7 3" xfId="29606" xr:uid="{F975B815-3C41-428F-B95B-8FCEF8E90D97}"/>
    <cellStyle name="20% - Accent3 2 6 2 8" xfId="22255" xr:uid="{B1E74271-FE75-44C4-9374-C7FD36CA250F}"/>
    <cellStyle name="20% - Accent3 2 6 2 8 2" xfId="37231" xr:uid="{5E2A0FB6-23A5-4D47-AE27-8ABC2FD81401}"/>
    <cellStyle name="20% - Accent3 2 6 2 9" xfId="29627" xr:uid="{B33FC307-332F-431D-9DFC-549AEEF8A1D0}"/>
    <cellStyle name="20% - Accent3 2 6 3" xfId="4318" xr:uid="{00000000-0005-0000-0000-000006040000}"/>
    <cellStyle name="20% - Accent3 2 6 3 2" xfId="4317" xr:uid="{00000000-0005-0000-0000-000007040000}"/>
    <cellStyle name="20% - Accent3 2 6 3 2 2" xfId="4316" xr:uid="{00000000-0005-0000-0000-000008040000}"/>
    <cellStyle name="20% - Accent3 2 6 3 2 2 2" xfId="22231" xr:uid="{48289B17-6183-44C5-93F2-2254EB80F972}"/>
    <cellStyle name="20% - Accent3 2 6 3 2 2 2 2" xfId="37207" xr:uid="{F5258050-0C48-462C-A14E-FFF35D4DBCF4}"/>
    <cellStyle name="20% - Accent3 2 6 3 2 2 3" xfId="29603" xr:uid="{93CA57AA-F3CC-4EE8-8140-2AA59FBB99E5}"/>
    <cellStyle name="20% - Accent3 2 6 3 2 3" xfId="4315" xr:uid="{00000000-0005-0000-0000-000009040000}"/>
    <cellStyle name="20% - Accent3 2 6 3 2 3 2" xfId="22230" xr:uid="{0B136BDF-819B-43BC-9B49-B40141E52B20}"/>
    <cellStyle name="20% - Accent3 2 6 3 2 3 2 2" xfId="37206" xr:uid="{2BF0C73C-38E5-4F9D-835D-8B8AF2AD2357}"/>
    <cellStyle name="20% - Accent3 2 6 3 2 3 3" xfId="29602" xr:uid="{D67F4DC1-C729-4719-959A-8EC252900A9E}"/>
    <cellStyle name="20% - Accent3 2 6 3 2 4" xfId="22232" xr:uid="{391C8534-732B-404B-947C-B95DAD8D1223}"/>
    <cellStyle name="20% - Accent3 2 6 3 2 4 2" xfId="37208" xr:uid="{772CA439-555D-445E-83A4-B866309ACBDA}"/>
    <cellStyle name="20% - Accent3 2 6 3 2 5" xfId="29604" xr:uid="{23265A9A-204D-4EE7-9CD7-E2815FEE9FC5}"/>
    <cellStyle name="20% - Accent3 2 6 3 3" xfId="4314" xr:uid="{00000000-0005-0000-0000-00000A040000}"/>
    <cellStyle name="20% - Accent3 2 6 3 3 2" xfId="4313" xr:uid="{00000000-0005-0000-0000-00000B040000}"/>
    <cellStyle name="20% - Accent3 2 6 3 3 2 2" xfId="22228" xr:uid="{6F9D5F1F-6A7E-4576-B4BB-57FC8CF2D490}"/>
    <cellStyle name="20% - Accent3 2 6 3 3 2 2 2" xfId="37204" xr:uid="{972C855A-A017-4F04-A365-6453C139C429}"/>
    <cellStyle name="20% - Accent3 2 6 3 3 2 3" xfId="29600" xr:uid="{12AB5501-B662-45D5-917D-A9413EFFD917}"/>
    <cellStyle name="20% - Accent3 2 6 3 3 3" xfId="22229" xr:uid="{96AD1170-89DB-490A-B234-06995155152A}"/>
    <cellStyle name="20% - Accent3 2 6 3 3 3 2" xfId="37205" xr:uid="{C269AFE2-8F89-4FB5-9E39-8300D7E6CC42}"/>
    <cellStyle name="20% - Accent3 2 6 3 3 4" xfId="29601" xr:uid="{71021D12-0397-4057-B00B-98AA199077AB}"/>
    <cellStyle name="20% - Accent3 2 6 3 4" xfId="4312" xr:uid="{00000000-0005-0000-0000-00000C040000}"/>
    <cellStyle name="20% - Accent3 2 6 3 4 2" xfId="22227" xr:uid="{4186F1F6-E143-4865-8FC3-19D7908014CC}"/>
    <cellStyle name="20% - Accent3 2 6 3 4 2 2" xfId="37203" xr:uid="{9D12382D-3F84-468F-B856-924B959FBDE9}"/>
    <cellStyle name="20% - Accent3 2 6 3 4 3" xfId="29599" xr:uid="{8294071A-35E1-4E80-8A69-193C4F340875}"/>
    <cellStyle name="20% - Accent3 2 6 3 5" xfId="22233" xr:uid="{02827652-8E54-455C-86BA-281C81CE67E6}"/>
    <cellStyle name="20% - Accent3 2 6 3 5 2" xfId="37209" xr:uid="{8584619D-5710-4B71-8BB9-9549413645D1}"/>
    <cellStyle name="20% - Accent3 2 6 3 6" xfId="29605" xr:uid="{C4C56397-E6D2-45ED-BCB4-DD55C6205EDC}"/>
    <cellStyle name="20% - Accent3 2 6 4" xfId="4311" xr:uid="{00000000-0005-0000-0000-00000D040000}"/>
    <cellStyle name="20% - Accent3 2 6 4 2" xfId="4310" xr:uid="{00000000-0005-0000-0000-00000E040000}"/>
    <cellStyle name="20% - Accent3 2 6 4 2 2" xfId="4309" xr:uid="{00000000-0005-0000-0000-00000F040000}"/>
    <cellStyle name="20% - Accent3 2 6 4 2 2 2" xfId="22224" xr:uid="{42957BFD-8B71-4742-92DB-96BB08CC272C}"/>
    <cellStyle name="20% - Accent3 2 6 4 2 2 2 2" xfId="37200" xr:uid="{E0299275-0D08-4C85-B400-E519727E6A8A}"/>
    <cellStyle name="20% - Accent3 2 6 4 2 2 3" xfId="29596" xr:uid="{8A08901F-E25E-499F-A62F-A607A77D285E}"/>
    <cellStyle name="20% - Accent3 2 6 4 2 3" xfId="4308" xr:uid="{00000000-0005-0000-0000-000010040000}"/>
    <cellStyle name="20% - Accent3 2 6 4 2 3 2" xfId="22223" xr:uid="{29DFE232-426F-473A-A032-B606DACCE24F}"/>
    <cellStyle name="20% - Accent3 2 6 4 2 3 2 2" xfId="37199" xr:uid="{30E022F3-5BCE-40C0-A438-46AB2391104A}"/>
    <cellStyle name="20% - Accent3 2 6 4 2 3 3" xfId="29595" xr:uid="{D3217E41-76FA-4C90-B6EF-AC93CBED906A}"/>
    <cellStyle name="20% - Accent3 2 6 4 2 4" xfId="22225" xr:uid="{C04A04EF-C81D-4122-840B-F2D1D3AEB786}"/>
    <cellStyle name="20% - Accent3 2 6 4 2 4 2" xfId="37201" xr:uid="{A7F85990-D569-4FE7-A072-644CAC8AF07A}"/>
    <cellStyle name="20% - Accent3 2 6 4 2 5" xfId="29597" xr:uid="{1F0E2D90-4542-45E7-BF67-A84C05EDB865}"/>
    <cellStyle name="20% - Accent3 2 6 4 3" xfId="4307" xr:uid="{00000000-0005-0000-0000-000011040000}"/>
    <cellStyle name="20% - Accent3 2 6 4 3 2" xfId="4306" xr:uid="{00000000-0005-0000-0000-000012040000}"/>
    <cellStyle name="20% - Accent3 2 6 4 3 2 2" xfId="22221" xr:uid="{F79A9256-516F-47A1-8426-0F23910A378D}"/>
    <cellStyle name="20% - Accent3 2 6 4 3 2 2 2" xfId="37197" xr:uid="{E6A549E8-F1C2-42AB-ACFB-1288227CC993}"/>
    <cellStyle name="20% - Accent3 2 6 4 3 2 3" xfId="29593" xr:uid="{24E0655C-D808-4D44-B684-056F7236CC4E}"/>
    <cellStyle name="20% - Accent3 2 6 4 3 3" xfId="22222" xr:uid="{ACC98FAB-5A63-4CA2-9C5B-97E1FE22D6A1}"/>
    <cellStyle name="20% - Accent3 2 6 4 3 3 2" xfId="37198" xr:uid="{25B651AB-3B5D-4EF7-B8F5-0A6DBC3D2617}"/>
    <cellStyle name="20% - Accent3 2 6 4 3 4" xfId="29594" xr:uid="{1DDCA13B-E07C-4FF9-8B92-ADC183FA1DE1}"/>
    <cellStyle name="20% - Accent3 2 6 4 4" xfId="4305" xr:uid="{00000000-0005-0000-0000-000013040000}"/>
    <cellStyle name="20% - Accent3 2 6 4 4 2" xfId="22220" xr:uid="{B049B5F4-59B0-495D-8E34-7132B2EBF41E}"/>
    <cellStyle name="20% - Accent3 2 6 4 4 2 2" xfId="37196" xr:uid="{9A9ECC28-FFDE-472D-9D38-56D857DC133F}"/>
    <cellStyle name="20% - Accent3 2 6 4 4 3" xfId="29592" xr:uid="{D175EA4B-3BF5-46B6-94B2-4D62D6960293}"/>
    <cellStyle name="20% - Accent3 2 6 4 5" xfId="22226" xr:uid="{154418AE-C399-45D4-B4ED-AA08A90FC6A2}"/>
    <cellStyle name="20% - Accent3 2 6 4 5 2" xfId="37202" xr:uid="{8BD5388E-609E-4D08-BB18-456F7D797B18}"/>
    <cellStyle name="20% - Accent3 2 6 4 6" xfId="29598" xr:uid="{1210D1C4-70D9-417E-8626-61460C786B03}"/>
    <cellStyle name="20% - Accent3 2 6 5" xfId="4304" xr:uid="{00000000-0005-0000-0000-000014040000}"/>
    <cellStyle name="20% - Accent3 2 6 5 2" xfId="4303" xr:uid="{00000000-0005-0000-0000-000015040000}"/>
    <cellStyle name="20% - Accent3 2 6 5 2 2" xfId="22218" xr:uid="{79089ACF-1CD4-4CBC-9F3C-425CE435A577}"/>
    <cellStyle name="20% - Accent3 2 6 5 2 2 2" xfId="37194" xr:uid="{0D582159-2537-47CA-B0DA-50087BC99540}"/>
    <cellStyle name="20% - Accent3 2 6 5 2 3" xfId="29590" xr:uid="{47F04A87-C1A3-41BE-855A-3855E9C7F81D}"/>
    <cellStyle name="20% - Accent3 2 6 5 3" xfId="4302" xr:uid="{00000000-0005-0000-0000-000016040000}"/>
    <cellStyle name="20% - Accent3 2 6 5 3 2" xfId="22217" xr:uid="{E621AB83-618C-48D0-81ED-E2512010422E}"/>
    <cellStyle name="20% - Accent3 2 6 5 3 2 2" xfId="37193" xr:uid="{39F02E5C-AA28-49BD-94C6-1C0E57272A17}"/>
    <cellStyle name="20% - Accent3 2 6 5 3 3" xfId="29589" xr:uid="{5D8BA847-F1EF-4D27-8606-42589ACC7CB6}"/>
    <cellStyle name="20% - Accent3 2 6 5 4" xfId="22219" xr:uid="{45DDD9BD-BDE1-41C5-BA63-4AA7E76ADE14}"/>
    <cellStyle name="20% - Accent3 2 6 5 4 2" xfId="37195" xr:uid="{C4CD318F-5645-4DF0-BBAD-B5ACABF5A88D}"/>
    <cellStyle name="20% - Accent3 2 6 5 5" xfId="29591" xr:uid="{E94EE4FF-9590-471E-A17E-A09EA0859845}"/>
    <cellStyle name="20% - Accent3 2 6 6" xfId="4301" xr:uid="{00000000-0005-0000-0000-000017040000}"/>
    <cellStyle name="20% - Accent3 2 6 6 2" xfId="22216" xr:uid="{5310DC0A-0D81-4182-ACB6-6A0067FFBD51}"/>
    <cellStyle name="20% - Accent3 2 6 6 2 2" xfId="37192" xr:uid="{7AD25A5C-2F40-47C4-B9AB-93DDE5A6BF9F}"/>
    <cellStyle name="20% - Accent3 2 6 6 3" xfId="29588" xr:uid="{9AE6197D-AF61-4E8C-A4D0-CB2719942220}"/>
    <cellStyle name="20% - Accent3 2 6 7" xfId="4300" xr:uid="{00000000-0005-0000-0000-000018040000}"/>
    <cellStyle name="20% - Accent3 2 6 7 2" xfId="4299" xr:uid="{00000000-0005-0000-0000-000019040000}"/>
    <cellStyle name="20% - Accent3 2 6 7 2 2" xfId="22214" xr:uid="{D5300B97-3B0B-4CDE-8AC7-E75CEEBF6217}"/>
    <cellStyle name="20% - Accent3 2 6 7 2 2 2" xfId="37190" xr:uid="{F4678292-0474-48D0-B48C-D4AA3827295E}"/>
    <cellStyle name="20% - Accent3 2 6 7 2 3" xfId="29586" xr:uid="{C0708A66-A76E-4173-A2CD-EB5BF4C33ED6}"/>
    <cellStyle name="20% - Accent3 2 6 7 3" xfId="22215" xr:uid="{0D35E9EE-72C6-490C-BA02-4F1342104103}"/>
    <cellStyle name="20% - Accent3 2 6 7 3 2" xfId="37191" xr:uid="{E2FBE341-B88B-430B-A386-F7E1A4BC4B95}"/>
    <cellStyle name="20% - Accent3 2 6 7 4" xfId="29587" xr:uid="{8D4CA16F-9F0A-4298-B834-F08A647BBD63}"/>
    <cellStyle name="20% - Accent3 2 6 8" xfId="4298" xr:uid="{00000000-0005-0000-0000-00001A040000}"/>
    <cellStyle name="20% - Accent3 2 6 8 2" xfId="22213" xr:uid="{BB219799-6675-4A56-9113-6351D3580392}"/>
    <cellStyle name="20% - Accent3 2 6 8 2 2" xfId="37189" xr:uid="{8C3DD91A-5429-4DA3-9E99-E30DAF88A102}"/>
    <cellStyle name="20% - Accent3 2 6 8 3" xfId="29585" xr:uid="{FAF49488-5A40-45BE-B86A-D6AFFF8C0C28}"/>
    <cellStyle name="20% - Accent3 2 6 9" xfId="22256" xr:uid="{A330056A-4B4A-4F5E-A236-8DEFD787ED43}"/>
    <cellStyle name="20% - Accent3 2 6 9 2" xfId="37232" xr:uid="{E8D52022-430D-49D9-8DA4-05CB53BB830B}"/>
    <cellStyle name="20% - Accent3 2 7" xfId="4297" xr:uid="{00000000-0005-0000-0000-00001B040000}"/>
    <cellStyle name="20% - Accent3 2 7 2" xfId="4296" xr:uid="{00000000-0005-0000-0000-00001C040000}"/>
    <cellStyle name="20% - Accent3 2 7 2 2" xfId="4295" xr:uid="{00000000-0005-0000-0000-00001D040000}"/>
    <cellStyle name="20% - Accent3 2 7 2 2 2" xfId="22210" xr:uid="{4695E359-2EC2-4438-957A-D1CBDFD19322}"/>
    <cellStyle name="20% - Accent3 2 7 2 2 2 2" xfId="37186" xr:uid="{92670D0C-D566-4117-8FAA-67AD02686685}"/>
    <cellStyle name="20% - Accent3 2 7 2 2 3" xfId="29582" xr:uid="{5C6857E4-98AA-4EB9-90D5-27165FC7B9A1}"/>
    <cellStyle name="20% - Accent3 2 7 2 3" xfId="4294" xr:uid="{00000000-0005-0000-0000-00001E040000}"/>
    <cellStyle name="20% - Accent3 2 7 2 3 2" xfId="22209" xr:uid="{2D62C02F-E008-4580-BDB8-9EC9A24BD8DC}"/>
    <cellStyle name="20% - Accent3 2 7 2 3 2 2" xfId="37185" xr:uid="{8BDC7CD6-B35F-43D2-9FCF-0A955F5A91CF}"/>
    <cellStyle name="20% - Accent3 2 7 2 3 3" xfId="29581" xr:uid="{61EB7116-AB51-4BBD-B801-F594E05139DD}"/>
    <cellStyle name="20% - Accent3 2 7 2 4" xfId="22211" xr:uid="{CA10E377-56FE-4D69-B797-35AFAB12D24D}"/>
    <cellStyle name="20% - Accent3 2 7 2 4 2" xfId="37187" xr:uid="{F3175232-76AE-4DA3-9001-DFF383263DD6}"/>
    <cellStyle name="20% - Accent3 2 7 2 5" xfId="29583" xr:uid="{97F35246-2D36-48AF-A78B-0F65CB3C98DA}"/>
    <cellStyle name="20% - Accent3 2 7 3" xfId="4293" xr:uid="{00000000-0005-0000-0000-00001F040000}"/>
    <cellStyle name="20% - Accent3 2 7 3 2" xfId="4292" xr:uid="{00000000-0005-0000-0000-000020040000}"/>
    <cellStyle name="20% - Accent3 2 7 3 2 2" xfId="22207" xr:uid="{285BDCC6-4F86-4C28-AC8D-307DA57046D1}"/>
    <cellStyle name="20% - Accent3 2 7 3 2 2 2" xfId="37183" xr:uid="{DC5CEAE0-BB75-4A49-AD49-04734B97A027}"/>
    <cellStyle name="20% - Accent3 2 7 3 2 3" xfId="29579" xr:uid="{371EE3FA-AEBD-4512-B39C-357BABC7F6AC}"/>
    <cellStyle name="20% - Accent3 2 7 3 3" xfId="22208" xr:uid="{A99EA157-4C90-4D6F-A1BA-45EE6D01E5E8}"/>
    <cellStyle name="20% - Accent3 2 7 3 3 2" xfId="37184" xr:uid="{E00277FB-7E49-47AB-BF74-6366CDF23E7F}"/>
    <cellStyle name="20% - Accent3 2 7 3 4" xfId="29580" xr:uid="{251DA13D-B333-4FCC-BA9E-7F8AC9F34B53}"/>
    <cellStyle name="20% - Accent3 2 7 4" xfId="4291" xr:uid="{00000000-0005-0000-0000-000021040000}"/>
    <cellStyle name="20% - Accent3 2 7 4 2" xfId="22206" xr:uid="{E4B219C3-25B7-4A90-B838-8ED0659A8979}"/>
    <cellStyle name="20% - Accent3 2 7 4 2 2" xfId="37182" xr:uid="{D235C025-1E7D-46D2-86A8-E443245DCD99}"/>
    <cellStyle name="20% - Accent3 2 7 4 3" xfId="29578" xr:uid="{02926B53-E613-451C-9F8E-FA8E3CCE5C69}"/>
    <cellStyle name="20% - Accent3 2 7 5" xfId="22212" xr:uid="{4D73595F-6EC8-4A8F-B9E7-308A0C89A4ED}"/>
    <cellStyle name="20% - Accent3 2 7 5 2" xfId="37188" xr:uid="{339F096D-C318-49D8-9A3A-B29AF9138DEC}"/>
    <cellStyle name="20% - Accent3 2 7 6" xfId="29584" xr:uid="{4A967BF6-896C-46E1-B810-E599701468DF}"/>
    <cellStyle name="20% - Accent3 3" xfId="187" xr:uid="{00000000-0005-0000-0000-000024000000}"/>
    <cellStyle name="20% - Accent3 3 10" xfId="4290" xr:uid="{00000000-0005-0000-0000-000022040000}"/>
    <cellStyle name="20% - Accent3 3 10 2" xfId="22205" xr:uid="{3D11393D-0A60-44E2-80F4-888FE71D98AF}"/>
    <cellStyle name="20% - Accent3 3 10 2 2" xfId="37181" xr:uid="{302981DF-33B0-4860-84DA-B138A4F3B389}"/>
    <cellStyle name="20% - Accent3 3 10 3" xfId="29577" xr:uid="{2AD7F0DF-1D45-477A-988B-C4A2EEBFCC89}"/>
    <cellStyle name="20% - Accent3 3 2" xfId="4289" xr:uid="{00000000-0005-0000-0000-000023040000}"/>
    <cellStyle name="20% - Accent3 3 2 2" xfId="4288" xr:uid="{00000000-0005-0000-0000-000024040000}"/>
    <cellStyle name="20% - Accent3 3 2 2 2" xfId="4287" xr:uid="{00000000-0005-0000-0000-000025040000}"/>
    <cellStyle name="20% - Accent3 3 2 2 2 2" xfId="4286" xr:uid="{00000000-0005-0000-0000-000026040000}"/>
    <cellStyle name="20% - Accent3 3 2 2 2 2 2" xfId="4285" xr:uid="{00000000-0005-0000-0000-000027040000}"/>
    <cellStyle name="20% - Accent3 3 2 2 2 2 2 2" xfId="22201" xr:uid="{AE7AC619-4DE5-4F52-95A2-FCB0D567BC4C}"/>
    <cellStyle name="20% - Accent3 3 2 2 2 2 2 2 2" xfId="37177" xr:uid="{9AB254C1-F313-4F03-A279-B248783EE4BB}"/>
    <cellStyle name="20% - Accent3 3 2 2 2 2 2 3" xfId="29573" xr:uid="{DA10368D-F19D-49B9-8524-D33E09139CC8}"/>
    <cellStyle name="20% - Accent3 3 2 2 2 2 3" xfId="4284" xr:uid="{00000000-0005-0000-0000-000028040000}"/>
    <cellStyle name="20% - Accent3 3 2 2 2 2 3 2" xfId="22200" xr:uid="{67ADD0E1-10A2-4573-9420-0F5508373B77}"/>
    <cellStyle name="20% - Accent3 3 2 2 2 2 3 2 2" xfId="37176" xr:uid="{E4D6B9A3-DD58-48A4-B667-355E132C35D8}"/>
    <cellStyle name="20% - Accent3 3 2 2 2 2 3 3" xfId="29572" xr:uid="{FA5B84D0-6AD2-4BE0-84D3-49C515531B61}"/>
    <cellStyle name="20% - Accent3 3 2 2 2 2 4" xfId="22202" xr:uid="{86EDD827-7AFF-4621-81EB-B11C0131C24B}"/>
    <cellStyle name="20% - Accent3 3 2 2 2 2 4 2" xfId="37178" xr:uid="{814F8ECF-977D-45CA-BB65-A765901FC514}"/>
    <cellStyle name="20% - Accent3 3 2 2 2 2 5" xfId="29574" xr:uid="{40683D66-F34F-4A09-8E76-CB3C5226097E}"/>
    <cellStyle name="20% - Accent3 3 2 2 2 3" xfId="4283" xr:uid="{00000000-0005-0000-0000-000029040000}"/>
    <cellStyle name="20% - Accent3 3 2 2 2 3 2" xfId="4282" xr:uid="{00000000-0005-0000-0000-00002A040000}"/>
    <cellStyle name="20% - Accent3 3 2 2 2 3 2 2" xfId="22198" xr:uid="{777F01CE-A674-4D2F-AF76-2F57B5F9A6BD}"/>
    <cellStyle name="20% - Accent3 3 2 2 2 3 2 2 2" xfId="37174" xr:uid="{4690B852-4966-400E-B0FA-734D7B3F2106}"/>
    <cellStyle name="20% - Accent3 3 2 2 2 3 2 3" xfId="29570" xr:uid="{1C21A582-15DD-48A5-AED1-0980E4061CFC}"/>
    <cellStyle name="20% - Accent3 3 2 2 2 3 3" xfId="22199" xr:uid="{E5F72D8C-8DB8-4FCC-A030-FE43A173A7EF}"/>
    <cellStyle name="20% - Accent3 3 2 2 2 3 3 2" xfId="37175" xr:uid="{524587FB-2E12-424B-B782-3FADBFB3106F}"/>
    <cellStyle name="20% - Accent3 3 2 2 2 3 4" xfId="29571" xr:uid="{C97683D0-3991-484C-9FED-1932F385E035}"/>
    <cellStyle name="20% - Accent3 3 2 2 2 4" xfId="4281" xr:uid="{00000000-0005-0000-0000-00002B040000}"/>
    <cellStyle name="20% - Accent3 3 2 2 2 4 2" xfId="22197" xr:uid="{26C6D492-4F81-409A-A587-8BE3033370BC}"/>
    <cellStyle name="20% - Accent3 3 2 2 2 4 2 2" xfId="37173" xr:uid="{3546A671-0533-4CBA-8425-8A6E92E11C55}"/>
    <cellStyle name="20% - Accent3 3 2 2 2 4 3" xfId="29569" xr:uid="{E2CC38F5-F748-4DE1-935D-651E2E528231}"/>
    <cellStyle name="20% - Accent3 3 2 2 2 5" xfId="22203" xr:uid="{ACE48C4D-B517-4D7B-9485-135D6A2362CE}"/>
    <cellStyle name="20% - Accent3 3 2 2 2 5 2" xfId="37179" xr:uid="{A4305E9A-52FA-41B9-9198-C01B3161DB53}"/>
    <cellStyle name="20% - Accent3 3 2 2 2 6" xfId="29575" xr:uid="{012CC297-52A3-4BB1-9B73-D3D47EEE58E4}"/>
    <cellStyle name="20% - Accent3 3 2 2 3" xfId="4280" xr:uid="{00000000-0005-0000-0000-00002C040000}"/>
    <cellStyle name="20% - Accent3 3 2 2 3 2" xfId="4279" xr:uid="{00000000-0005-0000-0000-00002D040000}"/>
    <cellStyle name="20% - Accent3 3 2 2 3 2 2" xfId="22195" xr:uid="{3E4BCA3E-8DCB-4EE5-AE9F-0E26186402EF}"/>
    <cellStyle name="20% - Accent3 3 2 2 3 2 2 2" xfId="37171" xr:uid="{87E73B17-A270-4039-AE8D-35E5D8D1062A}"/>
    <cellStyle name="20% - Accent3 3 2 2 3 2 3" xfId="29567" xr:uid="{F6EEFD6E-C59F-4518-9FF9-52F61F32A750}"/>
    <cellStyle name="20% - Accent3 3 2 2 3 3" xfId="4278" xr:uid="{00000000-0005-0000-0000-00002E040000}"/>
    <cellStyle name="20% - Accent3 3 2 2 3 3 2" xfId="22194" xr:uid="{AD6EA65A-24B6-4F76-95C3-4D2F7200E1BD}"/>
    <cellStyle name="20% - Accent3 3 2 2 3 3 2 2" xfId="37170" xr:uid="{E50D625C-B54E-440D-8342-4F590A21B181}"/>
    <cellStyle name="20% - Accent3 3 2 2 3 3 3" xfId="29566" xr:uid="{A1FB4FD2-BC1D-4E23-B476-F4F59A06A014}"/>
    <cellStyle name="20% - Accent3 3 2 2 3 4" xfId="22196" xr:uid="{C52EC69D-ABEC-43A4-AD49-F29382B21B7F}"/>
    <cellStyle name="20% - Accent3 3 2 2 3 4 2" xfId="37172" xr:uid="{07BC27F5-AB84-4172-8A26-D615F58641E4}"/>
    <cellStyle name="20% - Accent3 3 2 2 3 5" xfId="29568" xr:uid="{3B843DB9-5954-47AA-A3DA-770A13EE3E6A}"/>
    <cellStyle name="20% - Accent3 3 2 2 4" xfId="4277" xr:uid="{00000000-0005-0000-0000-00002F040000}"/>
    <cellStyle name="20% - Accent3 3 2 2 4 2" xfId="22193" xr:uid="{5432B0FF-705A-4DB0-A378-E86E03FDF74E}"/>
    <cellStyle name="20% - Accent3 3 2 2 4 2 2" xfId="37169" xr:uid="{3E0658BB-8CF7-426E-BF65-D84B89B79A2C}"/>
    <cellStyle name="20% - Accent3 3 2 2 4 3" xfId="29565" xr:uid="{CCAD6C63-7F5C-4BD3-8D4D-D65638302D6F}"/>
    <cellStyle name="20% - Accent3 3 2 2 5" xfId="4276" xr:uid="{00000000-0005-0000-0000-000030040000}"/>
    <cellStyle name="20% - Accent3 3 2 2 5 2" xfId="4275" xr:uid="{00000000-0005-0000-0000-000031040000}"/>
    <cellStyle name="20% - Accent3 3 2 2 5 2 2" xfId="22191" xr:uid="{C6E08C65-C67C-48F5-B992-C874CF49CACC}"/>
    <cellStyle name="20% - Accent3 3 2 2 5 2 2 2" xfId="37167" xr:uid="{C045D572-7F63-4D7D-9DB0-E8FFB1A8A826}"/>
    <cellStyle name="20% - Accent3 3 2 2 5 2 3" xfId="29563" xr:uid="{9453AD2F-986B-4124-9002-F0F98302F3D9}"/>
    <cellStyle name="20% - Accent3 3 2 2 5 3" xfId="22192" xr:uid="{E172B580-134E-4F86-B6AD-961D24F2ECE4}"/>
    <cellStyle name="20% - Accent3 3 2 2 5 3 2" xfId="37168" xr:uid="{E36EFA9D-11DB-461A-88E9-27C9188E346B}"/>
    <cellStyle name="20% - Accent3 3 2 2 5 4" xfId="29564" xr:uid="{253B83C2-16CE-4C63-976C-31CFCB319192}"/>
    <cellStyle name="20% - Accent3 3 2 2 6" xfId="4274" xr:uid="{00000000-0005-0000-0000-000032040000}"/>
    <cellStyle name="20% - Accent3 3 2 2 6 2" xfId="22190" xr:uid="{A560C9F0-1046-4E73-A6DA-B647E9724381}"/>
    <cellStyle name="20% - Accent3 3 2 2 6 2 2" xfId="37166" xr:uid="{988DB0E6-24FC-4694-9717-124CFD5ED98B}"/>
    <cellStyle name="20% - Accent3 3 2 2 6 3" xfId="29562" xr:uid="{98E72A90-ABE2-4175-BB96-FEDFEA257BF8}"/>
    <cellStyle name="20% - Accent3 3 2 2 7" xfId="22204" xr:uid="{7ECA9246-C2D6-4C53-919C-8349719EC78C}"/>
    <cellStyle name="20% - Accent3 3 2 2 7 2" xfId="37180" xr:uid="{40655B0A-B94C-41D0-B243-45E03CC368C0}"/>
    <cellStyle name="20% - Accent3 3 2 2 8" xfId="29576" xr:uid="{4DC3C775-2DDE-43BC-86AE-484F8A5632F0}"/>
    <cellStyle name="20% - Accent3 3 2 3" xfId="4273" xr:uid="{00000000-0005-0000-0000-000033040000}"/>
    <cellStyle name="20% - Accent3 3 2 3 2" xfId="4272" xr:uid="{00000000-0005-0000-0000-000034040000}"/>
    <cellStyle name="20% - Accent3 3 2 3 2 2" xfId="4271" xr:uid="{00000000-0005-0000-0000-000035040000}"/>
    <cellStyle name="20% - Accent3 3 2 3 2 2 2" xfId="22187" xr:uid="{61663C04-E1AF-4DA6-A6B5-2755460BA0C8}"/>
    <cellStyle name="20% - Accent3 3 2 3 2 2 2 2" xfId="37163" xr:uid="{C57DA855-2E93-4AF9-931E-F3E1D5AE66F3}"/>
    <cellStyle name="20% - Accent3 3 2 3 2 2 3" xfId="29559" xr:uid="{BF2EA6A6-5C85-42BC-93C0-0C1AFDE58ABF}"/>
    <cellStyle name="20% - Accent3 3 2 3 2 3" xfId="4270" xr:uid="{00000000-0005-0000-0000-000036040000}"/>
    <cellStyle name="20% - Accent3 3 2 3 2 3 2" xfId="22186" xr:uid="{EF46ED3D-51B2-4CB8-A290-F5E620627497}"/>
    <cellStyle name="20% - Accent3 3 2 3 2 3 2 2" xfId="37162" xr:uid="{1006E8F6-FCD5-4BDA-A321-9DED14EE9078}"/>
    <cellStyle name="20% - Accent3 3 2 3 2 3 3" xfId="29558" xr:uid="{9C46C49E-E85F-4E9A-9A72-8A6E439E4A35}"/>
    <cellStyle name="20% - Accent3 3 2 3 2 4" xfId="22188" xr:uid="{AD42CAA0-D83F-48E6-A825-92950DE4C76E}"/>
    <cellStyle name="20% - Accent3 3 2 3 2 4 2" xfId="37164" xr:uid="{C2CDCC84-3936-467B-B98C-3DB97C40AA91}"/>
    <cellStyle name="20% - Accent3 3 2 3 2 5" xfId="29560" xr:uid="{5E08A5A5-D62D-473F-A3C1-DE2EDE993827}"/>
    <cellStyle name="20% - Accent3 3 2 3 3" xfId="4269" xr:uid="{00000000-0005-0000-0000-000037040000}"/>
    <cellStyle name="20% - Accent3 3 2 3 3 2" xfId="4268" xr:uid="{00000000-0005-0000-0000-000038040000}"/>
    <cellStyle name="20% - Accent3 3 2 3 3 2 2" xfId="22184" xr:uid="{568029C3-A9FE-4F6B-B904-061F0268F0E7}"/>
    <cellStyle name="20% - Accent3 3 2 3 3 2 2 2" xfId="37160" xr:uid="{20C559A4-908F-4CF5-AC85-172008E33EB7}"/>
    <cellStyle name="20% - Accent3 3 2 3 3 2 3" xfId="29556" xr:uid="{154B1317-8A6B-482B-9E02-9FF372C958BA}"/>
    <cellStyle name="20% - Accent3 3 2 3 3 3" xfId="22185" xr:uid="{F0DDE132-AEFD-4623-AEBE-051590463A4C}"/>
    <cellStyle name="20% - Accent3 3 2 3 3 3 2" xfId="37161" xr:uid="{1596154C-209D-433F-AB6A-E34DCF40A02D}"/>
    <cellStyle name="20% - Accent3 3 2 3 3 4" xfId="29557" xr:uid="{0D20084F-A08E-496E-B684-C4337CDEB60B}"/>
    <cellStyle name="20% - Accent3 3 2 3 4" xfId="4267" xr:uid="{00000000-0005-0000-0000-000039040000}"/>
    <cellStyle name="20% - Accent3 3 2 3 4 2" xfId="22183" xr:uid="{0C609A72-485C-4A44-87B0-1D91F096D1AD}"/>
    <cellStyle name="20% - Accent3 3 2 3 4 2 2" xfId="37159" xr:uid="{173D0F48-BD35-4B23-9E9A-B30ABB5540FB}"/>
    <cellStyle name="20% - Accent3 3 2 3 4 3" xfId="29555" xr:uid="{E4BA6ABA-058E-4A45-9A24-97D14E80EAED}"/>
    <cellStyle name="20% - Accent3 3 2 3 5" xfId="22189" xr:uid="{420C8D4B-A7A3-412F-9F49-B9B22B35C0D4}"/>
    <cellStyle name="20% - Accent3 3 2 3 5 2" xfId="37165" xr:uid="{5DDC78DA-129A-4EAD-8396-7BC2939EF57E}"/>
    <cellStyle name="20% - Accent3 3 2 3 6" xfId="29561" xr:uid="{5F19A24D-ECBA-4819-A91F-E7AB876FFD16}"/>
    <cellStyle name="20% - Accent3 3 2 4" xfId="4266" xr:uid="{00000000-0005-0000-0000-00003A040000}"/>
    <cellStyle name="20% - Accent3 3 2 5" xfId="4265" xr:uid="{00000000-0005-0000-0000-00003B040000}"/>
    <cellStyle name="20% - Accent3 3 2 5 2" xfId="22182" xr:uid="{FEB44B52-2E39-4119-BE57-27782934C69E}"/>
    <cellStyle name="20% - Accent3 3 2 5 2 2" xfId="37158" xr:uid="{BF08F690-359F-4794-B566-0B85E4C6D994}"/>
    <cellStyle name="20% - Accent3 3 2 5 3" xfId="29554" xr:uid="{508BBF0A-23D0-48DB-B676-726255471C5D}"/>
    <cellStyle name="20% - Accent3 3 3" xfId="4264" xr:uid="{00000000-0005-0000-0000-00003C040000}"/>
    <cellStyle name="20% - Accent3 3 3 2" xfId="4263" xr:uid="{00000000-0005-0000-0000-00003D040000}"/>
    <cellStyle name="20% - Accent3 3 3 2 2" xfId="4262" xr:uid="{00000000-0005-0000-0000-00003E040000}"/>
    <cellStyle name="20% - Accent3 3 3 2 2 2" xfId="22179" xr:uid="{F1DB5BA2-C9FE-46D4-9F0A-4D0EBBB90552}"/>
    <cellStyle name="20% - Accent3 3 3 2 2 2 2" xfId="37155" xr:uid="{548D9C21-9E39-4186-AD26-B417BD755B7D}"/>
    <cellStyle name="20% - Accent3 3 3 2 2 3" xfId="29551" xr:uid="{67D4E92A-9C62-445D-9126-814FA9716C05}"/>
    <cellStyle name="20% - Accent3 3 3 2 3" xfId="4261" xr:uid="{00000000-0005-0000-0000-00003F040000}"/>
    <cellStyle name="20% - Accent3 3 3 2 3 2" xfId="4260" xr:uid="{00000000-0005-0000-0000-000040040000}"/>
    <cellStyle name="20% - Accent3 3 3 2 3 2 2" xfId="22177" xr:uid="{E810875E-6F4E-48E5-8909-0825FAE45AF7}"/>
    <cellStyle name="20% - Accent3 3 3 2 3 2 2 2" xfId="37153" xr:uid="{01E38928-A31D-4D68-A7FF-F6AFF150E38B}"/>
    <cellStyle name="20% - Accent3 3 3 2 3 2 3" xfId="29549" xr:uid="{C4E4411B-5F04-4A3F-9A03-457E37F1E615}"/>
    <cellStyle name="20% - Accent3 3 3 2 3 3" xfId="22178" xr:uid="{448E6BDC-E017-46F7-B165-06E9A02971BE}"/>
    <cellStyle name="20% - Accent3 3 3 2 3 3 2" xfId="37154" xr:uid="{076914F0-3C6B-40EA-9D0E-BD14752D36FD}"/>
    <cellStyle name="20% - Accent3 3 3 2 3 4" xfId="29550" xr:uid="{D6B3636B-7967-4DC0-83F9-3A07314943E0}"/>
    <cellStyle name="20% - Accent3 3 3 2 4" xfId="22180" xr:uid="{BBAF5794-A6A7-4E8B-8125-50470E14553A}"/>
    <cellStyle name="20% - Accent3 3 3 2 4 2" xfId="37156" xr:uid="{11724644-CCDB-46E4-B6F8-2D99970216BC}"/>
    <cellStyle name="20% - Accent3 3 3 2 5" xfId="29552" xr:uid="{3073F332-0924-4297-BE6F-D133D1C32E6A}"/>
    <cellStyle name="20% - Accent3 3 3 3" xfId="4259" xr:uid="{00000000-0005-0000-0000-000041040000}"/>
    <cellStyle name="20% - Accent3 3 3 3 2" xfId="22176" xr:uid="{0A706D37-5E04-4C0E-84F6-5262EF633D1B}"/>
    <cellStyle name="20% - Accent3 3 3 3 2 2" xfId="37152" xr:uid="{FB5423B6-E4D1-4550-AA77-ECF866C97F71}"/>
    <cellStyle name="20% - Accent3 3 3 3 3" xfId="29548" xr:uid="{D5A5D962-1818-42C4-80E3-42AE61725242}"/>
    <cellStyle name="20% - Accent3 3 3 4" xfId="4258" xr:uid="{00000000-0005-0000-0000-000042040000}"/>
    <cellStyle name="20% - Accent3 3 3 4 2" xfId="4257" xr:uid="{00000000-0005-0000-0000-000043040000}"/>
    <cellStyle name="20% - Accent3 3 3 4 2 2" xfId="22174" xr:uid="{F2FD12BF-7FAB-4603-9F98-11E3D7703481}"/>
    <cellStyle name="20% - Accent3 3 3 4 2 2 2" xfId="37150" xr:uid="{901533FB-51C3-4649-B386-5290580767B6}"/>
    <cellStyle name="20% - Accent3 3 3 4 2 3" xfId="29546" xr:uid="{A6AD12CA-CE4B-4EE3-9872-7D6C9C96A553}"/>
    <cellStyle name="20% - Accent3 3 3 4 3" xfId="22175" xr:uid="{F6ECB665-7062-4151-A41C-393C182309EF}"/>
    <cellStyle name="20% - Accent3 3 3 4 3 2" xfId="37151" xr:uid="{6530BCB8-B347-4606-A8D8-4C91ABCE2E28}"/>
    <cellStyle name="20% - Accent3 3 3 4 4" xfId="29547" xr:uid="{7437D16D-6E88-4497-BDEE-197F14F2F8D2}"/>
    <cellStyle name="20% - Accent3 3 3 5" xfId="4256" xr:uid="{00000000-0005-0000-0000-000044040000}"/>
    <cellStyle name="20% - Accent3 3 3 5 2" xfId="22173" xr:uid="{A13556CF-E61D-408F-884B-2183E776128C}"/>
    <cellStyle name="20% - Accent3 3 3 5 2 2" xfId="37149" xr:uid="{8B3B8C70-0524-4AF5-99EB-70FFD5D0A04C}"/>
    <cellStyle name="20% - Accent3 3 3 5 3" xfId="29545" xr:uid="{95DB929A-B57C-425D-B8FE-5E384CF6E5CE}"/>
    <cellStyle name="20% - Accent3 3 3 6" xfId="22181" xr:uid="{E2D949BB-DF4E-4ADA-BEAF-CEE7CB923A27}"/>
    <cellStyle name="20% - Accent3 3 3 6 2" xfId="37157" xr:uid="{58F6C755-10D6-4A7B-ADA7-E6D96176148E}"/>
    <cellStyle name="20% - Accent3 3 3 7" xfId="29553" xr:uid="{3750428A-94D7-4CCE-BA57-F9BD9CDED660}"/>
    <cellStyle name="20% - Accent3 3 4" xfId="4255" xr:uid="{00000000-0005-0000-0000-000045040000}"/>
    <cellStyle name="20% - Accent3 3 4 2" xfId="4254" xr:uid="{00000000-0005-0000-0000-000046040000}"/>
    <cellStyle name="20% - Accent3 3 4 2 2" xfId="4253" xr:uid="{00000000-0005-0000-0000-000047040000}"/>
    <cellStyle name="20% - Accent3 3 4 2 2 2" xfId="22170" xr:uid="{325365B5-70FA-4A7D-A01B-C9362F9D496A}"/>
    <cellStyle name="20% - Accent3 3 4 2 2 2 2" xfId="37146" xr:uid="{F83F7547-C8DE-40C5-8CC0-B3AE45D99D46}"/>
    <cellStyle name="20% - Accent3 3 4 2 2 3" xfId="29542" xr:uid="{07E720BA-D90C-443F-8098-E0F51F697AA4}"/>
    <cellStyle name="20% - Accent3 3 4 2 3" xfId="4252" xr:uid="{00000000-0005-0000-0000-000048040000}"/>
    <cellStyle name="20% - Accent3 3 4 2 3 2" xfId="22169" xr:uid="{74A133F1-2AD8-464D-A3DA-1777BD30C890}"/>
    <cellStyle name="20% - Accent3 3 4 2 3 2 2" xfId="37145" xr:uid="{1279A31E-F629-4F3B-AD69-F26BBAD7CE3C}"/>
    <cellStyle name="20% - Accent3 3 4 2 3 3" xfId="29541" xr:uid="{3395DB47-829E-4391-ABC1-4220E0DFFA68}"/>
    <cellStyle name="20% - Accent3 3 4 2 4" xfId="22171" xr:uid="{947469EC-C290-46C6-90AC-A8317039F20C}"/>
    <cellStyle name="20% - Accent3 3 4 2 4 2" xfId="37147" xr:uid="{523839EE-4D5C-4C02-8A34-8B0B0AF6F892}"/>
    <cellStyle name="20% - Accent3 3 4 2 5" xfId="29543" xr:uid="{6D0007BB-E2D2-492C-941E-7BE4C202C280}"/>
    <cellStyle name="20% - Accent3 3 4 3" xfId="4251" xr:uid="{00000000-0005-0000-0000-000049040000}"/>
    <cellStyle name="20% - Accent3 3 4 3 2" xfId="22168" xr:uid="{6DC05369-BE9A-405D-8AD4-778F0A707C26}"/>
    <cellStyle name="20% - Accent3 3 4 3 2 2" xfId="37144" xr:uid="{A7D00B08-162C-4887-89F6-EE8278430187}"/>
    <cellStyle name="20% - Accent3 3 4 3 3" xfId="29540" xr:uid="{3856ECDC-5564-420E-A56A-19BC317A7C18}"/>
    <cellStyle name="20% - Accent3 3 4 4" xfId="4250" xr:uid="{00000000-0005-0000-0000-00004A040000}"/>
    <cellStyle name="20% - Accent3 3 4 4 2" xfId="4249" xr:uid="{00000000-0005-0000-0000-00004B040000}"/>
    <cellStyle name="20% - Accent3 3 4 4 2 2" xfId="22166" xr:uid="{69BD3082-6DAD-4E6B-BC95-D5A4D6BE2E4B}"/>
    <cellStyle name="20% - Accent3 3 4 4 2 2 2" xfId="37142" xr:uid="{09F4780E-1080-41FB-B36A-777B543FA77F}"/>
    <cellStyle name="20% - Accent3 3 4 4 2 3" xfId="29538" xr:uid="{822DCAD8-1FD9-47C3-B92F-0F98FD83B9B5}"/>
    <cellStyle name="20% - Accent3 3 4 4 3" xfId="22167" xr:uid="{8482F90B-E160-4AC4-8428-348622A03B56}"/>
    <cellStyle name="20% - Accent3 3 4 4 3 2" xfId="37143" xr:uid="{12300ED3-D14E-4B4B-B8FF-62EA571FAE81}"/>
    <cellStyle name="20% - Accent3 3 4 4 4" xfId="29539" xr:uid="{B61A62B0-ACE2-4D55-9EA0-0187DD97653B}"/>
    <cellStyle name="20% - Accent3 3 4 5" xfId="4248" xr:uid="{00000000-0005-0000-0000-00004C040000}"/>
    <cellStyle name="20% - Accent3 3 4 5 2" xfId="22165" xr:uid="{E51DBC91-C064-48E2-B1B2-5B9587EFF756}"/>
    <cellStyle name="20% - Accent3 3 4 5 2 2" xfId="37141" xr:uid="{9F938588-8F7C-42F4-8CB5-DCF60E051256}"/>
    <cellStyle name="20% - Accent3 3 4 5 3" xfId="29537" xr:uid="{C83FB333-D43D-4F4B-9E51-0B507391A77E}"/>
    <cellStyle name="20% - Accent3 3 4 6" xfId="22172" xr:uid="{11EDC046-CE0F-4DDF-840A-B29518D0A836}"/>
    <cellStyle name="20% - Accent3 3 4 6 2" xfId="37148" xr:uid="{103C2B7B-6C8D-4DA0-BB4D-78EF8F920482}"/>
    <cellStyle name="20% - Accent3 3 4 7" xfId="29544" xr:uid="{472E7471-011E-4ABE-87CE-B538DCF36627}"/>
    <cellStyle name="20% - Accent3 3 5" xfId="4247" xr:uid="{00000000-0005-0000-0000-00004D040000}"/>
    <cellStyle name="20% - Accent3 3 5 2" xfId="4246" xr:uid="{00000000-0005-0000-0000-00004E040000}"/>
    <cellStyle name="20% - Accent3 3 5 2 2" xfId="4245" xr:uid="{00000000-0005-0000-0000-00004F040000}"/>
    <cellStyle name="20% - Accent3 3 5 2 2 2" xfId="22162" xr:uid="{E643FAAD-0C00-4B76-ABA3-E09565112B32}"/>
    <cellStyle name="20% - Accent3 3 5 2 2 2 2" xfId="37138" xr:uid="{B37DABFF-D048-49D0-B54C-C495C9042909}"/>
    <cellStyle name="20% - Accent3 3 5 2 2 3" xfId="29534" xr:uid="{B5DBB242-E599-4958-B146-5B0AE3BDE732}"/>
    <cellStyle name="20% - Accent3 3 5 2 3" xfId="4244" xr:uid="{00000000-0005-0000-0000-000050040000}"/>
    <cellStyle name="20% - Accent3 3 5 2 3 2" xfId="22161" xr:uid="{17B96ACD-1B1C-47AA-ABD1-C88333FFBCB8}"/>
    <cellStyle name="20% - Accent3 3 5 2 3 2 2" xfId="37137" xr:uid="{B5D34E00-E4DC-440C-940C-99DA1ED163F0}"/>
    <cellStyle name="20% - Accent3 3 5 2 3 3" xfId="29533" xr:uid="{39674A7C-BB1C-4BE6-9637-B5F7178BA058}"/>
    <cellStyle name="20% - Accent3 3 5 2 4" xfId="22163" xr:uid="{3CE08FEB-9B70-4EEC-AA97-6506280623FA}"/>
    <cellStyle name="20% - Accent3 3 5 2 4 2" xfId="37139" xr:uid="{AD22939E-67C7-4BE7-AFD4-7C72451BBA6F}"/>
    <cellStyle name="20% - Accent3 3 5 2 5" xfId="29535" xr:uid="{7D69E6B7-757F-406C-977B-443283E22943}"/>
    <cellStyle name="20% - Accent3 3 5 3" xfId="4243" xr:uid="{00000000-0005-0000-0000-000051040000}"/>
    <cellStyle name="20% - Accent3 3 5 3 2" xfId="4242" xr:uid="{00000000-0005-0000-0000-000052040000}"/>
    <cellStyle name="20% - Accent3 3 5 3 2 2" xfId="22159" xr:uid="{26346262-170A-446F-AD14-90D0032D93F5}"/>
    <cellStyle name="20% - Accent3 3 5 3 2 2 2" xfId="37135" xr:uid="{83E8EBC3-644B-4908-B181-1E699B8D7C7F}"/>
    <cellStyle name="20% - Accent3 3 5 3 2 3" xfId="29531" xr:uid="{E7726BDC-DEBB-4162-849C-52368C8A123E}"/>
    <cellStyle name="20% - Accent3 3 5 3 3" xfId="22160" xr:uid="{59BED0D5-75FE-4183-931B-57C56199695D}"/>
    <cellStyle name="20% - Accent3 3 5 3 3 2" xfId="37136" xr:uid="{BAF8821E-60B9-409F-83D9-C206C23935C7}"/>
    <cellStyle name="20% - Accent3 3 5 3 4" xfId="29532" xr:uid="{797731A4-257A-4314-8771-4FA6AA692F95}"/>
    <cellStyle name="20% - Accent3 3 5 4" xfId="4241" xr:uid="{00000000-0005-0000-0000-000053040000}"/>
    <cellStyle name="20% - Accent3 3 5 4 2" xfId="22158" xr:uid="{9A9A889D-2A9E-4FDF-8515-12739ACF8097}"/>
    <cellStyle name="20% - Accent3 3 5 4 2 2" xfId="37134" xr:uid="{B9554313-3195-4B7A-B5CA-3F11F67621BA}"/>
    <cellStyle name="20% - Accent3 3 5 4 3" xfId="29530" xr:uid="{E92136E0-8B91-4973-8E5C-B648C19B672B}"/>
    <cellStyle name="20% - Accent3 3 5 5" xfId="22164" xr:uid="{E85C43D6-6E6B-4F54-A877-EFE6C8FA383A}"/>
    <cellStyle name="20% - Accent3 3 5 5 2" xfId="37140" xr:uid="{7B7A1573-BD7B-4411-BE1E-099CC47E2768}"/>
    <cellStyle name="20% - Accent3 3 5 6" xfId="29536" xr:uid="{3BBAC87E-0CD1-473C-BBE5-221AF1B32E33}"/>
    <cellStyle name="20% - Accent3 3 6" xfId="4240" xr:uid="{00000000-0005-0000-0000-000054040000}"/>
    <cellStyle name="20% - Accent3 3 6 2" xfId="4239" xr:uid="{00000000-0005-0000-0000-000055040000}"/>
    <cellStyle name="20% - Accent3 3 6 2 2" xfId="22156" xr:uid="{DF900076-E0B1-43E7-9FB3-FD79D2476628}"/>
    <cellStyle name="20% - Accent3 3 6 2 2 2" xfId="37132" xr:uid="{D836069C-7E66-4C72-A72D-32F0907F1549}"/>
    <cellStyle name="20% - Accent3 3 6 2 3" xfId="29528" xr:uid="{F4B646DE-5A66-48A7-B74A-7A7C1F4B60DE}"/>
    <cellStyle name="20% - Accent3 3 6 3" xfId="4238" xr:uid="{00000000-0005-0000-0000-000056040000}"/>
    <cellStyle name="20% - Accent3 3 6 3 2" xfId="22155" xr:uid="{00099C9D-BF13-405A-92F1-527469B1E470}"/>
    <cellStyle name="20% - Accent3 3 6 3 2 2" xfId="37131" xr:uid="{0CE1FDFA-3CC7-4EB8-B7FC-2FF387ECF0AE}"/>
    <cellStyle name="20% - Accent3 3 6 3 3" xfId="29527" xr:uid="{D7ECCFA5-AC02-43E9-9257-B25A5F857511}"/>
    <cellStyle name="20% - Accent3 3 6 4" xfId="22157" xr:uid="{6F5754F9-94DA-4A44-A4C1-4C7404B93395}"/>
    <cellStyle name="20% - Accent3 3 6 4 2" xfId="37133" xr:uid="{B9EFA943-0B0D-45C2-91A1-C76F07D372C1}"/>
    <cellStyle name="20% - Accent3 3 6 5" xfId="29529" xr:uid="{58A2940A-7625-4975-95BD-7A680239B4BA}"/>
    <cellStyle name="20% - Accent3 3 7" xfId="4237" xr:uid="{00000000-0005-0000-0000-000057040000}"/>
    <cellStyle name="20% - Accent3 3 7 2" xfId="22154" xr:uid="{66A51098-B316-4C92-BE53-AEB118010120}"/>
    <cellStyle name="20% - Accent3 3 7 2 2" xfId="37130" xr:uid="{A6F59956-482E-4CC3-A28C-2C5B02AEED1F}"/>
    <cellStyle name="20% - Accent3 3 7 3" xfId="29526" xr:uid="{CD430336-50CF-4D3A-9CF2-A57C5D26719B}"/>
    <cellStyle name="20% - Accent3 3 8" xfId="4236" xr:uid="{00000000-0005-0000-0000-000058040000}"/>
    <cellStyle name="20% - Accent3 3 8 2" xfId="4235" xr:uid="{00000000-0005-0000-0000-000059040000}"/>
    <cellStyle name="20% - Accent3 3 8 2 2" xfId="22152" xr:uid="{B3CA91C9-C4BF-45E6-96F5-28213D3CC8E8}"/>
    <cellStyle name="20% - Accent3 3 8 2 2 2" xfId="37128" xr:uid="{84B5E40E-9E5B-4BA1-B7CD-5768D097AF15}"/>
    <cellStyle name="20% - Accent3 3 8 2 3" xfId="29524" xr:uid="{4071E0C9-45A5-4742-BDD3-B0775678B0DC}"/>
    <cellStyle name="20% - Accent3 3 8 3" xfId="22153" xr:uid="{790D9D5F-1FAB-4914-BBF8-36FFEBC0A269}"/>
    <cellStyle name="20% - Accent3 3 8 3 2" xfId="37129" xr:uid="{48C3B922-424B-4916-B57A-98FDFF72DB55}"/>
    <cellStyle name="20% - Accent3 3 8 4" xfId="29525" xr:uid="{D0757367-58EC-438E-80CB-7CD82A0424D7}"/>
    <cellStyle name="20% - Accent3 3 9" xfId="4234" xr:uid="{00000000-0005-0000-0000-00005A040000}"/>
    <cellStyle name="20% - Accent3 3 9 2" xfId="22151" xr:uid="{5930A83D-5A36-4022-B163-6EFC570A1A1D}"/>
    <cellStyle name="20% - Accent3 3 9 2 2" xfId="37127" xr:uid="{FC2D8740-EEBA-4CCC-B7E3-9528E5361D8A}"/>
    <cellStyle name="20% - Accent3 3 9 3" xfId="29523" xr:uid="{2833AF4D-D501-4324-AD1F-607B2595496A}"/>
    <cellStyle name="20% - Accent3 4" xfId="170" xr:uid="{00000000-0005-0000-0000-000025000000}"/>
    <cellStyle name="20% - Accent3 4 10" xfId="4233" xr:uid="{00000000-0005-0000-0000-00005B040000}"/>
    <cellStyle name="20% - Accent3 4 10 2" xfId="22150" xr:uid="{82A2A34F-CEAF-42E4-A96C-DD9FC514B507}"/>
    <cellStyle name="20% - Accent3 4 10 2 2" xfId="37126" xr:uid="{630807E1-110D-4F27-8B10-726CA6812BD0}"/>
    <cellStyle name="20% - Accent3 4 10 3" xfId="29522" xr:uid="{1A63DC37-288D-42D0-877B-61FDB3743DE0}"/>
    <cellStyle name="20% - Accent3 4 2" xfId="4232" xr:uid="{00000000-0005-0000-0000-00005C040000}"/>
    <cellStyle name="20% - Accent3 4 2 2" xfId="4231" xr:uid="{00000000-0005-0000-0000-00005D040000}"/>
    <cellStyle name="20% - Accent3 4 2 2 2" xfId="4230" xr:uid="{00000000-0005-0000-0000-00005E040000}"/>
    <cellStyle name="20% - Accent3 4 2 2 2 2" xfId="4229" xr:uid="{00000000-0005-0000-0000-00005F040000}"/>
    <cellStyle name="20% - Accent3 4 2 2 2 2 2" xfId="4228" xr:uid="{00000000-0005-0000-0000-000060040000}"/>
    <cellStyle name="20% - Accent3 4 2 2 2 2 2 2" xfId="22146" xr:uid="{8079D73C-3191-4A5C-8E6E-C48C5E0639D8}"/>
    <cellStyle name="20% - Accent3 4 2 2 2 2 2 2 2" xfId="37122" xr:uid="{F4492B35-F957-4256-B5A7-C53A5A2A2EA2}"/>
    <cellStyle name="20% - Accent3 4 2 2 2 2 2 3" xfId="29518" xr:uid="{DDA77897-D1EB-49B7-8899-934062AF5190}"/>
    <cellStyle name="20% - Accent3 4 2 2 2 2 3" xfId="4227" xr:uid="{00000000-0005-0000-0000-000061040000}"/>
    <cellStyle name="20% - Accent3 4 2 2 2 2 3 2" xfId="22145" xr:uid="{95678D95-6252-44D7-BE0A-F60952A2AC13}"/>
    <cellStyle name="20% - Accent3 4 2 2 2 2 3 2 2" xfId="37121" xr:uid="{C416AA68-6523-4D57-B851-EF11D47B6946}"/>
    <cellStyle name="20% - Accent3 4 2 2 2 2 3 3" xfId="29517" xr:uid="{31FEA1AB-9292-48B4-B120-9FD8A7048B54}"/>
    <cellStyle name="20% - Accent3 4 2 2 2 2 4" xfId="22147" xr:uid="{60FD489F-4F9A-421C-99BC-1BE2333B9C8A}"/>
    <cellStyle name="20% - Accent3 4 2 2 2 2 4 2" xfId="37123" xr:uid="{C4C7D7F7-C604-46A2-9E2A-E6A7E9BAF855}"/>
    <cellStyle name="20% - Accent3 4 2 2 2 2 5" xfId="29519" xr:uid="{54E0FD4D-0DAE-4D8D-BAB7-2ED08C5C9961}"/>
    <cellStyle name="20% - Accent3 4 2 2 2 3" xfId="4226" xr:uid="{00000000-0005-0000-0000-000062040000}"/>
    <cellStyle name="20% - Accent3 4 2 2 2 3 2" xfId="4225" xr:uid="{00000000-0005-0000-0000-000063040000}"/>
    <cellStyle name="20% - Accent3 4 2 2 2 3 2 2" xfId="22143" xr:uid="{A9FB486F-71BD-4A7D-B9F9-080E2DF28F0F}"/>
    <cellStyle name="20% - Accent3 4 2 2 2 3 2 2 2" xfId="37119" xr:uid="{E6E3031E-3CBC-4312-8D30-A87BA1BDC817}"/>
    <cellStyle name="20% - Accent3 4 2 2 2 3 2 3" xfId="29515" xr:uid="{B2817A0C-EDBA-4096-B238-6E9FEC280D97}"/>
    <cellStyle name="20% - Accent3 4 2 2 2 3 3" xfId="22144" xr:uid="{F7B7D3B3-0FA2-45DB-A680-F8EB7903B3C1}"/>
    <cellStyle name="20% - Accent3 4 2 2 2 3 3 2" xfId="37120" xr:uid="{E94A39BE-3CD6-4AA6-9E48-0E8E8E7BE194}"/>
    <cellStyle name="20% - Accent3 4 2 2 2 3 4" xfId="29516" xr:uid="{BACDC08F-0314-4DE2-8542-BC174E88ECF0}"/>
    <cellStyle name="20% - Accent3 4 2 2 2 4" xfId="4224" xr:uid="{00000000-0005-0000-0000-000064040000}"/>
    <cellStyle name="20% - Accent3 4 2 2 2 4 2" xfId="22142" xr:uid="{EE7E7938-332D-43D1-9B2D-27AC33A507C9}"/>
    <cellStyle name="20% - Accent3 4 2 2 2 4 2 2" xfId="37118" xr:uid="{49E94210-0C83-4239-8883-156FC3A26AB7}"/>
    <cellStyle name="20% - Accent3 4 2 2 2 4 3" xfId="29514" xr:uid="{FAB5F537-0FB3-47FB-A568-C5109E09F6C9}"/>
    <cellStyle name="20% - Accent3 4 2 2 2 5" xfId="22148" xr:uid="{A04DD8C6-4A8A-483E-B0AF-949C3C4F35D7}"/>
    <cellStyle name="20% - Accent3 4 2 2 2 5 2" xfId="37124" xr:uid="{C4592BA5-BACA-4E24-875E-D456115D705B}"/>
    <cellStyle name="20% - Accent3 4 2 2 2 6" xfId="29520" xr:uid="{A422D88A-E6B1-4931-97C3-6FE20FFB8C68}"/>
    <cellStyle name="20% - Accent3 4 2 2 3" xfId="4223" xr:uid="{00000000-0005-0000-0000-000065040000}"/>
    <cellStyle name="20% - Accent3 4 2 2 3 2" xfId="4222" xr:uid="{00000000-0005-0000-0000-000066040000}"/>
    <cellStyle name="20% - Accent3 4 2 2 3 2 2" xfId="22140" xr:uid="{94B22B30-3FDE-4B9F-A256-198D302CBEA7}"/>
    <cellStyle name="20% - Accent3 4 2 2 3 2 2 2" xfId="37116" xr:uid="{B7FDEA39-3657-4BF8-A8D1-6C8C4DF5A86E}"/>
    <cellStyle name="20% - Accent3 4 2 2 3 2 3" xfId="29512" xr:uid="{B66A9CEF-7FA2-49AC-8155-0D79BCA43BFA}"/>
    <cellStyle name="20% - Accent3 4 2 2 3 3" xfId="4221" xr:uid="{00000000-0005-0000-0000-000067040000}"/>
    <cellStyle name="20% - Accent3 4 2 2 3 3 2" xfId="22139" xr:uid="{A919F80F-020C-4731-9075-CF7B460B5F06}"/>
    <cellStyle name="20% - Accent3 4 2 2 3 3 2 2" xfId="37115" xr:uid="{7A15402E-5759-47F9-B384-4312F1ADC286}"/>
    <cellStyle name="20% - Accent3 4 2 2 3 3 3" xfId="29511" xr:uid="{5E6349C5-0608-4ACA-A7B0-041666A76567}"/>
    <cellStyle name="20% - Accent3 4 2 2 3 4" xfId="22141" xr:uid="{2A97D295-36C9-4274-B64C-331DE66B9F80}"/>
    <cellStyle name="20% - Accent3 4 2 2 3 4 2" xfId="37117" xr:uid="{DF6F8D79-9A21-4A5E-886D-81A77E83260C}"/>
    <cellStyle name="20% - Accent3 4 2 2 3 5" xfId="29513" xr:uid="{87F34000-CB2A-4DE7-A9A7-1B35488EFF57}"/>
    <cellStyle name="20% - Accent3 4 2 2 4" xfId="4220" xr:uid="{00000000-0005-0000-0000-000068040000}"/>
    <cellStyle name="20% - Accent3 4 2 2 4 2" xfId="22138" xr:uid="{1C6A7145-D074-4E99-B7D4-43CF12F9F62C}"/>
    <cellStyle name="20% - Accent3 4 2 2 4 2 2" xfId="37114" xr:uid="{3705AC00-5617-4FE4-811A-49168E05FD3C}"/>
    <cellStyle name="20% - Accent3 4 2 2 4 3" xfId="29510" xr:uid="{B1FEB33D-4A7F-43DD-BEA6-A03583AE0443}"/>
    <cellStyle name="20% - Accent3 4 2 2 5" xfId="4219" xr:uid="{00000000-0005-0000-0000-000069040000}"/>
    <cellStyle name="20% - Accent3 4 2 2 5 2" xfId="4218" xr:uid="{00000000-0005-0000-0000-00006A040000}"/>
    <cellStyle name="20% - Accent3 4 2 2 5 2 2" xfId="22136" xr:uid="{0C5E88BB-E612-41EE-97DC-4ACEEDAF1F70}"/>
    <cellStyle name="20% - Accent3 4 2 2 5 2 2 2" xfId="37112" xr:uid="{2C3CD03D-4D3C-4EEE-AFA8-6F26D0598E65}"/>
    <cellStyle name="20% - Accent3 4 2 2 5 2 3" xfId="29508" xr:uid="{F5A7A505-1325-4A0B-B8C6-711F446FDF5F}"/>
    <cellStyle name="20% - Accent3 4 2 2 5 3" xfId="22137" xr:uid="{CED05C6F-34AB-4E80-805D-5A704F1D953E}"/>
    <cellStyle name="20% - Accent3 4 2 2 5 3 2" xfId="37113" xr:uid="{6A639DD6-3C46-4C49-AE77-AF294F9A0409}"/>
    <cellStyle name="20% - Accent3 4 2 2 5 4" xfId="29509" xr:uid="{55F0F559-F633-4477-9DA7-E656025499B2}"/>
    <cellStyle name="20% - Accent3 4 2 2 6" xfId="4217" xr:uid="{00000000-0005-0000-0000-00006B040000}"/>
    <cellStyle name="20% - Accent3 4 2 2 6 2" xfId="22135" xr:uid="{08BE7D87-359D-4A3C-8ED7-164EE0A7BD21}"/>
    <cellStyle name="20% - Accent3 4 2 2 6 2 2" xfId="37111" xr:uid="{EBFC16B9-74DF-4795-9310-FB6305BB84F0}"/>
    <cellStyle name="20% - Accent3 4 2 2 6 3" xfId="29507" xr:uid="{BB84C2F2-D4C7-43E3-859A-C86D34746C96}"/>
    <cellStyle name="20% - Accent3 4 2 2 7" xfId="22149" xr:uid="{47C85E12-2EEC-4391-B6FD-122A77140149}"/>
    <cellStyle name="20% - Accent3 4 2 2 7 2" xfId="37125" xr:uid="{1F8CD190-0268-4443-9C94-1474715FD676}"/>
    <cellStyle name="20% - Accent3 4 2 2 8" xfId="29521" xr:uid="{E03D40DC-A80E-4F54-9077-5EFB43BE368A}"/>
    <cellStyle name="20% - Accent3 4 2 3" xfId="4216" xr:uid="{00000000-0005-0000-0000-00006C040000}"/>
    <cellStyle name="20% - Accent3 4 2 3 2" xfId="4215" xr:uid="{00000000-0005-0000-0000-00006D040000}"/>
    <cellStyle name="20% - Accent3 4 2 3 2 2" xfId="4214" xr:uid="{00000000-0005-0000-0000-00006E040000}"/>
    <cellStyle name="20% - Accent3 4 2 3 2 2 2" xfId="22132" xr:uid="{A36A512A-A077-4780-B2FB-BA05C03FE37E}"/>
    <cellStyle name="20% - Accent3 4 2 3 2 2 2 2" xfId="37108" xr:uid="{F5C997B1-C7CB-48ED-AB1A-03C1CA0B847A}"/>
    <cellStyle name="20% - Accent3 4 2 3 2 2 3" xfId="29504" xr:uid="{48EBFBE5-0487-4672-9717-B7871B7303DF}"/>
    <cellStyle name="20% - Accent3 4 2 3 2 3" xfId="4213" xr:uid="{00000000-0005-0000-0000-00006F040000}"/>
    <cellStyle name="20% - Accent3 4 2 3 2 3 2" xfId="22131" xr:uid="{66BA9304-C543-486E-B5E6-BB7486F09E97}"/>
    <cellStyle name="20% - Accent3 4 2 3 2 3 2 2" xfId="37107" xr:uid="{E902D12F-1193-475C-8F22-1D20B6E61B17}"/>
    <cellStyle name="20% - Accent3 4 2 3 2 3 3" xfId="29503" xr:uid="{6F9E6CD3-E03C-4F9B-8B9A-C2A0AE00974B}"/>
    <cellStyle name="20% - Accent3 4 2 3 2 4" xfId="22133" xr:uid="{540023E5-E386-4DE6-98DB-C5E5CA953BEF}"/>
    <cellStyle name="20% - Accent3 4 2 3 2 4 2" xfId="37109" xr:uid="{148ADB9F-7605-449B-8CA8-4CB328AF8381}"/>
    <cellStyle name="20% - Accent3 4 2 3 2 5" xfId="29505" xr:uid="{553A8471-66E0-4BF6-A195-CEABFEFF8512}"/>
    <cellStyle name="20% - Accent3 4 2 3 3" xfId="4212" xr:uid="{00000000-0005-0000-0000-000070040000}"/>
    <cellStyle name="20% - Accent3 4 2 3 3 2" xfId="4211" xr:uid="{00000000-0005-0000-0000-000071040000}"/>
    <cellStyle name="20% - Accent3 4 2 3 3 2 2" xfId="22129" xr:uid="{CCD3D4DF-186F-410C-BA41-0AFA0EBF5F02}"/>
    <cellStyle name="20% - Accent3 4 2 3 3 2 2 2" xfId="37105" xr:uid="{C89F741A-C2F7-4FD4-A840-3847A96D5F99}"/>
    <cellStyle name="20% - Accent3 4 2 3 3 2 3" xfId="29501" xr:uid="{AF403E14-F6AE-4EFF-943D-93038AEF0075}"/>
    <cellStyle name="20% - Accent3 4 2 3 3 3" xfId="22130" xr:uid="{00F87E22-9919-4826-A0C7-9F8A3A884D38}"/>
    <cellStyle name="20% - Accent3 4 2 3 3 3 2" xfId="37106" xr:uid="{6BAF6339-8AB4-493A-8CC4-DD0CD23A0AE5}"/>
    <cellStyle name="20% - Accent3 4 2 3 3 4" xfId="29502" xr:uid="{2C8D08AE-89C7-431B-B9AF-B7CE09A29FDF}"/>
    <cellStyle name="20% - Accent3 4 2 3 4" xfId="4210" xr:uid="{00000000-0005-0000-0000-000072040000}"/>
    <cellStyle name="20% - Accent3 4 2 3 4 2" xfId="22128" xr:uid="{D6BBC452-C7B5-45AB-B642-637BDFF1D3AF}"/>
    <cellStyle name="20% - Accent3 4 2 3 4 2 2" xfId="37104" xr:uid="{3E61ADE9-FE94-4D61-A495-EDA7C6E9DF46}"/>
    <cellStyle name="20% - Accent3 4 2 3 4 3" xfId="29500" xr:uid="{64388332-B5A6-4C27-ABD7-DE1ED95C4B55}"/>
    <cellStyle name="20% - Accent3 4 2 3 5" xfId="22134" xr:uid="{32282107-6E47-4A14-ADAB-66BE5D992F69}"/>
    <cellStyle name="20% - Accent3 4 2 3 5 2" xfId="37110" xr:uid="{C298216B-87C2-4C3C-A9BA-913667C38B02}"/>
    <cellStyle name="20% - Accent3 4 2 3 6" xfId="29506" xr:uid="{FF8A5B6C-D067-41DC-A98E-1248FAEA8506}"/>
    <cellStyle name="20% - Accent3 4 2 4" xfId="4209" xr:uid="{00000000-0005-0000-0000-000073040000}"/>
    <cellStyle name="20% - Accent3 4 2 5" xfId="4208" xr:uid="{00000000-0005-0000-0000-000074040000}"/>
    <cellStyle name="20% - Accent3 4 2 5 2" xfId="22127" xr:uid="{1BDE1E69-E12A-4B19-99D2-537001194979}"/>
    <cellStyle name="20% - Accent3 4 2 5 2 2" xfId="37103" xr:uid="{1116F14C-B928-4A31-A85F-1EC66D9FE2E0}"/>
    <cellStyle name="20% - Accent3 4 2 5 3" xfId="29499" xr:uid="{71360957-CB2F-4B42-8BC5-87F13AC9DA41}"/>
    <cellStyle name="20% - Accent3 4 3" xfId="4207" xr:uid="{00000000-0005-0000-0000-000075040000}"/>
    <cellStyle name="20% - Accent3 4 3 2" xfId="4206" xr:uid="{00000000-0005-0000-0000-000076040000}"/>
    <cellStyle name="20% - Accent3 4 3 2 2" xfId="4205" xr:uid="{00000000-0005-0000-0000-000077040000}"/>
    <cellStyle name="20% - Accent3 4 3 2 2 2" xfId="22124" xr:uid="{F10666EC-F2A1-428C-965C-58A45AB4B99E}"/>
    <cellStyle name="20% - Accent3 4 3 2 2 2 2" xfId="37100" xr:uid="{AD0B5988-CFCC-4572-A1FF-24CE557DAD79}"/>
    <cellStyle name="20% - Accent3 4 3 2 2 3" xfId="29496" xr:uid="{F56B7B21-EFD7-4A02-BA3E-6674A7A5D2D3}"/>
    <cellStyle name="20% - Accent3 4 3 2 3" xfId="4204" xr:uid="{00000000-0005-0000-0000-000078040000}"/>
    <cellStyle name="20% - Accent3 4 3 2 3 2" xfId="22123" xr:uid="{201BCD26-D842-4B30-99A4-54C3FD7562C1}"/>
    <cellStyle name="20% - Accent3 4 3 2 3 2 2" xfId="37099" xr:uid="{EA6627A7-B5B0-426A-A9B0-2BB25C0B3DD4}"/>
    <cellStyle name="20% - Accent3 4 3 2 3 3" xfId="29495" xr:uid="{A47E2ECC-2D99-4797-B97D-45328BDDD19B}"/>
    <cellStyle name="20% - Accent3 4 3 2 4" xfId="22125" xr:uid="{151074D8-D184-4F3E-BA9D-EB79250A7845}"/>
    <cellStyle name="20% - Accent3 4 3 2 4 2" xfId="37101" xr:uid="{E2DE4C8B-DBDC-4891-B0A9-12C3592EC004}"/>
    <cellStyle name="20% - Accent3 4 3 2 5" xfId="29497" xr:uid="{3CE815B3-0803-4388-85C8-7804F0CF54DE}"/>
    <cellStyle name="20% - Accent3 4 3 3" xfId="4203" xr:uid="{00000000-0005-0000-0000-000079040000}"/>
    <cellStyle name="20% - Accent3 4 3 3 2" xfId="22122" xr:uid="{21B4CF09-DAC2-4AA4-ACE1-7C20A9BA0C3E}"/>
    <cellStyle name="20% - Accent3 4 3 3 2 2" xfId="37098" xr:uid="{0B0D2FBA-BF67-43BE-A3C5-2F23245C1366}"/>
    <cellStyle name="20% - Accent3 4 3 3 3" xfId="29494" xr:uid="{6305C850-90FB-481D-BD3E-74C15E9C0D8A}"/>
    <cellStyle name="20% - Accent3 4 3 4" xfId="4202" xr:uid="{00000000-0005-0000-0000-00007A040000}"/>
    <cellStyle name="20% - Accent3 4 3 4 2" xfId="4201" xr:uid="{00000000-0005-0000-0000-00007B040000}"/>
    <cellStyle name="20% - Accent3 4 3 4 2 2" xfId="22120" xr:uid="{B1FDE936-55ED-4B31-A734-ACBBD4D36AA3}"/>
    <cellStyle name="20% - Accent3 4 3 4 2 2 2" xfId="37096" xr:uid="{D2D123F3-384B-417D-BDB2-AAC657AC25BF}"/>
    <cellStyle name="20% - Accent3 4 3 4 2 3" xfId="29492" xr:uid="{4188BF3C-15E2-4CF4-A528-E06FD683683C}"/>
    <cellStyle name="20% - Accent3 4 3 4 3" xfId="22121" xr:uid="{4EF419A7-C429-4CA3-9C0F-7C88084FDE8E}"/>
    <cellStyle name="20% - Accent3 4 3 4 3 2" xfId="37097" xr:uid="{EDFF51A0-624D-471C-9CA7-1605368F8E32}"/>
    <cellStyle name="20% - Accent3 4 3 4 4" xfId="29493" xr:uid="{E754018D-2826-4987-B86D-868C6F0DA7E8}"/>
    <cellStyle name="20% - Accent3 4 3 5" xfId="4200" xr:uid="{00000000-0005-0000-0000-00007C040000}"/>
    <cellStyle name="20% - Accent3 4 3 5 2" xfId="22119" xr:uid="{D6C8B753-CAD3-4217-B198-EE694A579F7B}"/>
    <cellStyle name="20% - Accent3 4 3 5 2 2" xfId="37095" xr:uid="{673B6921-7DCE-468A-B545-6AF7D1921AEA}"/>
    <cellStyle name="20% - Accent3 4 3 5 3" xfId="29491" xr:uid="{D2AAB384-1311-405A-81B4-4484BCBF88D0}"/>
    <cellStyle name="20% - Accent3 4 3 6" xfId="22126" xr:uid="{0900067F-BFA7-4904-B332-99658AB10CFE}"/>
    <cellStyle name="20% - Accent3 4 3 6 2" xfId="37102" xr:uid="{A09F8893-D1F1-48A9-9446-AE7EFF8B173F}"/>
    <cellStyle name="20% - Accent3 4 3 7" xfId="29498" xr:uid="{F57B5874-85F6-48AE-82D5-C0C6F537B7CF}"/>
    <cellStyle name="20% - Accent3 4 4" xfId="4199" xr:uid="{00000000-0005-0000-0000-00007D040000}"/>
    <cellStyle name="20% - Accent3 4 4 2" xfId="4198" xr:uid="{00000000-0005-0000-0000-00007E040000}"/>
    <cellStyle name="20% - Accent3 4 4 2 2" xfId="4197" xr:uid="{00000000-0005-0000-0000-00007F040000}"/>
    <cellStyle name="20% - Accent3 4 4 2 2 2" xfId="22116" xr:uid="{717E2801-323F-4C51-AE90-CB645A30702D}"/>
    <cellStyle name="20% - Accent3 4 4 2 2 2 2" xfId="37092" xr:uid="{16BCFD1A-21EC-4E8A-9B1E-5A9EABD06F9B}"/>
    <cellStyle name="20% - Accent3 4 4 2 2 3" xfId="29488" xr:uid="{051BF7D8-7B6A-411E-B066-B18E6957368C}"/>
    <cellStyle name="20% - Accent3 4 4 2 3" xfId="4196" xr:uid="{00000000-0005-0000-0000-000080040000}"/>
    <cellStyle name="20% - Accent3 4 4 2 3 2" xfId="22115" xr:uid="{5FDAA38B-4A02-45A8-B1BC-DA55C8E1A1BE}"/>
    <cellStyle name="20% - Accent3 4 4 2 3 2 2" xfId="37091" xr:uid="{4FF42300-0F05-47DB-964B-1C7D4BCC6061}"/>
    <cellStyle name="20% - Accent3 4 4 2 3 3" xfId="29487" xr:uid="{FE26CA90-18C2-4455-B2AB-CC5551B07FCE}"/>
    <cellStyle name="20% - Accent3 4 4 2 4" xfId="22117" xr:uid="{46FFEAAE-3321-44DF-A962-1F9FC6D9DEC3}"/>
    <cellStyle name="20% - Accent3 4 4 2 4 2" xfId="37093" xr:uid="{0904B184-6884-4F8D-94C2-2F53C21925C7}"/>
    <cellStyle name="20% - Accent3 4 4 2 5" xfId="29489" xr:uid="{CD36347C-41D7-47E2-AEDB-38F8EBE60006}"/>
    <cellStyle name="20% - Accent3 4 4 3" xfId="4195" xr:uid="{00000000-0005-0000-0000-000081040000}"/>
    <cellStyle name="20% - Accent3 4 4 3 2" xfId="4194" xr:uid="{00000000-0005-0000-0000-000082040000}"/>
    <cellStyle name="20% - Accent3 4 4 3 2 2" xfId="22113" xr:uid="{535B62EA-4111-471E-8F78-66DBBC049125}"/>
    <cellStyle name="20% - Accent3 4 4 3 2 2 2" xfId="37089" xr:uid="{273F1C09-7BEE-411C-B7D7-3740705B0BCB}"/>
    <cellStyle name="20% - Accent3 4 4 3 2 3" xfId="29485" xr:uid="{8F2F1117-0232-4773-97FC-A518538BEF3A}"/>
    <cellStyle name="20% - Accent3 4 4 3 3" xfId="22114" xr:uid="{88305475-4694-4908-839C-8378E3B35C4E}"/>
    <cellStyle name="20% - Accent3 4 4 3 3 2" xfId="37090" xr:uid="{DB85D71E-A343-4214-9939-99A9F0582997}"/>
    <cellStyle name="20% - Accent3 4 4 3 4" xfId="29486" xr:uid="{98880040-4810-437A-A12F-C437D3DB707D}"/>
    <cellStyle name="20% - Accent3 4 4 4" xfId="4193" xr:uid="{00000000-0005-0000-0000-000083040000}"/>
    <cellStyle name="20% - Accent3 4 4 4 2" xfId="22112" xr:uid="{8EC04AD1-8659-4156-AF70-A7782B6306FE}"/>
    <cellStyle name="20% - Accent3 4 4 4 2 2" xfId="37088" xr:uid="{78AD051E-0FA6-43BA-AD16-119152879C40}"/>
    <cellStyle name="20% - Accent3 4 4 4 3" xfId="29484" xr:uid="{BF908A4A-AA95-4D34-A39B-988960F31E6E}"/>
    <cellStyle name="20% - Accent3 4 4 5" xfId="22118" xr:uid="{9042DC7F-AA26-46CC-A7E6-BF4F7A3E3E90}"/>
    <cellStyle name="20% - Accent3 4 4 5 2" xfId="37094" xr:uid="{5A1DB783-4A2A-4221-B52B-FEE8D34982EB}"/>
    <cellStyle name="20% - Accent3 4 4 6" xfId="29490" xr:uid="{6E5B891B-20C3-42FF-AB58-FD705EDA7BE3}"/>
    <cellStyle name="20% - Accent3 4 5" xfId="4192" xr:uid="{00000000-0005-0000-0000-000084040000}"/>
    <cellStyle name="20% - Accent3 4 5 2" xfId="4191" xr:uid="{00000000-0005-0000-0000-000085040000}"/>
    <cellStyle name="20% - Accent3 4 5 2 2" xfId="4190" xr:uid="{00000000-0005-0000-0000-000086040000}"/>
    <cellStyle name="20% - Accent3 4 5 2 2 2" xfId="22109" xr:uid="{2A1B8F87-6BA8-4ABB-B7A1-5B14394D63FC}"/>
    <cellStyle name="20% - Accent3 4 5 2 2 2 2" xfId="37085" xr:uid="{4CACED30-9556-4F45-B706-A8AE49A2A75B}"/>
    <cellStyle name="20% - Accent3 4 5 2 2 3" xfId="29481" xr:uid="{769AC2FE-D3AF-4B9E-9737-98D4EA21F4D9}"/>
    <cellStyle name="20% - Accent3 4 5 2 3" xfId="4189" xr:uid="{00000000-0005-0000-0000-000087040000}"/>
    <cellStyle name="20% - Accent3 4 5 2 3 2" xfId="22108" xr:uid="{6BFD071D-27C0-48C8-832C-B81B74F69BBE}"/>
    <cellStyle name="20% - Accent3 4 5 2 3 2 2" xfId="37084" xr:uid="{D543D20B-7E03-4F2C-9CB8-FFF5F83E6370}"/>
    <cellStyle name="20% - Accent3 4 5 2 3 3" xfId="29480" xr:uid="{4AC59E63-51DC-4DF8-A8C5-E3F9AB79F37C}"/>
    <cellStyle name="20% - Accent3 4 5 2 4" xfId="22110" xr:uid="{8962B216-0873-4C34-AAF1-30EE29165AE0}"/>
    <cellStyle name="20% - Accent3 4 5 2 4 2" xfId="37086" xr:uid="{AF13253C-81AA-4D5D-8048-3E588A8D1B56}"/>
    <cellStyle name="20% - Accent3 4 5 2 5" xfId="29482" xr:uid="{9FE4CFF6-9AF7-4E9E-982D-CF10D4DC9CA2}"/>
    <cellStyle name="20% - Accent3 4 5 3" xfId="4188" xr:uid="{00000000-0005-0000-0000-000088040000}"/>
    <cellStyle name="20% - Accent3 4 5 3 2" xfId="4187" xr:uid="{00000000-0005-0000-0000-000089040000}"/>
    <cellStyle name="20% - Accent3 4 5 3 2 2" xfId="22106" xr:uid="{4A9235BB-8F3E-44F7-8FB0-047BEC86C2E5}"/>
    <cellStyle name="20% - Accent3 4 5 3 2 2 2" xfId="37082" xr:uid="{42BD5CE4-F2D8-4910-BA91-DAD0C6C843A0}"/>
    <cellStyle name="20% - Accent3 4 5 3 2 3" xfId="29478" xr:uid="{513238B6-2278-4C4C-A7F1-9FFB36C1E364}"/>
    <cellStyle name="20% - Accent3 4 5 3 3" xfId="22107" xr:uid="{584CCA79-3D5E-4896-BF97-7E74966918F2}"/>
    <cellStyle name="20% - Accent3 4 5 3 3 2" xfId="37083" xr:uid="{14FB73A1-6BB3-42E3-B75A-AE220B30CCEB}"/>
    <cellStyle name="20% - Accent3 4 5 3 4" xfId="29479" xr:uid="{B9036A45-60D6-475D-8F4E-9DB36E1585ED}"/>
    <cellStyle name="20% - Accent3 4 5 4" xfId="4186" xr:uid="{00000000-0005-0000-0000-00008A040000}"/>
    <cellStyle name="20% - Accent3 4 5 4 2" xfId="22105" xr:uid="{B0FB678E-E325-40E2-84C0-ABDA51478341}"/>
    <cellStyle name="20% - Accent3 4 5 4 2 2" xfId="37081" xr:uid="{5E1A4A80-A3C7-4685-824C-B5B929C885DF}"/>
    <cellStyle name="20% - Accent3 4 5 4 3" xfId="29477" xr:uid="{E60C2627-61CB-4D6C-B427-5C7568DC3A37}"/>
    <cellStyle name="20% - Accent3 4 5 5" xfId="22111" xr:uid="{F24924CE-984E-4CAE-8338-FF1B2CBE4D05}"/>
    <cellStyle name="20% - Accent3 4 5 5 2" xfId="37087" xr:uid="{C22F7EE8-4C6C-4102-877A-9B2E3A709BEB}"/>
    <cellStyle name="20% - Accent3 4 5 6" xfId="29483" xr:uid="{B179B04F-E1EE-455F-99E9-7AF55DBF7C4A}"/>
    <cellStyle name="20% - Accent3 4 6" xfId="4185" xr:uid="{00000000-0005-0000-0000-00008B040000}"/>
    <cellStyle name="20% - Accent3 4 6 2" xfId="4184" xr:uid="{00000000-0005-0000-0000-00008C040000}"/>
    <cellStyle name="20% - Accent3 4 6 2 2" xfId="22103" xr:uid="{165A78AD-D753-468C-AB74-1555F9286223}"/>
    <cellStyle name="20% - Accent3 4 6 2 2 2" xfId="37079" xr:uid="{45777EBD-9F30-4E7A-A3DC-61C83FECA0B3}"/>
    <cellStyle name="20% - Accent3 4 6 2 3" xfId="29475" xr:uid="{1AC118B7-7E59-4772-A323-1292B9DA3CEE}"/>
    <cellStyle name="20% - Accent3 4 6 3" xfId="4183" xr:uid="{00000000-0005-0000-0000-00008D040000}"/>
    <cellStyle name="20% - Accent3 4 6 3 2" xfId="22102" xr:uid="{D0E8E7E3-F36F-4010-AD71-A3479633A970}"/>
    <cellStyle name="20% - Accent3 4 6 3 2 2" xfId="37078" xr:uid="{7CA145D9-D7EE-40E9-BF97-B3647A39E369}"/>
    <cellStyle name="20% - Accent3 4 6 3 3" xfId="29474" xr:uid="{AB3344CE-5114-4C1B-8553-079F6AACFD13}"/>
    <cellStyle name="20% - Accent3 4 6 4" xfId="22104" xr:uid="{D022B966-93C3-4652-BD69-20C320B7B380}"/>
    <cellStyle name="20% - Accent3 4 6 4 2" xfId="37080" xr:uid="{048D2721-9E34-49C3-B36E-DDFEF3339C23}"/>
    <cellStyle name="20% - Accent3 4 6 5" xfId="29476" xr:uid="{24655BC8-B380-45A3-89FB-62483E4A949B}"/>
    <cellStyle name="20% - Accent3 4 7" xfId="4182" xr:uid="{00000000-0005-0000-0000-00008E040000}"/>
    <cellStyle name="20% - Accent3 4 7 2" xfId="22101" xr:uid="{DE718168-27C0-4940-A677-E333559EBE94}"/>
    <cellStyle name="20% - Accent3 4 7 2 2" xfId="37077" xr:uid="{7BF91BD9-E25B-4DF1-BAF0-6003ED313656}"/>
    <cellStyle name="20% - Accent3 4 7 3" xfId="29473" xr:uid="{14FEFC8E-ACA6-439B-84CE-016F9397529F}"/>
    <cellStyle name="20% - Accent3 4 8" xfId="4181" xr:uid="{00000000-0005-0000-0000-00008F040000}"/>
    <cellStyle name="20% - Accent3 4 8 2" xfId="4180" xr:uid="{00000000-0005-0000-0000-000090040000}"/>
    <cellStyle name="20% - Accent3 4 8 2 2" xfId="22099" xr:uid="{7B77BC6F-4AF8-416E-9B4A-A0FA48EED273}"/>
    <cellStyle name="20% - Accent3 4 8 2 2 2" xfId="37075" xr:uid="{A8D05274-F527-4079-BB82-67DCE880E7A4}"/>
    <cellStyle name="20% - Accent3 4 8 2 3" xfId="29471" xr:uid="{328D6057-B07E-4119-B8D6-2DD482FF4E6B}"/>
    <cellStyle name="20% - Accent3 4 8 3" xfId="22100" xr:uid="{3D8F944B-1C34-4E10-BA16-8D25B6ABB901}"/>
    <cellStyle name="20% - Accent3 4 8 3 2" xfId="37076" xr:uid="{2D9A5FA5-87B7-4077-893A-0D1FFDE6A7B5}"/>
    <cellStyle name="20% - Accent3 4 8 4" xfId="29472" xr:uid="{123B9E4C-A7FD-4DD6-A707-ACA35D263EB4}"/>
    <cellStyle name="20% - Accent3 4 9" xfId="4179" xr:uid="{00000000-0005-0000-0000-000091040000}"/>
    <cellStyle name="20% - Accent3 4 9 2" xfId="22098" xr:uid="{675B169D-27BE-4823-89BA-F0D6D5B2E981}"/>
    <cellStyle name="20% - Accent3 4 9 2 2" xfId="37074" xr:uid="{9ACF0A32-42A6-4D75-A3E8-85A8BA41B9DE}"/>
    <cellStyle name="20% - Accent3 4 9 3" xfId="29470" xr:uid="{B59CA78A-1002-4A7B-8C9F-AFF64AC32AFE}"/>
    <cellStyle name="20% - Accent3 5" xfId="188" xr:uid="{00000000-0005-0000-0000-000026000000}"/>
    <cellStyle name="20% - Accent3 5 2" xfId="4177" xr:uid="{00000000-0005-0000-0000-000093040000}"/>
    <cellStyle name="20% - Accent3 5 2 2" xfId="4176" xr:uid="{00000000-0005-0000-0000-000094040000}"/>
    <cellStyle name="20% - Accent3 5 2 2 2" xfId="4175" xr:uid="{00000000-0005-0000-0000-000095040000}"/>
    <cellStyle name="20% - Accent3 5 2 2 2 2" xfId="4174" xr:uid="{00000000-0005-0000-0000-000096040000}"/>
    <cellStyle name="20% - Accent3 5 2 2 2 2 2" xfId="4173" xr:uid="{00000000-0005-0000-0000-000097040000}"/>
    <cellStyle name="20% - Accent3 5 2 2 2 2 2 2" xfId="22093" xr:uid="{D5EB72FC-20C3-4CF2-8AE3-C562BD9E4492}"/>
    <cellStyle name="20% - Accent3 5 2 2 2 2 2 2 2" xfId="37069" xr:uid="{082C48CB-5CC4-4661-ACA8-793DCFB0C70A}"/>
    <cellStyle name="20% - Accent3 5 2 2 2 2 2 3" xfId="29465" xr:uid="{CA77B759-CAC3-499F-9094-A04A1AD2E38E}"/>
    <cellStyle name="20% - Accent3 5 2 2 2 2 3" xfId="4172" xr:uid="{00000000-0005-0000-0000-000098040000}"/>
    <cellStyle name="20% - Accent3 5 2 2 2 2 3 2" xfId="22092" xr:uid="{D75A9C63-38E1-4DFE-98DE-7EB40C229F10}"/>
    <cellStyle name="20% - Accent3 5 2 2 2 2 3 2 2" xfId="37068" xr:uid="{A81AD67A-AE9B-49C3-9B5A-93F827C18E49}"/>
    <cellStyle name="20% - Accent3 5 2 2 2 2 3 3" xfId="29464" xr:uid="{EA486FFA-EAA3-490F-B70B-98C6BAD39B6F}"/>
    <cellStyle name="20% - Accent3 5 2 2 2 2 4" xfId="22094" xr:uid="{0CEFF4C9-D58E-4DCF-8D77-2EE7CBF445BC}"/>
    <cellStyle name="20% - Accent3 5 2 2 2 2 4 2" xfId="37070" xr:uid="{2D9BE3C2-45B3-4671-A03C-46234BADD40F}"/>
    <cellStyle name="20% - Accent3 5 2 2 2 2 5" xfId="29466" xr:uid="{84CDD071-8542-4E82-8D48-577A6C8E65FC}"/>
    <cellStyle name="20% - Accent3 5 2 2 2 3" xfId="4171" xr:uid="{00000000-0005-0000-0000-000099040000}"/>
    <cellStyle name="20% - Accent3 5 2 2 2 3 2" xfId="4170" xr:uid="{00000000-0005-0000-0000-00009A040000}"/>
    <cellStyle name="20% - Accent3 5 2 2 2 3 2 2" xfId="22090" xr:uid="{F8FBF88E-27BB-48AC-B86D-C6109F6CB046}"/>
    <cellStyle name="20% - Accent3 5 2 2 2 3 2 2 2" xfId="37066" xr:uid="{4AFC6189-B0C5-462B-83FE-B86BB062D872}"/>
    <cellStyle name="20% - Accent3 5 2 2 2 3 2 3" xfId="29462" xr:uid="{C7BACFFB-3B82-4743-B51F-98ACCDA7412A}"/>
    <cellStyle name="20% - Accent3 5 2 2 2 3 3" xfId="22091" xr:uid="{1913AAC8-832A-4A53-AA44-256364519BFD}"/>
    <cellStyle name="20% - Accent3 5 2 2 2 3 3 2" xfId="37067" xr:uid="{5065D752-78F8-4087-BB05-9E1996A3A22A}"/>
    <cellStyle name="20% - Accent3 5 2 2 2 3 4" xfId="29463" xr:uid="{E158897E-5F27-44A3-A3AC-C5E795202403}"/>
    <cellStyle name="20% - Accent3 5 2 2 2 4" xfId="4169" xr:uid="{00000000-0005-0000-0000-00009B040000}"/>
    <cellStyle name="20% - Accent3 5 2 2 2 4 2" xfId="22089" xr:uid="{C0AFCBA1-15D6-4BD1-A7BB-B594ECF4F304}"/>
    <cellStyle name="20% - Accent3 5 2 2 2 4 2 2" xfId="37065" xr:uid="{49326E2D-4C53-4FB7-B903-C6FE62CD4382}"/>
    <cellStyle name="20% - Accent3 5 2 2 2 4 3" xfId="29461" xr:uid="{896B679F-9E08-4A7C-85C7-A5553B69AF6C}"/>
    <cellStyle name="20% - Accent3 5 2 2 2 5" xfId="22095" xr:uid="{D201A778-7455-40D5-B192-E44E96DC64BE}"/>
    <cellStyle name="20% - Accent3 5 2 2 2 5 2" xfId="37071" xr:uid="{0E4741B3-49E2-45E7-876A-37D7FCB57A67}"/>
    <cellStyle name="20% - Accent3 5 2 2 2 6" xfId="29467" xr:uid="{75E63393-F2F9-4C38-A2D5-8B36C6CD97D0}"/>
    <cellStyle name="20% - Accent3 5 2 2 3" xfId="4168" xr:uid="{00000000-0005-0000-0000-00009C040000}"/>
    <cellStyle name="20% - Accent3 5 2 2 3 2" xfId="4167" xr:uid="{00000000-0005-0000-0000-00009D040000}"/>
    <cellStyle name="20% - Accent3 5 2 2 3 2 2" xfId="22087" xr:uid="{C39FC67E-2727-49F9-993D-D40AC0CD436A}"/>
    <cellStyle name="20% - Accent3 5 2 2 3 2 2 2" xfId="37063" xr:uid="{22DA8157-D293-4C18-9C27-A0510CAB275E}"/>
    <cellStyle name="20% - Accent3 5 2 2 3 2 3" xfId="29459" xr:uid="{F9ED784C-D99A-4C9D-9FBC-65F63A1DE194}"/>
    <cellStyle name="20% - Accent3 5 2 2 3 3" xfId="4166" xr:uid="{00000000-0005-0000-0000-00009E040000}"/>
    <cellStyle name="20% - Accent3 5 2 2 3 3 2" xfId="22086" xr:uid="{0E2A27DC-EAC3-4797-8C6D-8D791F2425A6}"/>
    <cellStyle name="20% - Accent3 5 2 2 3 3 2 2" xfId="37062" xr:uid="{763491C8-5128-453B-A9DE-506127E2A15A}"/>
    <cellStyle name="20% - Accent3 5 2 2 3 3 3" xfId="29458" xr:uid="{B2B4E03E-05DD-4618-A46C-E356330F39E0}"/>
    <cellStyle name="20% - Accent3 5 2 2 3 4" xfId="22088" xr:uid="{C72292A8-12E3-4C7F-91C9-F3DBD929CEFF}"/>
    <cellStyle name="20% - Accent3 5 2 2 3 4 2" xfId="37064" xr:uid="{9855EEFC-4EFD-4811-BD15-A2A5A2231271}"/>
    <cellStyle name="20% - Accent3 5 2 2 3 5" xfId="29460" xr:uid="{511DBD1E-40CA-4009-9FAD-72654B173FFA}"/>
    <cellStyle name="20% - Accent3 5 2 2 4" xfId="4165" xr:uid="{00000000-0005-0000-0000-00009F040000}"/>
    <cellStyle name="20% - Accent3 5 2 2 4 2" xfId="22085" xr:uid="{171513DE-6485-4119-AA27-EF038DE34B0C}"/>
    <cellStyle name="20% - Accent3 5 2 2 4 2 2" xfId="37061" xr:uid="{CFA40481-43D6-4839-878B-3282A92EC72C}"/>
    <cellStyle name="20% - Accent3 5 2 2 4 3" xfId="29457" xr:uid="{EC01B469-4E1D-4813-B0A7-175FBFA4473A}"/>
    <cellStyle name="20% - Accent3 5 2 2 5" xfId="4164" xr:uid="{00000000-0005-0000-0000-0000A0040000}"/>
    <cellStyle name="20% - Accent3 5 2 2 5 2" xfId="4163" xr:uid="{00000000-0005-0000-0000-0000A1040000}"/>
    <cellStyle name="20% - Accent3 5 2 2 5 2 2" xfId="22083" xr:uid="{3C14F70C-AD5E-401A-A196-637A33C0C263}"/>
    <cellStyle name="20% - Accent3 5 2 2 5 2 2 2" xfId="37059" xr:uid="{EEEDED15-4B53-430F-BA65-487FAEEA3CFC}"/>
    <cellStyle name="20% - Accent3 5 2 2 5 2 3" xfId="29455" xr:uid="{66246041-4BD5-47A6-9A95-B898AA4B32E4}"/>
    <cellStyle name="20% - Accent3 5 2 2 5 3" xfId="22084" xr:uid="{35D714B0-D285-4FA5-A33A-3C5DD785D34A}"/>
    <cellStyle name="20% - Accent3 5 2 2 5 3 2" xfId="37060" xr:uid="{3115A8C4-5498-40E8-A449-90B8670A1E68}"/>
    <cellStyle name="20% - Accent3 5 2 2 5 4" xfId="29456" xr:uid="{0FBB231C-A47E-4769-A140-143C1A0C9BCF}"/>
    <cellStyle name="20% - Accent3 5 2 2 6" xfId="4162" xr:uid="{00000000-0005-0000-0000-0000A2040000}"/>
    <cellStyle name="20% - Accent3 5 2 2 6 2" xfId="22082" xr:uid="{A8C85166-221D-4FB0-98B7-46848722EDC2}"/>
    <cellStyle name="20% - Accent3 5 2 2 6 2 2" xfId="37058" xr:uid="{75B300D2-37C4-4C47-B7FE-2022E67FAC0D}"/>
    <cellStyle name="20% - Accent3 5 2 2 6 3" xfId="29454" xr:uid="{E9BB9946-345B-490E-8813-BF5EB636A7BD}"/>
    <cellStyle name="20% - Accent3 5 2 2 7" xfId="22096" xr:uid="{13DA9E44-0247-4382-87D0-406CFC637178}"/>
    <cellStyle name="20% - Accent3 5 2 2 7 2" xfId="37072" xr:uid="{E4C60B5E-F37F-47F5-8A4B-652CAC2AFEE8}"/>
    <cellStyle name="20% - Accent3 5 2 2 8" xfId="29468" xr:uid="{1EB5AE1F-AE3A-478C-9026-2824ED107F76}"/>
    <cellStyle name="20% - Accent3 5 2 3" xfId="4161" xr:uid="{00000000-0005-0000-0000-0000A3040000}"/>
    <cellStyle name="20% - Accent3 5 2 3 2" xfId="4160" xr:uid="{00000000-0005-0000-0000-0000A4040000}"/>
    <cellStyle name="20% - Accent3 5 2 3 2 2" xfId="4159" xr:uid="{00000000-0005-0000-0000-0000A5040000}"/>
    <cellStyle name="20% - Accent3 5 2 3 2 2 2" xfId="22079" xr:uid="{B24BBB74-B1AD-4743-BFC9-EC3BC10908AD}"/>
    <cellStyle name="20% - Accent3 5 2 3 2 2 2 2" xfId="37055" xr:uid="{089759DE-1228-4751-9D21-92339A607DCE}"/>
    <cellStyle name="20% - Accent3 5 2 3 2 2 3" xfId="29451" xr:uid="{6B7ABC6D-E337-483C-9292-DF08302A1EF9}"/>
    <cellStyle name="20% - Accent3 5 2 3 2 3" xfId="4158" xr:uid="{00000000-0005-0000-0000-0000A6040000}"/>
    <cellStyle name="20% - Accent3 5 2 3 2 3 2" xfId="22078" xr:uid="{8EAD4C5F-0E8C-4779-A0A4-8A794D1E5734}"/>
    <cellStyle name="20% - Accent3 5 2 3 2 3 2 2" xfId="37054" xr:uid="{6114E1F2-2FF2-43FE-BAF7-35AF800DF64A}"/>
    <cellStyle name="20% - Accent3 5 2 3 2 3 3" xfId="29450" xr:uid="{151582FE-C448-4660-801E-1FA7220B482B}"/>
    <cellStyle name="20% - Accent3 5 2 3 2 4" xfId="22080" xr:uid="{C7B6686F-DEEF-41BA-8E84-BC7BB8472D67}"/>
    <cellStyle name="20% - Accent3 5 2 3 2 4 2" xfId="37056" xr:uid="{067CD9EA-4C47-4C14-BB7A-888A53F20B6A}"/>
    <cellStyle name="20% - Accent3 5 2 3 2 5" xfId="29452" xr:uid="{FF0A5572-850A-43B8-BB28-BCF8815D6169}"/>
    <cellStyle name="20% - Accent3 5 2 3 3" xfId="4157" xr:uid="{00000000-0005-0000-0000-0000A7040000}"/>
    <cellStyle name="20% - Accent3 5 2 3 3 2" xfId="4156" xr:uid="{00000000-0005-0000-0000-0000A8040000}"/>
    <cellStyle name="20% - Accent3 5 2 3 3 2 2" xfId="22076" xr:uid="{553AFCA1-4C50-47EB-AC77-DB5588B769CD}"/>
    <cellStyle name="20% - Accent3 5 2 3 3 2 2 2" xfId="37052" xr:uid="{33D36A59-FB25-4EE1-90EE-32CE7406C29F}"/>
    <cellStyle name="20% - Accent3 5 2 3 3 2 3" xfId="29448" xr:uid="{8BE92501-A032-4978-B0EF-E421383448ED}"/>
    <cellStyle name="20% - Accent3 5 2 3 3 3" xfId="22077" xr:uid="{19F51BCF-2FFE-42FB-ABD3-96CDEB193571}"/>
    <cellStyle name="20% - Accent3 5 2 3 3 3 2" xfId="37053" xr:uid="{067C55A8-AE35-4E17-AD64-02BBB81CD436}"/>
    <cellStyle name="20% - Accent3 5 2 3 3 4" xfId="29449" xr:uid="{0F343E35-1E09-444F-8BEC-6B0BE342E9B2}"/>
    <cellStyle name="20% - Accent3 5 2 3 4" xfId="4155" xr:uid="{00000000-0005-0000-0000-0000A9040000}"/>
    <cellStyle name="20% - Accent3 5 2 3 4 2" xfId="22075" xr:uid="{8851D9E1-488C-49DE-A4B2-087A53E6D8F2}"/>
    <cellStyle name="20% - Accent3 5 2 3 4 2 2" xfId="37051" xr:uid="{7B82CFA0-13B0-4E77-A320-DED31644E9BA}"/>
    <cellStyle name="20% - Accent3 5 2 3 4 3" xfId="29447" xr:uid="{341E5E06-8329-4A22-A794-0E9D86EA76CF}"/>
    <cellStyle name="20% - Accent3 5 2 3 5" xfId="22081" xr:uid="{B103A13A-6E0D-4B17-9BBF-556EA56231DF}"/>
    <cellStyle name="20% - Accent3 5 2 3 5 2" xfId="37057" xr:uid="{C9799DBA-4C42-4060-B5E3-66396B8E5BFA}"/>
    <cellStyle name="20% - Accent3 5 2 3 6" xfId="29453" xr:uid="{BA693796-C6F1-47B3-B621-8491BD954344}"/>
    <cellStyle name="20% - Accent3 5 2 4" xfId="4154" xr:uid="{00000000-0005-0000-0000-0000AA040000}"/>
    <cellStyle name="20% - Accent3 5 2 5" xfId="4153" xr:uid="{00000000-0005-0000-0000-0000AB040000}"/>
    <cellStyle name="20% - Accent3 5 2 5 2" xfId="22074" xr:uid="{BE0E96DE-FCE9-4918-9160-B095615CC5FE}"/>
    <cellStyle name="20% - Accent3 5 2 5 2 2" xfId="37050" xr:uid="{95509ADC-CB91-4FAD-8CC7-3B3B01DD4FC3}"/>
    <cellStyle name="20% - Accent3 5 2 5 3" xfId="29446" xr:uid="{1E91182A-975F-47A2-B5E2-68F8F16503C4}"/>
    <cellStyle name="20% - Accent3 5 3" xfId="4152" xr:uid="{00000000-0005-0000-0000-0000AC040000}"/>
    <cellStyle name="20% - Accent3 5 3 2" xfId="4151" xr:uid="{00000000-0005-0000-0000-0000AD040000}"/>
    <cellStyle name="20% - Accent3 5 3 2 2" xfId="4150" xr:uid="{00000000-0005-0000-0000-0000AE040000}"/>
    <cellStyle name="20% - Accent3 5 3 2 2 2" xfId="22071" xr:uid="{131F2E01-01B4-416D-84D4-3D90AA9E14C4}"/>
    <cellStyle name="20% - Accent3 5 3 2 2 2 2" xfId="37047" xr:uid="{3D282B33-76AE-4CAA-B1C8-7E12D182AF53}"/>
    <cellStyle name="20% - Accent3 5 3 2 2 3" xfId="29443" xr:uid="{74DD820E-6502-457B-ADCC-1B9D78B95CF4}"/>
    <cellStyle name="20% - Accent3 5 3 2 3" xfId="4149" xr:uid="{00000000-0005-0000-0000-0000AF040000}"/>
    <cellStyle name="20% - Accent3 5 3 2 3 2" xfId="22070" xr:uid="{84C060A3-2416-4AB6-963D-83E870A34920}"/>
    <cellStyle name="20% - Accent3 5 3 2 3 2 2" xfId="37046" xr:uid="{E33316A5-4D77-4597-98D9-C0361574AC01}"/>
    <cellStyle name="20% - Accent3 5 3 2 3 3" xfId="29442" xr:uid="{BF057205-29A9-42BC-B660-8671277C3982}"/>
    <cellStyle name="20% - Accent3 5 3 2 4" xfId="22072" xr:uid="{F5BE14AA-48C3-4BFD-8E2F-000FA22E8140}"/>
    <cellStyle name="20% - Accent3 5 3 2 4 2" xfId="37048" xr:uid="{65F6AA6F-2EE8-4D39-A4B3-E2356266231A}"/>
    <cellStyle name="20% - Accent3 5 3 2 5" xfId="29444" xr:uid="{7485A6E2-C604-42B2-AFB9-D131CE698478}"/>
    <cellStyle name="20% - Accent3 5 3 3" xfId="4148" xr:uid="{00000000-0005-0000-0000-0000B0040000}"/>
    <cellStyle name="20% - Accent3 5 3 3 2" xfId="22069" xr:uid="{346E9F3A-B234-440D-8EF7-B94B1F556E46}"/>
    <cellStyle name="20% - Accent3 5 3 3 2 2" xfId="37045" xr:uid="{56896873-549B-44F1-B2F1-01D6274A984A}"/>
    <cellStyle name="20% - Accent3 5 3 3 3" xfId="29441" xr:uid="{D46EA936-871E-4E77-91C2-85CDBF2C2CD5}"/>
    <cellStyle name="20% - Accent3 5 3 4" xfId="4147" xr:uid="{00000000-0005-0000-0000-0000B1040000}"/>
    <cellStyle name="20% - Accent3 5 3 4 2" xfId="4146" xr:uid="{00000000-0005-0000-0000-0000B2040000}"/>
    <cellStyle name="20% - Accent3 5 3 4 2 2" xfId="22067" xr:uid="{795D27F1-8000-4459-9A17-A9FBC094DE30}"/>
    <cellStyle name="20% - Accent3 5 3 4 2 2 2" xfId="37043" xr:uid="{DC4F596E-0AF6-4CEA-B394-620512E5FD8C}"/>
    <cellStyle name="20% - Accent3 5 3 4 2 3" xfId="29439" xr:uid="{EB023829-F304-4E69-8694-8F37B750C263}"/>
    <cellStyle name="20% - Accent3 5 3 4 3" xfId="22068" xr:uid="{99A1A4AF-BC89-45B5-961A-D5AA410DDB30}"/>
    <cellStyle name="20% - Accent3 5 3 4 3 2" xfId="37044" xr:uid="{9D468FC5-694C-40AB-94D3-BDF2D3614F52}"/>
    <cellStyle name="20% - Accent3 5 3 4 4" xfId="29440" xr:uid="{88720079-241F-4A2F-A05B-59372831B874}"/>
    <cellStyle name="20% - Accent3 5 3 5" xfId="4145" xr:uid="{00000000-0005-0000-0000-0000B3040000}"/>
    <cellStyle name="20% - Accent3 5 3 5 2" xfId="22066" xr:uid="{1A0CAB86-88E7-4E27-A2D3-22A2BD0B3959}"/>
    <cellStyle name="20% - Accent3 5 3 5 2 2" xfId="37042" xr:uid="{59CB0A89-CDD4-41E4-8E1E-F4B2038025C6}"/>
    <cellStyle name="20% - Accent3 5 3 5 3" xfId="29438" xr:uid="{BF2B9E9E-C232-4393-AF65-AB05FDBAF4A3}"/>
    <cellStyle name="20% - Accent3 5 3 6" xfId="22073" xr:uid="{5993D202-D858-488E-B639-8C9C91FBAE18}"/>
    <cellStyle name="20% - Accent3 5 3 6 2" xfId="37049" xr:uid="{5AE3ED44-311A-4658-BE23-7604F0DDA502}"/>
    <cellStyle name="20% - Accent3 5 3 7" xfId="29445" xr:uid="{5DE5AC87-E30F-445D-A591-7D25F4116C36}"/>
    <cellStyle name="20% - Accent3 5 4" xfId="4144" xr:uid="{00000000-0005-0000-0000-0000B4040000}"/>
    <cellStyle name="20% - Accent3 5 4 2" xfId="4143" xr:uid="{00000000-0005-0000-0000-0000B5040000}"/>
    <cellStyle name="20% - Accent3 5 4 2 2" xfId="4142" xr:uid="{00000000-0005-0000-0000-0000B6040000}"/>
    <cellStyle name="20% - Accent3 5 4 2 2 2" xfId="22063" xr:uid="{FE7DC805-138B-44E8-A23E-A5952DA1AFE9}"/>
    <cellStyle name="20% - Accent3 5 4 2 2 2 2" xfId="37039" xr:uid="{58A6CB55-61EF-41B2-A1B7-88096081CC34}"/>
    <cellStyle name="20% - Accent3 5 4 2 2 3" xfId="29435" xr:uid="{BE518549-E97C-44AF-A6F4-DA0266FF92C9}"/>
    <cellStyle name="20% - Accent3 5 4 2 3" xfId="4141" xr:uid="{00000000-0005-0000-0000-0000B7040000}"/>
    <cellStyle name="20% - Accent3 5 4 2 3 2" xfId="22062" xr:uid="{5A057806-A10F-41C8-AC32-5D1E4CF2D14D}"/>
    <cellStyle name="20% - Accent3 5 4 2 3 2 2" xfId="37038" xr:uid="{901FB99A-D0A4-4506-9E29-D0CFF598B685}"/>
    <cellStyle name="20% - Accent3 5 4 2 3 3" xfId="29434" xr:uid="{6D5E329F-1CA7-4064-ACDF-441612E213BE}"/>
    <cellStyle name="20% - Accent3 5 4 2 4" xfId="22064" xr:uid="{311E2C43-E43E-4EF2-92E0-6045E1C36184}"/>
    <cellStyle name="20% - Accent3 5 4 2 4 2" xfId="37040" xr:uid="{7081049A-1456-4EB7-8E5A-42CE2BC11743}"/>
    <cellStyle name="20% - Accent3 5 4 2 5" xfId="29436" xr:uid="{53010182-7CDC-44D7-83D7-E1D7CABA72B4}"/>
    <cellStyle name="20% - Accent3 5 4 3" xfId="4140" xr:uid="{00000000-0005-0000-0000-0000B8040000}"/>
    <cellStyle name="20% - Accent3 5 4 3 2" xfId="4139" xr:uid="{00000000-0005-0000-0000-0000B9040000}"/>
    <cellStyle name="20% - Accent3 5 4 3 2 2" xfId="22060" xr:uid="{8DA676E5-E502-4B88-9238-8CCBC41E24C1}"/>
    <cellStyle name="20% - Accent3 5 4 3 2 2 2" xfId="37036" xr:uid="{5A2983AE-1E7A-4268-BE0D-AFD3F2628512}"/>
    <cellStyle name="20% - Accent3 5 4 3 2 3" xfId="29432" xr:uid="{6DC08329-A351-4D90-AAF2-59C486C070FE}"/>
    <cellStyle name="20% - Accent3 5 4 3 3" xfId="22061" xr:uid="{EF4A5935-CDCB-4FE8-AF8B-037F3EBFC3CC}"/>
    <cellStyle name="20% - Accent3 5 4 3 3 2" xfId="37037" xr:uid="{BA7C22A7-5FB0-4A82-9843-A507548D4DDE}"/>
    <cellStyle name="20% - Accent3 5 4 3 4" xfId="29433" xr:uid="{6F9BCED8-58FE-4736-8D16-D5A2C4F6277A}"/>
    <cellStyle name="20% - Accent3 5 4 4" xfId="4138" xr:uid="{00000000-0005-0000-0000-0000BA040000}"/>
    <cellStyle name="20% - Accent3 5 4 4 2" xfId="22059" xr:uid="{F04D3D02-7A0D-41B9-BE7A-30CAC6E54F2F}"/>
    <cellStyle name="20% - Accent3 5 4 4 2 2" xfId="37035" xr:uid="{31BB7741-6A7F-42B4-826B-BD2CF7E072AC}"/>
    <cellStyle name="20% - Accent3 5 4 4 3" xfId="29431" xr:uid="{DC565432-D46A-4DCB-877C-3FDF083DB568}"/>
    <cellStyle name="20% - Accent3 5 4 5" xfId="22065" xr:uid="{1554A6C4-A4E9-4409-9293-53C1441C7C6B}"/>
    <cellStyle name="20% - Accent3 5 4 5 2" xfId="37041" xr:uid="{4A73BE58-A322-4FE4-9355-36F84F3D24A0}"/>
    <cellStyle name="20% - Accent3 5 4 6" xfId="29437" xr:uid="{D72E8290-A22F-49C8-A43B-8787E715D794}"/>
    <cellStyle name="20% - Accent3 5 5" xfId="4137" xr:uid="{00000000-0005-0000-0000-0000BB040000}"/>
    <cellStyle name="20% - Accent3 5 5 2" xfId="4136" xr:uid="{00000000-0005-0000-0000-0000BC040000}"/>
    <cellStyle name="20% - Accent3 5 5 2 2" xfId="22057" xr:uid="{5861729F-4C7C-4994-B7C1-1351149C98C1}"/>
    <cellStyle name="20% - Accent3 5 5 2 2 2" xfId="37033" xr:uid="{DC10A63A-615A-4F24-B1E2-CA98DFBE82BC}"/>
    <cellStyle name="20% - Accent3 5 5 2 3" xfId="29429" xr:uid="{A7E2C756-EACD-4DEC-935B-D6D317F2B181}"/>
    <cellStyle name="20% - Accent3 5 5 3" xfId="4135" xr:uid="{00000000-0005-0000-0000-0000BD040000}"/>
    <cellStyle name="20% - Accent3 5 5 3 2" xfId="22056" xr:uid="{3F9D0CB1-7914-42A7-B7B1-AF3522548B73}"/>
    <cellStyle name="20% - Accent3 5 5 3 2 2" xfId="37032" xr:uid="{CB1C514B-6C60-477C-8764-3C7B5EE5AF93}"/>
    <cellStyle name="20% - Accent3 5 5 3 3" xfId="29428" xr:uid="{6F50DDA5-9D15-4D96-B436-AD25505C61CD}"/>
    <cellStyle name="20% - Accent3 5 5 4" xfId="22058" xr:uid="{01E29BD6-7D02-4351-A60A-6AC443710712}"/>
    <cellStyle name="20% - Accent3 5 5 4 2" xfId="37034" xr:uid="{4CCE3420-FFB2-4EC7-A9F1-F49FDA645CBF}"/>
    <cellStyle name="20% - Accent3 5 5 5" xfId="29430" xr:uid="{66B522BF-E095-49E4-BD32-963C4E37BD7E}"/>
    <cellStyle name="20% - Accent3 5 6" xfId="4134" xr:uid="{00000000-0005-0000-0000-0000BE040000}"/>
    <cellStyle name="20% - Accent3 5 6 2" xfId="22055" xr:uid="{A1C8D791-F37B-47A1-8695-6162320BE240}"/>
    <cellStyle name="20% - Accent3 5 6 2 2" xfId="37031" xr:uid="{B3C68DD3-882E-48BB-81B6-894DE8061A1C}"/>
    <cellStyle name="20% - Accent3 5 6 3" xfId="29427" xr:uid="{41BB1724-2DAE-48BD-B5BA-0875657F6DC7}"/>
    <cellStyle name="20% - Accent3 5 7" xfId="4133" xr:uid="{00000000-0005-0000-0000-0000BF040000}"/>
    <cellStyle name="20% - Accent3 5 7 2" xfId="4132" xr:uid="{00000000-0005-0000-0000-0000C0040000}"/>
    <cellStyle name="20% - Accent3 5 7 2 2" xfId="22053" xr:uid="{813BAA87-B618-4C06-82B9-C13249DDB26C}"/>
    <cellStyle name="20% - Accent3 5 7 2 2 2" xfId="37029" xr:uid="{365D6DAB-6ADA-4F58-ABF3-6914A6A24FCB}"/>
    <cellStyle name="20% - Accent3 5 7 2 3" xfId="29425" xr:uid="{9679AD1A-021B-4D83-911D-8380B3DBB86B}"/>
    <cellStyle name="20% - Accent3 5 7 3" xfId="22054" xr:uid="{696650D7-A2E2-4269-887A-A9B9F3482CEA}"/>
    <cellStyle name="20% - Accent3 5 7 3 2" xfId="37030" xr:uid="{B0C18EA7-6DFF-43EC-B3B2-11EE4F19F5E8}"/>
    <cellStyle name="20% - Accent3 5 7 4" xfId="29426" xr:uid="{B88CE8B2-D52D-4C4E-BE40-324A24378EF3}"/>
    <cellStyle name="20% - Accent3 5 8" xfId="4131" xr:uid="{00000000-0005-0000-0000-0000C1040000}"/>
    <cellStyle name="20% - Accent3 5 8 2" xfId="22052" xr:uid="{9A485BD6-0917-491D-A17F-F13DBD314895}"/>
    <cellStyle name="20% - Accent3 5 8 2 2" xfId="37028" xr:uid="{E2F10D23-A5CF-41E3-84F7-9163ACC45BE9}"/>
    <cellStyle name="20% - Accent3 5 8 3" xfId="29424" xr:uid="{ADCFD79C-F010-4FD4-93D5-B06177F835B9}"/>
    <cellStyle name="20% - Accent3 5 9" xfId="4178" xr:uid="{00000000-0005-0000-0000-000092040000}"/>
    <cellStyle name="20% - Accent3 5 9 2" xfId="22097" xr:uid="{2D7AF137-DE7D-4018-86C0-8CA7E9E369B3}"/>
    <cellStyle name="20% - Accent3 5 9 2 2" xfId="37073" xr:uid="{8596FFA9-404A-4C7E-B496-5B821B0312BF}"/>
    <cellStyle name="20% - Accent3 5 9 3" xfId="29469" xr:uid="{679D14D9-9A73-4779-B06D-85D735DD5319}"/>
    <cellStyle name="20% - Accent3 6" xfId="166" xr:uid="{00000000-0005-0000-0000-000027000000}"/>
    <cellStyle name="20% - Accent3 6 2" xfId="4130" xr:uid="{00000000-0005-0000-0000-0000C3040000}"/>
    <cellStyle name="20% - Accent3 6 2 2" xfId="4129" xr:uid="{00000000-0005-0000-0000-0000C4040000}"/>
    <cellStyle name="20% - Accent3 6 2 2 2" xfId="4128" xr:uid="{00000000-0005-0000-0000-0000C5040000}"/>
    <cellStyle name="20% - Accent3 6 2 2 2 2" xfId="4127" xr:uid="{00000000-0005-0000-0000-0000C6040000}"/>
    <cellStyle name="20% - Accent3 6 2 2 2 2 2" xfId="22048" xr:uid="{3A53ADCF-F607-4054-A2DC-B7ABD7464C85}"/>
    <cellStyle name="20% - Accent3 6 2 2 2 2 2 2" xfId="37024" xr:uid="{30AB7C8A-257C-4399-A0E5-C2AFC1CF1D44}"/>
    <cellStyle name="20% - Accent3 6 2 2 2 2 3" xfId="29420" xr:uid="{CF9B2C86-2434-4F6C-9DAC-EEEB89EEE16C}"/>
    <cellStyle name="20% - Accent3 6 2 2 2 3" xfId="4126" xr:uid="{00000000-0005-0000-0000-0000C7040000}"/>
    <cellStyle name="20% - Accent3 6 2 2 2 3 2" xfId="22047" xr:uid="{7590B1B8-1BBD-49CC-BC20-0CC0DEE09F08}"/>
    <cellStyle name="20% - Accent3 6 2 2 2 3 2 2" xfId="37023" xr:uid="{52C11F93-0E6E-4001-9315-C8429EE9F66D}"/>
    <cellStyle name="20% - Accent3 6 2 2 2 3 3" xfId="29419" xr:uid="{F671F553-64B2-4506-8BC9-96672A17F2CA}"/>
    <cellStyle name="20% - Accent3 6 2 2 2 4" xfId="22049" xr:uid="{6232944D-8C74-4285-BD47-75FAD4BBD8B4}"/>
    <cellStyle name="20% - Accent3 6 2 2 2 4 2" xfId="37025" xr:uid="{A8B24065-E93F-4614-882B-94285584A82B}"/>
    <cellStyle name="20% - Accent3 6 2 2 2 5" xfId="29421" xr:uid="{B0BFD866-5291-4C62-A1F0-A5D9B74944D6}"/>
    <cellStyle name="20% - Accent3 6 2 2 3" xfId="4125" xr:uid="{00000000-0005-0000-0000-0000C8040000}"/>
    <cellStyle name="20% - Accent3 6 2 2 3 2" xfId="4124" xr:uid="{00000000-0005-0000-0000-0000C9040000}"/>
    <cellStyle name="20% - Accent3 6 2 2 3 2 2" xfId="22045" xr:uid="{0967BBBE-CC4E-4E30-9DA7-16577B9B8EF7}"/>
    <cellStyle name="20% - Accent3 6 2 2 3 2 2 2" xfId="37021" xr:uid="{B059F3E1-3837-4D42-B13E-4CA57FE09071}"/>
    <cellStyle name="20% - Accent3 6 2 2 3 2 3" xfId="29417" xr:uid="{11C1412F-3CC5-45CC-88BD-21318478014B}"/>
    <cellStyle name="20% - Accent3 6 2 2 3 3" xfId="22046" xr:uid="{30F84C14-45D1-49E7-9211-7FBA6495BA1F}"/>
    <cellStyle name="20% - Accent3 6 2 2 3 3 2" xfId="37022" xr:uid="{13C6D321-6DF7-4A64-83F8-945983DBA925}"/>
    <cellStyle name="20% - Accent3 6 2 2 3 4" xfId="29418" xr:uid="{4CC2048F-B872-498A-8135-F73288444AF5}"/>
    <cellStyle name="20% - Accent3 6 2 2 4" xfId="4123" xr:uid="{00000000-0005-0000-0000-0000CA040000}"/>
    <cellStyle name="20% - Accent3 6 2 2 4 2" xfId="22044" xr:uid="{8DD5D642-DE56-4D2E-BC80-758842EC73A3}"/>
    <cellStyle name="20% - Accent3 6 2 2 4 2 2" xfId="37020" xr:uid="{BEB74924-B2C7-4B5C-ACCA-3CB63AB4CD09}"/>
    <cellStyle name="20% - Accent3 6 2 2 4 3" xfId="29416" xr:uid="{1BEB3D4A-4865-49E9-B2A7-14284AB2F2C4}"/>
    <cellStyle name="20% - Accent3 6 2 2 5" xfId="22050" xr:uid="{1A7A6374-42A0-474D-909F-A86C754431FD}"/>
    <cellStyle name="20% - Accent3 6 2 2 5 2" xfId="37026" xr:uid="{BD6D1B96-4766-4CE7-90E5-8DB85DFD2F49}"/>
    <cellStyle name="20% - Accent3 6 2 2 6" xfId="29422" xr:uid="{987DE34F-3440-42A8-87D5-1B52C115F2DD}"/>
    <cellStyle name="20% - Accent3 6 2 3" xfId="4122" xr:uid="{00000000-0005-0000-0000-0000CB040000}"/>
    <cellStyle name="20% - Accent3 6 2 3 2" xfId="4121" xr:uid="{00000000-0005-0000-0000-0000CC040000}"/>
    <cellStyle name="20% - Accent3 6 2 3 2 2" xfId="22042" xr:uid="{3D613A92-893E-4355-BCAA-99F43F374F57}"/>
    <cellStyle name="20% - Accent3 6 2 3 2 2 2" xfId="37018" xr:uid="{26FCD5A6-EAA4-4D9E-809C-70677EA7634F}"/>
    <cellStyle name="20% - Accent3 6 2 3 2 3" xfId="29414" xr:uid="{F72D84AE-AC00-4E7C-BDBF-3E08022CCE85}"/>
    <cellStyle name="20% - Accent3 6 2 3 3" xfId="4120" xr:uid="{00000000-0005-0000-0000-0000CD040000}"/>
    <cellStyle name="20% - Accent3 6 2 3 3 2" xfId="22041" xr:uid="{F37F6C02-1E64-4358-966A-389DEA26E76E}"/>
    <cellStyle name="20% - Accent3 6 2 3 3 2 2" xfId="37017" xr:uid="{37B7CD0A-5568-40CE-A15A-BCBF5DD555AC}"/>
    <cellStyle name="20% - Accent3 6 2 3 3 3" xfId="29413" xr:uid="{44D51142-EB0E-457A-97E3-EC63F64DFA0F}"/>
    <cellStyle name="20% - Accent3 6 2 3 4" xfId="22043" xr:uid="{51B681AC-C39B-4964-B0A4-B09095DC5DDB}"/>
    <cellStyle name="20% - Accent3 6 2 3 4 2" xfId="37019" xr:uid="{ACD239E6-B784-4EB9-ACCD-CD1C95747B7B}"/>
    <cellStyle name="20% - Accent3 6 2 3 5" xfId="29415" xr:uid="{77277CD3-DB7C-482E-92B0-E7E9DA01464A}"/>
    <cellStyle name="20% - Accent3 6 2 4" xfId="4119" xr:uid="{00000000-0005-0000-0000-0000CE040000}"/>
    <cellStyle name="20% - Accent3 6 2 4 2" xfId="22040" xr:uid="{2A08AC10-9F9E-4575-96C4-EA5C3EED4C50}"/>
    <cellStyle name="20% - Accent3 6 2 4 2 2" xfId="37016" xr:uid="{7245E814-F06B-460A-8809-36FF291E7B99}"/>
    <cellStyle name="20% - Accent3 6 2 4 3" xfId="29412" xr:uid="{C53DB69C-3A59-4E7A-BFDD-C8C8F31FD19D}"/>
    <cellStyle name="20% - Accent3 6 2 5" xfId="4118" xr:uid="{00000000-0005-0000-0000-0000CF040000}"/>
    <cellStyle name="20% - Accent3 6 2 5 2" xfId="4117" xr:uid="{00000000-0005-0000-0000-0000D0040000}"/>
    <cellStyle name="20% - Accent3 6 2 5 2 2" xfId="22038" xr:uid="{F770C718-523B-49EE-955A-1A63AF946654}"/>
    <cellStyle name="20% - Accent3 6 2 5 2 2 2" xfId="37014" xr:uid="{69C9661F-3BDB-4FAA-82B0-73377E084C61}"/>
    <cellStyle name="20% - Accent3 6 2 5 2 3" xfId="29410" xr:uid="{F6577EFB-58C8-4210-AB27-8DDC65FC887F}"/>
    <cellStyle name="20% - Accent3 6 2 5 3" xfId="22039" xr:uid="{75B19E95-A7A5-4536-A935-A0DCFE862797}"/>
    <cellStyle name="20% - Accent3 6 2 5 3 2" xfId="37015" xr:uid="{AD4DB657-54CA-4AC1-89F4-D94721B6FD18}"/>
    <cellStyle name="20% - Accent3 6 2 5 4" xfId="29411" xr:uid="{DE95283B-AA15-4235-83AE-2CE115DDB84A}"/>
    <cellStyle name="20% - Accent3 6 2 6" xfId="4116" xr:uid="{00000000-0005-0000-0000-0000D1040000}"/>
    <cellStyle name="20% - Accent3 6 2 6 2" xfId="22037" xr:uid="{606D285A-B2FE-4C2C-93B7-B795CF9286C1}"/>
    <cellStyle name="20% - Accent3 6 2 6 2 2" xfId="37013" xr:uid="{6CD8E933-E6AA-4DF1-A014-120C8B3227D6}"/>
    <cellStyle name="20% - Accent3 6 2 6 3" xfId="29409" xr:uid="{F2019573-8D14-4E0A-864F-CD09CC7387DC}"/>
    <cellStyle name="20% - Accent3 6 2 7" xfId="22051" xr:uid="{E7E310EF-CF7B-44A6-9832-D15D488EF7F4}"/>
    <cellStyle name="20% - Accent3 6 2 7 2" xfId="37027" xr:uid="{60544325-1C7B-4662-8774-9966FCD52357}"/>
    <cellStyle name="20% - Accent3 6 2 8" xfId="29423" xr:uid="{90C29972-F00E-47CF-B007-7F21AF902CE2}"/>
    <cellStyle name="20% - Accent3 6 3" xfId="4115" xr:uid="{00000000-0005-0000-0000-0000D2040000}"/>
    <cellStyle name="20% - Accent3 6 3 2" xfId="4114" xr:uid="{00000000-0005-0000-0000-0000D3040000}"/>
    <cellStyle name="20% - Accent3 6 3 2 2" xfId="4113" xr:uid="{00000000-0005-0000-0000-0000D4040000}"/>
    <cellStyle name="20% - Accent3 6 3 2 2 2" xfId="22034" xr:uid="{5AEC9620-D97C-4463-BB10-3F3A32208955}"/>
    <cellStyle name="20% - Accent3 6 3 2 2 2 2" xfId="37010" xr:uid="{67A17C66-61DB-40DF-84E8-80AA2DA5B615}"/>
    <cellStyle name="20% - Accent3 6 3 2 2 3" xfId="29406" xr:uid="{F05219A2-8681-4425-A8F7-C6770DFE7898}"/>
    <cellStyle name="20% - Accent3 6 3 2 3" xfId="4112" xr:uid="{00000000-0005-0000-0000-0000D5040000}"/>
    <cellStyle name="20% - Accent3 6 3 2 3 2" xfId="22033" xr:uid="{FE574482-0A32-4E2A-9F02-33FC077E5928}"/>
    <cellStyle name="20% - Accent3 6 3 2 3 2 2" xfId="37009" xr:uid="{805DB45E-9BD1-43F8-BE7F-5E48FC428D4E}"/>
    <cellStyle name="20% - Accent3 6 3 2 3 3" xfId="29405" xr:uid="{502823C7-27CC-4BD2-B1A3-FFB062B862BE}"/>
    <cellStyle name="20% - Accent3 6 3 2 4" xfId="22035" xr:uid="{EEB27399-5876-44AC-996C-61CDCFC30548}"/>
    <cellStyle name="20% - Accent3 6 3 2 4 2" xfId="37011" xr:uid="{3F79A5C3-5E19-4DE4-A135-B4C4D5F66CBC}"/>
    <cellStyle name="20% - Accent3 6 3 2 5" xfId="29407" xr:uid="{E6A93184-7B2F-4496-90EF-B260F8D12DB3}"/>
    <cellStyle name="20% - Accent3 6 3 3" xfId="4111" xr:uid="{00000000-0005-0000-0000-0000D6040000}"/>
    <cellStyle name="20% - Accent3 6 3 3 2" xfId="4110" xr:uid="{00000000-0005-0000-0000-0000D7040000}"/>
    <cellStyle name="20% - Accent3 6 3 3 2 2" xfId="22031" xr:uid="{D5C8E335-CB83-405F-BCAC-8CDCB8563B80}"/>
    <cellStyle name="20% - Accent3 6 3 3 2 2 2" xfId="37007" xr:uid="{68F04F66-0D66-488C-8B3B-DECC3B567649}"/>
    <cellStyle name="20% - Accent3 6 3 3 2 3" xfId="29403" xr:uid="{9CC48C29-97CB-4236-A2D9-FA587F03AAB2}"/>
    <cellStyle name="20% - Accent3 6 3 3 3" xfId="22032" xr:uid="{5A270277-24E1-4130-8AAF-CDED89851981}"/>
    <cellStyle name="20% - Accent3 6 3 3 3 2" xfId="37008" xr:uid="{D45EBB2F-2AC0-4A0C-816F-013D6A403FCE}"/>
    <cellStyle name="20% - Accent3 6 3 3 4" xfId="29404" xr:uid="{61CD86F9-2936-44B8-ABA8-DC56992B0740}"/>
    <cellStyle name="20% - Accent3 6 3 4" xfId="4109" xr:uid="{00000000-0005-0000-0000-0000D8040000}"/>
    <cellStyle name="20% - Accent3 6 3 4 2" xfId="22030" xr:uid="{38A0FB90-DBA0-4586-A4DA-13D0DC7F5F5C}"/>
    <cellStyle name="20% - Accent3 6 3 4 2 2" xfId="37006" xr:uid="{450295F3-27EF-4BC0-8273-AEBAF82715CA}"/>
    <cellStyle name="20% - Accent3 6 3 4 3" xfId="29402" xr:uid="{28E414B1-D7BF-444F-8033-39352ADD30AE}"/>
    <cellStyle name="20% - Accent3 6 3 5" xfId="22036" xr:uid="{ABE19911-18F5-4E63-92AA-4174028D0D44}"/>
    <cellStyle name="20% - Accent3 6 3 5 2" xfId="37012" xr:uid="{EE24D5B1-321C-4779-999E-1B19A9391B8C}"/>
    <cellStyle name="20% - Accent3 6 3 6" xfId="29408" xr:uid="{59824516-9869-4047-B16F-AEB6C3136149}"/>
    <cellStyle name="20% - Accent3 6 4" xfId="4108" xr:uid="{00000000-0005-0000-0000-0000D9040000}"/>
    <cellStyle name="20% - Accent3 6 5" xfId="4107" xr:uid="{00000000-0005-0000-0000-0000DA040000}"/>
    <cellStyle name="20% - Accent3 6 5 2" xfId="22029" xr:uid="{599234CD-16D7-4BB9-9EF3-A473E7C91CAC}"/>
    <cellStyle name="20% - Accent3 6 5 2 2" xfId="37005" xr:uid="{3E6CC9CA-8337-4DC4-B893-EC5B889AB650}"/>
    <cellStyle name="20% - Accent3 6 5 3" xfId="29401" xr:uid="{A250CE65-90B2-4CEE-A9C3-27894E577E43}"/>
    <cellStyle name="20% - Accent3 7" xfId="178" xr:uid="{00000000-0005-0000-0000-000028000000}"/>
    <cellStyle name="20% - Accent3 7 2" xfId="4106" xr:uid="{00000000-0005-0000-0000-0000DC040000}"/>
    <cellStyle name="20% - Accent3 7 2 2" xfId="22028" xr:uid="{CD899FAD-D6ED-4EF8-BDC5-8D84460587EE}"/>
    <cellStyle name="20% - Accent3 7 2 2 2" xfId="37004" xr:uid="{CC6C51C2-D093-4B1E-AFE6-862709E63D28}"/>
    <cellStyle name="20% - Accent3 7 2 3" xfId="29400" xr:uid="{EC30984C-2469-418C-9B72-1D76081C4B78}"/>
    <cellStyle name="20% - Accent3 7 3" xfId="4105" xr:uid="{00000000-0005-0000-0000-0000DD040000}"/>
    <cellStyle name="20% - Accent3 7 4" xfId="4104" xr:uid="{00000000-0005-0000-0000-0000DE040000}"/>
    <cellStyle name="20% - Accent3 7 4 2" xfId="22027" xr:uid="{8D7AE392-CC06-4880-AF81-FA23F17D742D}"/>
    <cellStyle name="20% - Accent3 7 4 2 2" xfId="37003" xr:uid="{72215D5B-1591-4380-924A-89223C2EB408}"/>
    <cellStyle name="20% - Accent3 7 4 3" xfId="29399" xr:uid="{80213C61-7B67-450C-8D0F-8170A31BA4B3}"/>
    <cellStyle name="20% - Accent3 8" xfId="4103" xr:uid="{00000000-0005-0000-0000-0000DF040000}"/>
    <cellStyle name="20% - Accent3 8 2" xfId="4102" xr:uid="{00000000-0005-0000-0000-0000E0040000}"/>
    <cellStyle name="20% - Accent3 8 2 2" xfId="4101" xr:uid="{00000000-0005-0000-0000-0000E1040000}"/>
    <cellStyle name="20% - Accent3 8 2 2 2" xfId="22024" xr:uid="{D1BDBA6E-4E10-49A4-BC5C-98A499D41B88}"/>
    <cellStyle name="20% - Accent3 8 2 2 2 2" xfId="37000" xr:uid="{F3ACD402-97D2-4F6D-91EF-2DC87F28E429}"/>
    <cellStyle name="20% - Accent3 8 2 2 3" xfId="29396" xr:uid="{366B4EBA-B9C1-4D5A-8F24-0EE937FD107C}"/>
    <cellStyle name="20% - Accent3 8 2 3" xfId="4100" xr:uid="{00000000-0005-0000-0000-0000E2040000}"/>
    <cellStyle name="20% - Accent3 8 2 3 2" xfId="4099" xr:uid="{00000000-0005-0000-0000-0000E3040000}"/>
    <cellStyle name="20% - Accent3 8 2 3 2 2" xfId="22022" xr:uid="{13B7A907-9C15-491F-B0D2-2655F341CB4D}"/>
    <cellStyle name="20% - Accent3 8 2 3 2 2 2" xfId="36998" xr:uid="{566F29CB-88FF-419F-BA53-1BE618FC1D2E}"/>
    <cellStyle name="20% - Accent3 8 2 3 2 3" xfId="29394" xr:uid="{06E34F81-BDDC-4638-8C0D-3A3A12717827}"/>
    <cellStyle name="20% - Accent3 8 2 3 3" xfId="22023" xr:uid="{3D6314EC-5858-48C1-AE1C-B8828F256533}"/>
    <cellStyle name="20% - Accent3 8 2 3 3 2" xfId="36999" xr:uid="{EC16F173-8BEF-440E-912D-9AA75F31AC5C}"/>
    <cellStyle name="20% - Accent3 8 2 3 4" xfId="29395" xr:uid="{97212524-E4CF-4695-94E1-0EA43922E713}"/>
    <cellStyle name="20% - Accent3 8 2 4" xfId="22025" xr:uid="{71554320-E163-4416-8234-4AD400FA7183}"/>
    <cellStyle name="20% - Accent3 8 2 4 2" xfId="37001" xr:uid="{17A5FAC6-08B4-4B90-A130-E6D50BBE37B2}"/>
    <cellStyle name="20% - Accent3 8 2 5" xfId="29397" xr:uid="{44BECEC8-0339-4EED-BECF-F9608774A4BF}"/>
    <cellStyle name="20% - Accent3 8 3" xfId="4098" xr:uid="{00000000-0005-0000-0000-0000E4040000}"/>
    <cellStyle name="20% - Accent3 8 3 2" xfId="22021" xr:uid="{EB3D75E3-F028-4A29-BDFC-B1BB04236476}"/>
    <cellStyle name="20% - Accent3 8 3 2 2" xfId="36997" xr:uid="{965416DD-E27B-42FE-BF58-C06FA831D9E1}"/>
    <cellStyle name="20% - Accent3 8 3 3" xfId="29393" xr:uid="{6081181A-43C3-480E-9F0E-B32EAC4A95A0}"/>
    <cellStyle name="20% - Accent3 8 4" xfId="4097" xr:uid="{00000000-0005-0000-0000-0000E5040000}"/>
    <cellStyle name="20% - Accent3 8 4 2" xfId="4096" xr:uid="{00000000-0005-0000-0000-0000E6040000}"/>
    <cellStyle name="20% - Accent3 8 4 2 2" xfId="22019" xr:uid="{B3306977-8F5E-44C6-AB26-B132114BB7D0}"/>
    <cellStyle name="20% - Accent3 8 4 2 2 2" xfId="36995" xr:uid="{256A9389-07C9-4FFA-A10F-A15C794335A8}"/>
    <cellStyle name="20% - Accent3 8 4 2 3" xfId="29391" xr:uid="{203FBD71-2568-498E-9D97-990AFE46F52C}"/>
    <cellStyle name="20% - Accent3 8 4 3" xfId="22020" xr:uid="{887C698D-4003-45EF-BFD6-9402D6D18803}"/>
    <cellStyle name="20% - Accent3 8 4 3 2" xfId="36996" xr:uid="{172D5C3E-C5E8-4F93-9A44-1C22D7203887}"/>
    <cellStyle name="20% - Accent3 8 4 4" xfId="29392" xr:uid="{6C472D08-30BF-4E8A-B9D5-4CB442D0FBDA}"/>
    <cellStyle name="20% - Accent3 8 5" xfId="4095" xr:uid="{00000000-0005-0000-0000-0000E7040000}"/>
    <cellStyle name="20% - Accent3 8 5 2" xfId="22018" xr:uid="{37B80710-7A01-43CF-BCDF-8BFB3F08836B}"/>
    <cellStyle name="20% - Accent3 8 5 2 2" xfId="36994" xr:uid="{9700E579-D007-49B0-8E84-586226AD4A14}"/>
    <cellStyle name="20% - Accent3 8 5 3" xfId="29390" xr:uid="{3E5BD64D-5EFF-488A-9873-98F34741458E}"/>
    <cellStyle name="20% - Accent3 8 6" xfId="22026" xr:uid="{45F1BD7E-CFD3-407E-842D-653F5B406603}"/>
    <cellStyle name="20% - Accent3 8 6 2" xfId="37002" xr:uid="{CF76970B-28C7-4E66-9A1C-068516FC9B79}"/>
    <cellStyle name="20% - Accent3 8 7" xfId="29398" xr:uid="{462349E4-6CF9-41A9-962C-F7D23113767E}"/>
    <cellStyle name="20% - Accent3 9" xfId="4094" xr:uid="{00000000-0005-0000-0000-0000E8040000}"/>
    <cellStyle name="20% - Accent3 9 2" xfId="4093" xr:uid="{00000000-0005-0000-0000-0000E9040000}"/>
    <cellStyle name="20% - Accent3 9 2 2" xfId="4092" xr:uid="{00000000-0005-0000-0000-0000EA040000}"/>
    <cellStyle name="20% - Accent3 9 2 2 2" xfId="22015" xr:uid="{044F75CB-0046-4D86-A4BC-B5290435A1C3}"/>
    <cellStyle name="20% - Accent3 9 2 2 2 2" xfId="36991" xr:uid="{7955C1FA-47B1-4533-AE2E-A27B0382BAB3}"/>
    <cellStyle name="20% - Accent3 9 2 2 3" xfId="29387" xr:uid="{0A810548-5165-4207-B0FC-78435B258961}"/>
    <cellStyle name="20% - Accent3 9 2 3" xfId="4091" xr:uid="{00000000-0005-0000-0000-0000EB040000}"/>
    <cellStyle name="20% - Accent3 9 2 3 2" xfId="22014" xr:uid="{B4F573E8-7BEE-469F-B26E-F29CA7557867}"/>
    <cellStyle name="20% - Accent3 9 2 3 2 2" xfId="36990" xr:uid="{EA9864DC-46D3-4055-810D-493CABE71107}"/>
    <cellStyle name="20% - Accent3 9 2 3 3" xfId="29386" xr:uid="{8D4103EC-110C-4E9B-B1F5-9E72088212F3}"/>
    <cellStyle name="20% - Accent3 9 2 4" xfId="22016" xr:uid="{3825E59C-6A50-44CE-A027-4A21A457151E}"/>
    <cellStyle name="20% - Accent3 9 2 4 2" xfId="36992" xr:uid="{FAD326C0-4B4F-42AA-B103-9030138B3C4F}"/>
    <cellStyle name="20% - Accent3 9 2 5" xfId="29388" xr:uid="{250F2CA7-318F-43B7-A451-8481C02388D3}"/>
    <cellStyle name="20% - Accent3 9 3" xfId="4090" xr:uid="{00000000-0005-0000-0000-0000EC040000}"/>
    <cellStyle name="20% - Accent3 9 3 2" xfId="22013" xr:uid="{558B6FA2-B0F6-491E-B008-820A812F3577}"/>
    <cellStyle name="20% - Accent3 9 3 2 2" xfId="36989" xr:uid="{749C1B03-A1E7-4AFF-ABB5-AD0C98652709}"/>
    <cellStyle name="20% - Accent3 9 3 3" xfId="29385" xr:uid="{103C3579-17C7-406B-A013-75E23319EEDA}"/>
    <cellStyle name="20% - Accent3 9 4" xfId="4089" xr:uid="{00000000-0005-0000-0000-0000ED040000}"/>
    <cellStyle name="20% - Accent3 9 4 2" xfId="4088" xr:uid="{00000000-0005-0000-0000-0000EE040000}"/>
    <cellStyle name="20% - Accent3 9 4 2 2" xfId="22011" xr:uid="{40D6FF3F-BDBD-465B-91DF-B76542572E55}"/>
    <cellStyle name="20% - Accent3 9 4 2 2 2" xfId="36987" xr:uid="{62FD2CA4-410D-4DA3-B044-D72A5C39C5DF}"/>
    <cellStyle name="20% - Accent3 9 4 2 3" xfId="29383" xr:uid="{013DDB4A-AF00-45D6-B220-3D0ADFA5F291}"/>
    <cellStyle name="20% - Accent3 9 4 3" xfId="22012" xr:uid="{AA0A81C0-69F1-4C9F-AE15-8C53F73B96C3}"/>
    <cellStyle name="20% - Accent3 9 4 3 2" xfId="36988" xr:uid="{77791008-31B9-49FB-ACF0-29D90E0F9336}"/>
    <cellStyle name="20% - Accent3 9 4 4" xfId="29384" xr:uid="{A09F5054-E4E9-4C06-83ED-2DEBCE996A3C}"/>
    <cellStyle name="20% - Accent3 9 5" xfId="4087" xr:uid="{00000000-0005-0000-0000-0000EF040000}"/>
    <cellStyle name="20% - Accent3 9 5 2" xfId="22010" xr:uid="{47D57422-DDC6-44E5-A37D-82A00CCC896B}"/>
    <cellStyle name="20% - Accent3 9 5 2 2" xfId="36986" xr:uid="{4A2BA782-00C2-4FCE-8C89-CB5C31172985}"/>
    <cellStyle name="20% - Accent3 9 5 3" xfId="29382" xr:uid="{D2C82408-59A1-4593-B3D1-D702E2E9688A}"/>
    <cellStyle name="20% - Accent3 9 6" xfId="22017" xr:uid="{9F8F5306-F517-4A0A-96BA-FA7935115159}"/>
    <cellStyle name="20% - Accent3 9 6 2" xfId="36993" xr:uid="{F393FAF5-1437-4CE3-B00D-6E7395986DA0}"/>
    <cellStyle name="20% - Accent3 9 7" xfId="29389" xr:uid="{7ED60CE4-4AC6-4E89-994F-6B22813563B1}"/>
    <cellStyle name="20% - Accent4" xfId="94" builtinId="42" customBuiltin="1"/>
    <cellStyle name="20% - Accent4 10" xfId="4086" xr:uid="{00000000-0005-0000-0000-0000F0040000}"/>
    <cellStyle name="20% - Accent4 10 2" xfId="4085" xr:uid="{00000000-0005-0000-0000-0000F1040000}"/>
    <cellStyle name="20% - Accent4 10 2 2" xfId="4084" xr:uid="{00000000-0005-0000-0000-0000F2040000}"/>
    <cellStyle name="20% - Accent4 10 2 2 2" xfId="22007" xr:uid="{FFCAD8CA-A9FB-4746-B39C-46908A89B0E5}"/>
    <cellStyle name="20% - Accent4 10 2 2 2 2" xfId="36983" xr:uid="{FF9E368C-1917-478F-8FE1-0C2A9CB495BE}"/>
    <cellStyle name="20% - Accent4 10 2 2 3" xfId="29379" xr:uid="{1661DF9A-6A85-432D-AB2B-55BC0A2BC3E3}"/>
    <cellStyle name="20% - Accent4 10 2 3" xfId="4083" xr:uid="{00000000-0005-0000-0000-0000F3040000}"/>
    <cellStyle name="20% - Accent4 10 2 3 2" xfId="22006" xr:uid="{1B08699D-6A03-4E5F-8449-9B95DC946BFF}"/>
    <cellStyle name="20% - Accent4 10 2 3 2 2" xfId="36982" xr:uid="{B8A1AA32-F672-4FB7-B4D9-9CA0D4764FF5}"/>
    <cellStyle name="20% - Accent4 10 2 3 3" xfId="29378" xr:uid="{8DB06A9F-C2CA-494D-94B4-2698C00A01D7}"/>
    <cellStyle name="20% - Accent4 10 2 4" xfId="22008" xr:uid="{4EEDD940-9A6D-4E15-A412-910B98799E21}"/>
    <cellStyle name="20% - Accent4 10 2 4 2" xfId="36984" xr:uid="{E6659770-221F-4553-9C71-6E1713855C45}"/>
    <cellStyle name="20% - Accent4 10 2 5" xfId="29380" xr:uid="{95369777-3B53-47C8-813D-489027C0E439}"/>
    <cellStyle name="20% - Accent4 10 3" xfId="4082" xr:uid="{00000000-0005-0000-0000-0000F4040000}"/>
    <cellStyle name="20% - Accent4 10 3 2" xfId="22005" xr:uid="{B1654F19-FF08-4E5B-8F0F-A627766C293A}"/>
    <cellStyle name="20% - Accent4 10 3 2 2" xfId="36981" xr:uid="{CFA306D6-2C42-4438-9635-0B0E1D975B6E}"/>
    <cellStyle name="20% - Accent4 10 3 3" xfId="29377" xr:uid="{6D59BF1A-E320-4694-9142-D2E63A25D28A}"/>
    <cellStyle name="20% - Accent4 10 4" xfId="4081" xr:uid="{00000000-0005-0000-0000-0000F5040000}"/>
    <cellStyle name="20% - Accent4 10 4 2" xfId="4080" xr:uid="{00000000-0005-0000-0000-0000F6040000}"/>
    <cellStyle name="20% - Accent4 10 4 2 2" xfId="22003" xr:uid="{F0B79E9B-2D6F-4594-8AD2-95BCC15BADF9}"/>
    <cellStyle name="20% - Accent4 10 4 2 2 2" xfId="36979" xr:uid="{693052B2-DED4-4264-8FD9-E442933CEB6F}"/>
    <cellStyle name="20% - Accent4 10 4 2 3" xfId="29375" xr:uid="{D061CD35-77C5-486F-8F5F-558640BA3BFF}"/>
    <cellStyle name="20% - Accent4 10 4 3" xfId="22004" xr:uid="{FF370086-5382-4AB4-B87F-6AEA6140C952}"/>
    <cellStyle name="20% - Accent4 10 4 3 2" xfId="36980" xr:uid="{12130DE0-5CA3-4F4F-B372-67ECC0B90FE1}"/>
    <cellStyle name="20% - Accent4 10 4 4" xfId="29376" xr:uid="{2187981F-5E16-472D-9260-587801F02184}"/>
    <cellStyle name="20% - Accent4 10 5" xfId="4079" xr:uid="{00000000-0005-0000-0000-0000F7040000}"/>
    <cellStyle name="20% - Accent4 10 5 2" xfId="22002" xr:uid="{FCA8FBE1-7362-45A5-94E6-0F0E71E02DC9}"/>
    <cellStyle name="20% - Accent4 10 5 2 2" xfId="36978" xr:uid="{0BF43CE8-C3BE-4990-8AB4-ED8AEFFE2850}"/>
    <cellStyle name="20% - Accent4 10 5 3" xfId="29374" xr:uid="{A49F1429-BAA7-44CF-B58E-32C7424EAA4E}"/>
    <cellStyle name="20% - Accent4 10 6" xfId="22009" xr:uid="{82DFB2F1-49D9-4810-A567-7E0EF6055722}"/>
    <cellStyle name="20% - Accent4 10 6 2" xfId="36985" xr:uid="{CCDF1213-F248-4E50-916F-E2089EBC5737}"/>
    <cellStyle name="20% - Accent4 10 7" xfId="29381" xr:uid="{0F7AD902-2D36-4F58-BFB4-5612B69BD8BC}"/>
    <cellStyle name="20% - Accent4 11" xfId="4078" xr:uid="{00000000-0005-0000-0000-0000F8040000}"/>
    <cellStyle name="20% - Accent4 11 2" xfId="4077" xr:uid="{00000000-0005-0000-0000-0000F9040000}"/>
    <cellStyle name="20% - Accent4 11 2 2" xfId="22000" xr:uid="{64DEF881-AE49-43B9-B4CF-8D122BE09987}"/>
    <cellStyle name="20% - Accent4 11 2 2 2" xfId="36976" xr:uid="{561D0BC2-CC7B-4467-A44B-6DFBB5BBBA79}"/>
    <cellStyle name="20% - Accent4 11 2 3" xfId="29372" xr:uid="{2AB1616A-8882-4920-B680-367E9BA0A271}"/>
    <cellStyle name="20% - Accent4 11 3" xfId="4076" xr:uid="{00000000-0005-0000-0000-0000FA040000}"/>
    <cellStyle name="20% - Accent4 11 3 2" xfId="4075" xr:uid="{00000000-0005-0000-0000-0000FB040000}"/>
    <cellStyle name="20% - Accent4 11 3 2 2" xfId="21998" xr:uid="{7647732F-1172-456C-9422-B8D4E66B4781}"/>
    <cellStyle name="20% - Accent4 11 3 2 2 2" xfId="36974" xr:uid="{83F45AA0-4FF9-4160-8A14-1E4AC96F4344}"/>
    <cellStyle name="20% - Accent4 11 3 2 3" xfId="29370" xr:uid="{6276137F-E84D-4324-BA29-9CE27AE12D51}"/>
    <cellStyle name="20% - Accent4 11 3 3" xfId="21999" xr:uid="{4B237CAD-58DE-455D-8317-54D4E11C82A4}"/>
    <cellStyle name="20% - Accent4 11 3 3 2" xfId="36975" xr:uid="{560CCDAE-F4DB-414A-A986-80B25AD913B9}"/>
    <cellStyle name="20% - Accent4 11 3 4" xfId="29371" xr:uid="{11154D9B-2155-41AB-87A1-8415F0112D44}"/>
    <cellStyle name="20% - Accent4 11 4" xfId="22001" xr:uid="{21049D01-AD84-45A0-8B37-2B9D06462E21}"/>
    <cellStyle name="20% - Accent4 11 4 2" xfId="36977" xr:uid="{26C5AD63-1E0D-40A9-9285-3EDDFBAB606B}"/>
    <cellStyle name="20% - Accent4 11 5" xfId="29373" xr:uid="{BF2BC7D5-6D94-4743-8B56-FCAF4EBA9DC4}"/>
    <cellStyle name="20% - Accent4 12" xfId="4074" xr:uid="{00000000-0005-0000-0000-0000FC040000}"/>
    <cellStyle name="20% - Accent4 12 2" xfId="4073" xr:uid="{00000000-0005-0000-0000-0000FD040000}"/>
    <cellStyle name="20% - Accent4 12 2 2" xfId="21996" xr:uid="{427E9D2D-9B17-40D5-88C0-54E05C2DAFE2}"/>
    <cellStyle name="20% - Accent4 12 2 2 2" xfId="36972" xr:uid="{71BAC3EC-7E63-417F-8EC4-A2F4E1251FB6}"/>
    <cellStyle name="20% - Accent4 12 2 3" xfId="29368" xr:uid="{49700F69-C05A-42E9-8427-1332E9CEF726}"/>
    <cellStyle name="20% - Accent4 12 3" xfId="4072" xr:uid="{00000000-0005-0000-0000-0000FE040000}"/>
    <cellStyle name="20% - Accent4 12 3 2" xfId="21995" xr:uid="{C394CFC7-94BA-4918-B22A-D682BBB423B7}"/>
    <cellStyle name="20% - Accent4 12 3 2 2" xfId="36971" xr:uid="{57F9870D-C8DC-4F18-9653-CC689CF33771}"/>
    <cellStyle name="20% - Accent4 12 3 3" xfId="29367" xr:uid="{10227089-CBE8-45EA-9C18-E2980465D1F4}"/>
    <cellStyle name="20% - Accent4 12 4" xfId="21997" xr:uid="{4267BFE9-2576-43B5-8DEF-BAEC449378CA}"/>
    <cellStyle name="20% - Accent4 12 4 2" xfId="36973" xr:uid="{F9D1BB30-5D84-4983-8A08-B9BFEC545E4E}"/>
    <cellStyle name="20% - Accent4 12 5" xfId="29369" xr:uid="{E63EAFA3-FC25-4DE7-A348-48CE0EBEC776}"/>
    <cellStyle name="20% - Accent4 13" xfId="4071" xr:uid="{00000000-0005-0000-0000-0000FF040000}"/>
    <cellStyle name="20% - Accent4 13 2" xfId="4070" xr:uid="{00000000-0005-0000-0000-000000050000}"/>
    <cellStyle name="20% - Accent4 13 2 2" xfId="21993" xr:uid="{2E10F4C7-490E-4F91-A7BC-91E47682B9D0}"/>
    <cellStyle name="20% - Accent4 13 2 2 2" xfId="36969" xr:uid="{BD3327A9-9D40-4BC4-B3A7-80FE8678C55F}"/>
    <cellStyle name="20% - Accent4 13 2 3" xfId="29365" xr:uid="{B3328A43-D732-4FA0-88BD-23DE749A0A79}"/>
    <cellStyle name="20% - Accent4 13 3" xfId="4069" xr:uid="{00000000-0005-0000-0000-000001050000}"/>
    <cellStyle name="20% - Accent4 13 3 2" xfId="21992" xr:uid="{768E5A5C-AF21-4C2B-824C-955426B16C00}"/>
    <cellStyle name="20% - Accent4 13 3 2 2" xfId="36968" xr:uid="{CAD927D3-5E87-40DE-B051-8817521131FB}"/>
    <cellStyle name="20% - Accent4 13 3 3" xfId="29364" xr:uid="{956A2C43-1405-46F1-A732-EB6D28017211}"/>
    <cellStyle name="20% - Accent4 13 4" xfId="21994" xr:uid="{31EC5F4F-E8C4-4C08-ACD3-A42E5D0B06D5}"/>
    <cellStyle name="20% - Accent4 13 4 2" xfId="36970" xr:uid="{07604A1B-6DAD-423A-BF8F-B02042998D58}"/>
    <cellStyle name="20% - Accent4 13 5" xfId="29366" xr:uid="{B52BD11D-50BC-4068-A70C-BBEBC4F9D3D5}"/>
    <cellStyle name="20% - Accent4 14" xfId="4068" xr:uid="{00000000-0005-0000-0000-000002050000}"/>
    <cellStyle name="20% - Accent4 14 2" xfId="4067" xr:uid="{00000000-0005-0000-0000-000003050000}"/>
    <cellStyle name="20% - Accent4 14 2 2" xfId="21991" xr:uid="{12035F14-8CE0-4F76-AE4A-2DE8E4FC8213}"/>
    <cellStyle name="20% - Accent4 14 2 2 2" xfId="36967" xr:uid="{1E6B85C7-3AA4-4C7D-908F-AAECE22225F7}"/>
    <cellStyle name="20% - Accent4 14 2 3" xfId="29363" xr:uid="{7A42A352-66EB-49A7-A1B7-635C999C5A5E}"/>
    <cellStyle name="20% - Accent4 15" xfId="4066" xr:uid="{00000000-0005-0000-0000-000004050000}"/>
    <cellStyle name="20% - Accent4 15 2" xfId="21990" xr:uid="{24B5A6DA-A059-4C56-8A18-D6815FC033CC}"/>
    <cellStyle name="20% - Accent4 15 2 2" xfId="36966" xr:uid="{941C38CD-5E16-4557-BE4E-A744921C4E67}"/>
    <cellStyle name="20% - Accent4 15 3" xfId="29362" xr:uid="{9F2D4BC8-A496-4F3B-A60F-BB4F9A9941A0}"/>
    <cellStyle name="20% - Accent4 16" xfId="4065" xr:uid="{00000000-0005-0000-0000-000005050000}"/>
    <cellStyle name="20% - Accent4 17" xfId="20651" xr:uid="{DD0F1EEF-CD1F-45BB-88D1-62480B45912B}"/>
    <cellStyle name="20% - Accent4 17 2" xfId="35652" xr:uid="{23F06A26-D084-4D65-9FD3-87CA299521CB}"/>
    <cellStyle name="20% - Accent4 18" xfId="27955" xr:uid="{66175BA5-9C68-4638-9594-A7EEEC74B791}"/>
    <cellStyle name="20% - Accent4 2" xfId="113" xr:uid="{00000000-0005-0000-0000-000029000000}"/>
    <cellStyle name="20% - Accent4 2 2" xfId="4064" xr:uid="{00000000-0005-0000-0000-000007050000}"/>
    <cellStyle name="20% - Accent4 2 3" xfId="4063" xr:uid="{00000000-0005-0000-0000-000008050000}"/>
    <cellStyle name="20% - Accent4 2 3 10" xfId="29361" xr:uid="{63C36AEB-BC00-4553-AF3E-18143D8FE16F}"/>
    <cellStyle name="20% - Accent4 2 3 2" xfId="4062" xr:uid="{00000000-0005-0000-0000-000009050000}"/>
    <cellStyle name="20% - Accent4 2 3 2 2" xfId="4061" xr:uid="{00000000-0005-0000-0000-00000A050000}"/>
    <cellStyle name="20% - Accent4 2 3 2 2 2" xfId="4060" xr:uid="{00000000-0005-0000-0000-00000B050000}"/>
    <cellStyle name="20% - Accent4 2 3 2 2 2 2" xfId="4059" xr:uid="{00000000-0005-0000-0000-00000C050000}"/>
    <cellStyle name="20% - Accent4 2 3 2 2 2 2 2" xfId="21985" xr:uid="{D4570653-2DC0-4282-9B44-3430EAAF022A}"/>
    <cellStyle name="20% - Accent4 2 3 2 2 2 2 2 2" xfId="36961" xr:uid="{B693B179-34DA-48A6-B3AB-42781F7C703C}"/>
    <cellStyle name="20% - Accent4 2 3 2 2 2 2 3" xfId="29357" xr:uid="{5FAE1B6F-F5F3-4ECD-B06D-D0863FE7D3F9}"/>
    <cellStyle name="20% - Accent4 2 3 2 2 2 3" xfId="4058" xr:uid="{00000000-0005-0000-0000-00000D050000}"/>
    <cellStyle name="20% - Accent4 2 3 2 2 2 3 2" xfId="21984" xr:uid="{AF72A4C5-9A49-4F4E-A7C8-1013162DB819}"/>
    <cellStyle name="20% - Accent4 2 3 2 2 2 3 2 2" xfId="36960" xr:uid="{1B26EE51-13C0-4BCA-A985-65D3459E9079}"/>
    <cellStyle name="20% - Accent4 2 3 2 2 2 3 3" xfId="29356" xr:uid="{84DDCB86-0618-4DA2-AAAF-4C04D16F41B6}"/>
    <cellStyle name="20% - Accent4 2 3 2 2 2 4" xfId="21986" xr:uid="{F7648C30-7568-44BE-AA77-F01E115845E6}"/>
    <cellStyle name="20% - Accent4 2 3 2 2 2 4 2" xfId="36962" xr:uid="{42025E86-C20D-4246-9786-4379AB95C361}"/>
    <cellStyle name="20% - Accent4 2 3 2 2 2 5" xfId="29358" xr:uid="{43F1486C-966C-41EA-8AEE-071CC1B1E967}"/>
    <cellStyle name="20% - Accent4 2 3 2 2 3" xfId="4057" xr:uid="{00000000-0005-0000-0000-00000E050000}"/>
    <cellStyle name="20% - Accent4 2 3 2 2 3 2" xfId="4056" xr:uid="{00000000-0005-0000-0000-00000F050000}"/>
    <cellStyle name="20% - Accent4 2 3 2 2 3 2 2" xfId="21982" xr:uid="{50C549D5-5BA6-4B61-ACC3-1B02A442EA49}"/>
    <cellStyle name="20% - Accent4 2 3 2 2 3 2 2 2" xfId="36958" xr:uid="{EC2F2A16-EC26-4DAD-B3A2-DABA3C0D5CDE}"/>
    <cellStyle name="20% - Accent4 2 3 2 2 3 2 3" xfId="29354" xr:uid="{8E90F6B6-F267-43CB-815B-C08E0B768998}"/>
    <cellStyle name="20% - Accent4 2 3 2 2 3 3" xfId="21983" xr:uid="{CFCD9525-C645-4660-8333-6D00E1DC3392}"/>
    <cellStyle name="20% - Accent4 2 3 2 2 3 3 2" xfId="36959" xr:uid="{2A7A3AC8-D00B-49F2-902E-E963946F6A74}"/>
    <cellStyle name="20% - Accent4 2 3 2 2 3 4" xfId="29355" xr:uid="{BAD8339D-5009-4E75-A907-D45708103A22}"/>
    <cellStyle name="20% - Accent4 2 3 2 2 4" xfId="4055" xr:uid="{00000000-0005-0000-0000-000010050000}"/>
    <cellStyle name="20% - Accent4 2 3 2 2 4 2" xfId="21981" xr:uid="{8460F272-8194-4F1C-BF2F-FEF2E98DA541}"/>
    <cellStyle name="20% - Accent4 2 3 2 2 4 2 2" xfId="36957" xr:uid="{E6AFBED0-DB72-4CFC-8DD0-3B0CB5436850}"/>
    <cellStyle name="20% - Accent4 2 3 2 2 4 3" xfId="29353" xr:uid="{7771BCD7-C3DF-4E49-BE55-BD56616B4C33}"/>
    <cellStyle name="20% - Accent4 2 3 2 2 5" xfId="21987" xr:uid="{5156A808-D69E-4936-8F1A-F7A74793D15A}"/>
    <cellStyle name="20% - Accent4 2 3 2 2 5 2" xfId="36963" xr:uid="{6672729A-080D-42F2-9F4C-0662C145A139}"/>
    <cellStyle name="20% - Accent4 2 3 2 2 6" xfId="29359" xr:uid="{AB70AB5A-99E7-4300-A160-D0315B48153B}"/>
    <cellStyle name="20% - Accent4 2 3 2 3" xfId="4054" xr:uid="{00000000-0005-0000-0000-000011050000}"/>
    <cellStyle name="20% - Accent4 2 3 2 3 2" xfId="4053" xr:uid="{00000000-0005-0000-0000-000012050000}"/>
    <cellStyle name="20% - Accent4 2 3 2 3 2 2" xfId="4052" xr:uid="{00000000-0005-0000-0000-000013050000}"/>
    <cellStyle name="20% - Accent4 2 3 2 3 2 2 2" xfId="21978" xr:uid="{8ADF6733-5BF7-4356-98F9-2E2A8412C7F1}"/>
    <cellStyle name="20% - Accent4 2 3 2 3 2 2 2 2" xfId="36954" xr:uid="{0AA28A79-A005-4F8A-86CC-FE16743C2D2E}"/>
    <cellStyle name="20% - Accent4 2 3 2 3 2 2 3" xfId="29350" xr:uid="{DAC145E3-C268-4273-94D1-873BF22B57B8}"/>
    <cellStyle name="20% - Accent4 2 3 2 3 2 3" xfId="4051" xr:uid="{00000000-0005-0000-0000-000014050000}"/>
    <cellStyle name="20% - Accent4 2 3 2 3 2 3 2" xfId="21977" xr:uid="{89AE7483-C8C5-4862-9888-17821921281B}"/>
    <cellStyle name="20% - Accent4 2 3 2 3 2 3 2 2" xfId="36953" xr:uid="{4498AD3F-3352-43C1-88EC-6DCDE0327AD5}"/>
    <cellStyle name="20% - Accent4 2 3 2 3 2 3 3" xfId="29349" xr:uid="{A21FDBC3-97C7-4AC6-B42C-FF2EFF52B396}"/>
    <cellStyle name="20% - Accent4 2 3 2 3 2 4" xfId="21979" xr:uid="{BD89EA31-7044-4D20-AEC7-124776F44E58}"/>
    <cellStyle name="20% - Accent4 2 3 2 3 2 4 2" xfId="36955" xr:uid="{DBED4878-0A1D-4B9A-AB75-02AAC0EF0CCB}"/>
    <cellStyle name="20% - Accent4 2 3 2 3 2 5" xfId="29351" xr:uid="{642C2412-A270-4622-9B70-2A534BC74B10}"/>
    <cellStyle name="20% - Accent4 2 3 2 3 3" xfId="4050" xr:uid="{00000000-0005-0000-0000-000015050000}"/>
    <cellStyle name="20% - Accent4 2 3 2 3 3 2" xfId="4049" xr:uid="{00000000-0005-0000-0000-000016050000}"/>
    <cellStyle name="20% - Accent4 2 3 2 3 3 2 2" xfId="21975" xr:uid="{82B4D160-7967-4FBB-BEBC-474E58F6A120}"/>
    <cellStyle name="20% - Accent4 2 3 2 3 3 2 2 2" xfId="36951" xr:uid="{BFAC6612-1255-4A2B-8060-31F10E164E65}"/>
    <cellStyle name="20% - Accent4 2 3 2 3 3 2 3" xfId="29347" xr:uid="{648CA54E-3940-44BB-A8C9-038C3D9AF127}"/>
    <cellStyle name="20% - Accent4 2 3 2 3 3 3" xfId="21976" xr:uid="{CA0B3E71-2160-437E-9312-7F23C0C63738}"/>
    <cellStyle name="20% - Accent4 2 3 2 3 3 3 2" xfId="36952" xr:uid="{483373A0-9E70-4A39-9599-8365137F69AD}"/>
    <cellStyle name="20% - Accent4 2 3 2 3 3 4" xfId="29348" xr:uid="{89261776-B51D-4CD5-96DD-1F650B91D603}"/>
    <cellStyle name="20% - Accent4 2 3 2 3 4" xfId="4048" xr:uid="{00000000-0005-0000-0000-000017050000}"/>
    <cellStyle name="20% - Accent4 2 3 2 3 4 2" xfId="21974" xr:uid="{8AF206BA-5F2C-45B4-913F-08901AD5A5F2}"/>
    <cellStyle name="20% - Accent4 2 3 2 3 4 2 2" xfId="36950" xr:uid="{C31E2B8A-6960-41AD-BE92-A6E0E4BDCE7A}"/>
    <cellStyle name="20% - Accent4 2 3 2 3 4 3" xfId="29346" xr:uid="{3A069D1A-FB09-42A7-B132-7E52B9931600}"/>
    <cellStyle name="20% - Accent4 2 3 2 3 5" xfId="21980" xr:uid="{F55283D2-1CD1-4B32-8EB6-84DE6837A48B}"/>
    <cellStyle name="20% - Accent4 2 3 2 3 5 2" xfId="36956" xr:uid="{978C2F9F-8CAD-48F5-8DDC-2BF60B61C6C4}"/>
    <cellStyle name="20% - Accent4 2 3 2 3 6" xfId="29352" xr:uid="{661C5C15-0385-4F60-90AB-547886C7CFC9}"/>
    <cellStyle name="20% - Accent4 2 3 2 4" xfId="4047" xr:uid="{00000000-0005-0000-0000-000018050000}"/>
    <cellStyle name="20% - Accent4 2 3 2 4 2" xfId="4046" xr:uid="{00000000-0005-0000-0000-000019050000}"/>
    <cellStyle name="20% - Accent4 2 3 2 4 2 2" xfId="21972" xr:uid="{3D8C4D50-6BF8-4A96-BB65-4010ABBD1E60}"/>
    <cellStyle name="20% - Accent4 2 3 2 4 2 2 2" xfId="36948" xr:uid="{6F8F8A72-BCE4-49F8-BECA-FCADD5ECD62C}"/>
    <cellStyle name="20% - Accent4 2 3 2 4 2 3" xfId="29344" xr:uid="{6A613D5B-A97C-4FF2-9AEE-43AC775BDE40}"/>
    <cellStyle name="20% - Accent4 2 3 2 4 3" xfId="4045" xr:uid="{00000000-0005-0000-0000-00001A050000}"/>
    <cellStyle name="20% - Accent4 2 3 2 4 3 2" xfId="21971" xr:uid="{940835FB-DB3E-4E46-9D85-2883C0F1AF51}"/>
    <cellStyle name="20% - Accent4 2 3 2 4 3 2 2" xfId="36947" xr:uid="{A304537C-36CD-4E32-8A1E-235BBC482B57}"/>
    <cellStyle name="20% - Accent4 2 3 2 4 3 3" xfId="29343" xr:uid="{423DCF01-D578-45FE-B3AD-3037D52F1287}"/>
    <cellStyle name="20% - Accent4 2 3 2 4 4" xfId="21973" xr:uid="{DB4C7866-073E-4585-B41E-9EC0C5712402}"/>
    <cellStyle name="20% - Accent4 2 3 2 4 4 2" xfId="36949" xr:uid="{AAA49C5F-8E0F-4BD9-B06B-11FB44906985}"/>
    <cellStyle name="20% - Accent4 2 3 2 4 5" xfId="29345" xr:uid="{CF94A0A0-AC40-4F73-BEAF-1BEDE3167029}"/>
    <cellStyle name="20% - Accent4 2 3 2 5" xfId="4044" xr:uid="{00000000-0005-0000-0000-00001B050000}"/>
    <cellStyle name="20% - Accent4 2 3 2 5 2" xfId="21970" xr:uid="{B598EB73-13C1-4F3B-8FFF-2273553C5DBF}"/>
    <cellStyle name="20% - Accent4 2 3 2 5 2 2" xfId="36946" xr:uid="{4D8034B0-DB35-48D3-AB5F-A26C0D7F640B}"/>
    <cellStyle name="20% - Accent4 2 3 2 5 3" xfId="29342" xr:uid="{135048E8-6550-4CB6-89B6-3C0AD7EFDD82}"/>
    <cellStyle name="20% - Accent4 2 3 2 6" xfId="4043" xr:uid="{00000000-0005-0000-0000-00001C050000}"/>
    <cellStyle name="20% - Accent4 2 3 2 6 2" xfId="4042" xr:uid="{00000000-0005-0000-0000-00001D050000}"/>
    <cellStyle name="20% - Accent4 2 3 2 6 2 2" xfId="21968" xr:uid="{CF17842B-0BA1-4F37-B98B-567EBA1BD99D}"/>
    <cellStyle name="20% - Accent4 2 3 2 6 2 2 2" xfId="36944" xr:uid="{0D5C202C-B89A-4783-8716-E38FF4E04D5B}"/>
    <cellStyle name="20% - Accent4 2 3 2 6 2 3" xfId="29340" xr:uid="{052CA9DD-8DC5-4A97-B834-E08337C983CA}"/>
    <cellStyle name="20% - Accent4 2 3 2 6 3" xfId="21969" xr:uid="{640DD996-D58F-45F5-9F74-5B90C6349F10}"/>
    <cellStyle name="20% - Accent4 2 3 2 6 3 2" xfId="36945" xr:uid="{9E77CC00-BF37-4908-9FD5-B08FAA782DD4}"/>
    <cellStyle name="20% - Accent4 2 3 2 6 4" xfId="29341" xr:uid="{075036A4-E4D6-43E1-A726-EBD4D47D0083}"/>
    <cellStyle name="20% - Accent4 2 3 2 7" xfId="4041" xr:uid="{00000000-0005-0000-0000-00001E050000}"/>
    <cellStyle name="20% - Accent4 2 3 2 7 2" xfId="21967" xr:uid="{5E3C8846-BF5F-4394-89E0-E003D73593A1}"/>
    <cellStyle name="20% - Accent4 2 3 2 7 2 2" xfId="36943" xr:uid="{003D5DCA-1C7B-475F-814B-87ED432354E7}"/>
    <cellStyle name="20% - Accent4 2 3 2 7 3" xfId="29339" xr:uid="{4CD27050-7FA8-4187-92E0-2354EBD20118}"/>
    <cellStyle name="20% - Accent4 2 3 2 8" xfId="21988" xr:uid="{C1EF49FC-CAE8-45E1-82D3-0DCCEEC13427}"/>
    <cellStyle name="20% - Accent4 2 3 2 8 2" xfId="36964" xr:uid="{ADA97832-A376-4641-8FCC-1FBF890B2334}"/>
    <cellStyle name="20% - Accent4 2 3 2 9" xfId="29360" xr:uid="{5FF08E61-DD9D-4B68-9AD1-3FE0C962C358}"/>
    <cellStyle name="20% - Accent4 2 3 3" xfId="4040" xr:uid="{00000000-0005-0000-0000-00001F050000}"/>
    <cellStyle name="20% - Accent4 2 3 3 2" xfId="4039" xr:uid="{00000000-0005-0000-0000-000020050000}"/>
    <cellStyle name="20% - Accent4 2 3 3 2 2" xfId="4038" xr:uid="{00000000-0005-0000-0000-000021050000}"/>
    <cellStyle name="20% - Accent4 2 3 3 2 2 2" xfId="21964" xr:uid="{CFA6849E-EBAE-4725-B619-F93A37685B99}"/>
    <cellStyle name="20% - Accent4 2 3 3 2 2 2 2" xfId="36940" xr:uid="{244BB776-3936-4786-8F18-34FAEC225F5D}"/>
    <cellStyle name="20% - Accent4 2 3 3 2 2 3" xfId="29336" xr:uid="{2B0039B4-7D3D-443E-AE28-C2FC0BEC843B}"/>
    <cellStyle name="20% - Accent4 2 3 3 2 3" xfId="4037" xr:uid="{00000000-0005-0000-0000-000022050000}"/>
    <cellStyle name="20% - Accent4 2 3 3 2 3 2" xfId="21963" xr:uid="{75CC34CC-4184-46E8-876A-47BD60808E65}"/>
    <cellStyle name="20% - Accent4 2 3 3 2 3 2 2" xfId="36939" xr:uid="{B3ACF51F-1AE9-43C2-8012-7A562CD89CD8}"/>
    <cellStyle name="20% - Accent4 2 3 3 2 3 3" xfId="29335" xr:uid="{E72F85C2-F00E-4683-9B2D-282469195748}"/>
    <cellStyle name="20% - Accent4 2 3 3 2 4" xfId="21965" xr:uid="{6E44E635-7E13-4210-9C55-A63A528DDA9E}"/>
    <cellStyle name="20% - Accent4 2 3 3 2 4 2" xfId="36941" xr:uid="{E5DF9F71-9A04-455D-8F5A-3033980CA0E8}"/>
    <cellStyle name="20% - Accent4 2 3 3 2 5" xfId="29337" xr:uid="{37E1AC3D-DF45-48B4-906C-1D7E7A897C3E}"/>
    <cellStyle name="20% - Accent4 2 3 3 3" xfId="4036" xr:uid="{00000000-0005-0000-0000-000023050000}"/>
    <cellStyle name="20% - Accent4 2 3 3 3 2" xfId="4035" xr:uid="{00000000-0005-0000-0000-000024050000}"/>
    <cellStyle name="20% - Accent4 2 3 3 3 2 2" xfId="21961" xr:uid="{A7FEEA8C-1B6C-479F-A829-0A26C3B0CE64}"/>
    <cellStyle name="20% - Accent4 2 3 3 3 2 2 2" xfId="36937" xr:uid="{079479AD-1C92-452E-A7FA-3CDF16560110}"/>
    <cellStyle name="20% - Accent4 2 3 3 3 2 3" xfId="29333" xr:uid="{8A156C02-898A-4D74-8DDE-5CFD27D0BE62}"/>
    <cellStyle name="20% - Accent4 2 3 3 3 3" xfId="21962" xr:uid="{FC5D43A1-A924-42AB-AA3A-2157D36B3DB1}"/>
    <cellStyle name="20% - Accent4 2 3 3 3 3 2" xfId="36938" xr:uid="{77BC5F0E-6489-4AC2-A74C-0F28A3F47431}"/>
    <cellStyle name="20% - Accent4 2 3 3 3 4" xfId="29334" xr:uid="{2FF09A59-525E-43C3-8878-9E2BB265AD13}"/>
    <cellStyle name="20% - Accent4 2 3 3 4" xfId="4034" xr:uid="{00000000-0005-0000-0000-000025050000}"/>
    <cellStyle name="20% - Accent4 2 3 3 4 2" xfId="21960" xr:uid="{18613B02-BFEC-40E7-80C4-9A372CFD5A16}"/>
    <cellStyle name="20% - Accent4 2 3 3 4 2 2" xfId="36936" xr:uid="{1105A7F8-71D4-4974-A2A2-AFF6743D2DA6}"/>
    <cellStyle name="20% - Accent4 2 3 3 4 3" xfId="29332" xr:uid="{DD083FDD-4BF0-44DD-9097-A1C5DECB8A57}"/>
    <cellStyle name="20% - Accent4 2 3 3 5" xfId="21966" xr:uid="{F36266D1-6289-4CBF-857E-BD96DE914CF4}"/>
    <cellStyle name="20% - Accent4 2 3 3 5 2" xfId="36942" xr:uid="{9FEAD60D-BB4A-4543-B737-A772E264E534}"/>
    <cellStyle name="20% - Accent4 2 3 3 6" xfId="29338" xr:uid="{DDFC5F8E-C015-4D0A-937D-F24CFF3420A3}"/>
    <cellStyle name="20% - Accent4 2 3 4" xfId="4033" xr:uid="{00000000-0005-0000-0000-000026050000}"/>
    <cellStyle name="20% - Accent4 2 3 4 2" xfId="4032" xr:uid="{00000000-0005-0000-0000-000027050000}"/>
    <cellStyle name="20% - Accent4 2 3 4 2 2" xfId="4031" xr:uid="{00000000-0005-0000-0000-000028050000}"/>
    <cellStyle name="20% - Accent4 2 3 4 2 2 2" xfId="21957" xr:uid="{9AC2422D-0177-476B-B817-CF950A7115F3}"/>
    <cellStyle name="20% - Accent4 2 3 4 2 2 2 2" xfId="36933" xr:uid="{6BAD1E5B-F9DA-44C8-B830-9EE613DD2BD4}"/>
    <cellStyle name="20% - Accent4 2 3 4 2 2 3" xfId="29329" xr:uid="{491D5F26-D940-440A-B2FC-D61B2E704547}"/>
    <cellStyle name="20% - Accent4 2 3 4 2 3" xfId="4030" xr:uid="{00000000-0005-0000-0000-000029050000}"/>
    <cellStyle name="20% - Accent4 2 3 4 2 3 2" xfId="21956" xr:uid="{9DF40404-A120-469F-B1F7-458A096D6640}"/>
    <cellStyle name="20% - Accent4 2 3 4 2 3 2 2" xfId="36932" xr:uid="{34A48400-CA5D-45A4-899A-305727A0631D}"/>
    <cellStyle name="20% - Accent4 2 3 4 2 3 3" xfId="29328" xr:uid="{F65479A4-3D0F-45E2-B1F6-6E62D9FF5587}"/>
    <cellStyle name="20% - Accent4 2 3 4 2 4" xfId="21958" xr:uid="{F92ADE33-7CFA-4589-A893-A6F5813D29FE}"/>
    <cellStyle name="20% - Accent4 2 3 4 2 4 2" xfId="36934" xr:uid="{68126F8B-E1D7-4E20-AE9E-482AF4793FD3}"/>
    <cellStyle name="20% - Accent4 2 3 4 2 5" xfId="29330" xr:uid="{BC6941D7-8855-47BF-8ADF-905C711FFFF4}"/>
    <cellStyle name="20% - Accent4 2 3 4 3" xfId="4029" xr:uid="{00000000-0005-0000-0000-00002A050000}"/>
    <cellStyle name="20% - Accent4 2 3 4 3 2" xfId="4028" xr:uid="{00000000-0005-0000-0000-00002B050000}"/>
    <cellStyle name="20% - Accent4 2 3 4 3 2 2" xfId="21954" xr:uid="{9F405BA4-AA87-4064-9F01-9DF572B2884F}"/>
    <cellStyle name="20% - Accent4 2 3 4 3 2 2 2" xfId="36930" xr:uid="{28F258A0-8D82-4B51-B489-2B7339ADB2CA}"/>
    <cellStyle name="20% - Accent4 2 3 4 3 2 3" xfId="29326" xr:uid="{77A646BE-8235-43FF-A817-E2891542EF25}"/>
    <cellStyle name="20% - Accent4 2 3 4 3 3" xfId="21955" xr:uid="{1B20E162-4579-42D5-888A-F1852A0CC4B6}"/>
    <cellStyle name="20% - Accent4 2 3 4 3 3 2" xfId="36931" xr:uid="{81D5BCB5-70CE-4C66-B9D3-54F7E0E1B8E8}"/>
    <cellStyle name="20% - Accent4 2 3 4 3 4" xfId="29327" xr:uid="{0D360040-BCD3-43F3-82D0-BEA5CEBC3D9A}"/>
    <cellStyle name="20% - Accent4 2 3 4 4" xfId="4027" xr:uid="{00000000-0005-0000-0000-00002C050000}"/>
    <cellStyle name="20% - Accent4 2 3 4 4 2" xfId="21953" xr:uid="{3CA8E197-6566-4A8F-8A89-164AD5F46E57}"/>
    <cellStyle name="20% - Accent4 2 3 4 4 2 2" xfId="36929" xr:uid="{A963DC78-0EE4-429D-BE2E-991C6C806509}"/>
    <cellStyle name="20% - Accent4 2 3 4 4 3" xfId="29325" xr:uid="{A8B86A29-D839-4C7E-B1AA-7A6016FBAF05}"/>
    <cellStyle name="20% - Accent4 2 3 4 5" xfId="21959" xr:uid="{D56DEA32-AD10-4923-9DCF-2B53EC4C74AE}"/>
    <cellStyle name="20% - Accent4 2 3 4 5 2" xfId="36935" xr:uid="{6229F62A-640D-4C30-A59A-6ECA9229A61C}"/>
    <cellStyle name="20% - Accent4 2 3 4 6" xfId="29331" xr:uid="{D05F176F-43F9-4E49-8B1F-3CF3B72ABEC8}"/>
    <cellStyle name="20% - Accent4 2 3 5" xfId="4026" xr:uid="{00000000-0005-0000-0000-00002D050000}"/>
    <cellStyle name="20% - Accent4 2 3 5 2" xfId="4025" xr:uid="{00000000-0005-0000-0000-00002E050000}"/>
    <cellStyle name="20% - Accent4 2 3 5 2 2" xfId="21951" xr:uid="{A921335C-59D4-4E2E-85C4-7949BDAD021B}"/>
    <cellStyle name="20% - Accent4 2 3 5 2 2 2" xfId="36927" xr:uid="{8A3E8A99-CEF9-4416-BBCC-68E47B5ADCB4}"/>
    <cellStyle name="20% - Accent4 2 3 5 2 3" xfId="29323" xr:uid="{9E1F6403-A7A9-45BC-A545-E427BEA40B2F}"/>
    <cellStyle name="20% - Accent4 2 3 5 3" xfId="4024" xr:uid="{00000000-0005-0000-0000-00002F050000}"/>
    <cellStyle name="20% - Accent4 2 3 5 3 2" xfId="21950" xr:uid="{73FC3CC8-0567-49F5-A6FD-8605696A02C3}"/>
    <cellStyle name="20% - Accent4 2 3 5 3 2 2" xfId="36926" xr:uid="{4E8C4E7C-4552-47B7-920F-56A7B2AD0F65}"/>
    <cellStyle name="20% - Accent4 2 3 5 3 3" xfId="29322" xr:uid="{34D929C0-19A9-4A5D-8A90-267AF6156340}"/>
    <cellStyle name="20% - Accent4 2 3 5 4" xfId="21952" xr:uid="{8A409EFA-CE7F-48AB-8F7B-A8EDDA8C43D7}"/>
    <cellStyle name="20% - Accent4 2 3 5 4 2" xfId="36928" xr:uid="{BE066142-24ED-467D-BB20-43E9076F81FD}"/>
    <cellStyle name="20% - Accent4 2 3 5 5" xfId="29324" xr:uid="{18A8C6B1-8863-4728-B1EC-F8607249C6C5}"/>
    <cellStyle name="20% - Accent4 2 3 6" xfId="4023" xr:uid="{00000000-0005-0000-0000-000030050000}"/>
    <cellStyle name="20% - Accent4 2 3 6 2" xfId="21949" xr:uid="{F86239A4-805A-4B5C-A14A-74C30C5543E3}"/>
    <cellStyle name="20% - Accent4 2 3 6 2 2" xfId="36925" xr:uid="{4DD46B75-52D3-42DB-832C-40E773CC2F1D}"/>
    <cellStyle name="20% - Accent4 2 3 6 3" xfId="29321" xr:uid="{90C251EF-C0E6-4836-9F12-7F36D32F97BF}"/>
    <cellStyle name="20% - Accent4 2 3 7" xfId="4022" xr:uid="{00000000-0005-0000-0000-000031050000}"/>
    <cellStyle name="20% - Accent4 2 3 7 2" xfId="4021" xr:uid="{00000000-0005-0000-0000-000032050000}"/>
    <cellStyle name="20% - Accent4 2 3 7 2 2" xfId="21947" xr:uid="{A19904FD-9F24-4A9F-BE1A-209FD1C7B830}"/>
    <cellStyle name="20% - Accent4 2 3 7 2 2 2" xfId="36923" xr:uid="{E0A1182B-4E8A-4C59-AB2F-332D1CD7E317}"/>
    <cellStyle name="20% - Accent4 2 3 7 2 3" xfId="29319" xr:uid="{763FF4BB-70D2-450D-B44E-3C7EC4EEE192}"/>
    <cellStyle name="20% - Accent4 2 3 7 3" xfId="21948" xr:uid="{06F98ABE-225A-4784-9ABD-5F4887738F1A}"/>
    <cellStyle name="20% - Accent4 2 3 7 3 2" xfId="36924" xr:uid="{C93A2DD5-B17F-4C1E-9836-F8161B33B973}"/>
    <cellStyle name="20% - Accent4 2 3 7 4" xfId="29320" xr:uid="{4A0DB469-93B8-4A2F-86F5-C17FAA58EE0A}"/>
    <cellStyle name="20% - Accent4 2 3 8" xfId="4020" xr:uid="{00000000-0005-0000-0000-000033050000}"/>
    <cellStyle name="20% - Accent4 2 3 8 2" xfId="21946" xr:uid="{6BF05F83-4EF3-4705-9A44-E7BACCBBB2AB}"/>
    <cellStyle name="20% - Accent4 2 3 8 2 2" xfId="36922" xr:uid="{24BBAE47-D7BF-408A-ABA3-67F2A5FEA62F}"/>
    <cellStyle name="20% - Accent4 2 3 8 3" xfId="29318" xr:uid="{E4C4D3D3-EE42-404E-9D73-9FB7BAF8190C}"/>
    <cellStyle name="20% - Accent4 2 3 9" xfId="21989" xr:uid="{1606B8FC-EA67-4A9A-B4A5-40EB4BD51EDD}"/>
    <cellStyle name="20% - Accent4 2 3 9 2" xfId="36965" xr:uid="{C2FAFD40-FE37-4DFF-98E3-1FDC197E3624}"/>
    <cellStyle name="20% - Accent4 2 4" xfId="4019" xr:uid="{00000000-0005-0000-0000-000034050000}"/>
    <cellStyle name="20% - Accent4 2 4 10" xfId="29317" xr:uid="{6AD9D1BB-36FE-448D-BFCA-5B81FCDA0B76}"/>
    <cellStyle name="20% - Accent4 2 4 2" xfId="4018" xr:uid="{00000000-0005-0000-0000-000035050000}"/>
    <cellStyle name="20% - Accent4 2 4 2 2" xfId="4017" xr:uid="{00000000-0005-0000-0000-000036050000}"/>
    <cellStyle name="20% - Accent4 2 4 2 2 2" xfId="4016" xr:uid="{00000000-0005-0000-0000-000037050000}"/>
    <cellStyle name="20% - Accent4 2 4 2 2 2 2" xfId="4015" xr:uid="{00000000-0005-0000-0000-000038050000}"/>
    <cellStyle name="20% - Accent4 2 4 2 2 2 2 2" xfId="21941" xr:uid="{E8CE2702-CEDD-4CDF-BA6B-F2010DC18E84}"/>
    <cellStyle name="20% - Accent4 2 4 2 2 2 2 2 2" xfId="36917" xr:uid="{3F17C602-CDF5-4F40-AFDF-08D3D76D438F}"/>
    <cellStyle name="20% - Accent4 2 4 2 2 2 2 3" xfId="29313" xr:uid="{6D51A1B2-5A7C-4132-A67F-C5C98A828AEB}"/>
    <cellStyle name="20% - Accent4 2 4 2 2 2 3" xfId="4014" xr:uid="{00000000-0005-0000-0000-000039050000}"/>
    <cellStyle name="20% - Accent4 2 4 2 2 2 3 2" xfId="21940" xr:uid="{AD2232A2-49BA-4FE5-B65E-76860DC7E6F7}"/>
    <cellStyle name="20% - Accent4 2 4 2 2 2 3 2 2" xfId="36916" xr:uid="{2F080173-5704-4D32-A909-9804EC549077}"/>
    <cellStyle name="20% - Accent4 2 4 2 2 2 3 3" xfId="29312" xr:uid="{197FBCE4-F804-4A5C-A308-ABE8C96DD42A}"/>
    <cellStyle name="20% - Accent4 2 4 2 2 2 4" xfId="21942" xr:uid="{11E38ABF-7F52-42EE-BFDD-4106FDDD0C24}"/>
    <cellStyle name="20% - Accent4 2 4 2 2 2 4 2" xfId="36918" xr:uid="{010D3BD2-D7F3-4AFF-93E8-BF512F2E8A27}"/>
    <cellStyle name="20% - Accent4 2 4 2 2 2 5" xfId="29314" xr:uid="{78CCD32F-33E7-4B8D-A676-7F3DF0319FF0}"/>
    <cellStyle name="20% - Accent4 2 4 2 2 3" xfId="4013" xr:uid="{00000000-0005-0000-0000-00003A050000}"/>
    <cellStyle name="20% - Accent4 2 4 2 2 3 2" xfId="4012" xr:uid="{00000000-0005-0000-0000-00003B050000}"/>
    <cellStyle name="20% - Accent4 2 4 2 2 3 2 2" xfId="21938" xr:uid="{3AEAC64C-AF01-4764-BAD1-EA10965A7FC0}"/>
    <cellStyle name="20% - Accent4 2 4 2 2 3 2 2 2" xfId="36914" xr:uid="{30AC8F7C-DFF9-4BEF-9F21-525774528BFD}"/>
    <cellStyle name="20% - Accent4 2 4 2 2 3 2 3" xfId="29310" xr:uid="{544484C3-724A-490B-B586-BF354F8A4555}"/>
    <cellStyle name="20% - Accent4 2 4 2 2 3 3" xfId="21939" xr:uid="{5E44CE0B-BCE6-4864-B3CC-4767959B885F}"/>
    <cellStyle name="20% - Accent4 2 4 2 2 3 3 2" xfId="36915" xr:uid="{EA1FCB1D-892D-4D63-A020-95D88CB2C727}"/>
    <cellStyle name="20% - Accent4 2 4 2 2 3 4" xfId="29311" xr:uid="{D129DAB4-0C7B-4597-9F6C-534E14323E2C}"/>
    <cellStyle name="20% - Accent4 2 4 2 2 4" xfId="4011" xr:uid="{00000000-0005-0000-0000-00003C050000}"/>
    <cellStyle name="20% - Accent4 2 4 2 2 4 2" xfId="21937" xr:uid="{BDA5E3BD-4C92-404A-A152-D4E39DB092A6}"/>
    <cellStyle name="20% - Accent4 2 4 2 2 4 2 2" xfId="36913" xr:uid="{65CFF764-28C6-43E4-B093-A64CD418FE33}"/>
    <cellStyle name="20% - Accent4 2 4 2 2 4 3" xfId="29309" xr:uid="{76FA402B-0D89-4FC0-BE81-BD06EE908B2B}"/>
    <cellStyle name="20% - Accent4 2 4 2 2 5" xfId="21943" xr:uid="{FB5EB01A-769D-4AE0-AAE8-D4FE1DA0A79F}"/>
    <cellStyle name="20% - Accent4 2 4 2 2 5 2" xfId="36919" xr:uid="{5455A6DC-E0F0-48A7-8966-3B195DE6C331}"/>
    <cellStyle name="20% - Accent4 2 4 2 2 6" xfId="29315" xr:uid="{7DED68E7-047B-42E4-AA2A-BC23A52C2727}"/>
    <cellStyle name="20% - Accent4 2 4 2 3" xfId="4010" xr:uid="{00000000-0005-0000-0000-00003D050000}"/>
    <cellStyle name="20% - Accent4 2 4 2 3 2" xfId="4009" xr:uid="{00000000-0005-0000-0000-00003E050000}"/>
    <cellStyle name="20% - Accent4 2 4 2 3 2 2" xfId="4008" xr:uid="{00000000-0005-0000-0000-00003F050000}"/>
    <cellStyle name="20% - Accent4 2 4 2 3 2 2 2" xfId="21934" xr:uid="{F1343DD2-6273-4109-B9DC-B916E57520D9}"/>
    <cellStyle name="20% - Accent4 2 4 2 3 2 2 2 2" xfId="36910" xr:uid="{99D8AD34-184A-4E00-A6C6-548A328FAD6A}"/>
    <cellStyle name="20% - Accent4 2 4 2 3 2 2 3" xfId="29306" xr:uid="{147247B2-4329-4973-AE48-CF03CB044419}"/>
    <cellStyle name="20% - Accent4 2 4 2 3 2 3" xfId="4007" xr:uid="{00000000-0005-0000-0000-000040050000}"/>
    <cellStyle name="20% - Accent4 2 4 2 3 2 3 2" xfId="21933" xr:uid="{7F9A98F0-5AA8-48D3-A226-E82F9D503A6F}"/>
    <cellStyle name="20% - Accent4 2 4 2 3 2 3 2 2" xfId="36909" xr:uid="{8FEF2DDE-F61F-4F59-B877-998D2B444923}"/>
    <cellStyle name="20% - Accent4 2 4 2 3 2 3 3" xfId="29305" xr:uid="{3166CC8B-54F8-4510-83E2-E43DE59C8646}"/>
    <cellStyle name="20% - Accent4 2 4 2 3 2 4" xfId="21935" xr:uid="{C05B29C1-FF09-4503-8094-F26EC1B83941}"/>
    <cellStyle name="20% - Accent4 2 4 2 3 2 4 2" xfId="36911" xr:uid="{1BD9A108-1FD3-4428-B324-D058F2D232C6}"/>
    <cellStyle name="20% - Accent4 2 4 2 3 2 5" xfId="29307" xr:uid="{B3D69396-80EF-4308-A209-EAA7281A6E1E}"/>
    <cellStyle name="20% - Accent4 2 4 2 3 3" xfId="4006" xr:uid="{00000000-0005-0000-0000-000041050000}"/>
    <cellStyle name="20% - Accent4 2 4 2 3 3 2" xfId="4005" xr:uid="{00000000-0005-0000-0000-000042050000}"/>
    <cellStyle name="20% - Accent4 2 4 2 3 3 2 2" xfId="21931" xr:uid="{B4CF9933-0F4D-474E-A5B1-BA67934EAD81}"/>
    <cellStyle name="20% - Accent4 2 4 2 3 3 2 2 2" xfId="36907" xr:uid="{15DD2C46-9127-47C0-B31C-DA168EC5135A}"/>
    <cellStyle name="20% - Accent4 2 4 2 3 3 2 3" xfId="29303" xr:uid="{66B907E5-66A7-4B8C-BA17-5EF8A700F79F}"/>
    <cellStyle name="20% - Accent4 2 4 2 3 3 3" xfId="21932" xr:uid="{6BD8BDA1-2624-4BE8-9F0D-69D79F58AEB1}"/>
    <cellStyle name="20% - Accent4 2 4 2 3 3 3 2" xfId="36908" xr:uid="{552289EB-87B3-44DF-AC71-BCEB7E5FF505}"/>
    <cellStyle name="20% - Accent4 2 4 2 3 3 4" xfId="29304" xr:uid="{AD56D786-B9B7-4AB1-89F3-B19BF1EDBFF1}"/>
    <cellStyle name="20% - Accent4 2 4 2 3 4" xfId="4004" xr:uid="{00000000-0005-0000-0000-000043050000}"/>
    <cellStyle name="20% - Accent4 2 4 2 3 4 2" xfId="21930" xr:uid="{8A27328A-84C4-4142-BA5F-E8105044C3A0}"/>
    <cellStyle name="20% - Accent4 2 4 2 3 4 2 2" xfId="36906" xr:uid="{953D29CF-4E87-459A-822E-3AAA66317E3F}"/>
    <cellStyle name="20% - Accent4 2 4 2 3 4 3" xfId="29302" xr:uid="{961A06AC-77CC-45B6-80FF-C2F52540B14A}"/>
    <cellStyle name="20% - Accent4 2 4 2 3 5" xfId="21936" xr:uid="{6A2DE109-7A53-4A65-9B96-FB6F7E5B4A04}"/>
    <cellStyle name="20% - Accent4 2 4 2 3 5 2" xfId="36912" xr:uid="{B4EA57AA-1645-4BF1-95F1-2DA25D46B8C2}"/>
    <cellStyle name="20% - Accent4 2 4 2 3 6" xfId="29308" xr:uid="{78EB11BC-AA66-4020-BCB0-E3667AC07695}"/>
    <cellStyle name="20% - Accent4 2 4 2 4" xfId="4003" xr:uid="{00000000-0005-0000-0000-000044050000}"/>
    <cellStyle name="20% - Accent4 2 4 2 4 2" xfId="4002" xr:uid="{00000000-0005-0000-0000-000045050000}"/>
    <cellStyle name="20% - Accent4 2 4 2 4 2 2" xfId="21928" xr:uid="{C2973E81-7583-4669-BE20-6206187FECF8}"/>
    <cellStyle name="20% - Accent4 2 4 2 4 2 2 2" xfId="36904" xr:uid="{0E895ABC-8949-490C-8C1D-E1CD2BD74256}"/>
    <cellStyle name="20% - Accent4 2 4 2 4 2 3" xfId="29300" xr:uid="{7AC237E4-25A4-43E4-97DA-8C5077E01134}"/>
    <cellStyle name="20% - Accent4 2 4 2 4 3" xfId="4001" xr:uid="{00000000-0005-0000-0000-000046050000}"/>
    <cellStyle name="20% - Accent4 2 4 2 4 3 2" xfId="21927" xr:uid="{54958563-DA0C-4A7F-A007-147247B6D27B}"/>
    <cellStyle name="20% - Accent4 2 4 2 4 3 2 2" xfId="36903" xr:uid="{23A87162-CEE6-4AA6-90BD-B39ACA823BC5}"/>
    <cellStyle name="20% - Accent4 2 4 2 4 3 3" xfId="29299" xr:uid="{6D4773E4-9F1F-469D-A47F-C770E1699D44}"/>
    <cellStyle name="20% - Accent4 2 4 2 4 4" xfId="21929" xr:uid="{5B9D3DC9-B799-41A5-B88D-49B973D45339}"/>
    <cellStyle name="20% - Accent4 2 4 2 4 4 2" xfId="36905" xr:uid="{F178702C-1A7E-49A0-928E-C2BC31579F21}"/>
    <cellStyle name="20% - Accent4 2 4 2 4 5" xfId="29301" xr:uid="{9D15FB7A-D209-49BE-AC41-BADBEFD4B093}"/>
    <cellStyle name="20% - Accent4 2 4 2 5" xfId="4000" xr:uid="{00000000-0005-0000-0000-000047050000}"/>
    <cellStyle name="20% - Accent4 2 4 2 5 2" xfId="21926" xr:uid="{E1BA8617-2C30-49C0-A721-227F67843BEC}"/>
    <cellStyle name="20% - Accent4 2 4 2 5 2 2" xfId="36902" xr:uid="{EE2447BC-1245-4326-850C-640EA80F5A66}"/>
    <cellStyle name="20% - Accent4 2 4 2 5 3" xfId="29298" xr:uid="{9F2D8AD7-934D-4D2E-8BCC-869F3B8C8CA0}"/>
    <cellStyle name="20% - Accent4 2 4 2 6" xfId="3999" xr:uid="{00000000-0005-0000-0000-000048050000}"/>
    <cellStyle name="20% - Accent4 2 4 2 6 2" xfId="3998" xr:uid="{00000000-0005-0000-0000-000049050000}"/>
    <cellStyle name="20% - Accent4 2 4 2 6 2 2" xfId="21924" xr:uid="{53790FEE-5300-4FA6-A3D6-6ACEB990057D}"/>
    <cellStyle name="20% - Accent4 2 4 2 6 2 2 2" xfId="36900" xr:uid="{C82629F5-0FC0-450D-92F7-E4249CBD23F1}"/>
    <cellStyle name="20% - Accent4 2 4 2 6 2 3" xfId="29296" xr:uid="{DD3AF67E-4DA9-44A1-87AB-44A1952A0991}"/>
    <cellStyle name="20% - Accent4 2 4 2 6 3" xfId="21925" xr:uid="{7F90CC2A-C344-4DD5-B251-A2D8C41AA89C}"/>
    <cellStyle name="20% - Accent4 2 4 2 6 3 2" xfId="36901" xr:uid="{AC06B345-DE0C-4997-BAD1-AEA40828796D}"/>
    <cellStyle name="20% - Accent4 2 4 2 6 4" xfId="29297" xr:uid="{8F937F6D-E4BB-4845-91F6-CB7B77A2C930}"/>
    <cellStyle name="20% - Accent4 2 4 2 7" xfId="3997" xr:uid="{00000000-0005-0000-0000-00004A050000}"/>
    <cellStyle name="20% - Accent4 2 4 2 7 2" xfId="21923" xr:uid="{04F0192E-8445-4708-BBB2-3CA80C4041B7}"/>
    <cellStyle name="20% - Accent4 2 4 2 7 2 2" xfId="36899" xr:uid="{AD8CF11D-57DD-4FDC-9539-30147772B35E}"/>
    <cellStyle name="20% - Accent4 2 4 2 7 3" xfId="29295" xr:uid="{9DA26AC8-5BD3-4DA9-86E1-9703E37C2191}"/>
    <cellStyle name="20% - Accent4 2 4 2 8" xfId="21944" xr:uid="{C1B1D382-C458-46C0-9826-5C83580416DD}"/>
    <cellStyle name="20% - Accent4 2 4 2 8 2" xfId="36920" xr:uid="{B8D0AA9B-D55D-42E1-9C09-0F29EE29C6E8}"/>
    <cellStyle name="20% - Accent4 2 4 2 9" xfId="29316" xr:uid="{3871115F-376B-48A0-8452-631012D4CEC1}"/>
    <cellStyle name="20% - Accent4 2 4 3" xfId="3996" xr:uid="{00000000-0005-0000-0000-00004B050000}"/>
    <cellStyle name="20% - Accent4 2 4 3 2" xfId="3995" xr:uid="{00000000-0005-0000-0000-00004C050000}"/>
    <cellStyle name="20% - Accent4 2 4 3 2 2" xfId="3994" xr:uid="{00000000-0005-0000-0000-00004D050000}"/>
    <cellStyle name="20% - Accent4 2 4 3 2 2 2" xfId="21920" xr:uid="{BF37D38B-17E6-453A-986F-E5D22013DFCC}"/>
    <cellStyle name="20% - Accent4 2 4 3 2 2 2 2" xfId="36896" xr:uid="{23A44C16-C29F-4101-9A33-4DC54D51B726}"/>
    <cellStyle name="20% - Accent4 2 4 3 2 2 3" xfId="29292" xr:uid="{F8E59C24-3378-4489-A85C-F6C1366CCF5E}"/>
    <cellStyle name="20% - Accent4 2 4 3 2 3" xfId="3993" xr:uid="{00000000-0005-0000-0000-00004E050000}"/>
    <cellStyle name="20% - Accent4 2 4 3 2 3 2" xfId="21919" xr:uid="{1730EA70-AA92-4223-9EE8-64F7F6B02FDB}"/>
    <cellStyle name="20% - Accent4 2 4 3 2 3 2 2" xfId="36895" xr:uid="{67F5B49C-A9C5-4DC5-99FF-9C102169FBCF}"/>
    <cellStyle name="20% - Accent4 2 4 3 2 3 3" xfId="29291" xr:uid="{73FFE773-D102-4D86-B7CD-59707927A5A6}"/>
    <cellStyle name="20% - Accent4 2 4 3 2 4" xfId="21921" xr:uid="{0927C1F2-314C-4F8C-82BE-289897472C5E}"/>
    <cellStyle name="20% - Accent4 2 4 3 2 4 2" xfId="36897" xr:uid="{1AA00809-D41D-4F09-8596-B6BBC2EE6B7F}"/>
    <cellStyle name="20% - Accent4 2 4 3 2 5" xfId="29293" xr:uid="{AE64D233-E293-47A2-B9B6-7EB3CBDF719E}"/>
    <cellStyle name="20% - Accent4 2 4 3 3" xfId="3992" xr:uid="{00000000-0005-0000-0000-00004F050000}"/>
    <cellStyle name="20% - Accent4 2 4 3 3 2" xfId="3991" xr:uid="{00000000-0005-0000-0000-000050050000}"/>
    <cellStyle name="20% - Accent4 2 4 3 3 2 2" xfId="21917" xr:uid="{70056A79-DE30-4296-844C-A2F5770BD4B0}"/>
    <cellStyle name="20% - Accent4 2 4 3 3 2 2 2" xfId="36893" xr:uid="{5255A46F-5075-4B29-94B4-CA9E8F763389}"/>
    <cellStyle name="20% - Accent4 2 4 3 3 2 3" xfId="29289" xr:uid="{3E073E0B-80B4-458D-8B11-970755F32560}"/>
    <cellStyle name="20% - Accent4 2 4 3 3 3" xfId="21918" xr:uid="{D0254270-36FC-44A3-BF2C-0FEBB5C847EA}"/>
    <cellStyle name="20% - Accent4 2 4 3 3 3 2" xfId="36894" xr:uid="{43F1DCFF-37E8-46F2-8356-E5FF8CBFB85A}"/>
    <cellStyle name="20% - Accent4 2 4 3 3 4" xfId="29290" xr:uid="{10145056-E485-4311-B31C-A21CA84E87B6}"/>
    <cellStyle name="20% - Accent4 2 4 3 4" xfId="3990" xr:uid="{00000000-0005-0000-0000-000051050000}"/>
    <cellStyle name="20% - Accent4 2 4 3 4 2" xfId="21916" xr:uid="{282B9E1B-0EAF-427D-8FC7-9374583A65E2}"/>
    <cellStyle name="20% - Accent4 2 4 3 4 2 2" xfId="36892" xr:uid="{57D301E4-C9F9-4C59-A832-D05CD99E6548}"/>
    <cellStyle name="20% - Accent4 2 4 3 4 3" xfId="29288" xr:uid="{BD012876-E355-4880-853A-BA2522D1A657}"/>
    <cellStyle name="20% - Accent4 2 4 3 5" xfId="21922" xr:uid="{1FB1BE65-1041-4026-9ED0-B627D2FF2537}"/>
    <cellStyle name="20% - Accent4 2 4 3 5 2" xfId="36898" xr:uid="{0B6CE9F5-05EE-439A-940C-590EFE0FE369}"/>
    <cellStyle name="20% - Accent4 2 4 3 6" xfId="29294" xr:uid="{63EE65F9-96DF-4DD2-BB0F-3160D42368C9}"/>
    <cellStyle name="20% - Accent4 2 4 4" xfId="3989" xr:uid="{00000000-0005-0000-0000-000052050000}"/>
    <cellStyle name="20% - Accent4 2 4 4 2" xfId="3988" xr:uid="{00000000-0005-0000-0000-000053050000}"/>
    <cellStyle name="20% - Accent4 2 4 4 2 2" xfId="3987" xr:uid="{00000000-0005-0000-0000-000054050000}"/>
    <cellStyle name="20% - Accent4 2 4 4 2 2 2" xfId="21913" xr:uid="{086B4534-2288-4F1E-978F-BBA1FCAC89A6}"/>
    <cellStyle name="20% - Accent4 2 4 4 2 2 2 2" xfId="36889" xr:uid="{CF5F2B5D-4F67-42DA-AB66-44BD6B982BAA}"/>
    <cellStyle name="20% - Accent4 2 4 4 2 2 3" xfId="29285" xr:uid="{FCFBE863-A517-4D15-A14D-CB231D9D10A1}"/>
    <cellStyle name="20% - Accent4 2 4 4 2 3" xfId="3986" xr:uid="{00000000-0005-0000-0000-000055050000}"/>
    <cellStyle name="20% - Accent4 2 4 4 2 3 2" xfId="21912" xr:uid="{6A07689A-3355-4BF0-9FD5-D86F09179CEE}"/>
    <cellStyle name="20% - Accent4 2 4 4 2 3 2 2" xfId="36888" xr:uid="{980BE15B-3A64-4016-A0CC-898252D6989C}"/>
    <cellStyle name="20% - Accent4 2 4 4 2 3 3" xfId="29284" xr:uid="{17579BFF-B6BD-4CF3-B40B-393EB8865CDF}"/>
    <cellStyle name="20% - Accent4 2 4 4 2 4" xfId="21914" xr:uid="{211E6F89-86F0-4D47-A704-FD296A3D4AA7}"/>
    <cellStyle name="20% - Accent4 2 4 4 2 4 2" xfId="36890" xr:uid="{7F6C3032-7C8B-426C-A644-DE89EFC37CD8}"/>
    <cellStyle name="20% - Accent4 2 4 4 2 5" xfId="29286" xr:uid="{F7B42613-8735-4E19-A657-5FC24DD41CE0}"/>
    <cellStyle name="20% - Accent4 2 4 4 3" xfId="3985" xr:uid="{00000000-0005-0000-0000-000056050000}"/>
    <cellStyle name="20% - Accent4 2 4 4 3 2" xfId="3984" xr:uid="{00000000-0005-0000-0000-000057050000}"/>
    <cellStyle name="20% - Accent4 2 4 4 3 2 2" xfId="21910" xr:uid="{261F7B6C-70FF-4618-B0B2-ABBCFCCFA426}"/>
    <cellStyle name="20% - Accent4 2 4 4 3 2 2 2" xfId="36886" xr:uid="{C43E531A-9D65-4D74-885E-C00CA5FCEE49}"/>
    <cellStyle name="20% - Accent4 2 4 4 3 2 3" xfId="29282" xr:uid="{248F998E-CA2C-4A01-80FD-FB02F8C0AB05}"/>
    <cellStyle name="20% - Accent4 2 4 4 3 3" xfId="21911" xr:uid="{4687DC51-05CF-4A0F-B692-2912A9D2821B}"/>
    <cellStyle name="20% - Accent4 2 4 4 3 3 2" xfId="36887" xr:uid="{89828F4B-344A-48D6-8666-E1F7ADE60E30}"/>
    <cellStyle name="20% - Accent4 2 4 4 3 4" xfId="29283" xr:uid="{0E351BEF-AF8B-4C3A-B5CD-F024E3716D4C}"/>
    <cellStyle name="20% - Accent4 2 4 4 4" xfId="3983" xr:uid="{00000000-0005-0000-0000-000058050000}"/>
    <cellStyle name="20% - Accent4 2 4 4 4 2" xfId="21909" xr:uid="{DBDB919E-D086-47B1-A4CF-7256BE39A3B6}"/>
    <cellStyle name="20% - Accent4 2 4 4 4 2 2" xfId="36885" xr:uid="{A587D50C-692F-4387-A818-4D399DB99C21}"/>
    <cellStyle name="20% - Accent4 2 4 4 4 3" xfId="29281" xr:uid="{F7FE15F0-D816-4B0E-ABFE-3AFD15BAD49A}"/>
    <cellStyle name="20% - Accent4 2 4 4 5" xfId="21915" xr:uid="{6603D15F-9D66-4ADE-A48C-61BE67F72F10}"/>
    <cellStyle name="20% - Accent4 2 4 4 5 2" xfId="36891" xr:uid="{66A58C5E-D518-4969-B8A1-C92E13353AB2}"/>
    <cellStyle name="20% - Accent4 2 4 4 6" xfId="29287" xr:uid="{97ABFF4A-294F-4436-A9E0-3AE1EFE2800D}"/>
    <cellStyle name="20% - Accent4 2 4 5" xfId="3982" xr:uid="{00000000-0005-0000-0000-000059050000}"/>
    <cellStyle name="20% - Accent4 2 4 5 2" xfId="3981" xr:uid="{00000000-0005-0000-0000-00005A050000}"/>
    <cellStyle name="20% - Accent4 2 4 5 2 2" xfId="21907" xr:uid="{78FB540D-6943-42E3-85C5-E921CC064E68}"/>
    <cellStyle name="20% - Accent4 2 4 5 2 2 2" xfId="36883" xr:uid="{C94DEAF6-DC94-4E16-B0E8-1E9066452B4B}"/>
    <cellStyle name="20% - Accent4 2 4 5 2 3" xfId="29279" xr:uid="{4DCC7B7A-B2C9-4F7C-8FF2-F1294E392029}"/>
    <cellStyle name="20% - Accent4 2 4 5 3" xfId="3980" xr:uid="{00000000-0005-0000-0000-00005B050000}"/>
    <cellStyle name="20% - Accent4 2 4 5 3 2" xfId="21906" xr:uid="{E18FE44C-80D0-462E-A7F2-CDACB59F52DC}"/>
    <cellStyle name="20% - Accent4 2 4 5 3 2 2" xfId="36882" xr:uid="{2188E06F-153C-45F0-9C53-8BCD6D4B4D76}"/>
    <cellStyle name="20% - Accent4 2 4 5 3 3" xfId="29278" xr:uid="{983D0699-3935-458B-9AC7-67389FA76736}"/>
    <cellStyle name="20% - Accent4 2 4 5 4" xfId="21908" xr:uid="{A1FBDFA0-0A3E-40D3-98D2-2B74F2E90A73}"/>
    <cellStyle name="20% - Accent4 2 4 5 4 2" xfId="36884" xr:uid="{A202D1EA-9D9C-4474-80AB-6D9110C4071E}"/>
    <cellStyle name="20% - Accent4 2 4 5 5" xfId="29280" xr:uid="{38C55DCD-2CCA-4CC9-9B19-A0B3F9912C77}"/>
    <cellStyle name="20% - Accent4 2 4 6" xfId="3979" xr:uid="{00000000-0005-0000-0000-00005C050000}"/>
    <cellStyle name="20% - Accent4 2 4 6 2" xfId="21905" xr:uid="{EFFB01CC-6EEF-4737-9196-11AA1AFF2264}"/>
    <cellStyle name="20% - Accent4 2 4 6 2 2" xfId="36881" xr:uid="{9B7C48E3-96DE-4485-BAB3-C127EC82AFF2}"/>
    <cellStyle name="20% - Accent4 2 4 6 3" xfId="29277" xr:uid="{65617BD3-8303-44C6-B813-DBCD1A00CD12}"/>
    <cellStyle name="20% - Accent4 2 4 7" xfId="3978" xr:uid="{00000000-0005-0000-0000-00005D050000}"/>
    <cellStyle name="20% - Accent4 2 4 7 2" xfId="3977" xr:uid="{00000000-0005-0000-0000-00005E050000}"/>
    <cellStyle name="20% - Accent4 2 4 7 2 2" xfId="21903" xr:uid="{B2D76EBE-7031-4FC0-ADE4-3EAE566E68E7}"/>
    <cellStyle name="20% - Accent4 2 4 7 2 2 2" xfId="36879" xr:uid="{238EFF66-6E5D-4EEF-8613-52B251DA274A}"/>
    <cellStyle name="20% - Accent4 2 4 7 2 3" xfId="29275" xr:uid="{16466DDF-E0CA-466A-AF7B-D245588CE0F5}"/>
    <cellStyle name="20% - Accent4 2 4 7 3" xfId="21904" xr:uid="{F67091F3-723B-4E59-AB8D-9B7BE6CB6202}"/>
    <cellStyle name="20% - Accent4 2 4 7 3 2" xfId="36880" xr:uid="{F33F08F6-85B7-46CE-8406-71CFBF657B14}"/>
    <cellStyle name="20% - Accent4 2 4 7 4" xfId="29276" xr:uid="{D473FA7C-5437-4236-878E-BF1D1DE33EA7}"/>
    <cellStyle name="20% - Accent4 2 4 8" xfId="3976" xr:uid="{00000000-0005-0000-0000-00005F050000}"/>
    <cellStyle name="20% - Accent4 2 4 8 2" xfId="21902" xr:uid="{9E23675C-AF32-43A5-BC6F-A932CAAC9161}"/>
    <cellStyle name="20% - Accent4 2 4 8 2 2" xfId="36878" xr:uid="{4B69ADD4-333C-4599-9662-713F29F8EDD5}"/>
    <cellStyle name="20% - Accent4 2 4 8 3" xfId="29274" xr:uid="{9CF8190A-0615-4EDE-B9AC-2D2813EB2E60}"/>
    <cellStyle name="20% - Accent4 2 4 9" xfId="21945" xr:uid="{8406D82D-E603-4F33-9A8F-56066286CB1C}"/>
    <cellStyle name="20% - Accent4 2 4 9 2" xfId="36921" xr:uid="{541E653F-A12D-4705-89B6-001CE0F64BF0}"/>
    <cellStyle name="20% - Accent4 2 5" xfId="3975" xr:uid="{00000000-0005-0000-0000-000060050000}"/>
    <cellStyle name="20% - Accent4 2 5 10" xfId="29273" xr:uid="{A520E2E9-E4AB-45EF-A6FE-685C4380E4C0}"/>
    <cellStyle name="20% - Accent4 2 5 2" xfId="3974" xr:uid="{00000000-0005-0000-0000-000061050000}"/>
    <cellStyle name="20% - Accent4 2 5 2 2" xfId="3973" xr:uid="{00000000-0005-0000-0000-000062050000}"/>
    <cellStyle name="20% - Accent4 2 5 2 2 2" xfId="3972" xr:uid="{00000000-0005-0000-0000-000063050000}"/>
    <cellStyle name="20% - Accent4 2 5 2 2 2 2" xfId="3971" xr:uid="{00000000-0005-0000-0000-000064050000}"/>
    <cellStyle name="20% - Accent4 2 5 2 2 2 2 2" xfId="21897" xr:uid="{551DA701-09D5-44BC-B062-471DCFE79B0B}"/>
    <cellStyle name="20% - Accent4 2 5 2 2 2 2 2 2" xfId="36873" xr:uid="{8C7E677F-ECC0-4A4C-A4E6-5D04D1464FCC}"/>
    <cellStyle name="20% - Accent4 2 5 2 2 2 2 3" xfId="29269" xr:uid="{C3175C4A-BDD9-43A7-AD7E-31E077213D58}"/>
    <cellStyle name="20% - Accent4 2 5 2 2 2 3" xfId="3970" xr:uid="{00000000-0005-0000-0000-000065050000}"/>
    <cellStyle name="20% - Accent4 2 5 2 2 2 3 2" xfId="21896" xr:uid="{9B3AF500-882C-4405-97C0-43C921E8567B}"/>
    <cellStyle name="20% - Accent4 2 5 2 2 2 3 2 2" xfId="36872" xr:uid="{C02E1FA6-A6AF-4250-B782-3AFEB0F194BF}"/>
    <cellStyle name="20% - Accent4 2 5 2 2 2 3 3" xfId="29268" xr:uid="{804BE0CB-7D22-4A93-8AD8-E7EA56995549}"/>
    <cellStyle name="20% - Accent4 2 5 2 2 2 4" xfId="21898" xr:uid="{40FCDD69-58F4-463C-94F5-9ED739D8FB29}"/>
    <cellStyle name="20% - Accent4 2 5 2 2 2 4 2" xfId="36874" xr:uid="{7603EF97-C831-4FAF-884F-814E24BF8223}"/>
    <cellStyle name="20% - Accent4 2 5 2 2 2 5" xfId="29270" xr:uid="{83FE7BFD-695A-48D6-B043-ED85C88BC770}"/>
    <cellStyle name="20% - Accent4 2 5 2 2 3" xfId="3969" xr:uid="{00000000-0005-0000-0000-000066050000}"/>
    <cellStyle name="20% - Accent4 2 5 2 2 3 2" xfId="3968" xr:uid="{00000000-0005-0000-0000-000067050000}"/>
    <cellStyle name="20% - Accent4 2 5 2 2 3 2 2" xfId="21894" xr:uid="{F8C1FEFA-3BDE-4BC7-A527-8CC1183735C9}"/>
    <cellStyle name="20% - Accent4 2 5 2 2 3 2 2 2" xfId="36870" xr:uid="{1486DD80-B2E3-4494-8725-15FA3F5689F1}"/>
    <cellStyle name="20% - Accent4 2 5 2 2 3 2 3" xfId="29266" xr:uid="{405080E3-DFF0-4A38-9D8F-FE2E332A62DC}"/>
    <cellStyle name="20% - Accent4 2 5 2 2 3 3" xfId="21895" xr:uid="{FD474832-1FF1-494F-A5B4-18E4D4FC6DC6}"/>
    <cellStyle name="20% - Accent4 2 5 2 2 3 3 2" xfId="36871" xr:uid="{FFF0BAAB-6CDC-416F-B259-34E07FF0CB8C}"/>
    <cellStyle name="20% - Accent4 2 5 2 2 3 4" xfId="29267" xr:uid="{C50B4D2D-DCC0-449E-9C13-BD8744BBB1E8}"/>
    <cellStyle name="20% - Accent4 2 5 2 2 4" xfId="3967" xr:uid="{00000000-0005-0000-0000-000068050000}"/>
    <cellStyle name="20% - Accent4 2 5 2 2 4 2" xfId="21893" xr:uid="{8145AE1B-A6FF-4BD6-B4E0-F5F701FD1657}"/>
    <cellStyle name="20% - Accent4 2 5 2 2 4 2 2" xfId="36869" xr:uid="{6D2213DD-8507-4C62-AFDB-772A5DAD8D46}"/>
    <cellStyle name="20% - Accent4 2 5 2 2 4 3" xfId="29265" xr:uid="{A82C2545-0677-455C-A6A6-FECEB31994CC}"/>
    <cellStyle name="20% - Accent4 2 5 2 2 5" xfId="21899" xr:uid="{B59B8F98-00F4-43F9-B4EE-447A03FAD2B8}"/>
    <cellStyle name="20% - Accent4 2 5 2 2 5 2" xfId="36875" xr:uid="{888B013B-9B00-419C-AE5D-2FC3105338D0}"/>
    <cellStyle name="20% - Accent4 2 5 2 2 6" xfId="29271" xr:uid="{06382E5A-62C9-445F-9FA8-D2FB842AB39E}"/>
    <cellStyle name="20% - Accent4 2 5 2 3" xfId="3966" xr:uid="{00000000-0005-0000-0000-000069050000}"/>
    <cellStyle name="20% - Accent4 2 5 2 3 2" xfId="3965" xr:uid="{00000000-0005-0000-0000-00006A050000}"/>
    <cellStyle name="20% - Accent4 2 5 2 3 2 2" xfId="3964" xr:uid="{00000000-0005-0000-0000-00006B050000}"/>
    <cellStyle name="20% - Accent4 2 5 2 3 2 2 2" xfId="21890" xr:uid="{6F8A03B8-B82D-4264-9666-B5A25FD84993}"/>
    <cellStyle name="20% - Accent4 2 5 2 3 2 2 2 2" xfId="36866" xr:uid="{BBCA1793-1B44-4CD0-A931-99D4E82FE687}"/>
    <cellStyle name="20% - Accent4 2 5 2 3 2 2 3" xfId="29262" xr:uid="{B0BDAC9B-1301-4BFF-92C6-1ECF8F995BB9}"/>
    <cellStyle name="20% - Accent4 2 5 2 3 2 3" xfId="3963" xr:uid="{00000000-0005-0000-0000-00006C050000}"/>
    <cellStyle name="20% - Accent4 2 5 2 3 2 3 2" xfId="21889" xr:uid="{14A05559-6073-4420-8466-0F45CFA5C123}"/>
    <cellStyle name="20% - Accent4 2 5 2 3 2 3 2 2" xfId="36865" xr:uid="{5A59217B-0A95-43C0-B740-DBF7EFE1A7B8}"/>
    <cellStyle name="20% - Accent4 2 5 2 3 2 3 3" xfId="29261" xr:uid="{574D9937-949C-4F0A-94E3-83C9928DDCD4}"/>
    <cellStyle name="20% - Accent4 2 5 2 3 2 4" xfId="21891" xr:uid="{16338E45-7B3B-4047-9A92-1FC433448995}"/>
    <cellStyle name="20% - Accent4 2 5 2 3 2 4 2" xfId="36867" xr:uid="{1A22585D-CC4B-453E-A30F-66D907CB8F1D}"/>
    <cellStyle name="20% - Accent4 2 5 2 3 2 5" xfId="29263" xr:uid="{D86592D0-5FC8-4149-B541-6ACC66D52037}"/>
    <cellStyle name="20% - Accent4 2 5 2 3 3" xfId="3962" xr:uid="{00000000-0005-0000-0000-00006D050000}"/>
    <cellStyle name="20% - Accent4 2 5 2 3 3 2" xfId="3961" xr:uid="{00000000-0005-0000-0000-00006E050000}"/>
    <cellStyle name="20% - Accent4 2 5 2 3 3 2 2" xfId="21887" xr:uid="{6C58B0D7-422B-4844-A58A-C3194DDC8DA8}"/>
    <cellStyle name="20% - Accent4 2 5 2 3 3 2 2 2" xfId="36863" xr:uid="{DE87C724-EC95-4DB1-8707-CB95E38F5E4A}"/>
    <cellStyle name="20% - Accent4 2 5 2 3 3 2 3" xfId="29259" xr:uid="{7B599FED-5C1D-4C83-9550-D4EC2908F464}"/>
    <cellStyle name="20% - Accent4 2 5 2 3 3 3" xfId="21888" xr:uid="{908372F3-E55C-4CFF-8B3D-CFEBBC0410E9}"/>
    <cellStyle name="20% - Accent4 2 5 2 3 3 3 2" xfId="36864" xr:uid="{455C9321-6A83-4255-A868-7858F089D591}"/>
    <cellStyle name="20% - Accent4 2 5 2 3 3 4" xfId="29260" xr:uid="{FFF22AF4-D138-4327-9CAE-0232083607ED}"/>
    <cellStyle name="20% - Accent4 2 5 2 3 4" xfId="3960" xr:uid="{00000000-0005-0000-0000-00006F050000}"/>
    <cellStyle name="20% - Accent4 2 5 2 3 4 2" xfId="21886" xr:uid="{DC429540-D149-4335-9960-0868C6EF57FA}"/>
    <cellStyle name="20% - Accent4 2 5 2 3 4 2 2" xfId="36862" xr:uid="{6C45E9FC-DF5E-41B2-949A-5591715A3255}"/>
    <cellStyle name="20% - Accent4 2 5 2 3 4 3" xfId="29258" xr:uid="{3C02ACB7-1330-4905-85A1-1F12AE005269}"/>
    <cellStyle name="20% - Accent4 2 5 2 3 5" xfId="21892" xr:uid="{D5DAE033-B34C-4018-A835-FEB740A6C6BA}"/>
    <cellStyle name="20% - Accent4 2 5 2 3 5 2" xfId="36868" xr:uid="{24E80F42-1848-4AC8-8BB1-4DC193B83B16}"/>
    <cellStyle name="20% - Accent4 2 5 2 3 6" xfId="29264" xr:uid="{90D97846-E302-4505-B4CE-D02821D64C46}"/>
    <cellStyle name="20% - Accent4 2 5 2 4" xfId="3959" xr:uid="{00000000-0005-0000-0000-000070050000}"/>
    <cellStyle name="20% - Accent4 2 5 2 4 2" xfId="3958" xr:uid="{00000000-0005-0000-0000-000071050000}"/>
    <cellStyle name="20% - Accent4 2 5 2 4 2 2" xfId="21884" xr:uid="{D4B600A2-1497-45A8-9BAA-721106FB5F2F}"/>
    <cellStyle name="20% - Accent4 2 5 2 4 2 2 2" xfId="36860" xr:uid="{507D9331-EC03-4685-AF49-6C005A7DD176}"/>
    <cellStyle name="20% - Accent4 2 5 2 4 2 3" xfId="29256" xr:uid="{99B8D497-45D6-4E84-83E1-861C1F768461}"/>
    <cellStyle name="20% - Accent4 2 5 2 4 3" xfId="3957" xr:uid="{00000000-0005-0000-0000-000072050000}"/>
    <cellStyle name="20% - Accent4 2 5 2 4 3 2" xfId="21883" xr:uid="{7EFCE0AB-22A0-42E5-AF93-EECDAAADF159}"/>
    <cellStyle name="20% - Accent4 2 5 2 4 3 2 2" xfId="36859" xr:uid="{51973AE6-AB2C-42E3-A7E8-A570ED1CDD3E}"/>
    <cellStyle name="20% - Accent4 2 5 2 4 3 3" xfId="29255" xr:uid="{D4CC0477-52EA-4DE4-9672-15EF57FD6BDB}"/>
    <cellStyle name="20% - Accent4 2 5 2 4 4" xfId="21885" xr:uid="{D86C2DD7-F388-40F8-811F-DF4CCEE14A89}"/>
    <cellStyle name="20% - Accent4 2 5 2 4 4 2" xfId="36861" xr:uid="{7ED75CBC-35D4-4DB8-B24E-64AF43B2EBC8}"/>
    <cellStyle name="20% - Accent4 2 5 2 4 5" xfId="29257" xr:uid="{8D500C51-345E-44A3-AE2F-060C4514955E}"/>
    <cellStyle name="20% - Accent4 2 5 2 5" xfId="3956" xr:uid="{00000000-0005-0000-0000-000073050000}"/>
    <cellStyle name="20% - Accent4 2 5 2 5 2" xfId="21882" xr:uid="{10748660-A8D4-483F-B600-615E738922D6}"/>
    <cellStyle name="20% - Accent4 2 5 2 5 2 2" xfId="36858" xr:uid="{83F2EEB0-E469-4514-8340-C87AA20FF1E9}"/>
    <cellStyle name="20% - Accent4 2 5 2 5 3" xfId="29254" xr:uid="{AC2EB70C-82D8-4C85-9159-4D942C72EFED}"/>
    <cellStyle name="20% - Accent4 2 5 2 6" xfId="3955" xr:uid="{00000000-0005-0000-0000-000074050000}"/>
    <cellStyle name="20% - Accent4 2 5 2 6 2" xfId="3954" xr:uid="{00000000-0005-0000-0000-000075050000}"/>
    <cellStyle name="20% - Accent4 2 5 2 6 2 2" xfId="21880" xr:uid="{56A28984-8F89-4257-ABAE-4E5915D26307}"/>
    <cellStyle name="20% - Accent4 2 5 2 6 2 2 2" xfId="36856" xr:uid="{D37152D1-3C4A-467C-B2FA-916C94ED3C41}"/>
    <cellStyle name="20% - Accent4 2 5 2 6 2 3" xfId="29252" xr:uid="{80F5F019-E3CD-4692-B0A4-74F000F34B13}"/>
    <cellStyle name="20% - Accent4 2 5 2 6 3" xfId="21881" xr:uid="{77CCABED-7A5A-4B68-AE92-6AD9B1172DAF}"/>
    <cellStyle name="20% - Accent4 2 5 2 6 3 2" xfId="36857" xr:uid="{666250A5-A0E4-4D2C-9A83-3805992877A9}"/>
    <cellStyle name="20% - Accent4 2 5 2 6 4" xfId="29253" xr:uid="{78A7C570-E437-46CF-A479-5CA1EF86EA37}"/>
    <cellStyle name="20% - Accent4 2 5 2 7" xfId="3953" xr:uid="{00000000-0005-0000-0000-000076050000}"/>
    <cellStyle name="20% - Accent4 2 5 2 7 2" xfId="21879" xr:uid="{04AE0A39-A769-4B0F-9A7E-506082E78AC4}"/>
    <cellStyle name="20% - Accent4 2 5 2 7 2 2" xfId="36855" xr:uid="{E3E6B857-4915-4BE1-A4B4-5D86040D5AEA}"/>
    <cellStyle name="20% - Accent4 2 5 2 7 3" xfId="29251" xr:uid="{482198F7-1047-43DE-9F66-DF15A8ADB07D}"/>
    <cellStyle name="20% - Accent4 2 5 2 8" xfId="21900" xr:uid="{8124AC1D-B5BC-4E79-8135-56D05692E309}"/>
    <cellStyle name="20% - Accent4 2 5 2 8 2" xfId="36876" xr:uid="{1DA68889-F6DB-42B9-8982-3962037511B5}"/>
    <cellStyle name="20% - Accent4 2 5 2 9" xfId="29272" xr:uid="{0E6624DF-5772-4FFD-9F67-EF973F894CCA}"/>
    <cellStyle name="20% - Accent4 2 5 3" xfId="3952" xr:uid="{00000000-0005-0000-0000-000077050000}"/>
    <cellStyle name="20% - Accent4 2 5 3 2" xfId="3951" xr:uid="{00000000-0005-0000-0000-000078050000}"/>
    <cellStyle name="20% - Accent4 2 5 3 2 2" xfId="3950" xr:uid="{00000000-0005-0000-0000-000079050000}"/>
    <cellStyle name="20% - Accent4 2 5 3 2 2 2" xfId="21876" xr:uid="{495A7007-B4A6-4F93-934B-293F74B67AB5}"/>
    <cellStyle name="20% - Accent4 2 5 3 2 2 2 2" xfId="36852" xr:uid="{0A05EE0E-5049-400C-A420-A96BFB45C843}"/>
    <cellStyle name="20% - Accent4 2 5 3 2 2 3" xfId="29248" xr:uid="{FF86F0B4-A725-4E2E-972E-E3B23601C756}"/>
    <cellStyle name="20% - Accent4 2 5 3 2 3" xfId="3949" xr:uid="{00000000-0005-0000-0000-00007A050000}"/>
    <cellStyle name="20% - Accent4 2 5 3 2 3 2" xfId="21875" xr:uid="{B67C7522-AF78-4005-B05F-A85E4754F8F4}"/>
    <cellStyle name="20% - Accent4 2 5 3 2 3 2 2" xfId="36851" xr:uid="{21BC53C4-8030-4D35-A04B-89D00B7043B1}"/>
    <cellStyle name="20% - Accent4 2 5 3 2 3 3" xfId="29247" xr:uid="{BCA3A1BD-6DBD-456A-A5A5-86F8BE216BAA}"/>
    <cellStyle name="20% - Accent4 2 5 3 2 4" xfId="21877" xr:uid="{24C9AA59-29D8-420D-BCDF-7A20833C2D8C}"/>
    <cellStyle name="20% - Accent4 2 5 3 2 4 2" xfId="36853" xr:uid="{C7603C4A-80C4-44F7-9D71-009F69EC6650}"/>
    <cellStyle name="20% - Accent4 2 5 3 2 5" xfId="29249" xr:uid="{7D68084F-0E40-4970-B329-68BE89746D47}"/>
    <cellStyle name="20% - Accent4 2 5 3 3" xfId="3948" xr:uid="{00000000-0005-0000-0000-00007B050000}"/>
    <cellStyle name="20% - Accent4 2 5 3 3 2" xfId="3947" xr:uid="{00000000-0005-0000-0000-00007C050000}"/>
    <cellStyle name="20% - Accent4 2 5 3 3 2 2" xfId="21873" xr:uid="{398F312A-A8DB-4C94-ABCE-D3858E44C0A4}"/>
    <cellStyle name="20% - Accent4 2 5 3 3 2 2 2" xfId="36849" xr:uid="{CEBB1E12-A2DD-4CDC-8705-7EC42AA8A640}"/>
    <cellStyle name="20% - Accent4 2 5 3 3 2 3" xfId="29245" xr:uid="{4CCD3AB5-8EC4-4A36-AF3A-F010D026E511}"/>
    <cellStyle name="20% - Accent4 2 5 3 3 3" xfId="21874" xr:uid="{D25F3428-913E-4F45-BA21-9DEE094A01D5}"/>
    <cellStyle name="20% - Accent4 2 5 3 3 3 2" xfId="36850" xr:uid="{2B715521-25EF-44A7-AA34-304109B79B54}"/>
    <cellStyle name="20% - Accent4 2 5 3 3 4" xfId="29246" xr:uid="{2D93B17C-AC26-4F66-9DF7-912BEDA25B4A}"/>
    <cellStyle name="20% - Accent4 2 5 3 4" xfId="3946" xr:uid="{00000000-0005-0000-0000-00007D050000}"/>
    <cellStyle name="20% - Accent4 2 5 3 4 2" xfId="21872" xr:uid="{D801EBD5-6AC6-41B3-B585-A1CFDA53D83C}"/>
    <cellStyle name="20% - Accent4 2 5 3 4 2 2" xfId="36848" xr:uid="{B7497EE5-26C3-4218-B89B-B58E84FF81CD}"/>
    <cellStyle name="20% - Accent4 2 5 3 4 3" xfId="29244" xr:uid="{CF44848E-8E81-4388-BA1F-40BAAD3C5963}"/>
    <cellStyle name="20% - Accent4 2 5 3 5" xfId="21878" xr:uid="{84C55F3E-5B81-490F-9DF1-6C01FF293B7F}"/>
    <cellStyle name="20% - Accent4 2 5 3 5 2" xfId="36854" xr:uid="{B7DBB7EF-7F38-47D7-A043-3F6A5152372E}"/>
    <cellStyle name="20% - Accent4 2 5 3 6" xfId="29250" xr:uid="{F685BE65-AE6A-4EF6-9F9C-8D2C7A5CB5D0}"/>
    <cellStyle name="20% - Accent4 2 5 4" xfId="3945" xr:uid="{00000000-0005-0000-0000-00007E050000}"/>
    <cellStyle name="20% - Accent4 2 5 4 2" xfId="3944" xr:uid="{00000000-0005-0000-0000-00007F050000}"/>
    <cellStyle name="20% - Accent4 2 5 4 2 2" xfId="3943" xr:uid="{00000000-0005-0000-0000-000080050000}"/>
    <cellStyle name="20% - Accent4 2 5 4 2 2 2" xfId="21869" xr:uid="{6F0870ED-3AE1-48DE-806F-B5EDB1823140}"/>
    <cellStyle name="20% - Accent4 2 5 4 2 2 2 2" xfId="36845" xr:uid="{8CAA3DA9-7BB8-4647-BC61-841683D71BD6}"/>
    <cellStyle name="20% - Accent4 2 5 4 2 2 3" xfId="29241" xr:uid="{4583CE2D-7EDA-4919-9032-6660A0700D79}"/>
    <cellStyle name="20% - Accent4 2 5 4 2 3" xfId="3942" xr:uid="{00000000-0005-0000-0000-000081050000}"/>
    <cellStyle name="20% - Accent4 2 5 4 2 3 2" xfId="21868" xr:uid="{8100F55C-2A3A-4C19-8689-F859F3944053}"/>
    <cellStyle name="20% - Accent4 2 5 4 2 3 2 2" xfId="36844" xr:uid="{637892E3-7BDD-4336-BD2D-339CEF9C32DE}"/>
    <cellStyle name="20% - Accent4 2 5 4 2 3 3" xfId="29240" xr:uid="{A06B7DF0-1EE6-4E6D-A0ED-43FEC9A9BC99}"/>
    <cellStyle name="20% - Accent4 2 5 4 2 4" xfId="21870" xr:uid="{48D241C8-2EBC-492D-82D2-4D8120FD574D}"/>
    <cellStyle name="20% - Accent4 2 5 4 2 4 2" xfId="36846" xr:uid="{87EC5854-4936-45F8-BC5B-A8BC80360D4E}"/>
    <cellStyle name="20% - Accent4 2 5 4 2 5" xfId="29242" xr:uid="{5AC45A2E-4DEF-4529-98D4-F269407D5EB8}"/>
    <cellStyle name="20% - Accent4 2 5 4 3" xfId="3941" xr:uid="{00000000-0005-0000-0000-000082050000}"/>
    <cellStyle name="20% - Accent4 2 5 4 3 2" xfId="3940" xr:uid="{00000000-0005-0000-0000-000083050000}"/>
    <cellStyle name="20% - Accent4 2 5 4 3 2 2" xfId="21866" xr:uid="{77C6C6F5-DDBE-4345-A724-78AEADFD47F7}"/>
    <cellStyle name="20% - Accent4 2 5 4 3 2 2 2" xfId="36842" xr:uid="{62A45173-58DF-422A-B10C-7A8731B35B71}"/>
    <cellStyle name="20% - Accent4 2 5 4 3 2 3" xfId="29238" xr:uid="{144927F4-C174-451E-AF44-710149040458}"/>
    <cellStyle name="20% - Accent4 2 5 4 3 3" xfId="21867" xr:uid="{CB12A176-068F-4D7A-A863-C33414748575}"/>
    <cellStyle name="20% - Accent4 2 5 4 3 3 2" xfId="36843" xr:uid="{17321139-B69E-4256-9844-9C2F01057E23}"/>
    <cellStyle name="20% - Accent4 2 5 4 3 4" xfId="29239" xr:uid="{0B2F591E-129E-4098-A9EB-63BD92E322B7}"/>
    <cellStyle name="20% - Accent4 2 5 4 4" xfId="3939" xr:uid="{00000000-0005-0000-0000-000084050000}"/>
    <cellStyle name="20% - Accent4 2 5 4 4 2" xfId="21865" xr:uid="{E9DF4082-E115-458F-B344-BE8C6CB8778E}"/>
    <cellStyle name="20% - Accent4 2 5 4 4 2 2" xfId="36841" xr:uid="{64D99848-6501-4FFD-BAFF-8534FC705FCC}"/>
    <cellStyle name="20% - Accent4 2 5 4 4 3" xfId="29237" xr:uid="{60F9FD10-1B63-4B7E-A2F1-2DF5AF98C5A9}"/>
    <cellStyle name="20% - Accent4 2 5 4 5" xfId="21871" xr:uid="{38AD9106-BCB6-4AF0-80FD-95662CFA64A7}"/>
    <cellStyle name="20% - Accent4 2 5 4 5 2" xfId="36847" xr:uid="{1F9D4220-B81C-4320-BBB2-5F6298331619}"/>
    <cellStyle name="20% - Accent4 2 5 4 6" xfId="29243" xr:uid="{92D4D9B0-2FFA-4FB3-B12C-CC4C5730BF8F}"/>
    <cellStyle name="20% - Accent4 2 5 5" xfId="3938" xr:uid="{00000000-0005-0000-0000-000085050000}"/>
    <cellStyle name="20% - Accent4 2 5 5 2" xfId="3937" xr:uid="{00000000-0005-0000-0000-000086050000}"/>
    <cellStyle name="20% - Accent4 2 5 5 2 2" xfId="21863" xr:uid="{4F474289-07E8-4395-8F60-36EF8746AADB}"/>
    <cellStyle name="20% - Accent4 2 5 5 2 2 2" xfId="36839" xr:uid="{52A7A42B-3FDE-423F-9014-ED4D59DFCF5E}"/>
    <cellStyle name="20% - Accent4 2 5 5 2 3" xfId="29235" xr:uid="{B4A74323-3F20-417F-A44B-D8A816C743CC}"/>
    <cellStyle name="20% - Accent4 2 5 5 3" xfId="3936" xr:uid="{00000000-0005-0000-0000-000087050000}"/>
    <cellStyle name="20% - Accent4 2 5 5 3 2" xfId="21862" xr:uid="{502E822E-E03E-4D87-BDDB-6ED0E6ABC8E8}"/>
    <cellStyle name="20% - Accent4 2 5 5 3 2 2" xfId="36838" xr:uid="{2D6AB843-131D-4975-883B-2EA5EDF91B25}"/>
    <cellStyle name="20% - Accent4 2 5 5 3 3" xfId="29234" xr:uid="{C3B66ACD-E38C-44D8-9C37-F8173FA325A2}"/>
    <cellStyle name="20% - Accent4 2 5 5 4" xfId="21864" xr:uid="{56FA8681-EE4C-46C4-90B8-D1E11C922372}"/>
    <cellStyle name="20% - Accent4 2 5 5 4 2" xfId="36840" xr:uid="{7B6537A8-9612-4860-B427-B9DDB7A7A6CE}"/>
    <cellStyle name="20% - Accent4 2 5 5 5" xfId="29236" xr:uid="{2F9286E9-DAC1-42DB-B4A3-F640BD666959}"/>
    <cellStyle name="20% - Accent4 2 5 6" xfId="3935" xr:uid="{00000000-0005-0000-0000-000088050000}"/>
    <cellStyle name="20% - Accent4 2 5 6 2" xfId="21861" xr:uid="{0FF03A7C-BE74-4027-A888-F0F336744C4F}"/>
    <cellStyle name="20% - Accent4 2 5 6 2 2" xfId="36837" xr:uid="{F7B916DB-9151-477A-82F2-1D9832143A0D}"/>
    <cellStyle name="20% - Accent4 2 5 6 3" xfId="29233" xr:uid="{4F7FA5B5-92CE-4DC6-99A8-8C01D6CB4707}"/>
    <cellStyle name="20% - Accent4 2 5 7" xfId="3934" xr:uid="{00000000-0005-0000-0000-000089050000}"/>
    <cellStyle name="20% - Accent4 2 5 7 2" xfId="3933" xr:uid="{00000000-0005-0000-0000-00008A050000}"/>
    <cellStyle name="20% - Accent4 2 5 7 2 2" xfId="21859" xr:uid="{59255FA9-ACD1-465C-B21C-1550719AC463}"/>
    <cellStyle name="20% - Accent4 2 5 7 2 2 2" xfId="36835" xr:uid="{873EF097-320A-4983-9EFC-C547B5870F16}"/>
    <cellStyle name="20% - Accent4 2 5 7 2 3" xfId="29231" xr:uid="{7DF3CE89-4B6E-4787-A921-99354EB8B5AC}"/>
    <cellStyle name="20% - Accent4 2 5 7 3" xfId="21860" xr:uid="{EDE471F8-4567-4433-97D6-7E259FDE3DB2}"/>
    <cellStyle name="20% - Accent4 2 5 7 3 2" xfId="36836" xr:uid="{1E8BF75C-2C89-4785-9705-FF4590788E29}"/>
    <cellStyle name="20% - Accent4 2 5 7 4" xfId="29232" xr:uid="{5EB8155A-AF9D-474A-BB8A-2BEE500D7B68}"/>
    <cellStyle name="20% - Accent4 2 5 8" xfId="3932" xr:uid="{00000000-0005-0000-0000-00008B050000}"/>
    <cellStyle name="20% - Accent4 2 5 8 2" xfId="21858" xr:uid="{33A7270A-6842-401C-93D1-E63F094ABF42}"/>
    <cellStyle name="20% - Accent4 2 5 8 2 2" xfId="36834" xr:uid="{988E841E-641C-4125-9FB0-B61E608EC71D}"/>
    <cellStyle name="20% - Accent4 2 5 8 3" xfId="29230" xr:uid="{993FD0C6-7038-44EE-9B5C-259106B47F78}"/>
    <cellStyle name="20% - Accent4 2 5 9" xfId="21901" xr:uid="{280BB519-1CC9-4B1E-8704-F72EBDB37309}"/>
    <cellStyle name="20% - Accent4 2 5 9 2" xfId="36877" xr:uid="{214142EA-ACAC-4458-BE3E-BC7B46EED0C7}"/>
    <cellStyle name="20% - Accent4 2 6" xfId="3931" xr:uid="{00000000-0005-0000-0000-00008C050000}"/>
    <cellStyle name="20% - Accent4 2 6 10" xfId="29229" xr:uid="{C7FA53C6-48F5-4D38-B73F-99A695240BEB}"/>
    <cellStyle name="20% - Accent4 2 6 2" xfId="3930" xr:uid="{00000000-0005-0000-0000-00008D050000}"/>
    <cellStyle name="20% - Accent4 2 6 2 2" xfId="3929" xr:uid="{00000000-0005-0000-0000-00008E050000}"/>
    <cellStyle name="20% - Accent4 2 6 2 2 2" xfId="3928" xr:uid="{00000000-0005-0000-0000-00008F050000}"/>
    <cellStyle name="20% - Accent4 2 6 2 2 2 2" xfId="3927" xr:uid="{00000000-0005-0000-0000-000090050000}"/>
    <cellStyle name="20% - Accent4 2 6 2 2 2 2 2" xfId="21853" xr:uid="{DA890B72-276A-40AB-8D0A-E8E41350E196}"/>
    <cellStyle name="20% - Accent4 2 6 2 2 2 2 2 2" xfId="36829" xr:uid="{C14F75CF-69BF-48C2-BDAD-9C2C69682ED2}"/>
    <cellStyle name="20% - Accent4 2 6 2 2 2 2 3" xfId="29225" xr:uid="{8CAF3AA6-B222-4BDA-93CB-18B049B5DC04}"/>
    <cellStyle name="20% - Accent4 2 6 2 2 2 3" xfId="3926" xr:uid="{00000000-0005-0000-0000-000091050000}"/>
    <cellStyle name="20% - Accent4 2 6 2 2 2 3 2" xfId="21852" xr:uid="{156C17D2-A018-4F48-88F1-0E49C5592EF7}"/>
    <cellStyle name="20% - Accent4 2 6 2 2 2 3 2 2" xfId="36828" xr:uid="{BE1CF281-C926-46EB-AFEA-5032D8928EF9}"/>
    <cellStyle name="20% - Accent4 2 6 2 2 2 3 3" xfId="29224" xr:uid="{3CFCADD5-44EE-4632-B499-F01C9CF88010}"/>
    <cellStyle name="20% - Accent4 2 6 2 2 2 4" xfId="21854" xr:uid="{AC396071-FB4E-4F53-9EC7-616D3FA0D3CD}"/>
    <cellStyle name="20% - Accent4 2 6 2 2 2 4 2" xfId="36830" xr:uid="{C738D5F8-7D06-44DF-B2A5-B0E239C93229}"/>
    <cellStyle name="20% - Accent4 2 6 2 2 2 5" xfId="29226" xr:uid="{F13981E7-8034-49C5-A882-9A1599C4C015}"/>
    <cellStyle name="20% - Accent4 2 6 2 2 3" xfId="3925" xr:uid="{00000000-0005-0000-0000-000092050000}"/>
    <cellStyle name="20% - Accent4 2 6 2 2 3 2" xfId="3924" xr:uid="{00000000-0005-0000-0000-000093050000}"/>
    <cellStyle name="20% - Accent4 2 6 2 2 3 2 2" xfId="21850" xr:uid="{10F0600F-DED1-4F30-9930-9EB783BBCF33}"/>
    <cellStyle name="20% - Accent4 2 6 2 2 3 2 2 2" xfId="36826" xr:uid="{85C6A629-DB94-4EF0-AF9B-95C0C1D182E5}"/>
    <cellStyle name="20% - Accent4 2 6 2 2 3 2 3" xfId="29222" xr:uid="{55C81872-E759-4458-8CF3-64A9D6C943D6}"/>
    <cellStyle name="20% - Accent4 2 6 2 2 3 3" xfId="21851" xr:uid="{E7200B26-BEBA-484F-9C39-E602974935EF}"/>
    <cellStyle name="20% - Accent4 2 6 2 2 3 3 2" xfId="36827" xr:uid="{5788C6DA-CBC8-4269-A1AE-CCC41C62D70E}"/>
    <cellStyle name="20% - Accent4 2 6 2 2 3 4" xfId="29223" xr:uid="{3B5E163E-59A5-4908-BCE2-D6C01AC43084}"/>
    <cellStyle name="20% - Accent4 2 6 2 2 4" xfId="3923" xr:uid="{00000000-0005-0000-0000-000094050000}"/>
    <cellStyle name="20% - Accent4 2 6 2 2 4 2" xfId="21849" xr:uid="{4C617C36-BE0F-4C37-B51B-19202852184A}"/>
    <cellStyle name="20% - Accent4 2 6 2 2 4 2 2" xfId="36825" xr:uid="{E3681EF9-FBEB-4EB4-B06B-82ADA0740ABA}"/>
    <cellStyle name="20% - Accent4 2 6 2 2 4 3" xfId="29221" xr:uid="{6C8499CD-31F7-4B2A-BD12-982521C645A0}"/>
    <cellStyle name="20% - Accent4 2 6 2 2 5" xfId="21855" xr:uid="{73785890-4418-4D3B-B34B-9DFB07233FFF}"/>
    <cellStyle name="20% - Accent4 2 6 2 2 5 2" xfId="36831" xr:uid="{F5D78E6A-4843-4629-BEFD-09B2B7C9DD60}"/>
    <cellStyle name="20% - Accent4 2 6 2 2 6" xfId="29227" xr:uid="{ECB222D3-AB93-4EF0-94B8-65229A943D83}"/>
    <cellStyle name="20% - Accent4 2 6 2 3" xfId="3922" xr:uid="{00000000-0005-0000-0000-000095050000}"/>
    <cellStyle name="20% - Accent4 2 6 2 3 2" xfId="3921" xr:uid="{00000000-0005-0000-0000-000096050000}"/>
    <cellStyle name="20% - Accent4 2 6 2 3 2 2" xfId="3920" xr:uid="{00000000-0005-0000-0000-000097050000}"/>
    <cellStyle name="20% - Accent4 2 6 2 3 2 2 2" xfId="21846" xr:uid="{3AEE7190-CC43-45E5-94A5-9ABDFA16A4C4}"/>
    <cellStyle name="20% - Accent4 2 6 2 3 2 2 2 2" xfId="36822" xr:uid="{9929FB3F-22CA-41DC-8BD0-78A6E23164F5}"/>
    <cellStyle name="20% - Accent4 2 6 2 3 2 2 3" xfId="29218" xr:uid="{27E10238-3080-43B9-BCDB-8AAB2641AD28}"/>
    <cellStyle name="20% - Accent4 2 6 2 3 2 3" xfId="3919" xr:uid="{00000000-0005-0000-0000-000098050000}"/>
    <cellStyle name="20% - Accent4 2 6 2 3 2 3 2" xfId="21845" xr:uid="{3B6888ED-C23D-4E66-BB31-FCF7F8B0A140}"/>
    <cellStyle name="20% - Accent4 2 6 2 3 2 3 2 2" xfId="36821" xr:uid="{F778CD02-A980-456C-9407-30DA338D0BB8}"/>
    <cellStyle name="20% - Accent4 2 6 2 3 2 3 3" xfId="29217" xr:uid="{0FAADEDE-1D70-4EDC-B318-19B233EFCC04}"/>
    <cellStyle name="20% - Accent4 2 6 2 3 2 4" xfId="21847" xr:uid="{4E3449A4-6E31-40C2-98EE-7E92C0FAC38A}"/>
    <cellStyle name="20% - Accent4 2 6 2 3 2 4 2" xfId="36823" xr:uid="{BE5818C3-0966-4BC1-A819-AD078AC130BF}"/>
    <cellStyle name="20% - Accent4 2 6 2 3 2 5" xfId="29219" xr:uid="{9B7B8A6B-45AC-4B8C-A938-44704C027E06}"/>
    <cellStyle name="20% - Accent4 2 6 2 3 3" xfId="3918" xr:uid="{00000000-0005-0000-0000-000099050000}"/>
    <cellStyle name="20% - Accent4 2 6 2 3 3 2" xfId="3917" xr:uid="{00000000-0005-0000-0000-00009A050000}"/>
    <cellStyle name="20% - Accent4 2 6 2 3 3 2 2" xfId="21843" xr:uid="{DD9AE4D3-1F09-47FD-A57F-A2AF42635594}"/>
    <cellStyle name="20% - Accent4 2 6 2 3 3 2 2 2" xfId="36819" xr:uid="{A649EF6C-FB66-4860-9BA0-7B2EEBBB267D}"/>
    <cellStyle name="20% - Accent4 2 6 2 3 3 2 3" xfId="29215" xr:uid="{25161619-5D3E-44B1-9674-5F7588151F80}"/>
    <cellStyle name="20% - Accent4 2 6 2 3 3 3" xfId="21844" xr:uid="{19092D96-365B-4A45-975D-8895ED3834BA}"/>
    <cellStyle name="20% - Accent4 2 6 2 3 3 3 2" xfId="36820" xr:uid="{35C750D4-4529-4B2D-AA5C-1AC1DCF275C1}"/>
    <cellStyle name="20% - Accent4 2 6 2 3 3 4" xfId="29216" xr:uid="{F650A29D-DBA0-4E17-9F05-E76D1965B61F}"/>
    <cellStyle name="20% - Accent4 2 6 2 3 4" xfId="3916" xr:uid="{00000000-0005-0000-0000-00009B050000}"/>
    <cellStyle name="20% - Accent4 2 6 2 3 4 2" xfId="21842" xr:uid="{35C58469-A7B1-425F-8893-E58480D4469D}"/>
    <cellStyle name="20% - Accent4 2 6 2 3 4 2 2" xfId="36818" xr:uid="{CEDAA7AA-C405-4B93-BB72-2623A20EB69F}"/>
    <cellStyle name="20% - Accent4 2 6 2 3 4 3" xfId="29214" xr:uid="{B487F580-BFC7-4F81-A77C-5A00A7788802}"/>
    <cellStyle name="20% - Accent4 2 6 2 3 5" xfId="21848" xr:uid="{0426E5C2-1A95-48AF-AD36-86F3BFFCA854}"/>
    <cellStyle name="20% - Accent4 2 6 2 3 5 2" xfId="36824" xr:uid="{4599E6A5-E915-458D-8461-7F2942A5D587}"/>
    <cellStyle name="20% - Accent4 2 6 2 3 6" xfId="29220" xr:uid="{DCDB45F3-2A1E-4593-8824-DE2115D69F18}"/>
    <cellStyle name="20% - Accent4 2 6 2 4" xfId="3915" xr:uid="{00000000-0005-0000-0000-00009C050000}"/>
    <cellStyle name="20% - Accent4 2 6 2 4 2" xfId="3914" xr:uid="{00000000-0005-0000-0000-00009D050000}"/>
    <cellStyle name="20% - Accent4 2 6 2 4 2 2" xfId="21840" xr:uid="{0BFA32E3-E235-4C40-8290-D49BC742E1D8}"/>
    <cellStyle name="20% - Accent4 2 6 2 4 2 2 2" xfId="36816" xr:uid="{150595BB-A8D2-42E6-86A7-69BBB749F564}"/>
    <cellStyle name="20% - Accent4 2 6 2 4 2 3" xfId="29212" xr:uid="{4E89FBE0-3839-4E3A-8E27-32415B0AEFE6}"/>
    <cellStyle name="20% - Accent4 2 6 2 4 3" xfId="3913" xr:uid="{00000000-0005-0000-0000-00009E050000}"/>
    <cellStyle name="20% - Accent4 2 6 2 4 3 2" xfId="21839" xr:uid="{52730EB6-6EA2-4F18-A7EA-88D308A5F989}"/>
    <cellStyle name="20% - Accent4 2 6 2 4 3 2 2" xfId="36815" xr:uid="{F4FF6308-DE67-4249-818A-CD2E4E3FF691}"/>
    <cellStyle name="20% - Accent4 2 6 2 4 3 3" xfId="29211" xr:uid="{49F0D6D0-D5ED-4B7F-B8F3-8DBD2508A027}"/>
    <cellStyle name="20% - Accent4 2 6 2 4 4" xfId="21841" xr:uid="{A320E62E-8503-4FA2-84E5-4B3F13C944ED}"/>
    <cellStyle name="20% - Accent4 2 6 2 4 4 2" xfId="36817" xr:uid="{D549AFAA-7035-48FB-A43B-379C0D36101E}"/>
    <cellStyle name="20% - Accent4 2 6 2 4 5" xfId="29213" xr:uid="{62F65A9F-B251-48CD-A50D-C3843EF95C75}"/>
    <cellStyle name="20% - Accent4 2 6 2 5" xfId="3912" xr:uid="{00000000-0005-0000-0000-00009F050000}"/>
    <cellStyle name="20% - Accent4 2 6 2 5 2" xfId="21838" xr:uid="{B3E08BCB-3D64-4725-AF0E-38923390EFA3}"/>
    <cellStyle name="20% - Accent4 2 6 2 5 2 2" xfId="36814" xr:uid="{5463078B-09AE-4D70-BF8A-36E59139B77C}"/>
    <cellStyle name="20% - Accent4 2 6 2 5 3" xfId="29210" xr:uid="{B435D0EE-460E-4B71-AD31-325FA050B4AF}"/>
    <cellStyle name="20% - Accent4 2 6 2 6" xfId="3911" xr:uid="{00000000-0005-0000-0000-0000A0050000}"/>
    <cellStyle name="20% - Accent4 2 6 2 6 2" xfId="3910" xr:uid="{00000000-0005-0000-0000-0000A1050000}"/>
    <cellStyle name="20% - Accent4 2 6 2 6 2 2" xfId="21836" xr:uid="{E90A6AB1-CC56-4229-8263-BE4540287F04}"/>
    <cellStyle name="20% - Accent4 2 6 2 6 2 2 2" xfId="36812" xr:uid="{C5AFCEF2-ADDE-4DB3-8750-A93E87DAD9D9}"/>
    <cellStyle name="20% - Accent4 2 6 2 6 2 3" xfId="29208" xr:uid="{950FCEE2-C8A1-4529-AFB9-890EB7BE4139}"/>
    <cellStyle name="20% - Accent4 2 6 2 6 3" xfId="21837" xr:uid="{CC45835B-299F-4450-9BD7-38FE6B4CF622}"/>
    <cellStyle name="20% - Accent4 2 6 2 6 3 2" xfId="36813" xr:uid="{15B76FA5-B485-4960-A13A-3926E015B9F4}"/>
    <cellStyle name="20% - Accent4 2 6 2 6 4" xfId="29209" xr:uid="{6E946D09-0A60-4E81-8902-88D006228D2C}"/>
    <cellStyle name="20% - Accent4 2 6 2 7" xfId="3909" xr:uid="{00000000-0005-0000-0000-0000A2050000}"/>
    <cellStyle name="20% - Accent4 2 6 2 7 2" xfId="21835" xr:uid="{85B9BDF4-C3F9-4F8D-8063-33B88600579D}"/>
    <cellStyle name="20% - Accent4 2 6 2 7 2 2" xfId="36811" xr:uid="{8BE188E2-B859-4395-9852-93C6D65FD225}"/>
    <cellStyle name="20% - Accent4 2 6 2 7 3" xfId="29207" xr:uid="{D28904ED-FEF3-49D3-8343-72B808CF93DC}"/>
    <cellStyle name="20% - Accent4 2 6 2 8" xfId="21856" xr:uid="{A89F45B1-12D3-474E-B1A9-B46F550D92A8}"/>
    <cellStyle name="20% - Accent4 2 6 2 8 2" xfId="36832" xr:uid="{F03C5068-7B3D-428A-BF89-505A659DC92E}"/>
    <cellStyle name="20% - Accent4 2 6 2 9" xfId="29228" xr:uid="{96FE9049-CB10-4FFE-AE82-E3CF3C2B1A4C}"/>
    <cellStyle name="20% - Accent4 2 6 3" xfId="3908" xr:uid="{00000000-0005-0000-0000-0000A3050000}"/>
    <cellStyle name="20% - Accent4 2 6 3 2" xfId="3907" xr:uid="{00000000-0005-0000-0000-0000A4050000}"/>
    <cellStyle name="20% - Accent4 2 6 3 2 2" xfId="3906" xr:uid="{00000000-0005-0000-0000-0000A5050000}"/>
    <cellStyle name="20% - Accent4 2 6 3 2 2 2" xfId="21832" xr:uid="{03B8CEC6-5165-43CC-9E6D-D2045FD8048C}"/>
    <cellStyle name="20% - Accent4 2 6 3 2 2 2 2" xfId="36808" xr:uid="{ADEABB43-C25F-4BFF-A19D-63E22672FE83}"/>
    <cellStyle name="20% - Accent4 2 6 3 2 2 3" xfId="29204" xr:uid="{5B67138F-AF62-4DB2-B1E2-248B590E2512}"/>
    <cellStyle name="20% - Accent4 2 6 3 2 3" xfId="3905" xr:uid="{00000000-0005-0000-0000-0000A6050000}"/>
    <cellStyle name="20% - Accent4 2 6 3 2 3 2" xfId="21831" xr:uid="{945163D3-2EFB-4F56-8E81-34CF9C2CFE93}"/>
    <cellStyle name="20% - Accent4 2 6 3 2 3 2 2" xfId="36807" xr:uid="{EA97F828-509D-46C6-83E8-8FD00118DCE7}"/>
    <cellStyle name="20% - Accent4 2 6 3 2 3 3" xfId="29203" xr:uid="{B63B9FEB-1B45-459C-A55C-462C1FDBE17C}"/>
    <cellStyle name="20% - Accent4 2 6 3 2 4" xfId="21833" xr:uid="{5D00F624-8BD4-4095-AA81-3495C29CE101}"/>
    <cellStyle name="20% - Accent4 2 6 3 2 4 2" xfId="36809" xr:uid="{919F16D1-22A6-43F8-B05E-64A7A3B7CEBF}"/>
    <cellStyle name="20% - Accent4 2 6 3 2 5" xfId="29205" xr:uid="{33A8E6A5-F4FF-40E5-9DC6-0CFEA25FEDCD}"/>
    <cellStyle name="20% - Accent4 2 6 3 3" xfId="3904" xr:uid="{00000000-0005-0000-0000-0000A7050000}"/>
    <cellStyle name="20% - Accent4 2 6 3 3 2" xfId="3903" xr:uid="{00000000-0005-0000-0000-0000A8050000}"/>
    <cellStyle name="20% - Accent4 2 6 3 3 2 2" xfId="21829" xr:uid="{5836FE76-50B2-4F34-9C77-BBCBFA1724DA}"/>
    <cellStyle name="20% - Accent4 2 6 3 3 2 2 2" xfId="36805" xr:uid="{C585DA40-516C-45C4-B274-D060D38B9853}"/>
    <cellStyle name="20% - Accent4 2 6 3 3 2 3" xfId="29201" xr:uid="{91302552-6B47-44BF-A9DB-F0DED489759A}"/>
    <cellStyle name="20% - Accent4 2 6 3 3 3" xfId="21830" xr:uid="{0FFE3570-E171-4A5A-8FF3-745E3EFA9DE8}"/>
    <cellStyle name="20% - Accent4 2 6 3 3 3 2" xfId="36806" xr:uid="{2C549BC3-BF63-4245-91CA-EF3B57B5F013}"/>
    <cellStyle name="20% - Accent4 2 6 3 3 4" xfId="29202" xr:uid="{9AED1C48-4439-4955-BB4F-EC99C311C896}"/>
    <cellStyle name="20% - Accent4 2 6 3 4" xfId="3902" xr:uid="{00000000-0005-0000-0000-0000A9050000}"/>
    <cellStyle name="20% - Accent4 2 6 3 4 2" xfId="21828" xr:uid="{62F88F6B-A3DB-4D6D-8420-FF0ECDA5CCCC}"/>
    <cellStyle name="20% - Accent4 2 6 3 4 2 2" xfId="36804" xr:uid="{6F37EABD-B0F0-4383-B45E-D1CAA1EE63BB}"/>
    <cellStyle name="20% - Accent4 2 6 3 4 3" xfId="29200" xr:uid="{EF384FA9-6042-468A-857B-2FC27B625B20}"/>
    <cellStyle name="20% - Accent4 2 6 3 5" xfId="21834" xr:uid="{E1BB381B-06E1-4B30-BE6E-B4FDCD3B1941}"/>
    <cellStyle name="20% - Accent4 2 6 3 5 2" xfId="36810" xr:uid="{BA32A352-770F-4107-906F-8EBEA85A7D4E}"/>
    <cellStyle name="20% - Accent4 2 6 3 6" xfId="29206" xr:uid="{8A821BE1-CA25-46A8-83D4-D77241D158E8}"/>
    <cellStyle name="20% - Accent4 2 6 4" xfId="3901" xr:uid="{00000000-0005-0000-0000-0000AA050000}"/>
    <cellStyle name="20% - Accent4 2 6 4 2" xfId="3900" xr:uid="{00000000-0005-0000-0000-0000AB050000}"/>
    <cellStyle name="20% - Accent4 2 6 4 2 2" xfId="3899" xr:uid="{00000000-0005-0000-0000-0000AC050000}"/>
    <cellStyle name="20% - Accent4 2 6 4 2 2 2" xfId="21825" xr:uid="{090D20BE-43FA-41D2-BC37-E1F4E80C9211}"/>
    <cellStyle name="20% - Accent4 2 6 4 2 2 2 2" xfId="36801" xr:uid="{17B9C99F-23BC-4D75-B895-330DBEA212C4}"/>
    <cellStyle name="20% - Accent4 2 6 4 2 2 3" xfId="29197" xr:uid="{34032000-858D-4C91-9644-258A7A1AC246}"/>
    <cellStyle name="20% - Accent4 2 6 4 2 3" xfId="3898" xr:uid="{00000000-0005-0000-0000-0000AD050000}"/>
    <cellStyle name="20% - Accent4 2 6 4 2 3 2" xfId="21824" xr:uid="{B0A081BD-A2CF-495C-ADA4-894234D7E4B3}"/>
    <cellStyle name="20% - Accent4 2 6 4 2 3 2 2" xfId="36800" xr:uid="{623C503A-98D3-4060-B0A3-775FB2058028}"/>
    <cellStyle name="20% - Accent4 2 6 4 2 3 3" xfId="29196" xr:uid="{0AB7FD1B-23C4-4BF4-898E-E58FB01C28A6}"/>
    <cellStyle name="20% - Accent4 2 6 4 2 4" xfId="21826" xr:uid="{A906A115-52F8-45A3-A877-8E1742040522}"/>
    <cellStyle name="20% - Accent4 2 6 4 2 4 2" xfId="36802" xr:uid="{95671852-248A-4383-9F7A-945054A1CCBA}"/>
    <cellStyle name="20% - Accent4 2 6 4 2 5" xfId="29198" xr:uid="{B623A57A-1C81-4CEB-88FE-3D2AB0BD5082}"/>
    <cellStyle name="20% - Accent4 2 6 4 3" xfId="3897" xr:uid="{00000000-0005-0000-0000-0000AE050000}"/>
    <cellStyle name="20% - Accent4 2 6 4 3 2" xfId="3896" xr:uid="{00000000-0005-0000-0000-0000AF050000}"/>
    <cellStyle name="20% - Accent4 2 6 4 3 2 2" xfId="21822" xr:uid="{6DD0C91E-EB99-493E-8DD3-690D765F79B7}"/>
    <cellStyle name="20% - Accent4 2 6 4 3 2 2 2" xfId="36798" xr:uid="{104FB533-58A0-47B7-861D-A4522B385535}"/>
    <cellStyle name="20% - Accent4 2 6 4 3 2 3" xfId="29194" xr:uid="{CCF6A659-1695-4BF1-A063-AD09D1E885FA}"/>
    <cellStyle name="20% - Accent4 2 6 4 3 3" xfId="21823" xr:uid="{384065C3-0CD3-4050-BC56-9FA14CD043E3}"/>
    <cellStyle name="20% - Accent4 2 6 4 3 3 2" xfId="36799" xr:uid="{6E713A90-1ADA-44E4-B946-B8AFF50E795A}"/>
    <cellStyle name="20% - Accent4 2 6 4 3 4" xfId="29195" xr:uid="{D65BD784-0DC4-4600-8A9C-15AC2C1F5E59}"/>
    <cellStyle name="20% - Accent4 2 6 4 4" xfId="3895" xr:uid="{00000000-0005-0000-0000-0000B0050000}"/>
    <cellStyle name="20% - Accent4 2 6 4 4 2" xfId="21821" xr:uid="{AC10DA3B-9AB0-4A5E-A32B-189702BCBBE8}"/>
    <cellStyle name="20% - Accent4 2 6 4 4 2 2" xfId="36797" xr:uid="{39DC21E1-A9F6-444A-9B9F-31A77301B754}"/>
    <cellStyle name="20% - Accent4 2 6 4 4 3" xfId="29193" xr:uid="{3FB7B6C0-FD36-4041-B84E-84ED3EE73A63}"/>
    <cellStyle name="20% - Accent4 2 6 4 5" xfId="21827" xr:uid="{97CDAEED-7651-40AE-B1D9-0F8C706684E2}"/>
    <cellStyle name="20% - Accent4 2 6 4 5 2" xfId="36803" xr:uid="{6327B0FE-13F1-4C8F-B685-F57E95000656}"/>
    <cellStyle name="20% - Accent4 2 6 4 6" xfId="29199" xr:uid="{1EE4F0A6-8B4F-4F0B-ADA4-5D4D9C08A7D9}"/>
    <cellStyle name="20% - Accent4 2 6 5" xfId="3894" xr:uid="{00000000-0005-0000-0000-0000B1050000}"/>
    <cellStyle name="20% - Accent4 2 6 5 2" xfId="3893" xr:uid="{00000000-0005-0000-0000-0000B2050000}"/>
    <cellStyle name="20% - Accent4 2 6 5 2 2" xfId="21819" xr:uid="{BD8757D2-A57B-4FA3-820E-2966003EEE3C}"/>
    <cellStyle name="20% - Accent4 2 6 5 2 2 2" xfId="36795" xr:uid="{BDA69694-B30B-4B98-B820-36322BF72D6F}"/>
    <cellStyle name="20% - Accent4 2 6 5 2 3" xfId="29191" xr:uid="{5642074F-53C5-494E-9144-7C4DF6D69628}"/>
    <cellStyle name="20% - Accent4 2 6 5 3" xfId="3892" xr:uid="{00000000-0005-0000-0000-0000B3050000}"/>
    <cellStyle name="20% - Accent4 2 6 5 3 2" xfId="21818" xr:uid="{3C68610D-F3AC-4EBC-BE44-A9197BA44455}"/>
    <cellStyle name="20% - Accent4 2 6 5 3 2 2" xfId="36794" xr:uid="{76CF3CE1-E6D4-410B-9536-7BA510A8ABB5}"/>
    <cellStyle name="20% - Accent4 2 6 5 3 3" xfId="29190" xr:uid="{72571A79-C14E-40C5-A295-E5F3EB3E9091}"/>
    <cellStyle name="20% - Accent4 2 6 5 4" xfId="21820" xr:uid="{63489BB3-4039-41A4-BBEE-662A585615F4}"/>
    <cellStyle name="20% - Accent4 2 6 5 4 2" xfId="36796" xr:uid="{669E3774-5881-48D1-B03B-222389013D1F}"/>
    <cellStyle name="20% - Accent4 2 6 5 5" xfId="29192" xr:uid="{0B4A46FD-7728-4A34-97A0-E2042CC05679}"/>
    <cellStyle name="20% - Accent4 2 6 6" xfId="3891" xr:uid="{00000000-0005-0000-0000-0000B4050000}"/>
    <cellStyle name="20% - Accent4 2 6 6 2" xfId="21817" xr:uid="{C417C033-0E7D-4B1B-BCF3-21F3BDFC63D6}"/>
    <cellStyle name="20% - Accent4 2 6 6 2 2" xfId="36793" xr:uid="{0FB56386-FD41-4DD5-A565-3D4E593314DD}"/>
    <cellStyle name="20% - Accent4 2 6 6 3" xfId="29189" xr:uid="{12F72D03-5959-49AC-915E-5050667C629A}"/>
    <cellStyle name="20% - Accent4 2 6 7" xfId="3890" xr:uid="{00000000-0005-0000-0000-0000B5050000}"/>
    <cellStyle name="20% - Accent4 2 6 7 2" xfId="3889" xr:uid="{00000000-0005-0000-0000-0000B6050000}"/>
    <cellStyle name="20% - Accent4 2 6 7 2 2" xfId="21815" xr:uid="{2F38648E-4174-4D37-8B7F-5504B89381E6}"/>
    <cellStyle name="20% - Accent4 2 6 7 2 2 2" xfId="36791" xr:uid="{10A9CF16-84E4-452D-8D30-ACC381C63E23}"/>
    <cellStyle name="20% - Accent4 2 6 7 2 3" xfId="29187" xr:uid="{A33A5F98-061B-468D-AE24-C03FA63E1560}"/>
    <cellStyle name="20% - Accent4 2 6 7 3" xfId="21816" xr:uid="{F0C5EA9D-6426-4708-8FD1-DAC4B1FD33A6}"/>
    <cellStyle name="20% - Accent4 2 6 7 3 2" xfId="36792" xr:uid="{B443726B-3F14-4476-9DB8-C09ADFFAB6BB}"/>
    <cellStyle name="20% - Accent4 2 6 7 4" xfId="29188" xr:uid="{5C7EA24E-71D8-4697-87AF-77120C268007}"/>
    <cellStyle name="20% - Accent4 2 6 8" xfId="3888" xr:uid="{00000000-0005-0000-0000-0000B7050000}"/>
    <cellStyle name="20% - Accent4 2 6 8 2" xfId="21814" xr:uid="{A2C70144-473B-47D4-A129-4211EAE62770}"/>
    <cellStyle name="20% - Accent4 2 6 8 2 2" xfId="36790" xr:uid="{663EEE9C-CA96-4FD1-9D18-8B3985612CCD}"/>
    <cellStyle name="20% - Accent4 2 6 8 3" xfId="29186" xr:uid="{5ED38C4D-C15A-4A0B-B7FD-D28E63693A06}"/>
    <cellStyle name="20% - Accent4 2 6 9" xfId="21857" xr:uid="{6E3188B8-0F69-431E-9E4C-D0BFC8264803}"/>
    <cellStyle name="20% - Accent4 2 6 9 2" xfId="36833" xr:uid="{F1B51535-7B64-4F15-A6A5-DC8B5C93F89A}"/>
    <cellStyle name="20% - Accent4 2 7" xfId="3887" xr:uid="{00000000-0005-0000-0000-0000B8050000}"/>
    <cellStyle name="20% - Accent4 2 7 2" xfId="3886" xr:uid="{00000000-0005-0000-0000-0000B9050000}"/>
    <cellStyle name="20% - Accent4 2 7 2 2" xfId="3885" xr:uid="{00000000-0005-0000-0000-0000BA050000}"/>
    <cellStyle name="20% - Accent4 2 7 2 2 2" xfId="21811" xr:uid="{F912468E-5DA9-482E-9655-17A9C6F2BCB0}"/>
    <cellStyle name="20% - Accent4 2 7 2 2 2 2" xfId="36787" xr:uid="{0968246A-06F6-4DBD-A97B-3D936A310D24}"/>
    <cellStyle name="20% - Accent4 2 7 2 2 3" xfId="29183" xr:uid="{EC8AF9D9-7DEC-4261-A4D0-DABC71F76470}"/>
    <cellStyle name="20% - Accent4 2 7 2 3" xfId="3884" xr:uid="{00000000-0005-0000-0000-0000BB050000}"/>
    <cellStyle name="20% - Accent4 2 7 2 3 2" xfId="21810" xr:uid="{A1D6151F-AD92-4287-B2CB-8931E5AA4CB7}"/>
    <cellStyle name="20% - Accent4 2 7 2 3 2 2" xfId="36786" xr:uid="{CDA3560A-0C76-4A0D-88B1-754E4E49EFE9}"/>
    <cellStyle name="20% - Accent4 2 7 2 3 3" xfId="29182" xr:uid="{1B82DC22-F303-4CEB-941A-A85A304FACFA}"/>
    <cellStyle name="20% - Accent4 2 7 2 4" xfId="21812" xr:uid="{E3BD3307-CAA1-49F9-8D40-F5E5082F6098}"/>
    <cellStyle name="20% - Accent4 2 7 2 4 2" xfId="36788" xr:uid="{46826E74-3202-48A5-B5F6-E19DE7349AC2}"/>
    <cellStyle name="20% - Accent4 2 7 2 5" xfId="29184" xr:uid="{1E9CA01B-B645-492C-8B5D-300D8FCD17F7}"/>
    <cellStyle name="20% - Accent4 2 7 3" xfId="3883" xr:uid="{00000000-0005-0000-0000-0000BC050000}"/>
    <cellStyle name="20% - Accent4 2 7 3 2" xfId="3882" xr:uid="{00000000-0005-0000-0000-0000BD050000}"/>
    <cellStyle name="20% - Accent4 2 7 3 2 2" xfId="21808" xr:uid="{FA75CC29-767B-4118-8D0A-B3DEEE8BC5E7}"/>
    <cellStyle name="20% - Accent4 2 7 3 2 2 2" xfId="36784" xr:uid="{BD3C54FB-5013-42ED-9128-3A1BA5AA14CC}"/>
    <cellStyle name="20% - Accent4 2 7 3 2 3" xfId="29180" xr:uid="{F0BBEC2C-B0F7-4B09-992A-6AFFE658DD47}"/>
    <cellStyle name="20% - Accent4 2 7 3 3" xfId="21809" xr:uid="{9C01C13D-CCE2-453D-B1FA-9581B1CB4F64}"/>
    <cellStyle name="20% - Accent4 2 7 3 3 2" xfId="36785" xr:uid="{B9DA9A4D-F579-4214-B307-28E3F22E06E2}"/>
    <cellStyle name="20% - Accent4 2 7 3 4" xfId="29181" xr:uid="{45152335-8A50-4B00-928D-37378E4D48D7}"/>
    <cellStyle name="20% - Accent4 2 7 4" xfId="3881" xr:uid="{00000000-0005-0000-0000-0000BE050000}"/>
    <cellStyle name="20% - Accent4 2 7 4 2" xfId="21807" xr:uid="{53B28374-ADFF-4FFF-A3B4-4F16A21DF4E1}"/>
    <cellStyle name="20% - Accent4 2 7 4 2 2" xfId="36783" xr:uid="{AB1BABBF-F44B-4F78-AEDF-3AD860565C36}"/>
    <cellStyle name="20% - Accent4 2 7 4 3" xfId="29179" xr:uid="{DB71AE48-E560-47D3-9C1A-9B3F6E3183A4}"/>
    <cellStyle name="20% - Accent4 2 7 5" xfId="21813" xr:uid="{99ACEC44-E3BC-4628-A4D4-8FF395D053DF}"/>
    <cellStyle name="20% - Accent4 2 7 5 2" xfId="36789" xr:uid="{1B86FA4D-6292-4FE7-AF8B-835BA63C5F97}"/>
    <cellStyle name="20% - Accent4 2 7 6" xfId="29185" xr:uid="{BC6EBEEE-D748-40EA-AD00-9A8A6BC1DD94}"/>
    <cellStyle name="20% - Accent4 3" xfId="107" xr:uid="{00000000-0005-0000-0000-00002A000000}"/>
    <cellStyle name="20% - Accent4 3 10" xfId="3880" xr:uid="{00000000-0005-0000-0000-0000BF050000}"/>
    <cellStyle name="20% - Accent4 3 10 2" xfId="21806" xr:uid="{C594B2FD-7CB7-462F-9819-1BD10FEB7E24}"/>
    <cellStyle name="20% - Accent4 3 10 2 2" xfId="36782" xr:uid="{FDD87787-AFC0-44A3-97C5-CBFA8C2068C3}"/>
    <cellStyle name="20% - Accent4 3 10 3" xfId="29178" xr:uid="{4F9455D9-2EC2-4724-8230-2503D57C7791}"/>
    <cellStyle name="20% - Accent4 3 2" xfId="3879" xr:uid="{00000000-0005-0000-0000-0000C0050000}"/>
    <cellStyle name="20% - Accent4 3 2 2" xfId="3878" xr:uid="{00000000-0005-0000-0000-0000C1050000}"/>
    <cellStyle name="20% - Accent4 3 2 2 2" xfId="3877" xr:uid="{00000000-0005-0000-0000-0000C2050000}"/>
    <cellStyle name="20% - Accent4 3 2 2 2 2" xfId="3876" xr:uid="{00000000-0005-0000-0000-0000C3050000}"/>
    <cellStyle name="20% - Accent4 3 2 2 2 2 2" xfId="3875" xr:uid="{00000000-0005-0000-0000-0000C4050000}"/>
    <cellStyle name="20% - Accent4 3 2 2 2 2 2 2" xfId="21802" xr:uid="{85AD9B3A-9DF1-4C50-8CB0-84ED52D0135F}"/>
    <cellStyle name="20% - Accent4 3 2 2 2 2 2 2 2" xfId="36778" xr:uid="{990B2D3E-3166-4729-859D-06607677B02C}"/>
    <cellStyle name="20% - Accent4 3 2 2 2 2 2 3" xfId="29174" xr:uid="{3771AB28-2743-4252-ACC8-0B4ED672803D}"/>
    <cellStyle name="20% - Accent4 3 2 2 2 2 3" xfId="3874" xr:uid="{00000000-0005-0000-0000-0000C5050000}"/>
    <cellStyle name="20% - Accent4 3 2 2 2 2 3 2" xfId="21801" xr:uid="{859CD874-3BC1-4A1C-89E8-0610BFC727D8}"/>
    <cellStyle name="20% - Accent4 3 2 2 2 2 3 2 2" xfId="36777" xr:uid="{D6C6176E-48B7-4559-B2B2-59130FDC36EF}"/>
    <cellStyle name="20% - Accent4 3 2 2 2 2 3 3" xfId="29173" xr:uid="{37EA3B49-00AB-4482-93B9-D8A4AFA621A0}"/>
    <cellStyle name="20% - Accent4 3 2 2 2 2 4" xfId="21803" xr:uid="{4B11A39F-BEB0-4A43-8081-1FB633905EAF}"/>
    <cellStyle name="20% - Accent4 3 2 2 2 2 4 2" xfId="36779" xr:uid="{C354E939-3D4C-4D8D-AA50-D24FE455C15E}"/>
    <cellStyle name="20% - Accent4 3 2 2 2 2 5" xfId="29175" xr:uid="{9DD64B2E-287B-46DA-B7FE-E86177D508CD}"/>
    <cellStyle name="20% - Accent4 3 2 2 2 3" xfId="3873" xr:uid="{00000000-0005-0000-0000-0000C6050000}"/>
    <cellStyle name="20% - Accent4 3 2 2 2 3 2" xfId="3872" xr:uid="{00000000-0005-0000-0000-0000C7050000}"/>
    <cellStyle name="20% - Accent4 3 2 2 2 3 2 2" xfId="21799" xr:uid="{E17E50F9-4E51-4B08-B520-D302FCB79835}"/>
    <cellStyle name="20% - Accent4 3 2 2 2 3 2 2 2" xfId="36775" xr:uid="{472BC90C-16AF-48BD-A4C7-B1C6302B6137}"/>
    <cellStyle name="20% - Accent4 3 2 2 2 3 2 3" xfId="29171" xr:uid="{6E2276CA-C65E-472A-B2FD-D44E0A1A8B54}"/>
    <cellStyle name="20% - Accent4 3 2 2 2 3 3" xfId="21800" xr:uid="{1407AA11-831A-4A99-8F53-C3DAEA8E5258}"/>
    <cellStyle name="20% - Accent4 3 2 2 2 3 3 2" xfId="36776" xr:uid="{546C75EE-B8FF-427B-9CFF-DAFA7BCE8034}"/>
    <cellStyle name="20% - Accent4 3 2 2 2 3 4" xfId="29172" xr:uid="{83798525-A869-41D7-ADF6-A91808AD9541}"/>
    <cellStyle name="20% - Accent4 3 2 2 2 4" xfId="3871" xr:uid="{00000000-0005-0000-0000-0000C8050000}"/>
    <cellStyle name="20% - Accent4 3 2 2 2 4 2" xfId="21798" xr:uid="{977F41FF-15F3-4CB7-9A0D-F5C4EECA18AC}"/>
    <cellStyle name="20% - Accent4 3 2 2 2 4 2 2" xfId="36774" xr:uid="{1B1B2006-04C4-425A-9B8C-C16D75C6BBE9}"/>
    <cellStyle name="20% - Accent4 3 2 2 2 4 3" xfId="29170" xr:uid="{DF0202A8-34C2-4F14-9714-A07DF6BD55CF}"/>
    <cellStyle name="20% - Accent4 3 2 2 2 5" xfId="21804" xr:uid="{5DB5B2E6-0EB7-448E-B809-078F91DF97E0}"/>
    <cellStyle name="20% - Accent4 3 2 2 2 5 2" xfId="36780" xr:uid="{D9398099-2B54-4D14-9B93-3E121011435C}"/>
    <cellStyle name="20% - Accent4 3 2 2 2 6" xfId="29176" xr:uid="{4AC39989-E946-4833-8FF2-559703055106}"/>
    <cellStyle name="20% - Accent4 3 2 2 3" xfId="3870" xr:uid="{00000000-0005-0000-0000-0000C9050000}"/>
    <cellStyle name="20% - Accent4 3 2 2 3 2" xfId="3869" xr:uid="{00000000-0005-0000-0000-0000CA050000}"/>
    <cellStyle name="20% - Accent4 3 2 2 3 2 2" xfId="21796" xr:uid="{50617D97-DD50-42D0-A707-084F89826945}"/>
    <cellStyle name="20% - Accent4 3 2 2 3 2 2 2" xfId="36772" xr:uid="{49191CFC-49AD-447E-B0F9-971F031FEF02}"/>
    <cellStyle name="20% - Accent4 3 2 2 3 2 3" xfId="29168" xr:uid="{04A6028A-E950-4EEA-A190-BA82B41F5D36}"/>
    <cellStyle name="20% - Accent4 3 2 2 3 3" xfId="3868" xr:uid="{00000000-0005-0000-0000-0000CB050000}"/>
    <cellStyle name="20% - Accent4 3 2 2 3 3 2" xfId="21795" xr:uid="{5EB0360A-0C2D-4746-B15B-587C76855571}"/>
    <cellStyle name="20% - Accent4 3 2 2 3 3 2 2" xfId="36771" xr:uid="{262FA4C0-1910-48EE-9637-53F6075592C8}"/>
    <cellStyle name="20% - Accent4 3 2 2 3 3 3" xfId="29167" xr:uid="{AE4DCCC2-12F5-438F-A794-AA2BD0A602FA}"/>
    <cellStyle name="20% - Accent4 3 2 2 3 4" xfId="21797" xr:uid="{D3279FCF-BEAE-4B03-A5AB-AE1CA1CE0435}"/>
    <cellStyle name="20% - Accent4 3 2 2 3 4 2" xfId="36773" xr:uid="{85CA558D-4DBE-4251-BF89-CC8DF796C2C4}"/>
    <cellStyle name="20% - Accent4 3 2 2 3 5" xfId="29169" xr:uid="{94218C39-FCC6-4484-8391-D943A1BBF0CD}"/>
    <cellStyle name="20% - Accent4 3 2 2 4" xfId="3867" xr:uid="{00000000-0005-0000-0000-0000CC050000}"/>
    <cellStyle name="20% - Accent4 3 2 2 4 2" xfId="21794" xr:uid="{AF250CAE-8B83-4028-A441-1D3C2F6EDA62}"/>
    <cellStyle name="20% - Accent4 3 2 2 4 2 2" xfId="36770" xr:uid="{AA579E34-A656-4913-BD90-D3F792D3CE77}"/>
    <cellStyle name="20% - Accent4 3 2 2 4 3" xfId="29166" xr:uid="{84949253-5A94-4F7C-892F-E68FC5032FD3}"/>
    <cellStyle name="20% - Accent4 3 2 2 5" xfId="3866" xr:uid="{00000000-0005-0000-0000-0000CD050000}"/>
    <cellStyle name="20% - Accent4 3 2 2 5 2" xfId="3865" xr:uid="{00000000-0005-0000-0000-0000CE050000}"/>
    <cellStyle name="20% - Accent4 3 2 2 5 2 2" xfId="21792" xr:uid="{3C8927A6-40E3-486D-856F-437484049885}"/>
    <cellStyle name="20% - Accent4 3 2 2 5 2 2 2" xfId="36768" xr:uid="{0F22C226-E8E0-426E-BB49-086D1E2D6425}"/>
    <cellStyle name="20% - Accent4 3 2 2 5 2 3" xfId="29164" xr:uid="{BE1ED203-DFC4-4E77-9C79-5F7582094D9D}"/>
    <cellStyle name="20% - Accent4 3 2 2 5 3" xfId="21793" xr:uid="{9A5BAEC7-1CB5-4D0F-A218-5A3C36E64F64}"/>
    <cellStyle name="20% - Accent4 3 2 2 5 3 2" xfId="36769" xr:uid="{16583749-0B1F-4AAB-A6CA-804B63C38B62}"/>
    <cellStyle name="20% - Accent4 3 2 2 5 4" xfId="29165" xr:uid="{E43AA3AE-59C1-4D09-99BF-27FDAD051383}"/>
    <cellStyle name="20% - Accent4 3 2 2 6" xfId="3864" xr:uid="{00000000-0005-0000-0000-0000CF050000}"/>
    <cellStyle name="20% - Accent4 3 2 2 6 2" xfId="21791" xr:uid="{51965662-E6C1-4523-A0BC-A4046C68CE7F}"/>
    <cellStyle name="20% - Accent4 3 2 2 6 2 2" xfId="36767" xr:uid="{C76D4A3C-BDAD-446A-85EF-AA8237E059DB}"/>
    <cellStyle name="20% - Accent4 3 2 2 6 3" xfId="29163" xr:uid="{CDF42FE2-8F95-433E-9BEC-09BE7B48D10F}"/>
    <cellStyle name="20% - Accent4 3 2 2 7" xfId="21805" xr:uid="{540D3CD2-9100-44F6-BB70-419EA6058A81}"/>
    <cellStyle name="20% - Accent4 3 2 2 7 2" xfId="36781" xr:uid="{ACC9B3D9-5FB2-40C1-A58D-A02F3CD8BCAF}"/>
    <cellStyle name="20% - Accent4 3 2 2 8" xfId="29177" xr:uid="{1DE1D7F2-7316-40EB-84DB-7D85E8711FFD}"/>
    <cellStyle name="20% - Accent4 3 2 3" xfId="3863" xr:uid="{00000000-0005-0000-0000-0000D0050000}"/>
    <cellStyle name="20% - Accent4 3 2 3 2" xfId="3862" xr:uid="{00000000-0005-0000-0000-0000D1050000}"/>
    <cellStyle name="20% - Accent4 3 2 3 2 2" xfId="3861" xr:uid="{00000000-0005-0000-0000-0000D2050000}"/>
    <cellStyle name="20% - Accent4 3 2 3 2 2 2" xfId="21788" xr:uid="{B0824D62-432C-4340-B8D4-5F86C2386DAB}"/>
    <cellStyle name="20% - Accent4 3 2 3 2 2 2 2" xfId="36764" xr:uid="{2C608972-B978-431E-B610-C1B26A1B8E79}"/>
    <cellStyle name="20% - Accent4 3 2 3 2 2 3" xfId="29160" xr:uid="{CFF9F515-59A0-454B-BCF3-455B021ED665}"/>
    <cellStyle name="20% - Accent4 3 2 3 2 3" xfId="3860" xr:uid="{00000000-0005-0000-0000-0000D3050000}"/>
    <cellStyle name="20% - Accent4 3 2 3 2 3 2" xfId="21787" xr:uid="{9AC3D9D0-4D1A-4515-86AA-CD4C6593EA92}"/>
    <cellStyle name="20% - Accent4 3 2 3 2 3 2 2" xfId="36763" xr:uid="{6E626EB8-8652-4871-B8C9-643AA483D68A}"/>
    <cellStyle name="20% - Accent4 3 2 3 2 3 3" xfId="29159" xr:uid="{7B1D72FF-FCAE-4ECF-8630-BE9A225D9473}"/>
    <cellStyle name="20% - Accent4 3 2 3 2 4" xfId="21789" xr:uid="{C9E85641-0667-4B22-BB0D-5F68C138BD1C}"/>
    <cellStyle name="20% - Accent4 3 2 3 2 4 2" xfId="36765" xr:uid="{290A7863-9F27-432A-836B-92199B31CAE7}"/>
    <cellStyle name="20% - Accent4 3 2 3 2 5" xfId="29161" xr:uid="{887E5323-48DA-41F7-BF4D-26678E2D38C1}"/>
    <cellStyle name="20% - Accent4 3 2 3 3" xfId="3859" xr:uid="{00000000-0005-0000-0000-0000D4050000}"/>
    <cellStyle name="20% - Accent4 3 2 3 3 2" xfId="3858" xr:uid="{00000000-0005-0000-0000-0000D5050000}"/>
    <cellStyle name="20% - Accent4 3 2 3 3 2 2" xfId="21785" xr:uid="{20022220-A1BB-4C20-ADC9-13E69C887788}"/>
    <cellStyle name="20% - Accent4 3 2 3 3 2 2 2" xfId="36761" xr:uid="{BEC14DD8-C68B-43CF-997F-B207F9078CCF}"/>
    <cellStyle name="20% - Accent4 3 2 3 3 2 3" xfId="29157" xr:uid="{91FE0A54-B88A-4075-8A84-A82CD7CB7753}"/>
    <cellStyle name="20% - Accent4 3 2 3 3 3" xfId="21786" xr:uid="{26CAD059-CCF9-4968-8315-27736EF58161}"/>
    <cellStyle name="20% - Accent4 3 2 3 3 3 2" xfId="36762" xr:uid="{33D97A59-2670-41F1-B6A6-AEBBAD98E6D2}"/>
    <cellStyle name="20% - Accent4 3 2 3 3 4" xfId="29158" xr:uid="{5F2E441B-1CA1-4AD1-80BE-68042BF2787A}"/>
    <cellStyle name="20% - Accent4 3 2 3 4" xfId="3857" xr:uid="{00000000-0005-0000-0000-0000D6050000}"/>
    <cellStyle name="20% - Accent4 3 2 3 4 2" xfId="21784" xr:uid="{52D2FFE9-3C5B-40F0-82FE-368EB76B1D42}"/>
    <cellStyle name="20% - Accent4 3 2 3 4 2 2" xfId="36760" xr:uid="{16B52B6C-DBF3-4FFE-9C9B-44541B6E76A0}"/>
    <cellStyle name="20% - Accent4 3 2 3 4 3" xfId="29156" xr:uid="{C387EC8C-0BD1-463E-A6FC-704138CBF933}"/>
    <cellStyle name="20% - Accent4 3 2 3 5" xfId="21790" xr:uid="{958CFCF2-11C3-48C6-99D3-33A422F5EAFF}"/>
    <cellStyle name="20% - Accent4 3 2 3 5 2" xfId="36766" xr:uid="{F8EEF93D-A78C-4203-965C-FC2268D91182}"/>
    <cellStyle name="20% - Accent4 3 2 3 6" xfId="29162" xr:uid="{DCD6FEC0-57B4-4CE8-80C7-C1A60620DCE7}"/>
    <cellStyle name="20% - Accent4 3 2 4" xfId="3856" xr:uid="{00000000-0005-0000-0000-0000D7050000}"/>
    <cellStyle name="20% - Accent4 3 2 5" xfId="3855" xr:uid="{00000000-0005-0000-0000-0000D8050000}"/>
    <cellStyle name="20% - Accent4 3 2 5 2" xfId="21783" xr:uid="{1B327F11-D87E-41FD-80B1-D3B7DB4B07F5}"/>
    <cellStyle name="20% - Accent4 3 2 5 2 2" xfId="36759" xr:uid="{F580BF60-A55E-4085-A52B-02BC0DD5B32B}"/>
    <cellStyle name="20% - Accent4 3 2 5 3" xfId="29155" xr:uid="{57186A78-6C86-465A-994A-E746146E0599}"/>
    <cellStyle name="20% - Accent4 3 3" xfId="3854" xr:uid="{00000000-0005-0000-0000-0000D9050000}"/>
    <cellStyle name="20% - Accent4 3 3 2" xfId="3853" xr:uid="{00000000-0005-0000-0000-0000DA050000}"/>
    <cellStyle name="20% - Accent4 3 3 2 2" xfId="3852" xr:uid="{00000000-0005-0000-0000-0000DB050000}"/>
    <cellStyle name="20% - Accent4 3 3 2 2 2" xfId="21780" xr:uid="{D5178E65-6558-4C7B-B482-33643B49CC0A}"/>
    <cellStyle name="20% - Accent4 3 3 2 2 2 2" xfId="36756" xr:uid="{0462D3A8-8538-471B-A938-621C7247384D}"/>
    <cellStyle name="20% - Accent4 3 3 2 2 3" xfId="29152" xr:uid="{F9ACDFB8-FD75-4474-A8B1-AE2095B219EB}"/>
    <cellStyle name="20% - Accent4 3 3 2 3" xfId="3851" xr:uid="{00000000-0005-0000-0000-0000DC050000}"/>
    <cellStyle name="20% - Accent4 3 3 2 3 2" xfId="3850" xr:uid="{00000000-0005-0000-0000-0000DD050000}"/>
    <cellStyle name="20% - Accent4 3 3 2 3 2 2" xfId="21778" xr:uid="{8324F416-2453-4950-85CA-19100271D8BA}"/>
    <cellStyle name="20% - Accent4 3 3 2 3 2 2 2" xfId="36754" xr:uid="{B56684FD-F213-4D9B-A053-33A192C4C4EC}"/>
    <cellStyle name="20% - Accent4 3 3 2 3 2 3" xfId="29150" xr:uid="{1B7AFD00-EABE-4E77-9711-DCCBC3030D4A}"/>
    <cellStyle name="20% - Accent4 3 3 2 3 3" xfId="21779" xr:uid="{C08BBB41-6B04-4744-BEC6-570C378D602A}"/>
    <cellStyle name="20% - Accent4 3 3 2 3 3 2" xfId="36755" xr:uid="{15B97905-6D88-4E34-B350-86C35DCF4BE9}"/>
    <cellStyle name="20% - Accent4 3 3 2 3 4" xfId="29151" xr:uid="{1C40D95B-2821-4D5F-AFE3-F9FAEF16C8D2}"/>
    <cellStyle name="20% - Accent4 3 3 2 4" xfId="21781" xr:uid="{A9B1D059-448F-40F5-BB6C-6D8D08FFF7EC}"/>
    <cellStyle name="20% - Accent4 3 3 2 4 2" xfId="36757" xr:uid="{823FB2DE-743B-406E-87B9-226E991BE0A7}"/>
    <cellStyle name="20% - Accent4 3 3 2 5" xfId="29153" xr:uid="{CD6DFA0E-826D-4B01-89D2-3C29DC43ECDD}"/>
    <cellStyle name="20% - Accent4 3 3 3" xfId="3849" xr:uid="{00000000-0005-0000-0000-0000DE050000}"/>
    <cellStyle name="20% - Accent4 3 3 3 2" xfId="21777" xr:uid="{BB10A708-D800-4A94-99FB-EC1AF60656FE}"/>
    <cellStyle name="20% - Accent4 3 3 3 2 2" xfId="36753" xr:uid="{16066189-8619-4BFD-84ED-777FF334EC5F}"/>
    <cellStyle name="20% - Accent4 3 3 3 3" xfId="29149" xr:uid="{F40E343B-0E3C-4EAE-BDEF-25F688F597D8}"/>
    <cellStyle name="20% - Accent4 3 3 4" xfId="3848" xr:uid="{00000000-0005-0000-0000-0000DF050000}"/>
    <cellStyle name="20% - Accent4 3 3 4 2" xfId="3847" xr:uid="{00000000-0005-0000-0000-0000E0050000}"/>
    <cellStyle name="20% - Accent4 3 3 4 2 2" xfId="21775" xr:uid="{3A3D9E9C-D7CC-46E0-8F3E-5755B768CF83}"/>
    <cellStyle name="20% - Accent4 3 3 4 2 2 2" xfId="36751" xr:uid="{AAEDB9EE-AC0A-4306-924F-CF0422EF3EC8}"/>
    <cellStyle name="20% - Accent4 3 3 4 2 3" xfId="29147" xr:uid="{0AD8FD51-4CEC-4C94-882F-98C0922A65CB}"/>
    <cellStyle name="20% - Accent4 3 3 4 3" xfId="21776" xr:uid="{3401052A-A60E-40D2-B91F-BB53FBB4F3B2}"/>
    <cellStyle name="20% - Accent4 3 3 4 3 2" xfId="36752" xr:uid="{4E2C0CE2-7FDC-44F1-9C56-7AF2A4609A00}"/>
    <cellStyle name="20% - Accent4 3 3 4 4" xfId="29148" xr:uid="{967F1D12-0755-4419-85C0-DEE676BB60D7}"/>
    <cellStyle name="20% - Accent4 3 3 5" xfId="3846" xr:uid="{00000000-0005-0000-0000-0000E1050000}"/>
    <cellStyle name="20% - Accent4 3 3 5 2" xfId="21774" xr:uid="{FC60862F-7B32-4A1A-9FC8-90E1124E737F}"/>
    <cellStyle name="20% - Accent4 3 3 5 2 2" xfId="36750" xr:uid="{BE5A5360-15FA-474C-A051-D532F6BB1599}"/>
    <cellStyle name="20% - Accent4 3 3 5 3" xfId="29146" xr:uid="{A3B15467-5AC1-4680-9A20-87E8ABC9AEA5}"/>
    <cellStyle name="20% - Accent4 3 3 6" xfId="21782" xr:uid="{AD9CF1DA-DEC0-45B4-A1D0-9ED065FD59EC}"/>
    <cellStyle name="20% - Accent4 3 3 6 2" xfId="36758" xr:uid="{70DF7D6F-8855-442A-B859-079BC56000DB}"/>
    <cellStyle name="20% - Accent4 3 3 7" xfId="29154" xr:uid="{001D4D76-09E2-459E-AD56-2A1108B7DC20}"/>
    <cellStyle name="20% - Accent4 3 4" xfId="3845" xr:uid="{00000000-0005-0000-0000-0000E2050000}"/>
    <cellStyle name="20% - Accent4 3 4 2" xfId="3844" xr:uid="{00000000-0005-0000-0000-0000E3050000}"/>
    <cellStyle name="20% - Accent4 3 4 2 2" xfId="3843" xr:uid="{00000000-0005-0000-0000-0000E4050000}"/>
    <cellStyle name="20% - Accent4 3 4 2 2 2" xfId="21771" xr:uid="{2C419017-6B59-49C9-A54E-2E5FD0B9A394}"/>
    <cellStyle name="20% - Accent4 3 4 2 2 2 2" xfId="36747" xr:uid="{02A0AEFD-791B-4AC3-BAAF-BDB52C7DB6B2}"/>
    <cellStyle name="20% - Accent4 3 4 2 2 3" xfId="29143" xr:uid="{2F6EBB63-8C04-4670-B09E-5062C9185AA8}"/>
    <cellStyle name="20% - Accent4 3 4 2 3" xfId="3842" xr:uid="{00000000-0005-0000-0000-0000E5050000}"/>
    <cellStyle name="20% - Accent4 3 4 2 3 2" xfId="21770" xr:uid="{6268F806-D3A1-4AE2-8364-CE86E5D7668E}"/>
    <cellStyle name="20% - Accent4 3 4 2 3 2 2" xfId="36746" xr:uid="{8A7EEA36-FF81-4120-A3BB-2EEC605C08F0}"/>
    <cellStyle name="20% - Accent4 3 4 2 3 3" xfId="29142" xr:uid="{C54ED72C-D827-47E0-BF03-915749C78A4F}"/>
    <cellStyle name="20% - Accent4 3 4 2 4" xfId="21772" xr:uid="{31C78223-CD04-4AD3-A347-5BBCCB57EF6B}"/>
    <cellStyle name="20% - Accent4 3 4 2 4 2" xfId="36748" xr:uid="{43334076-1399-4C82-942A-DF4A3C9C825C}"/>
    <cellStyle name="20% - Accent4 3 4 2 5" xfId="29144" xr:uid="{1084FC5D-DF8D-4A50-A1E8-D3852B12DD66}"/>
    <cellStyle name="20% - Accent4 3 4 3" xfId="3841" xr:uid="{00000000-0005-0000-0000-0000E6050000}"/>
    <cellStyle name="20% - Accent4 3 4 3 2" xfId="21769" xr:uid="{E3CE83D3-EB52-4A5B-AFC7-AD6318D1860F}"/>
    <cellStyle name="20% - Accent4 3 4 3 2 2" xfId="36745" xr:uid="{76C89A94-4729-4246-ACE2-E18D72ED525F}"/>
    <cellStyle name="20% - Accent4 3 4 3 3" xfId="29141" xr:uid="{CC3C5279-25E1-4F87-B3DC-0995076F246B}"/>
    <cellStyle name="20% - Accent4 3 4 4" xfId="3840" xr:uid="{00000000-0005-0000-0000-0000E7050000}"/>
    <cellStyle name="20% - Accent4 3 4 4 2" xfId="3839" xr:uid="{00000000-0005-0000-0000-0000E8050000}"/>
    <cellStyle name="20% - Accent4 3 4 4 2 2" xfId="21767" xr:uid="{7CB5651F-9161-47BD-82CA-281DE71DF66F}"/>
    <cellStyle name="20% - Accent4 3 4 4 2 2 2" xfId="36743" xr:uid="{A29D0F65-C7B9-4FE8-9EE9-59BEE9DD7BB1}"/>
    <cellStyle name="20% - Accent4 3 4 4 2 3" xfId="29139" xr:uid="{E2508B06-7189-41A4-A7E5-C6D3DCDAF5EC}"/>
    <cellStyle name="20% - Accent4 3 4 4 3" xfId="21768" xr:uid="{C6FC3EC5-ED6D-439B-9EE4-BF524BE8A0AF}"/>
    <cellStyle name="20% - Accent4 3 4 4 3 2" xfId="36744" xr:uid="{BFC053B4-02A8-49A6-BB86-81E88591569E}"/>
    <cellStyle name="20% - Accent4 3 4 4 4" xfId="29140" xr:uid="{7A4B4DE0-7383-4CA4-8702-0287F431DF98}"/>
    <cellStyle name="20% - Accent4 3 4 5" xfId="3838" xr:uid="{00000000-0005-0000-0000-0000E9050000}"/>
    <cellStyle name="20% - Accent4 3 4 5 2" xfId="21766" xr:uid="{BC9FA652-69B8-4223-AE6E-8F88531BFE1C}"/>
    <cellStyle name="20% - Accent4 3 4 5 2 2" xfId="36742" xr:uid="{4994868B-15EE-4C56-B69F-6CDFCE3DE36F}"/>
    <cellStyle name="20% - Accent4 3 4 5 3" xfId="29138" xr:uid="{7ED743CC-F87D-4848-98F8-260238890B15}"/>
    <cellStyle name="20% - Accent4 3 4 6" xfId="21773" xr:uid="{D6A09016-AFB4-4B3B-8BC7-61D8FE71F95F}"/>
    <cellStyle name="20% - Accent4 3 4 6 2" xfId="36749" xr:uid="{DCD1A269-7BEA-45CC-B2A0-54B3B0492B70}"/>
    <cellStyle name="20% - Accent4 3 4 7" xfId="29145" xr:uid="{900DB7E9-CDC5-4B71-9E60-FAEAFCDE06F6}"/>
    <cellStyle name="20% - Accent4 3 5" xfId="3837" xr:uid="{00000000-0005-0000-0000-0000EA050000}"/>
    <cellStyle name="20% - Accent4 3 5 2" xfId="3836" xr:uid="{00000000-0005-0000-0000-0000EB050000}"/>
    <cellStyle name="20% - Accent4 3 5 2 2" xfId="3835" xr:uid="{00000000-0005-0000-0000-0000EC050000}"/>
    <cellStyle name="20% - Accent4 3 5 2 2 2" xfId="21763" xr:uid="{D6C6CA0C-BC3A-421A-85C3-19BC0CA8828A}"/>
    <cellStyle name="20% - Accent4 3 5 2 2 2 2" xfId="36739" xr:uid="{9E88B11A-2AFA-4A1E-B4E2-0A3E8340E146}"/>
    <cellStyle name="20% - Accent4 3 5 2 2 3" xfId="29135" xr:uid="{81654564-01DA-4508-88F4-6A0598C5744E}"/>
    <cellStyle name="20% - Accent4 3 5 2 3" xfId="3834" xr:uid="{00000000-0005-0000-0000-0000ED050000}"/>
    <cellStyle name="20% - Accent4 3 5 2 3 2" xfId="21762" xr:uid="{8FDCEA61-AA00-4925-93BB-34FB2F1CD795}"/>
    <cellStyle name="20% - Accent4 3 5 2 3 2 2" xfId="36738" xr:uid="{D88A299E-8E7A-4625-81E7-B6F3E8C6A1C5}"/>
    <cellStyle name="20% - Accent4 3 5 2 3 3" xfId="29134" xr:uid="{B31D5F88-4089-4D83-9DBC-992277344857}"/>
    <cellStyle name="20% - Accent4 3 5 2 4" xfId="21764" xr:uid="{B6A1DDBF-74F1-4D74-A577-02F3C1A4E31E}"/>
    <cellStyle name="20% - Accent4 3 5 2 4 2" xfId="36740" xr:uid="{88D1FA1F-113C-4C6D-B441-F0842A89501F}"/>
    <cellStyle name="20% - Accent4 3 5 2 5" xfId="29136" xr:uid="{00BD4404-FC75-485C-BE0B-D08DD6B7CDA1}"/>
    <cellStyle name="20% - Accent4 3 5 3" xfId="3833" xr:uid="{00000000-0005-0000-0000-0000EE050000}"/>
    <cellStyle name="20% - Accent4 3 5 3 2" xfId="3832" xr:uid="{00000000-0005-0000-0000-0000EF050000}"/>
    <cellStyle name="20% - Accent4 3 5 3 2 2" xfId="21760" xr:uid="{C56D40AA-6919-442A-8CC5-F7C7BB48455B}"/>
    <cellStyle name="20% - Accent4 3 5 3 2 2 2" xfId="36736" xr:uid="{54CDF65E-41D1-47DA-AC23-0E90C6D3B410}"/>
    <cellStyle name="20% - Accent4 3 5 3 2 3" xfId="29132" xr:uid="{C76F28DE-4880-4EB2-9503-D0AEDBD25F1C}"/>
    <cellStyle name="20% - Accent4 3 5 3 3" xfId="21761" xr:uid="{02B1A99C-0EA7-479F-BC7C-2E50463E27B1}"/>
    <cellStyle name="20% - Accent4 3 5 3 3 2" xfId="36737" xr:uid="{A102E209-24AB-4740-A76A-831C0F286483}"/>
    <cellStyle name="20% - Accent4 3 5 3 4" xfId="29133" xr:uid="{631FCFBE-12B3-4075-80A3-570C2C69ACB2}"/>
    <cellStyle name="20% - Accent4 3 5 4" xfId="3831" xr:uid="{00000000-0005-0000-0000-0000F0050000}"/>
    <cellStyle name="20% - Accent4 3 5 4 2" xfId="21759" xr:uid="{D0A6EA90-F35A-4408-959C-1058E24326B5}"/>
    <cellStyle name="20% - Accent4 3 5 4 2 2" xfId="36735" xr:uid="{6D73A2F8-99D9-45EE-BBF4-67D3FD5295B6}"/>
    <cellStyle name="20% - Accent4 3 5 4 3" xfId="29131" xr:uid="{2FBAEE6A-5C68-4B5E-9E07-C612E0B2EB9A}"/>
    <cellStyle name="20% - Accent4 3 5 5" xfId="21765" xr:uid="{5755F325-1806-444B-919C-C111EDBEFF92}"/>
    <cellStyle name="20% - Accent4 3 5 5 2" xfId="36741" xr:uid="{A8A7E734-F75E-40F4-9804-F6CE2B945536}"/>
    <cellStyle name="20% - Accent4 3 5 6" xfId="29137" xr:uid="{45253F35-2A05-4452-96B0-5610C0EB1629}"/>
    <cellStyle name="20% - Accent4 3 6" xfId="3830" xr:uid="{00000000-0005-0000-0000-0000F1050000}"/>
    <cellStyle name="20% - Accent4 3 6 2" xfId="3829" xr:uid="{00000000-0005-0000-0000-0000F2050000}"/>
    <cellStyle name="20% - Accent4 3 6 2 2" xfId="21757" xr:uid="{DDAADE83-BD2B-4EF9-A6EC-CD24917EB251}"/>
    <cellStyle name="20% - Accent4 3 6 2 2 2" xfId="36733" xr:uid="{21A3944D-9BEB-475A-8AD2-A8623802228A}"/>
    <cellStyle name="20% - Accent4 3 6 2 3" xfId="29129" xr:uid="{AB101E44-0A14-4F7A-92F6-568EF18E4239}"/>
    <cellStyle name="20% - Accent4 3 6 3" xfId="3828" xr:uid="{00000000-0005-0000-0000-0000F3050000}"/>
    <cellStyle name="20% - Accent4 3 6 3 2" xfId="21756" xr:uid="{B99DDA39-0CE0-4B25-806B-3DAC72613C86}"/>
    <cellStyle name="20% - Accent4 3 6 3 2 2" xfId="36732" xr:uid="{38D3FF31-035E-424D-8301-0BBF483E3F0D}"/>
    <cellStyle name="20% - Accent4 3 6 3 3" xfId="29128" xr:uid="{42952635-F9E2-4B8F-86BB-2472D5A0FFA7}"/>
    <cellStyle name="20% - Accent4 3 6 4" xfId="21758" xr:uid="{8D04FF05-DC28-4361-80F3-30B6DBA858B1}"/>
    <cellStyle name="20% - Accent4 3 6 4 2" xfId="36734" xr:uid="{A7FAD7A9-CD56-4782-AB68-99C9A5162071}"/>
    <cellStyle name="20% - Accent4 3 6 5" xfId="29130" xr:uid="{2ED7D8F8-816E-4BA9-ACC4-D46D7F4AEEBA}"/>
    <cellStyle name="20% - Accent4 3 7" xfId="3827" xr:uid="{00000000-0005-0000-0000-0000F4050000}"/>
    <cellStyle name="20% - Accent4 3 7 2" xfId="21755" xr:uid="{80F9EEBD-8A82-4691-88F5-9C3F69D74FDE}"/>
    <cellStyle name="20% - Accent4 3 7 2 2" xfId="36731" xr:uid="{CE64EE7F-1D14-419D-ABFC-AEBE2DC47F38}"/>
    <cellStyle name="20% - Accent4 3 7 3" xfId="29127" xr:uid="{B2D2A153-496A-49DC-A320-90AE97F6FE86}"/>
    <cellStyle name="20% - Accent4 3 8" xfId="3826" xr:uid="{00000000-0005-0000-0000-0000F5050000}"/>
    <cellStyle name="20% - Accent4 3 8 2" xfId="3825" xr:uid="{00000000-0005-0000-0000-0000F6050000}"/>
    <cellStyle name="20% - Accent4 3 8 2 2" xfId="21753" xr:uid="{59EBDC3B-0CDA-4B9D-9A18-2F559D6F516D}"/>
    <cellStyle name="20% - Accent4 3 8 2 2 2" xfId="36729" xr:uid="{3AC4BC3A-62F1-4E3F-A905-44F529B72C1C}"/>
    <cellStyle name="20% - Accent4 3 8 2 3" xfId="29125" xr:uid="{DE16FA3E-0170-470B-BC5C-B33158B414B7}"/>
    <cellStyle name="20% - Accent4 3 8 3" xfId="21754" xr:uid="{F561E3C7-2FCA-41D9-860A-FA11B5DD9D91}"/>
    <cellStyle name="20% - Accent4 3 8 3 2" xfId="36730" xr:uid="{C4BD6326-C72B-4AA8-B4C1-6BA213062B0C}"/>
    <cellStyle name="20% - Accent4 3 8 4" xfId="29126" xr:uid="{BF20F856-8E91-4221-9666-FCCEAE97C1C8}"/>
    <cellStyle name="20% - Accent4 3 9" xfId="3824" xr:uid="{00000000-0005-0000-0000-0000F7050000}"/>
    <cellStyle name="20% - Accent4 3 9 2" xfId="21752" xr:uid="{A67383B1-4DE9-468C-B231-02CD6B716DD2}"/>
    <cellStyle name="20% - Accent4 3 9 2 2" xfId="36728" xr:uid="{C017E290-90F4-4FE8-A9DD-D0DBA61CD7E2}"/>
    <cellStyle name="20% - Accent4 3 9 3" xfId="29124" xr:uid="{45CC6093-F196-4043-ADFF-0B4FC82BAA09}"/>
    <cellStyle name="20% - Accent4 4" xfId="189" xr:uid="{00000000-0005-0000-0000-00002B000000}"/>
    <cellStyle name="20% - Accent4 4 10" xfId="3823" xr:uid="{00000000-0005-0000-0000-0000F8050000}"/>
    <cellStyle name="20% - Accent4 4 10 2" xfId="21751" xr:uid="{A11B7A2C-4157-4DE6-B5A4-4547BAB2A8A0}"/>
    <cellStyle name="20% - Accent4 4 10 2 2" xfId="36727" xr:uid="{B6A933FF-0A6F-4E5B-BAAB-532DE11F0165}"/>
    <cellStyle name="20% - Accent4 4 10 3" xfId="29123" xr:uid="{A811939F-73D9-4734-8510-4F377FD788B7}"/>
    <cellStyle name="20% - Accent4 4 2" xfId="3822" xr:uid="{00000000-0005-0000-0000-0000F9050000}"/>
    <cellStyle name="20% - Accent4 4 2 2" xfId="3821" xr:uid="{00000000-0005-0000-0000-0000FA050000}"/>
    <cellStyle name="20% - Accent4 4 2 2 2" xfId="3820" xr:uid="{00000000-0005-0000-0000-0000FB050000}"/>
    <cellStyle name="20% - Accent4 4 2 2 2 2" xfId="3819" xr:uid="{00000000-0005-0000-0000-0000FC050000}"/>
    <cellStyle name="20% - Accent4 4 2 2 2 2 2" xfId="3818" xr:uid="{00000000-0005-0000-0000-0000FD050000}"/>
    <cellStyle name="20% - Accent4 4 2 2 2 2 2 2" xfId="21747" xr:uid="{FCC73E45-8E6F-4F48-A582-6524465EEB32}"/>
    <cellStyle name="20% - Accent4 4 2 2 2 2 2 2 2" xfId="36723" xr:uid="{8849BF45-5006-460E-AF0D-68DD227497C1}"/>
    <cellStyle name="20% - Accent4 4 2 2 2 2 2 3" xfId="29119" xr:uid="{B0F6D674-4BB5-421E-B49C-F449D910F73E}"/>
    <cellStyle name="20% - Accent4 4 2 2 2 2 3" xfId="3817" xr:uid="{00000000-0005-0000-0000-0000FE050000}"/>
    <cellStyle name="20% - Accent4 4 2 2 2 2 3 2" xfId="21746" xr:uid="{3403DE2E-3D3A-43A2-A67B-1B4F5B6F22E0}"/>
    <cellStyle name="20% - Accent4 4 2 2 2 2 3 2 2" xfId="36722" xr:uid="{F6BE68A2-147D-4BBF-AB29-AEC6F2E2D38A}"/>
    <cellStyle name="20% - Accent4 4 2 2 2 2 3 3" xfId="29118" xr:uid="{9FBA3501-0C6A-4C35-8F85-0742F9B6E5A4}"/>
    <cellStyle name="20% - Accent4 4 2 2 2 2 4" xfId="21748" xr:uid="{F7DFD15A-87E9-4EAB-B3D4-F13A3B40C471}"/>
    <cellStyle name="20% - Accent4 4 2 2 2 2 4 2" xfId="36724" xr:uid="{A2AEF5F5-C877-4292-9952-BC4D55392F3D}"/>
    <cellStyle name="20% - Accent4 4 2 2 2 2 5" xfId="29120" xr:uid="{1B4E6B1D-F12F-4A1E-9F0A-36DE2031FDCA}"/>
    <cellStyle name="20% - Accent4 4 2 2 2 3" xfId="3816" xr:uid="{00000000-0005-0000-0000-0000FF050000}"/>
    <cellStyle name="20% - Accent4 4 2 2 2 3 2" xfId="3815" xr:uid="{00000000-0005-0000-0000-000000060000}"/>
    <cellStyle name="20% - Accent4 4 2 2 2 3 2 2" xfId="21744" xr:uid="{55A4EF73-74A2-44DB-A2DC-FAC2710CD3BD}"/>
    <cellStyle name="20% - Accent4 4 2 2 2 3 2 2 2" xfId="36720" xr:uid="{B19DE767-28BA-47B7-A259-ABBBF2046642}"/>
    <cellStyle name="20% - Accent4 4 2 2 2 3 2 3" xfId="29116" xr:uid="{54308A16-87E8-470E-A1AF-C96D0EBF7332}"/>
    <cellStyle name="20% - Accent4 4 2 2 2 3 3" xfId="21745" xr:uid="{238F3391-3EFE-4DA8-8E46-C152AFF89925}"/>
    <cellStyle name="20% - Accent4 4 2 2 2 3 3 2" xfId="36721" xr:uid="{2E7874F6-33CF-4FA9-A954-B85246BFFBD9}"/>
    <cellStyle name="20% - Accent4 4 2 2 2 3 4" xfId="29117" xr:uid="{755DF4EA-72AB-42DE-B4DC-5A17AC483324}"/>
    <cellStyle name="20% - Accent4 4 2 2 2 4" xfId="3814" xr:uid="{00000000-0005-0000-0000-000001060000}"/>
    <cellStyle name="20% - Accent4 4 2 2 2 4 2" xfId="21743" xr:uid="{C0984FB6-0BF7-484C-9F74-292DF870ABAB}"/>
    <cellStyle name="20% - Accent4 4 2 2 2 4 2 2" xfId="36719" xr:uid="{3F052BB8-642C-4AF9-9469-5E14D2057331}"/>
    <cellStyle name="20% - Accent4 4 2 2 2 4 3" xfId="29115" xr:uid="{5F98597C-7BAD-4617-B4EA-D00C0228BE51}"/>
    <cellStyle name="20% - Accent4 4 2 2 2 5" xfId="21749" xr:uid="{3565372B-D788-4B7F-B567-1A85C8B53136}"/>
    <cellStyle name="20% - Accent4 4 2 2 2 5 2" xfId="36725" xr:uid="{2D5AB788-E112-49FD-856D-E6F15C9E3C93}"/>
    <cellStyle name="20% - Accent4 4 2 2 2 6" xfId="29121" xr:uid="{11B28D64-05FD-40DF-B49F-C84B52C2C0BD}"/>
    <cellStyle name="20% - Accent4 4 2 2 3" xfId="3813" xr:uid="{00000000-0005-0000-0000-000002060000}"/>
    <cellStyle name="20% - Accent4 4 2 2 3 2" xfId="3812" xr:uid="{00000000-0005-0000-0000-000003060000}"/>
    <cellStyle name="20% - Accent4 4 2 2 3 2 2" xfId="21741" xr:uid="{EF31BFFD-B84B-44EC-A3DF-A442BB90938F}"/>
    <cellStyle name="20% - Accent4 4 2 2 3 2 2 2" xfId="36717" xr:uid="{6046ACB9-4F87-4DD1-91CA-117AC7797595}"/>
    <cellStyle name="20% - Accent4 4 2 2 3 2 3" xfId="29113" xr:uid="{797D7174-474D-4FAF-AE85-DF8B1F23FE31}"/>
    <cellStyle name="20% - Accent4 4 2 2 3 3" xfId="3811" xr:uid="{00000000-0005-0000-0000-000004060000}"/>
    <cellStyle name="20% - Accent4 4 2 2 3 3 2" xfId="21740" xr:uid="{26FACE47-D71F-4E2F-ABC4-D093B353F209}"/>
    <cellStyle name="20% - Accent4 4 2 2 3 3 2 2" xfId="36716" xr:uid="{1ADBDFE8-A858-49BC-B092-BBC086980686}"/>
    <cellStyle name="20% - Accent4 4 2 2 3 3 3" xfId="29112" xr:uid="{F07BBAF5-1A53-4DE2-8AC1-D979F5DF554D}"/>
    <cellStyle name="20% - Accent4 4 2 2 3 4" xfId="21742" xr:uid="{701666ED-71BC-46C4-8516-F9BD555A90CA}"/>
    <cellStyle name="20% - Accent4 4 2 2 3 4 2" xfId="36718" xr:uid="{84106A80-3684-405B-BF90-9E30D7D05F80}"/>
    <cellStyle name="20% - Accent4 4 2 2 3 5" xfId="29114" xr:uid="{1D594F37-2B06-4C43-B912-A11583068DFB}"/>
    <cellStyle name="20% - Accent4 4 2 2 4" xfId="3810" xr:uid="{00000000-0005-0000-0000-000005060000}"/>
    <cellStyle name="20% - Accent4 4 2 2 4 2" xfId="21739" xr:uid="{2A5BBF76-5819-4158-971B-4D89EB377334}"/>
    <cellStyle name="20% - Accent4 4 2 2 4 2 2" xfId="36715" xr:uid="{E70A219D-4CE8-4CA3-B16C-DBC30B6F71B4}"/>
    <cellStyle name="20% - Accent4 4 2 2 4 3" xfId="29111" xr:uid="{7FDA53E9-2BB4-4C24-9ED5-5E9D3998D051}"/>
    <cellStyle name="20% - Accent4 4 2 2 5" xfId="3809" xr:uid="{00000000-0005-0000-0000-000006060000}"/>
    <cellStyle name="20% - Accent4 4 2 2 5 2" xfId="3808" xr:uid="{00000000-0005-0000-0000-000007060000}"/>
    <cellStyle name="20% - Accent4 4 2 2 5 2 2" xfId="21737" xr:uid="{B4E82C6D-FCA9-4F98-A53B-694990EDE024}"/>
    <cellStyle name="20% - Accent4 4 2 2 5 2 2 2" xfId="36713" xr:uid="{9860C238-A4FC-4636-ADEE-37C71D139BEB}"/>
    <cellStyle name="20% - Accent4 4 2 2 5 2 3" xfId="29109" xr:uid="{1B9A6B58-845B-4CC1-9822-4D80A0F649AC}"/>
    <cellStyle name="20% - Accent4 4 2 2 5 3" xfId="21738" xr:uid="{75E4561A-1DD5-49E6-B659-0FEB31ED8F9C}"/>
    <cellStyle name="20% - Accent4 4 2 2 5 3 2" xfId="36714" xr:uid="{CD5C5DE4-F15C-4344-8B67-75329AFC08C8}"/>
    <cellStyle name="20% - Accent4 4 2 2 5 4" xfId="29110" xr:uid="{2C167E08-7C2B-42C6-A4F0-38838A543B84}"/>
    <cellStyle name="20% - Accent4 4 2 2 6" xfId="3807" xr:uid="{00000000-0005-0000-0000-000008060000}"/>
    <cellStyle name="20% - Accent4 4 2 2 6 2" xfId="21736" xr:uid="{F12621AB-FC9E-4C29-8504-E0F03BDFEB77}"/>
    <cellStyle name="20% - Accent4 4 2 2 6 2 2" xfId="36712" xr:uid="{AE44755F-58ED-4A1F-8BEB-588EC99980EC}"/>
    <cellStyle name="20% - Accent4 4 2 2 6 3" xfId="29108" xr:uid="{476A026A-2B48-44CD-B52F-66D09EE583EC}"/>
    <cellStyle name="20% - Accent4 4 2 2 7" xfId="21750" xr:uid="{548F4878-59DF-493C-AEF7-74E0ACC98326}"/>
    <cellStyle name="20% - Accent4 4 2 2 7 2" xfId="36726" xr:uid="{2DC0828A-AACD-4ADA-B841-E98A2CEE42C3}"/>
    <cellStyle name="20% - Accent4 4 2 2 8" xfId="29122" xr:uid="{D7FBCDEB-34DF-4D9A-883E-888AE5729388}"/>
    <cellStyle name="20% - Accent4 4 2 3" xfId="3806" xr:uid="{00000000-0005-0000-0000-000009060000}"/>
    <cellStyle name="20% - Accent4 4 2 3 2" xfId="3805" xr:uid="{00000000-0005-0000-0000-00000A060000}"/>
    <cellStyle name="20% - Accent4 4 2 3 2 2" xfId="3804" xr:uid="{00000000-0005-0000-0000-00000B060000}"/>
    <cellStyle name="20% - Accent4 4 2 3 2 2 2" xfId="21733" xr:uid="{04A866F3-8059-4C96-B4CF-BE95051AA164}"/>
    <cellStyle name="20% - Accent4 4 2 3 2 2 2 2" xfId="36709" xr:uid="{75B266EC-469F-4A6C-840D-93C0DF333FBD}"/>
    <cellStyle name="20% - Accent4 4 2 3 2 2 3" xfId="29105" xr:uid="{E456156D-CEEB-44B8-B2D8-3A61CD7F9FFE}"/>
    <cellStyle name="20% - Accent4 4 2 3 2 3" xfId="3803" xr:uid="{00000000-0005-0000-0000-00000C060000}"/>
    <cellStyle name="20% - Accent4 4 2 3 2 3 2" xfId="21732" xr:uid="{840D18FB-95E2-47B0-A98A-0142A3EA7AEE}"/>
    <cellStyle name="20% - Accent4 4 2 3 2 3 2 2" xfId="36708" xr:uid="{2C44F488-A39C-43D5-86D9-AC2371BE72E4}"/>
    <cellStyle name="20% - Accent4 4 2 3 2 3 3" xfId="29104" xr:uid="{3E2F2972-9363-4EC2-A7AF-EDB9563880BB}"/>
    <cellStyle name="20% - Accent4 4 2 3 2 4" xfId="21734" xr:uid="{FC8CE9DD-C6C5-429D-873B-A6ED17B97D98}"/>
    <cellStyle name="20% - Accent4 4 2 3 2 4 2" xfId="36710" xr:uid="{1EBC97C4-C710-4134-95D3-95862A4399B5}"/>
    <cellStyle name="20% - Accent4 4 2 3 2 5" xfId="29106" xr:uid="{2BA23321-A6CA-4CBA-A17A-B906B9909D74}"/>
    <cellStyle name="20% - Accent4 4 2 3 3" xfId="3802" xr:uid="{00000000-0005-0000-0000-00000D060000}"/>
    <cellStyle name="20% - Accent4 4 2 3 3 2" xfId="3801" xr:uid="{00000000-0005-0000-0000-00000E060000}"/>
    <cellStyle name="20% - Accent4 4 2 3 3 2 2" xfId="21730" xr:uid="{929D2871-1E00-4885-B082-0242F3D76251}"/>
    <cellStyle name="20% - Accent4 4 2 3 3 2 2 2" xfId="36706" xr:uid="{F4A02D36-13F2-4C14-8871-D471716A76FA}"/>
    <cellStyle name="20% - Accent4 4 2 3 3 2 3" xfId="29102" xr:uid="{3F7B4D74-4DDD-43B6-9951-414A023F1E17}"/>
    <cellStyle name="20% - Accent4 4 2 3 3 3" xfId="21731" xr:uid="{C7198C2B-54AB-4E1A-9A95-B7F11F662F54}"/>
    <cellStyle name="20% - Accent4 4 2 3 3 3 2" xfId="36707" xr:uid="{89DF911A-ABAF-45B3-8E15-4BED1267196E}"/>
    <cellStyle name="20% - Accent4 4 2 3 3 4" xfId="29103" xr:uid="{44FB327B-A771-4D49-A58D-8C075D887F23}"/>
    <cellStyle name="20% - Accent4 4 2 3 4" xfId="3800" xr:uid="{00000000-0005-0000-0000-00000F060000}"/>
    <cellStyle name="20% - Accent4 4 2 3 4 2" xfId="21729" xr:uid="{546077F4-0B3A-416C-A4FE-758BA0735FDB}"/>
    <cellStyle name="20% - Accent4 4 2 3 4 2 2" xfId="36705" xr:uid="{BFA1299C-1115-40AF-9721-F44A1AC83CB2}"/>
    <cellStyle name="20% - Accent4 4 2 3 4 3" xfId="29101" xr:uid="{37A3B1FF-111A-4390-9C94-B2C51679246B}"/>
    <cellStyle name="20% - Accent4 4 2 3 5" xfId="21735" xr:uid="{DA020D72-1466-4786-AE2C-DE0A7ACC1E83}"/>
    <cellStyle name="20% - Accent4 4 2 3 5 2" xfId="36711" xr:uid="{634F714E-0733-4794-8B81-43DB7CCD4743}"/>
    <cellStyle name="20% - Accent4 4 2 3 6" xfId="29107" xr:uid="{5ABFADEC-8592-4D79-A577-CA0E4D69095A}"/>
    <cellStyle name="20% - Accent4 4 2 4" xfId="3799" xr:uid="{00000000-0005-0000-0000-000010060000}"/>
    <cellStyle name="20% - Accent4 4 2 5" xfId="3798" xr:uid="{00000000-0005-0000-0000-000011060000}"/>
    <cellStyle name="20% - Accent4 4 2 5 2" xfId="21728" xr:uid="{8B2C1F10-EDD3-4C81-B5EB-270A9C2E2D15}"/>
    <cellStyle name="20% - Accent4 4 2 5 2 2" xfId="36704" xr:uid="{158D3A76-F26B-485D-9D6D-B45042ECC7FC}"/>
    <cellStyle name="20% - Accent4 4 2 5 3" xfId="29100" xr:uid="{F973AF8F-5EBE-4816-BF13-4536B1025615}"/>
    <cellStyle name="20% - Accent4 4 3" xfId="3797" xr:uid="{00000000-0005-0000-0000-000012060000}"/>
    <cellStyle name="20% - Accent4 4 3 2" xfId="3796" xr:uid="{00000000-0005-0000-0000-000013060000}"/>
    <cellStyle name="20% - Accent4 4 3 2 2" xfId="3795" xr:uid="{00000000-0005-0000-0000-000014060000}"/>
    <cellStyle name="20% - Accent4 4 3 2 2 2" xfId="21725" xr:uid="{565FE61B-1B4A-49D2-9378-F3D188F26BCC}"/>
    <cellStyle name="20% - Accent4 4 3 2 2 2 2" xfId="36701" xr:uid="{D36718CA-DE26-41F6-A205-B854407C8515}"/>
    <cellStyle name="20% - Accent4 4 3 2 2 3" xfId="29097" xr:uid="{F4107B37-AA8C-4062-A659-86BF75958E77}"/>
    <cellStyle name="20% - Accent4 4 3 2 3" xfId="3794" xr:uid="{00000000-0005-0000-0000-000015060000}"/>
    <cellStyle name="20% - Accent4 4 3 2 3 2" xfId="21724" xr:uid="{2D848F67-FB3E-40CE-95A5-C74DAB2E52EA}"/>
    <cellStyle name="20% - Accent4 4 3 2 3 2 2" xfId="36700" xr:uid="{A5E6B547-E69C-4403-A5B9-6C5949D022D1}"/>
    <cellStyle name="20% - Accent4 4 3 2 3 3" xfId="29096" xr:uid="{609285E5-C53E-47C2-912A-A7855BE5DB63}"/>
    <cellStyle name="20% - Accent4 4 3 2 4" xfId="21726" xr:uid="{15908986-4545-4090-A266-588B0B4E1517}"/>
    <cellStyle name="20% - Accent4 4 3 2 4 2" xfId="36702" xr:uid="{C6C4584E-019A-4FE6-BB61-67A8FD14BEE6}"/>
    <cellStyle name="20% - Accent4 4 3 2 5" xfId="29098" xr:uid="{7557525D-4873-4F62-A05B-6F7F05870AD0}"/>
    <cellStyle name="20% - Accent4 4 3 3" xfId="3793" xr:uid="{00000000-0005-0000-0000-000016060000}"/>
    <cellStyle name="20% - Accent4 4 3 3 2" xfId="21723" xr:uid="{FBAD454E-195A-4C5F-AED3-9A07B5803672}"/>
    <cellStyle name="20% - Accent4 4 3 3 2 2" xfId="36699" xr:uid="{58FD26EA-250F-4ED7-85FD-71D7D195BE4C}"/>
    <cellStyle name="20% - Accent4 4 3 3 3" xfId="29095" xr:uid="{E9ABF41D-D72F-4CAE-9F4E-806C5B7BC392}"/>
    <cellStyle name="20% - Accent4 4 3 4" xfId="3792" xr:uid="{00000000-0005-0000-0000-000017060000}"/>
    <cellStyle name="20% - Accent4 4 3 4 2" xfId="3791" xr:uid="{00000000-0005-0000-0000-000018060000}"/>
    <cellStyle name="20% - Accent4 4 3 4 2 2" xfId="21721" xr:uid="{C8371BE2-575F-4D5E-8894-D199BB0206D1}"/>
    <cellStyle name="20% - Accent4 4 3 4 2 2 2" xfId="36697" xr:uid="{76247A65-204E-491F-BB5F-126D0706143D}"/>
    <cellStyle name="20% - Accent4 4 3 4 2 3" xfId="29093" xr:uid="{E6E79D9E-A651-44BE-94F2-F484412DC5FB}"/>
    <cellStyle name="20% - Accent4 4 3 4 3" xfId="21722" xr:uid="{41093FC4-B6E3-43C4-9C39-BCE66B2BFB4C}"/>
    <cellStyle name="20% - Accent4 4 3 4 3 2" xfId="36698" xr:uid="{1E2BDA6F-E2D9-4C2B-96CA-B12E95B511A3}"/>
    <cellStyle name="20% - Accent4 4 3 4 4" xfId="29094" xr:uid="{7BA7C7D3-924F-4375-8067-554049B6AFE7}"/>
    <cellStyle name="20% - Accent4 4 3 5" xfId="3790" xr:uid="{00000000-0005-0000-0000-000019060000}"/>
    <cellStyle name="20% - Accent4 4 3 5 2" xfId="21720" xr:uid="{01DCD0A8-A6D8-4E80-A352-4FB05F8F535D}"/>
    <cellStyle name="20% - Accent4 4 3 5 2 2" xfId="36696" xr:uid="{20650F28-C109-450D-BD4B-E121E9FA4CA0}"/>
    <cellStyle name="20% - Accent4 4 3 5 3" xfId="29092" xr:uid="{47D783E6-020B-4A2D-A1B6-D1DD402DAFC9}"/>
    <cellStyle name="20% - Accent4 4 3 6" xfId="21727" xr:uid="{F1F5441C-2102-430B-AA2C-4DEA1DB7B861}"/>
    <cellStyle name="20% - Accent4 4 3 6 2" xfId="36703" xr:uid="{599CD896-E87C-46B8-8829-60938BA7686B}"/>
    <cellStyle name="20% - Accent4 4 3 7" xfId="29099" xr:uid="{51131789-9684-49D8-9D10-D0BF7B0F64DA}"/>
    <cellStyle name="20% - Accent4 4 4" xfId="3789" xr:uid="{00000000-0005-0000-0000-00001A060000}"/>
    <cellStyle name="20% - Accent4 4 4 2" xfId="3788" xr:uid="{00000000-0005-0000-0000-00001B060000}"/>
    <cellStyle name="20% - Accent4 4 4 2 2" xfId="3787" xr:uid="{00000000-0005-0000-0000-00001C060000}"/>
    <cellStyle name="20% - Accent4 4 4 2 2 2" xfId="21717" xr:uid="{142AF947-67B9-415D-8AFA-7EAFD24A5EB3}"/>
    <cellStyle name="20% - Accent4 4 4 2 2 2 2" xfId="36693" xr:uid="{BA7B3631-DBAB-42A5-900F-9953FDC005CB}"/>
    <cellStyle name="20% - Accent4 4 4 2 2 3" xfId="29089" xr:uid="{555CEF12-AD23-4C60-A53E-CA890F2AAB4A}"/>
    <cellStyle name="20% - Accent4 4 4 2 3" xfId="3786" xr:uid="{00000000-0005-0000-0000-00001D060000}"/>
    <cellStyle name="20% - Accent4 4 4 2 3 2" xfId="21716" xr:uid="{B0A3144C-9143-4145-BCE0-5D9E7D86E010}"/>
    <cellStyle name="20% - Accent4 4 4 2 3 2 2" xfId="36692" xr:uid="{CBDDC55F-5446-45BD-81E8-F84338FB6D21}"/>
    <cellStyle name="20% - Accent4 4 4 2 3 3" xfId="29088" xr:uid="{DB6AB834-9DF8-47C1-B9D0-F45F4CF39CDB}"/>
    <cellStyle name="20% - Accent4 4 4 2 4" xfId="21718" xr:uid="{53508F39-BEA3-4877-A157-F7B3D89508CD}"/>
    <cellStyle name="20% - Accent4 4 4 2 4 2" xfId="36694" xr:uid="{D5BEB9C0-11CB-455C-8E30-B697ED4EE258}"/>
    <cellStyle name="20% - Accent4 4 4 2 5" xfId="29090" xr:uid="{73634B99-70E2-47DF-887F-51559737774F}"/>
    <cellStyle name="20% - Accent4 4 4 3" xfId="3785" xr:uid="{00000000-0005-0000-0000-00001E060000}"/>
    <cellStyle name="20% - Accent4 4 4 3 2" xfId="3784" xr:uid="{00000000-0005-0000-0000-00001F060000}"/>
    <cellStyle name="20% - Accent4 4 4 3 2 2" xfId="21714" xr:uid="{20AEC776-2404-4496-BE89-B18F65575BC3}"/>
    <cellStyle name="20% - Accent4 4 4 3 2 2 2" xfId="36690" xr:uid="{FD811997-3A20-4029-959E-9D4B5475E5F3}"/>
    <cellStyle name="20% - Accent4 4 4 3 2 3" xfId="29086" xr:uid="{1F3F0EED-A6EB-45CA-B3F1-38323BA8870D}"/>
    <cellStyle name="20% - Accent4 4 4 3 3" xfId="21715" xr:uid="{2BD30A4F-A192-4C93-AE40-1A24251465E3}"/>
    <cellStyle name="20% - Accent4 4 4 3 3 2" xfId="36691" xr:uid="{3F9C8FDC-BC5C-487C-8EF3-0D3E9345E711}"/>
    <cellStyle name="20% - Accent4 4 4 3 4" xfId="29087" xr:uid="{582E11F4-A826-4620-8A05-4A931D70B02D}"/>
    <cellStyle name="20% - Accent4 4 4 4" xfId="3783" xr:uid="{00000000-0005-0000-0000-000020060000}"/>
    <cellStyle name="20% - Accent4 4 4 4 2" xfId="21713" xr:uid="{051E3A0C-E85F-4C7A-8426-37916E7DF564}"/>
    <cellStyle name="20% - Accent4 4 4 4 2 2" xfId="36689" xr:uid="{69CAC19D-E897-47E5-A273-C8F827D02C7A}"/>
    <cellStyle name="20% - Accent4 4 4 4 3" xfId="29085" xr:uid="{AA0BD968-FC8C-4615-B325-9CED00D4646F}"/>
    <cellStyle name="20% - Accent4 4 4 5" xfId="21719" xr:uid="{54B27DD7-F412-4FDC-B4CC-B4F9FB830828}"/>
    <cellStyle name="20% - Accent4 4 4 5 2" xfId="36695" xr:uid="{B983873E-C8E7-417B-928B-ACDD2075E6F3}"/>
    <cellStyle name="20% - Accent4 4 4 6" xfId="29091" xr:uid="{5DD35D3D-6490-4CD7-82D0-90EEE2F4DF1A}"/>
    <cellStyle name="20% - Accent4 4 5" xfId="3782" xr:uid="{00000000-0005-0000-0000-000021060000}"/>
    <cellStyle name="20% - Accent4 4 5 2" xfId="3781" xr:uid="{00000000-0005-0000-0000-000022060000}"/>
    <cellStyle name="20% - Accent4 4 5 2 2" xfId="3780" xr:uid="{00000000-0005-0000-0000-000023060000}"/>
    <cellStyle name="20% - Accent4 4 5 2 2 2" xfId="21710" xr:uid="{245974FE-2562-4624-8A5D-17885539A289}"/>
    <cellStyle name="20% - Accent4 4 5 2 2 2 2" xfId="36686" xr:uid="{6AAAE3CF-8C83-47C6-A172-07B2972C1FE3}"/>
    <cellStyle name="20% - Accent4 4 5 2 2 3" xfId="29082" xr:uid="{19976CF6-78DD-4134-BF2C-4EA826EF5DCA}"/>
    <cellStyle name="20% - Accent4 4 5 2 3" xfId="3779" xr:uid="{00000000-0005-0000-0000-000024060000}"/>
    <cellStyle name="20% - Accent4 4 5 2 3 2" xfId="21709" xr:uid="{E22DEAA1-6D2E-4A60-A09E-485E94A2B401}"/>
    <cellStyle name="20% - Accent4 4 5 2 3 2 2" xfId="36685" xr:uid="{8340C8D0-C99A-4273-B97D-886A3BF70B4F}"/>
    <cellStyle name="20% - Accent4 4 5 2 3 3" xfId="29081" xr:uid="{893D3825-E710-4096-ABB3-F76B35C76ADE}"/>
    <cellStyle name="20% - Accent4 4 5 2 4" xfId="21711" xr:uid="{5373B471-9E0E-4E06-9A3E-BC873C3FFDB2}"/>
    <cellStyle name="20% - Accent4 4 5 2 4 2" xfId="36687" xr:uid="{FE389B1E-60E1-402B-969C-FB492450D6ED}"/>
    <cellStyle name="20% - Accent4 4 5 2 5" xfId="29083" xr:uid="{2D0A1E87-4197-4E8B-8DD1-C7D433FC54C8}"/>
    <cellStyle name="20% - Accent4 4 5 3" xfId="3778" xr:uid="{00000000-0005-0000-0000-000025060000}"/>
    <cellStyle name="20% - Accent4 4 5 3 2" xfId="3777" xr:uid="{00000000-0005-0000-0000-000026060000}"/>
    <cellStyle name="20% - Accent4 4 5 3 2 2" xfId="21707" xr:uid="{D8D9E4E3-44DA-4D32-985B-9EF18D1B0869}"/>
    <cellStyle name="20% - Accent4 4 5 3 2 2 2" xfId="36683" xr:uid="{E50A36A0-DDD5-43BF-B0CB-642D82B9097A}"/>
    <cellStyle name="20% - Accent4 4 5 3 2 3" xfId="29079" xr:uid="{C0C6DF7A-DE63-4D42-81B0-C1991EBF6202}"/>
    <cellStyle name="20% - Accent4 4 5 3 3" xfId="21708" xr:uid="{EFD36271-9C11-48B3-A35E-4626E44E0794}"/>
    <cellStyle name="20% - Accent4 4 5 3 3 2" xfId="36684" xr:uid="{FCF5873C-8F2A-4BAE-AD4F-049FAD3998AB}"/>
    <cellStyle name="20% - Accent4 4 5 3 4" xfId="29080" xr:uid="{773CEAC9-07A8-4AF9-9914-CC74E1B01D82}"/>
    <cellStyle name="20% - Accent4 4 5 4" xfId="3776" xr:uid="{00000000-0005-0000-0000-000027060000}"/>
    <cellStyle name="20% - Accent4 4 5 4 2" xfId="21706" xr:uid="{CC1D8FFC-3D38-491A-8248-A5B2FDFF1405}"/>
    <cellStyle name="20% - Accent4 4 5 4 2 2" xfId="36682" xr:uid="{772CAE0A-80C8-4408-A0FE-CDD52DF1AE21}"/>
    <cellStyle name="20% - Accent4 4 5 4 3" xfId="29078" xr:uid="{FDC01ABC-7724-44AF-9040-F2049496EC21}"/>
    <cellStyle name="20% - Accent4 4 5 5" xfId="21712" xr:uid="{0FEAA1ED-6819-42BC-8019-D4DDEE6A0FBC}"/>
    <cellStyle name="20% - Accent4 4 5 5 2" xfId="36688" xr:uid="{F0489328-194E-4461-B144-05C8F27C6EFA}"/>
    <cellStyle name="20% - Accent4 4 5 6" xfId="29084" xr:uid="{F663764C-87EC-4B45-968C-907E6F540652}"/>
    <cellStyle name="20% - Accent4 4 6" xfId="3775" xr:uid="{00000000-0005-0000-0000-000028060000}"/>
    <cellStyle name="20% - Accent4 4 6 2" xfId="3774" xr:uid="{00000000-0005-0000-0000-000029060000}"/>
    <cellStyle name="20% - Accent4 4 6 2 2" xfId="21704" xr:uid="{38971774-C4E6-4030-927F-B12F45BE2943}"/>
    <cellStyle name="20% - Accent4 4 6 2 2 2" xfId="36680" xr:uid="{D35AF930-9241-46B1-A003-12F24283E8A8}"/>
    <cellStyle name="20% - Accent4 4 6 2 3" xfId="29076" xr:uid="{4280D6A6-DE23-466E-A977-F2DC63AE60ED}"/>
    <cellStyle name="20% - Accent4 4 6 3" xfId="3773" xr:uid="{00000000-0005-0000-0000-00002A060000}"/>
    <cellStyle name="20% - Accent4 4 6 3 2" xfId="21703" xr:uid="{73F0A6A5-55DC-4B01-AAF0-174EE276DA26}"/>
    <cellStyle name="20% - Accent4 4 6 3 2 2" xfId="36679" xr:uid="{EE008CBA-F439-4254-959E-209A4684A2EB}"/>
    <cellStyle name="20% - Accent4 4 6 3 3" xfId="29075" xr:uid="{DFA86BE3-0AF2-442D-B0AC-25111E83B4A2}"/>
    <cellStyle name="20% - Accent4 4 6 4" xfId="21705" xr:uid="{D847E5D1-936C-43B6-8261-91D2223FAD77}"/>
    <cellStyle name="20% - Accent4 4 6 4 2" xfId="36681" xr:uid="{3CB40AD0-70BB-48C4-92A4-B3AD7F50F522}"/>
    <cellStyle name="20% - Accent4 4 6 5" xfId="29077" xr:uid="{E2C359E2-BACF-40EC-9CE9-63CF1A72759F}"/>
    <cellStyle name="20% - Accent4 4 7" xfId="3772" xr:uid="{00000000-0005-0000-0000-00002B060000}"/>
    <cellStyle name="20% - Accent4 4 7 2" xfId="21702" xr:uid="{1EC72FAB-BC7C-440B-AFE8-4C9874F91E03}"/>
    <cellStyle name="20% - Accent4 4 7 2 2" xfId="36678" xr:uid="{47C531AF-6E56-4024-9554-332819FDD209}"/>
    <cellStyle name="20% - Accent4 4 7 3" xfId="29074" xr:uid="{AC679CBA-95C1-4EC0-A52F-FB549D5C77DC}"/>
    <cellStyle name="20% - Accent4 4 8" xfId="3771" xr:uid="{00000000-0005-0000-0000-00002C060000}"/>
    <cellStyle name="20% - Accent4 4 8 2" xfId="3770" xr:uid="{00000000-0005-0000-0000-00002D060000}"/>
    <cellStyle name="20% - Accent4 4 8 2 2" xfId="21700" xr:uid="{4462AC94-1115-4EAB-BC80-58935C6E61C0}"/>
    <cellStyle name="20% - Accent4 4 8 2 2 2" xfId="36676" xr:uid="{9CB482E8-9677-4793-85BF-210259DC7279}"/>
    <cellStyle name="20% - Accent4 4 8 2 3" xfId="29072" xr:uid="{61AC056F-CD85-4BC7-AF8F-5A421C1A50AE}"/>
    <cellStyle name="20% - Accent4 4 8 3" xfId="21701" xr:uid="{B4A5F5CC-EE29-41F2-9B41-A7F2DF5EB0A1}"/>
    <cellStyle name="20% - Accent4 4 8 3 2" xfId="36677" xr:uid="{4A124F9C-02A3-4B41-A030-5C88493560AF}"/>
    <cellStyle name="20% - Accent4 4 8 4" xfId="29073" xr:uid="{AE05E229-0B71-4915-B4E2-17B0B1988729}"/>
    <cellStyle name="20% - Accent4 4 9" xfId="3769" xr:uid="{00000000-0005-0000-0000-00002E060000}"/>
    <cellStyle name="20% - Accent4 4 9 2" xfId="21699" xr:uid="{5C5040BB-C360-4EA5-9CFE-AA93F6C78E30}"/>
    <cellStyle name="20% - Accent4 4 9 2 2" xfId="36675" xr:uid="{901B7283-A60F-431D-AF82-320CEFC4B01B}"/>
    <cellStyle name="20% - Accent4 4 9 3" xfId="29071" xr:uid="{9CF44DBF-F4AA-49F1-B92D-2245D8C55C87}"/>
    <cellStyle name="20% - Accent4 5" xfId="205" xr:uid="{00000000-0005-0000-0000-00002C000000}"/>
    <cellStyle name="20% - Accent4 5 2" xfId="3767" xr:uid="{00000000-0005-0000-0000-000030060000}"/>
    <cellStyle name="20% - Accent4 5 2 2" xfId="3766" xr:uid="{00000000-0005-0000-0000-000031060000}"/>
    <cellStyle name="20% - Accent4 5 2 2 2" xfId="3765" xr:uid="{00000000-0005-0000-0000-000032060000}"/>
    <cellStyle name="20% - Accent4 5 2 2 2 2" xfId="3764" xr:uid="{00000000-0005-0000-0000-000033060000}"/>
    <cellStyle name="20% - Accent4 5 2 2 2 2 2" xfId="3763" xr:uid="{00000000-0005-0000-0000-000034060000}"/>
    <cellStyle name="20% - Accent4 5 2 2 2 2 2 2" xfId="21694" xr:uid="{518E0F15-5281-4750-AB25-3B4F50FCACE0}"/>
    <cellStyle name="20% - Accent4 5 2 2 2 2 2 2 2" xfId="36670" xr:uid="{87888485-7E7E-4C13-9878-EAE8088729DB}"/>
    <cellStyle name="20% - Accent4 5 2 2 2 2 2 3" xfId="29066" xr:uid="{58EAA290-6A56-4C40-9EB4-CA895EE47012}"/>
    <cellStyle name="20% - Accent4 5 2 2 2 2 3" xfId="3762" xr:uid="{00000000-0005-0000-0000-000035060000}"/>
    <cellStyle name="20% - Accent4 5 2 2 2 2 3 2" xfId="21693" xr:uid="{89F4DE7B-C36A-42F7-8B90-6F6177077E0D}"/>
    <cellStyle name="20% - Accent4 5 2 2 2 2 3 2 2" xfId="36669" xr:uid="{A24707B6-8DC5-4C92-AA7A-FF71B2B3D4F5}"/>
    <cellStyle name="20% - Accent4 5 2 2 2 2 3 3" xfId="29065" xr:uid="{199CACA0-523F-407B-B7D4-7BE414549569}"/>
    <cellStyle name="20% - Accent4 5 2 2 2 2 4" xfId="21695" xr:uid="{C05CD9F9-82B8-41ED-94BF-A9CE07BF33FA}"/>
    <cellStyle name="20% - Accent4 5 2 2 2 2 4 2" xfId="36671" xr:uid="{ACCEEFF5-C322-4ADA-9AC9-1A97F90A3BD7}"/>
    <cellStyle name="20% - Accent4 5 2 2 2 2 5" xfId="29067" xr:uid="{76032B04-8FE0-41A8-A5E9-38B9EA2968C5}"/>
    <cellStyle name="20% - Accent4 5 2 2 2 3" xfId="3761" xr:uid="{00000000-0005-0000-0000-000036060000}"/>
    <cellStyle name="20% - Accent4 5 2 2 2 3 2" xfId="3760" xr:uid="{00000000-0005-0000-0000-000037060000}"/>
    <cellStyle name="20% - Accent4 5 2 2 2 3 2 2" xfId="21691" xr:uid="{FA4F30E5-AD3D-4AB8-A9F3-4190434F8D82}"/>
    <cellStyle name="20% - Accent4 5 2 2 2 3 2 2 2" xfId="36667" xr:uid="{D32CDD11-0839-4782-90BF-BE7C9A274605}"/>
    <cellStyle name="20% - Accent4 5 2 2 2 3 2 3" xfId="29063" xr:uid="{D9EB2478-A2D4-4C91-A234-B90790A603E9}"/>
    <cellStyle name="20% - Accent4 5 2 2 2 3 3" xfId="21692" xr:uid="{BD0C11BE-1533-42A7-B84A-5FA361971482}"/>
    <cellStyle name="20% - Accent4 5 2 2 2 3 3 2" xfId="36668" xr:uid="{DE336957-16C5-43C4-8552-053E6EC42D55}"/>
    <cellStyle name="20% - Accent4 5 2 2 2 3 4" xfId="29064" xr:uid="{7838ED51-A6D2-4E32-A342-42E37BAAC4C6}"/>
    <cellStyle name="20% - Accent4 5 2 2 2 4" xfId="3759" xr:uid="{00000000-0005-0000-0000-000038060000}"/>
    <cellStyle name="20% - Accent4 5 2 2 2 4 2" xfId="21690" xr:uid="{F39BD30B-F8B7-45F7-8B94-2364A8284B65}"/>
    <cellStyle name="20% - Accent4 5 2 2 2 4 2 2" xfId="36666" xr:uid="{43182E9C-B3B2-43B0-BB2A-CA943EC7FC20}"/>
    <cellStyle name="20% - Accent4 5 2 2 2 4 3" xfId="29062" xr:uid="{6CC25A3D-8856-4F78-840F-6B959124F703}"/>
    <cellStyle name="20% - Accent4 5 2 2 2 5" xfId="21696" xr:uid="{08E4AFCD-B991-415C-8C50-C596D59633EE}"/>
    <cellStyle name="20% - Accent4 5 2 2 2 5 2" xfId="36672" xr:uid="{8049EEDC-128D-45F0-9F17-4BC73D27B517}"/>
    <cellStyle name="20% - Accent4 5 2 2 2 6" xfId="29068" xr:uid="{634E0889-832E-45D0-8CA9-EDE17C9EDE34}"/>
    <cellStyle name="20% - Accent4 5 2 2 3" xfId="3758" xr:uid="{00000000-0005-0000-0000-000039060000}"/>
    <cellStyle name="20% - Accent4 5 2 2 3 2" xfId="3757" xr:uid="{00000000-0005-0000-0000-00003A060000}"/>
    <cellStyle name="20% - Accent4 5 2 2 3 2 2" xfId="21688" xr:uid="{DAB54CAA-9068-4D4D-BD74-C5EAEEA0458F}"/>
    <cellStyle name="20% - Accent4 5 2 2 3 2 2 2" xfId="36664" xr:uid="{D5B3B7AF-4A9A-46A0-89DE-04294F016C00}"/>
    <cellStyle name="20% - Accent4 5 2 2 3 2 3" xfId="29060" xr:uid="{BA5B3549-211B-4E72-A43F-23B132B2F40A}"/>
    <cellStyle name="20% - Accent4 5 2 2 3 3" xfId="3756" xr:uid="{00000000-0005-0000-0000-00003B060000}"/>
    <cellStyle name="20% - Accent4 5 2 2 3 3 2" xfId="21687" xr:uid="{F29DE295-257F-4C57-AE98-BAE00D340FB0}"/>
    <cellStyle name="20% - Accent4 5 2 2 3 3 2 2" xfId="36663" xr:uid="{52E2914A-63F3-451F-A694-36F91D32DE13}"/>
    <cellStyle name="20% - Accent4 5 2 2 3 3 3" xfId="29059" xr:uid="{5AF19951-9FE4-45D3-9BC1-FFCCC481ED9C}"/>
    <cellStyle name="20% - Accent4 5 2 2 3 4" xfId="21689" xr:uid="{860DD506-E741-4529-88C8-EA2A5EBFFACA}"/>
    <cellStyle name="20% - Accent4 5 2 2 3 4 2" xfId="36665" xr:uid="{0C2977AF-0A85-4B1B-BEA7-DA8D5F16152B}"/>
    <cellStyle name="20% - Accent4 5 2 2 3 5" xfId="29061" xr:uid="{C7FDF3FA-A3E4-47C3-83B8-DD1355830EDF}"/>
    <cellStyle name="20% - Accent4 5 2 2 4" xfId="3755" xr:uid="{00000000-0005-0000-0000-00003C060000}"/>
    <cellStyle name="20% - Accent4 5 2 2 4 2" xfId="21686" xr:uid="{DA2A4EED-18E5-4B7B-B56C-56350683B150}"/>
    <cellStyle name="20% - Accent4 5 2 2 4 2 2" xfId="36662" xr:uid="{01F9E0EE-1977-4081-80C8-B4E189BA4E3A}"/>
    <cellStyle name="20% - Accent4 5 2 2 4 3" xfId="29058" xr:uid="{680BD679-5514-4937-8CBD-AD6E98A0D030}"/>
    <cellStyle name="20% - Accent4 5 2 2 5" xfId="3754" xr:uid="{00000000-0005-0000-0000-00003D060000}"/>
    <cellStyle name="20% - Accent4 5 2 2 5 2" xfId="3753" xr:uid="{00000000-0005-0000-0000-00003E060000}"/>
    <cellStyle name="20% - Accent4 5 2 2 5 2 2" xfId="21684" xr:uid="{FCED8B89-E068-4804-A202-B96BFB854680}"/>
    <cellStyle name="20% - Accent4 5 2 2 5 2 2 2" xfId="36660" xr:uid="{E469B18E-F0DD-4A19-BF59-1ECFE1CBE382}"/>
    <cellStyle name="20% - Accent4 5 2 2 5 2 3" xfId="29056" xr:uid="{84EE36C7-276E-47FB-B588-CC3234BBEA0F}"/>
    <cellStyle name="20% - Accent4 5 2 2 5 3" xfId="21685" xr:uid="{87C0D870-EC56-486F-8579-4C8637E93AF5}"/>
    <cellStyle name="20% - Accent4 5 2 2 5 3 2" xfId="36661" xr:uid="{A7F6375C-09F3-45B3-873E-E204577F6183}"/>
    <cellStyle name="20% - Accent4 5 2 2 5 4" xfId="29057" xr:uid="{8EA60E30-989C-447B-8D55-48625689E0C6}"/>
    <cellStyle name="20% - Accent4 5 2 2 6" xfId="3752" xr:uid="{00000000-0005-0000-0000-00003F060000}"/>
    <cellStyle name="20% - Accent4 5 2 2 6 2" xfId="21683" xr:uid="{29F4D422-EFC7-49A8-96FA-FBC7BC4E26B7}"/>
    <cellStyle name="20% - Accent4 5 2 2 6 2 2" xfId="36659" xr:uid="{6A9C706C-CBA4-442D-96A1-76F018A821E6}"/>
    <cellStyle name="20% - Accent4 5 2 2 6 3" xfId="29055" xr:uid="{30FA5B36-1210-4136-BB03-A490337FF4CB}"/>
    <cellStyle name="20% - Accent4 5 2 2 7" xfId="21697" xr:uid="{6576B7A6-29AC-47E6-B69D-100B8B34A961}"/>
    <cellStyle name="20% - Accent4 5 2 2 7 2" xfId="36673" xr:uid="{429B72B4-98BE-486D-AA6D-8E3BD6F1A62A}"/>
    <cellStyle name="20% - Accent4 5 2 2 8" xfId="29069" xr:uid="{7878FD21-B247-42B1-B189-C484D77D14A7}"/>
    <cellStyle name="20% - Accent4 5 2 3" xfId="3751" xr:uid="{00000000-0005-0000-0000-000040060000}"/>
    <cellStyle name="20% - Accent4 5 2 3 2" xfId="3750" xr:uid="{00000000-0005-0000-0000-000041060000}"/>
    <cellStyle name="20% - Accent4 5 2 3 2 2" xfId="3749" xr:uid="{00000000-0005-0000-0000-000042060000}"/>
    <cellStyle name="20% - Accent4 5 2 3 2 2 2" xfId="21680" xr:uid="{EA698929-CF91-4A63-9740-8DF7A6745A16}"/>
    <cellStyle name="20% - Accent4 5 2 3 2 2 2 2" xfId="36656" xr:uid="{658E01B8-15B8-443B-9A64-951076E1F228}"/>
    <cellStyle name="20% - Accent4 5 2 3 2 2 3" xfId="29052" xr:uid="{F683EF69-2DA2-44E9-B197-DF13421B630A}"/>
    <cellStyle name="20% - Accent4 5 2 3 2 3" xfId="3748" xr:uid="{00000000-0005-0000-0000-000043060000}"/>
    <cellStyle name="20% - Accent4 5 2 3 2 3 2" xfId="21679" xr:uid="{FB0CA247-ECD1-4BF9-AAD3-4BC1959F53AE}"/>
    <cellStyle name="20% - Accent4 5 2 3 2 3 2 2" xfId="36655" xr:uid="{3940E376-1DB5-4D73-9963-91951E9C34A2}"/>
    <cellStyle name="20% - Accent4 5 2 3 2 3 3" xfId="29051" xr:uid="{32BF9200-4187-4367-BDF2-F576C01E4D51}"/>
    <cellStyle name="20% - Accent4 5 2 3 2 4" xfId="21681" xr:uid="{A19AA575-69D9-4F24-9A5A-5B4C2C530EBF}"/>
    <cellStyle name="20% - Accent4 5 2 3 2 4 2" xfId="36657" xr:uid="{EF3EC203-74BB-4839-9201-B595FF027B51}"/>
    <cellStyle name="20% - Accent4 5 2 3 2 5" xfId="29053" xr:uid="{23BA6E83-1B44-47A1-951F-E62C2C948138}"/>
    <cellStyle name="20% - Accent4 5 2 3 3" xfId="3747" xr:uid="{00000000-0005-0000-0000-000044060000}"/>
    <cellStyle name="20% - Accent4 5 2 3 3 2" xfId="3746" xr:uid="{00000000-0005-0000-0000-000045060000}"/>
    <cellStyle name="20% - Accent4 5 2 3 3 2 2" xfId="21677" xr:uid="{8154B51F-EAEE-4783-9DFC-FFEF11F2E967}"/>
    <cellStyle name="20% - Accent4 5 2 3 3 2 2 2" xfId="36653" xr:uid="{B8036CD6-FE90-49AB-A17E-B9E8224D501F}"/>
    <cellStyle name="20% - Accent4 5 2 3 3 2 3" xfId="29049" xr:uid="{A52E94E7-CD90-46CB-A522-745CB0899121}"/>
    <cellStyle name="20% - Accent4 5 2 3 3 3" xfId="21678" xr:uid="{1BFAA29A-BAF3-4469-9EF5-97E3BED211A9}"/>
    <cellStyle name="20% - Accent4 5 2 3 3 3 2" xfId="36654" xr:uid="{D20689A0-D35C-46D6-9593-41898751D679}"/>
    <cellStyle name="20% - Accent4 5 2 3 3 4" xfId="29050" xr:uid="{C49A4392-F87E-40A8-BD1B-CBBFBEAE58A3}"/>
    <cellStyle name="20% - Accent4 5 2 3 4" xfId="3745" xr:uid="{00000000-0005-0000-0000-000046060000}"/>
    <cellStyle name="20% - Accent4 5 2 3 4 2" xfId="21676" xr:uid="{9897F870-1628-4DC2-8482-4C26FC1085B3}"/>
    <cellStyle name="20% - Accent4 5 2 3 4 2 2" xfId="36652" xr:uid="{10975D53-648B-4884-8606-D3AF85ABAB0B}"/>
    <cellStyle name="20% - Accent4 5 2 3 4 3" xfId="29048" xr:uid="{2DA77002-034C-492B-AA75-AD6BDEA829E7}"/>
    <cellStyle name="20% - Accent4 5 2 3 5" xfId="21682" xr:uid="{469A677C-C3B6-476B-A386-09B012A9BBC5}"/>
    <cellStyle name="20% - Accent4 5 2 3 5 2" xfId="36658" xr:uid="{1C0C212C-77AB-4444-B391-B199C761E28C}"/>
    <cellStyle name="20% - Accent4 5 2 3 6" xfId="29054" xr:uid="{4F0011F5-3481-4C70-B485-55C16384D5B0}"/>
    <cellStyle name="20% - Accent4 5 2 4" xfId="3744" xr:uid="{00000000-0005-0000-0000-000047060000}"/>
    <cellStyle name="20% - Accent4 5 2 5" xfId="3743" xr:uid="{00000000-0005-0000-0000-000048060000}"/>
    <cellStyle name="20% - Accent4 5 2 5 2" xfId="21675" xr:uid="{00C8F400-DD4D-4299-A385-70DD457A9B35}"/>
    <cellStyle name="20% - Accent4 5 2 5 2 2" xfId="36651" xr:uid="{6BE013FE-A6CB-4932-8BA5-E9C3F74320A6}"/>
    <cellStyle name="20% - Accent4 5 2 5 3" xfId="29047" xr:uid="{84EA9883-A603-4C13-8887-E3D69A1A7D6C}"/>
    <cellStyle name="20% - Accent4 5 3" xfId="3742" xr:uid="{00000000-0005-0000-0000-000049060000}"/>
    <cellStyle name="20% - Accent4 5 3 2" xfId="3741" xr:uid="{00000000-0005-0000-0000-00004A060000}"/>
    <cellStyle name="20% - Accent4 5 3 2 2" xfId="3740" xr:uid="{00000000-0005-0000-0000-00004B060000}"/>
    <cellStyle name="20% - Accent4 5 3 2 2 2" xfId="21672" xr:uid="{24FAAEB2-DFCF-40FF-A150-DB6BF99EF053}"/>
    <cellStyle name="20% - Accent4 5 3 2 2 2 2" xfId="36648" xr:uid="{085477D9-F9A0-4BB4-A70E-B98498AA2835}"/>
    <cellStyle name="20% - Accent4 5 3 2 2 3" xfId="29044" xr:uid="{8BC3D137-64C0-4F2A-BCC2-97ABC5FFCEDD}"/>
    <cellStyle name="20% - Accent4 5 3 2 3" xfId="3739" xr:uid="{00000000-0005-0000-0000-00004C060000}"/>
    <cellStyle name="20% - Accent4 5 3 2 3 2" xfId="21671" xr:uid="{28E5CFBC-1536-4DC2-B3DB-C696E6D2E3C5}"/>
    <cellStyle name="20% - Accent4 5 3 2 3 2 2" xfId="36647" xr:uid="{44E95245-86FD-49DD-89B4-00793256779D}"/>
    <cellStyle name="20% - Accent4 5 3 2 3 3" xfId="29043" xr:uid="{6C58AD48-670A-4729-9BA7-E1A8A5CCC0FC}"/>
    <cellStyle name="20% - Accent4 5 3 2 4" xfId="21673" xr:uid="{D3700A8C-9A9B-4AFD-9F2A-DF5DE5377831}"/>
    <cellStyle name="20% - Accent4 5 3 2 4 2" xfId="36649" xr:uid="{94F98BE5-0BD2-4A6F-8784-B8963B3D7E5D}"/>
    <cellStyle name="20% - Accent4 5 3 2 5" xfId="29045" xr:uid="{B09E6228-CCDD-4C3F-899A-EFF674C8DBE3}"/>
    <cellStyle name="20% - Accent4 5 3 3" xfId="3738" xr:uid="{00000000-0005-0000-0000-00004D060000}"/>
    <cellStyle name="20% - Accent4 5 3 3 2" xfId="21670" xr:uid="{533B9C86-2924-4BD9-B3AE-C8B98850506A}"/>
    <cellStyle name="20% - Accent4 5 3 3 2 2" xfId="36646" xr:uid="{B8D96851-E597-4676-9070-2F3C704C65E4}"/>
    <cellStyle name="20% - Accent4 5 3 3 3" xfId="29042" xr:uid="{AA5E5303-7B67-429E-B57F-310BC35D23E2}"/>
    <cellStyle name="20% - Accent4 5 3 4" xfId="3737" xr:uid="{00000000-0005-0000-0000-00004E060000}"/>
    <cellStyle name="20% - Accent4 5 3 4 2" xfId="3736" xr:uid="{00000000-0005-0000-0000-00004F060000}"/>
    <cellStyle name="20% - Accent4 5 3 4 2 2" xfId="21668" xr:uid="{CC265DAB-4960-4BF2-BB0A-DC102F232470}"/>
    <cellStyle name="20% - Accent4 5 3 4 2 2 2" xfId="36644" xr:uid="{BC60DCDA-A86A-4257-A434-6FF86AD941A3}"/>
    <cellStyle name="20% - Accent4 5 3 4 2 3" xfId="29040" xr:uid="{7A31C431-0E94-4E54-9300-9D7F6EED476E}"/>
    <cellStyle name="20% - Accent4 5 3 4 3" xfId="21669" xr:uid="{81201B3D-2E6E-4E36-B50E-E5F1934330B6}"/>
    <cellStyle name="20% - Accent4 5 3 4 3 2" xfId="36645" xr:uid="{9C7F2FE0-5C75-48D0-83CF-DA1A4AECA62E}"/>
    <cellStyle name="20% - Accent4 5 3 4 4" xfId="29041" xr:uid="{9178C9BB-E515-471B-995D-6D5CA5AD4B15}"/>
    <cellStyle name="20% - Accent4 5 3 5" xfId="3735" xr:uid="{00000000-0005-0000-0000-000050060000}"/>
    <cellStyle name="20% - Accent4 5 3 5 2" xfId="21667" xr:uid="{688F4FC8-A766-4D49-BF4A-90C767A90D27}"/>
    <cellStyle name="20% - Accent4 5 3 5 2 2" xfId="36643" xr:uid="{FE955F61-EA32-4BE2-952B-8EA2164C3768}"/>
    <cellStyle name="20% - Accent4 5 3 5 3" xfId="29039" xr:uid="{6AAF0E1D-0BDA-407A-8BF1-5FF08FDF0954}"/>
    <cellStyle name="20% - Accent4 5 3 6" xfId="21674" xr:uid="{FB344459-69FB-4A3F-AD26-D267F12CD77B}"/>
    <cellStyle name="20% - Accent4 5 3 6 2" xfId="36650" xr:uid="{C68670CF-B4BC-4BD8-BBFE-6642E9E56D08}"/>
    <cellStyle name="20% - Accent4 5 3 7" xfId="29046" xr:uid="{C1FFE009-8840-40A2-A341-E032DB4CFED3}"/>
    <cellStyle name="20% - Accent4 5 4" xfId="3734" xr:uid="{00000000-0005-0000-0000-000051060000}"/>
    <cellStyle name="20% - Accent4 5 4 2" xfId="3733" xr:uid="{00000000-0005-0000-0000-000052060000}"/>
    <cellStyle name="20% - Accent4 5 4 2 2" xfId="3732" xr:uid="{00000000-0005-0000-0000-000053060000}"/>
    <cellStyle name="20% - Accent4 5 4 2 2 2" xfId="21664" xr:uid="{A1EF8B4D-4BD5-4E8A-B440-C938B3D19432}"/>
    <cellStyle name="20% - Accent4 5 4 2 2 2 2" xfId="36640" xr:uid="{DAD4F2FC-3981-4FFF-A8AD-E3CFB435B029}"/>
    <cellStyle name="20% - Accent4 5 4 2 2 3" xfId="29036" xr:uid="{60CF7827-EF4E-476F-BDF7-D554D801FE88}"/>
    <cellStyle name="20% - Accent4 5 4 2 3" xfId="3731" xr:uid="{00000000-0005-0000-0000-000054060000}"/>
    <cellStyle name="20% - Accent4 5 4 2 3 2" xfId="21663" xr:uid="{B83C4377-E521-4C7F-A11D-472BA8DEF2C8}"/>
    <cellStyle name="20% - Accent4 5 4 2 3 2 2" xfId="36639" xr:uid="{1A583970-939A-4CDB-B428-43C532D2038D}"/>
    <cellStyle name="20% - Accent4 5 4 2 3 3" xfId="29035" xr:uid="{FDA6E204-572E-4792-89A7-3DEC000DE77C}"/>
    <cellStyle name="20% - Accent4 5 4 2 4" xfId="21665" xr:uid="{3F44BA9C-F684-43D2-B753-8149C2A32259}"/>
    <cellStyle name="20% - Accent4 5 4 2 4 2" xfId="36641" xr:uid="{0C56B081-45E6-41FA-B194-AC69540814BD}"/>
    <cellStyle name="20% - Accent4 5 4 2 5" xfId="29037" xr:uid="{D6AF1494-3CF0-4FD2-A3BB-D50F4B5FDA1C}"/>
    <cellStyle name="20% - Accent4 5 4 3" xfId="3730" xr:uid="{00000000-0005-0000-0000-000055060000}"/>
    <cellStyle name="20% - Accent4 5 4 3 2" xfId="3729" xr:uid="{00000000-0005-0000-0000-000056060000}"/>
    <cellStyle name="20% - Accent4 5 4 3 2 2" xfId="21661" xr:uid="{9C02B4AA-5DB2-4EC4-873A-0AEDC0FA799C}"/>
    <cellStyle name="20% - Accent4 5 4 3 2 2 2" xfId="36637" xr:uid="{C97A3E29-A702-4761-8215-A5BCB2922F37}"/>
    <cellStyle name="20% - Accent4 5 4 3 2 3" xfId="29033" xr:uid="{C20BFE6F-D292-4512-A7D1-E37D1EC77F4C}"/>
    <cellStyle name="20% - Accent4 5 4 3 3" xfId="21662" xr:uid="{35E33E54-C27D-4CC3-A919-AD8152D58AD9}"/>
    <cellStyle name="20% - Accent4 5 4 3 3 2" xfId="36638" xr:uid="{5D898C8D-A0F7-4DF4-ACB4-6604AFAA8D66}"/>
    <cellStyle name="20% - Accent4 5 4 3 4" xfId="29034" xr:uid="{471F673E-706C-4B1F-A6B2-63E85F6AF413}"/>
    <cellStyle name="20% - Accent4 5 4 4" xfId="3728" xr:uid="{00000000-0005-0000-0000-000057060000}"/>
    <cellStyle name="20% - Accent4 5 4 4 2" xfId="21660" xr:uid="{13A794B4-DF35-4E76-830D-337A56307104}"/>
    <cellStyle name="20% - Accent4 5 4 4 2 2" xfId="36636" xr:uid="{E962AE1E-AE76-41DC-BE6C-02AF34AD48A6}"/>
    <cellStyle name="20% - Accent4 5 4 4 3" xfId="29032" xr:uid="{803DF19B-2581-4B10-A744-0463451D2945}"/>
    <cellStyle name="20% - Accent4 5 4 5" xfId="21666" xr:uid="{27A7693F-8B8E-478C-A92D-F2957CBE2B06}"/>
    <cellStyle name="20% - Accent4 5 4 5 2" xfId="36642" xr:uid="{0F49FF51-A152-4721-84F8-62747ABA8814}"/>
    <cellStyle name="20% - Accent4 5 4 6" xfId="29038" xr:uid="{B18E3539-1326-43FB-A611-8EE9B67D869D}"/>
    <cellStyle name="20% - Accent4 5 5" xfId="3727" xr:uid="{00000000-0005-0000-0000-000058060000}"/>
    <cellStyle name="20% - Accent4 5 5 2" xfId="3726" xr:uid="{00000000-0005-0000-0000-000059060000}"/>
    <cellStyle name="20% - Accent4 5 5 2 2" xfId="21658" xr:uid="{AC55CA0D-20B0-4531-83A9-F04A1660E33E}"/>
    <cellStyle name="20% - Accent4 5 5 2 2 2" xfId="36634" xr:uid="{5EC09F93-C269-4CC6-994F-97813C23AEEF}"/>
    <cellStyle name="20% - Accent4 5 5 2 3" xfId="29030" xr:uid="{D0DE5204-50BC-4756-975B-896B1876566D}"/>
    <cellStyle name="20% - Accent4 5 5 3" xfId="3725" xr:uid="{00000000-0005-0000-0000-00005A060000}"/>
    <cellStyle name="20% - Accent4 5 5 3 2" xfId="21657" xr:uid="{4F92A98C-7736-4AF4-B874-40558B356A8E}"/>
    <cellStyle name="20% - Accent4 5 5 3 2 2" xfId="36633" xr:uid="{4219F1D4-8D31-47E0-8FB8-0782F4678585}"/>
    <cellStyle name="20% - Accent4 5 5 3 3" xfId="29029" xr:uid="{CF01324E-EFEE-4D8D-8636-4C66FB62B988}"/>
    <cellStyle name="20% - Accent4 5 5 4" xfId="21659" xr:uid="{F9DB85E5-8CF2-4BEA-B3D9-2AFB2E9BBD9D}"/>
    <cellStyle name="20% - Accent4 5 5 4 2" xfId="36635" xr:uid="{08C1B2C9-910D-480C-A89C-B88789C0110D}"/>
    <cellStyle name="20% - Accent4 5 5 5" xfId="29031" xr:uid="{53066E66-6C27-4F1F-ADD4-839A2BDF6335}"/>
    <cellStyle name="20% - Accent4 5 6" xfId="3724" xr:uid="{00000000-0005-0000-0000-00005B060000}"/>
    <cellStyle name="20% - Accent4 5 6 2" xfId="21656" xr:uid="{D024C9FA-6C48-4EB3-A0B0-8B356FAC45DD}"/>
    <cellStyle name="20% - Accent4 5 6 2 2" xfId="36632" xr:uid="{C14E9A6E-AF65-4E7A-B25C-FDE10A9BB88A}"/>
    <cellStyle name="20% - Accent4 5 6 3" xfId="29028" xr:uid="{BCAC50AE-C38C-474A-87E1-4164884FD7F1}"/>
    <cellStyle name="20% - Accent4 5 7" xfId="3723" xr:uid="{00000000-0005-0000-0000-00005C060000}"/>
    <cellStyle name="20% - Accent4 5 7 2" xfId="3722" xr:uid="{00000000-0005-0000-0000-00005D060000}"/>
    <cellStyle name="20% - Accent4 5 7 2 2" xfId="21654" xr:uid="{7D0EF5B9-575B-4F5B-AD50-D47A3E08BD49}"/>
    <cellStyle name="20% - Accent4 5 7 2 2 2" xfId="36630" xr:uid="{02DC52DD-D2AC-4EBC-A181-12B56E9E740E}"/>
    <cellStyle name="20% - Accent4 5 7 2 3" xfId="29026" xr:uid="{C1B3BE67-34AF-4D4B-9B9E-061C84732D61}"/>
    <cellStyle name="20% - Accent4 5 7 3" xfId="21655" xr:uid="{B63B0AAD-BDF9-4E78-B418-67F1AE6A912C}"/>
    <cellStyle name="20% - Accent4 5 7 3 2" xfId="36631" xr:uid="{0D892DC4-E16C-4062-B0B8-34C2E5765AA0}"/>
    <cellStyle name="20% - Accent4 5 7 4" xfId="29027" xr:uid="{A67B2F15-2FC1-43C1-AED7-2A180070851A}"/>
    <cellStyle name="20% - Accent4 5 8" xfId="3721" xr:uid="{00000000-0005-0000-0000-00005E060000}"/>
    <cellStyle name="20% - Accent4 5 8 2" xfId="21653" xr:uid="{31448ED5-02FC-4B48-B70A-C3288434B249}"/>
    <cellStyle name="20% - Accent4 5 8 2 2" xfId="36629" xr:uid="{8FB5EA5E-463C-4368-9D09-BBF0BCF2045A}"/>
    <cellStyle name="20% - Accent4 5 8 3" xfId="29025" xr:uid="{F887A951-7D48-43BD-B3E0-9610E28E6F90}"/>
    <cellStyle name="20% - Accent4 5 9" xfId="3768" xr:uid="{00000000-0005-0000-0000-00002F060000}"/>
    <cellStyle name="20% - Accent4 5 9 2" xfId="21698" xr:uid="{5A4A8040-4E53-46AB-92D2-8ADE122116A2}"/>
    <cellStyle name="20% - Accent4 5 9 2 2" xfId="36674" xr:uid="{B748BA61-50CE-4C58-8A73-06D50F003874}"/>
    <cellStyle name="20% - Accent4 5 9 3" xfId="29070" xr:uid="{BB48CB33-F904-42E7-93B3-0AB8107881BC}"/>
    <cellStyle name="20% - Accent4 6" xfId="206" xr:uid="{00000000-0005-0000-0000-00002D000000}"/>
    <cellStyle name="20% - Accent4 6 2" xfId="3720" xr:uid="{00000000-0005-0000-0000-000060060000}"/>
    <cellStyle name="20% - Accent4 6 2 2" xfId="3719" xr:uid="{00000000-0005-0000-0000-000061060000}"/>
    <cellStyle name="20% - Accent4 6 2 2 2" xfId="3718" xr:uid="{00000000-0005-0000-0000-000062060000}"/>
    <cellStyle name="20% - Accent4 6 2 2 2 2" xfId="3717" xr:uid="{00000000-0005-0000-0000-000063060000}"/>
    <cellStyle name="20% - Accent4 6 2 2 2 2 2" xfId="21649" xr:uid="{B51B3D34-DF92-4856-9D39-85312D030EEA}"/>
    <cellStyle name="20% - Accent4 6 2 2 2 2 2 2" xfId="36625" xr:uid="{A45BD2B2-9C63-4E92-BE4C-40DC808C8FF9}"/>
    <cellStyle name="20% - Accent4 6 2 2 2 2 3" xfId="29021" xr:uid="{DCACC783-17C9-4567-A117-4709BEB1C0A2}"/>
    <cellStyle name="20% - Accent4 6 2 2 2 3" xfId="3716" xr:uid="{00000000-0005-0000-0000-000064060000}"/>
    <cellStyle name="20% - Accent4 6 2 2 2 3 2" xfId="21648" xr:uid="{C5208E3F-D685-4A9D-A8E2-ACFB978F23F5}"/>
    <cellStyle name="20% - Accent4 6 2 2 2 3 2 2" xfId="36624" xr:uid="{4C19AC8A-1568-4546-BF48-B4E5AEFD8E87}"/>
    <cellStyle name="20% - Accent4 6 2 2 2 3 3" xfId="29020" xr:uid="{0DBBE638-FA8E-4EBB-A69D-6851225991F0}"/>
    <cellStyle name="20% - Accent4 6 2 2 2 4" xfId="21650" xr:uid="{9B47EB45-8D35-4DAB-9659-C88AA43C7904}"/>
    <cellStyle name="20% - Accent4 6 2 2 2 4 2" xfId="36626" xr:uid="{DB79FB27-1937-4A1F-A61D-BBC65C26D9C5}"/>
    <cellStyle name="20% - Accent4 6 2 2 2 5" xfId="29022" xr:uid="{1BA0C48F-41B1-4A65-B229-218272BA09B0}"/>
    <cellStyle name="20% - Accent4 6 2 2 3" xfId="3715" xr:uid="{00000000-0005-0000-0000-000065060000}"/>
    <cellStyle name="20% - Accent4 6 2 2 3 2" xfId="3714" xr:uid="{00000000-0005-0000-0000-000066060000}"/>
    <cellStyle name="20% - Accent4 6 2 2 3 2 2" xfId="21646" xr:uid="{1AE72BF5-32F1-452A-A9E6-482A2BB8E774}"/>
    <cellStyle name="20% - Accent4 6 2 2 3 2 2 2" xfId="36622" xr:uid="{C88041B9-59B6-4D69-B1E1-EBBCD5D1180E}"/>
    <cellStyle name="20% - Accent4 6 2 2 3 2 3" xfId="29018" xr:uid="{0773CFD5-6DCC-4F0D-8CBC-699DFD142AB9}"/>
    <cellStyle name="20% - Accent4 6 2 2 3 3" xfId="21647" xr:uid="{7378B7F4-C299-4EC8-8EAD-5A23462F0FFE}"/>
    <cellStyle name="20% - Accent4 6 2 2 3 3 2" xfId="36623" xr:uid="{3430C70B-FA0B-4DC9-AB86-2FA3458175E1}"/>
    <cellStyle name="20% - Accent4 6 2 2 3 4" xfId="29019" xr:uid="{F4532FA1-14E3-4B55-8408-553CF2EA517A}"/>
    <cellStyle name="20% - Accent4 6 2 2 4" xfId="3713" xr:uid="{00000000-0005-0000-0000-000067060000}"/>
    <cellStyle name="20% - Accent4 6 2 2 4 2" xfId="21645" xr:uid="{5DE2E205-BAFC-49EC-84A9-4EAB43AAE867}"/>
    <cellStyle name="20% - Accent4 6 2 2 4 2 2" xfId="36621" xr:uid="{8B7BE363-47ED-4F1F-B1B3-E2489DD11682}"/>
    <cellStyle name="20% - Accent4 6 2 2 4 3" xfId="29017" xr:uid="{264F3F8D-D0DA-4DDD-AB61-B687EC428B33}"/>
    <cellStyle name="20% - Accent4 6 2 2 5" xfId="21651" xr:uid="{0C0949DF-61EF-498D-8249-5241610E2F7F}"/>
    <cellStyle name="20% - Accent4 6 2 2 5 2" xfId="36627" xr:uid="{5CED708B-62CE-4439-8EE8-067E9F1EACC1}"/>
    <cellStyle name="20% - Accent4 6 2 2 6" xfId="29023" xr:uid="{B757E393-8D6A-4939-A512-741FC1C0A899}"/>
    <cellStyle name="20% - Accent4 6 2 3" xfId="3712" xr:uid="{00000000-0005-0000-0000-000068060000}"/>
    <cellStyle name="20% - Accent4 6 2 3 2" xfId="3711" xr:uid="{00000000-0005-0000-0000-000069060000}"/>
    <cellStyle name="20% - Accent4 6 2 3 2 2" xfId="21643" xr:uid="{3011E753-F9DB-49DD-A018-77907B9F2F0B}"/>
    <cellStyle name="20% - Accent4 6 2 3 2 2 2" xfId="36619" xr:uid="{14BE9C72-821B-4B9B-A571-C0E7E70A0F45}"/>
    <cellStyle name="20% - Accent4 6 2 3 2 3" xfId="29015" xr:uid="{EB52FE60-6CE3-4862-AA41-82285E6DB165}"/>
    <cellStyle name="20% - Accent4 6 2 3 3" xfId="3710" xr:uid="{00000000-0005-0000-0000-00006A060000}"/>
    <cellStyle name="20% - Accent4 6 2 3 3 2" xfId="21642" xr:uid="{25D3AE94-221C-4B5C-9D1B-FCBB5AF2BFDB}"/>
    <cellStyle name="20% - Accent4 6 2 3 3 2 2" xfId="36618" xr:uid="{63024405-5406-412B-BEF0-C4B0524CA5DB}"/>
    <cellStyle name="20% - Accent4 6 2 3 3 3" xfId="29014" xr:uid="{32977777-9B8D-4FC3-8E82-C164E43C32FC}"/>
    <cellStyle name="20% - Accent4 6 2 3 4" xfId="21644" xr:uid="{2C67225D-59E2-4195-9162-BC939D99D147}"/>
    <cellStyle name="20% - Accent4 6 2 3 4 2" xfId="36620" xr:uid="{F3EFD6F2-450E-4CC6-AB25-B95518F6ECF6}"/>
    <cellStyle name="20% - Accent4 6 2 3 5" xfId="29016" xr:uid="{23DCD938-3D36-4775-9A08-9C2CE230C9B4}"/>
    <cellStyle name="20% - Accent4 6 2 4" xfId="3709" xr:uid="{00000000-0005-0000-0000-00006B060000}"/>
    <cellStyle name="20% - Accent4 6 2 4 2" xfId="21641" xr:uid="{072B7F71-DBEC-44E7-B398-2046DC1D764D}"/>
    <cellStyle name="20% - Accent4 6 2 4 2 2" xfId="36617" xr:uid="{35BE0696-7995-4526-ACB0-217B31854476}"/>
    <cellStyle name="20% - Accent4 6 2 4 3" xfId="29013" xr:uid="{9CA785AE-2BC1-498D-9E03-6BA70D5101CA}"/>
    <cellStyle name="20% - Accent4 6 2 5" xfId="3708" xr:uid="{00000000-0005-0000-0000-00006C060000}"/>
    <cellStyle name="20% - Accent4 6 2 5 2" xfId="3707" xr:uid="{00000000-0005-0000-0000-00006D060000}"/>
    <cellStyle name="20% - Accent4 6 2 5 2 2" xfId="21639" xr:uid="{580C511D-8178-4DE0-BC58-E987D8EEC20E}"/>
    <cellStyle name="20% - Accent4 6 2 5 2 2 2" xfId="36615" xr:uid="{BDC6475B-50EE-4962-93C5-2DD970BB5D2A}"/>
    <cellStyle name="20% - Accent4 6 2 5 2 3" xfId="29011" xr:uid="{B9499EF7-E3E5-4223-ACB3-32B7D539FBD6}"/>
    <cellStyle name="20% - Accent4 6 2 5 3" xfId="21640" xr:uid="{8E8137B0-A32D-4396-B625-3076F78DAD2D}"/>
    <cellStyle name="20% - Accent4 6 2 5 3 2" xfId="36616" xr:uid="{7C289C6B-B3BD-48B6-B8B6-AA6BCBC341E1}"/>
    <cellStyle name="20% - Accent4 6 2 5 4" xfId="29012" xr:uid="{A2ED57B1-FF46-4CD1-91FC-D3CF00CE4108}"/>
    <cellStyle name="20% - Accent4 6 2 6" xfId="3706" xr:uid="{00000000-0005-0000-0000-00006E060000}"/>
    <cellStyle name="20% - Accent4 6 2 6 2" xfId="21638" xr:uid="{547BA44A-C40A-4D66-B4D9-B95817A97A43}"/>
    <cellStyle name="20% - Accent4 6 2 6 2 2" xfId="36614" xr:uid="{139EBF6E-9632-4AE1-B4A5-6A7D02A1D87B}"/>
    <cellStyle name="20% - Accent4 6 2 6 3" xfId="29010" xr:uid="{FBECB79B-5E23-4DDD-8B1B-0E0A6F8A9FE7}"/>
    <cellStyle name="20% - Accent4 6 2 7" xfId="21652" xr:uid="{19FABB1D-9770-4892-AE40-BE4C7505DA31}"/>
    <cellStyle name="20% - Accent4 6 2 7 2" xfId="36628" xr:uid="{5BD610B6-DA46-48A2-A0A4-6A7844EF32CC}"/>
    <cellStyle name="20% - Accent4 6 2 8" xfId="29024" xr:uid="{C8E18D89-96B4-42FD-84B8-2F231D8653ED}"/>
    <cellStyle name="20% - Accent4 6 3" xfId="3705" xr:uid="{00000000-0005-0000-0000-00006F060000}"/>
    <cellStyle name="20% - Accent4 6 3 2" xfId="3704" xr:uid="{00000000-0005-0000-0000-000070060000}"/>
    <cellStyle name="20% - Accent4 6 3 2 2" xfId="3703" xr:uid="{00000000-0005-0000-0000-000071060000}"/>
    <cellStyle name="20% - Accent4 6 3 2 2 2" xfId="21635" xr:uid="{02F437AB-CEE3-4C95-8109-50D09A285AC3}"/>
    <cellStyle name="20% - Accent4 6 3 2 2 2 2" xfId="36611" xr:uid="{26291178-F8EE-4B13-8041-96936FDBD57B}"/>
    <cellStyle name="20% - Accent4 6 3 2 2 3" xfId="29007" xr:uid="{2AD9FFD5-F186-47ED-8915-C1091FE944B3}"/>
    <cellStyle name="20% - Accent4 6 3 2 3" xfId="3702" xr:uid="{00000000-0005-0000-0000-000072060000}"/>
    <cellStyle name="20% - Accent4 6 3 2 3 2" xfId="21634" xr:uid="{22A8193C-F418-468B-B964-A002ABA01E6D}"/>
    <cellStyle name="20% - Accent4 6 3 2 3 2 2" xfId="36610" xr:uid="{1790C918-E043-4E76-84FF-004342A0CD6F}"/>
    <cellStyle name="20% - Accent4 6 3 2 3 3" xfId="29006" xr:uid="{19FD0A09-62AB-41AE-BE91-A70F73C792A1}"/>
    <cellStyle name="20% - Accent4 6 3 2 4" xfId="21636" xr:uid="{A74E2442-B195-430E-A456-134F0E03DD3B}"/>
    <cellStyle name="20% - Accent4 6 3 2 4 2" xfId="36612" xr:uid="{8EFB66C0-3C69-4F73-8E8F-4770A2A591DA}"/>
    <cellStyle name="20% - Accent4 6 3 2 5" xfId="29008" xr:uid="{4886689E-D63E-4442-9C05-B52F7DE678B3}"/>
    <cellStyle name="20% - Accent4 6 3 3" xfId="3701" xr:uid="{00000000-0005-0000-0000-000073060000}"/>
    <cellStyle name="20% - Accent4 6 3 3 2" xfId="3700" xr:uid="{00000000-0005-0000-0000-000074060000}"/>
    <cellStyle name="20% - Accent4 6 3 3 2 2" xfId="21632" xr:uid="{815CA9A0-1824-4E22-9A3B-3744ED7C0B7C}"/>
    <cellStyle name="20% - Accent4 6 3 3 2 2 2" xfId="36608" xr:uid="{A3EB958C-6A1C-4951-845C-3E71D5B09442}"/>
    <cellStyle name="20% - Accent4 6 3 3 2 3" xfId="29004" xr:uid="{C65C8DB2-2424-40F2-B3BC-56FB06DA957C}"/>
    <cellStyle name="20% - Accent4 6 3 3 3" xfId="21633" xr:uid="{3C2DCBE8-357E-4564-AD3A-E235084806D4}"/>
    <cellStyle name="20% - Accent4 6 3 3 3 2" xfId="36609" xr:uid="{F01C22C5-1F8B-48C8-B422-F9411CB34938}"/>
    <cellStyle name="20% - Accent4 6 3 3 4" xfId="29005" xr:uid="{CE6D4128-9398-4787-806C-E868C9D2CA53}"/>
    <cellStyle name="20% - Accent4 6 3 4" xfId="3699" xr:uid="{00000000-0005-0000-0000-000075060000}"/>
    <cellStyle name="20% - Accent4 6 3 4 2" xfId="21631" xr:uid="{448C46DA-E6A4-4225-84BD-B8D8CAFC9951}"/>
    <cellStyle name="20% - Accent4 6 3 4 2 2" xfId="36607" xr:uid="{73D2E4E9-8010-42F5-904E-52B7D190C973}"/>
    <cellStyle name="20% - Accent4 6 3 4 3" xfId="29003" xr:uid="{2B1D54FD-C8E3-4FE2-9813-B5A5FA3DA17C}"/>
    <cellStyle name="20% - Accent4 6 3 5" xfId="21637" xr:uid="{D364BA9B-8CA2-4733-9AFD-71EEC42D0FA2}"/>
    <cellStyle name="20% - Accent4 6 3 5 2" xfId="36613" xr:uid="{FE1E423B-FF2F-4F13-B54D-7CF97C602A07}"/>
    <cellStyle name="20% - Accent4 6 3 6" xfId="29009" xr:uid="{35D7BDA3-A940-4001-ACB1-A69F53810FAF}"/>
    <cellStyle name="20% - Accent4 6 4" xfId="3698" xr:uid="{00000000-0005-0000-0000-000076060000}"/>
    <cellStyle name="20% - Accent4 6 5" xfId="3697" xr:uid="{00000000-0005-0000-0000-000077060000}"/>
    <cellStyle name="20% - Accent4 6 5 2" xfId="21630" xr:uid="{EDDA5A52-2659-4B40-94DB-BE3CF6041466}"/>
    <cellStyle name="20% - Accent4 6 5 2 2" xfId="36606" xr:uid="{78A2ABE6-0FB7-4380-B4F9-9D55F440B01B}"/>
    <cellStyle name="20% - Accent4 6 5 3" xfId="29002" xr:uid="{4C01A7D0-BB5D-4208-9DEB-3D02FA6AF8B3}"/>
    <cellStyle name="20% - Accent4 7" xfId="207" xr:uid="{00000000-0005-0000-0000-00002E000000}"/>
    <cellStyle name="20% - Accent4 7 2" xfId="3696" xr:uid="{00000000-0005-0000-0000-000079060000}"/>
    <cellStyle name="20% - Accent4 7 2 2" xfId="21629" xr:uid="{2B8D74A3-A486-4ED8-9293-0A244703C365}"/>
    <cellStyle name="20% - Accent4 7 2 2 2" xfId="36605" xr:uid="{7CB24E21-A5DF-4EA7-AA23-9BCE3F203E7B}"/>
    <cellStyle name="20% - Accent4 7 2 3" xfId="29001" xr:uid="{F9AFB7FF-D0CF-4DA5-80F8-3EA9932415F6}"/>
    <cellStyle name="20% - Accent4 7 3" xfId="3695" xr:uid="{00000000-0005-0000-0000-00007A060000}"/>
    <cellStyle name="20% - Accent4 7 4" xfId="3694" xr:uid="{00000000-0005-0000-0000-00007B060000}"/>
    <cellStyle name="20% - Accent4 7 4 2" xfId="21628" xr:uid="{F446CD76-3F9C-497E-80ED-4A70DAD8E04C}"/>
    <cellStyle name="20% - Accent4 7 4 2 2" xfId="36604" xr:uid="{219498AF-1EF7-498E-A886-BF70932AFD1F}"/>
    <cellStyle name="20% - Accent4 7 4 3" xfId="29000" xr:uid="{DCDA20CC-C0B5-4021-B6C6-DA1D9901B6CA}"/>
    <cellStyle name="20% - Accent4 8" xfId="3693" xr:uid="{00000000-0005-0000-0000-00007C060000}"/>
    <cellStyle name="20% - Accent4 8 2" xfId="3692" xr:uid="{00000000-0005-0000-0000-00007D060000}"/>
    <cellStyle name="20% - Accent4 8 2 2" xfId="3691" xr:uid="{00000000-0005-0000-0000-00007E060000}"/>
    <cellStyle name="20% - Accent4 8 2 2 2" xfId="21625" xr:uid="{ADEA6DC9-BCA9-4995-B099-5EFDCAEAEB79}"/>
    <cellStyle name="20% - Accent4 8 2 2 2 2" xfId="36601" xr:uid="{C5C17543-FC53-4199-A0A8-61BE07715C83}"/>
    <cellStyle name="20% - Accent4 8 2 2 3" xfId="28997" xr:uid="{F7A75568-764A-4A59-A0F7-E6BA8820F412}"/>
    <cellStyle name="20% - Accent4 8 2 3" xfId="3690" xr:uid="{00000000-0005-0000-0000-00007F060000}"/>
    <cellStyle name="20% - Accent4 8 2 3 2" xfId="3689" xr:uid="{00000000-0005-0000-0000-000080060000}"/>
    <cellStyle name="20% - Accent4 8 2 3 2 2" xfId="21623" xr:uid="{6C15D264-CA9D-443F-ACFA-C3FC95560CFF}"/>
    <cellStyle name="20% - Accent4 8 2 3 2 2 2" xfId="36599" xr:uid="{9EA30611-E635-44B7-B462-7C825F8AB8CE}"/>
    <cellStyle name="20% - Accent4 8 2 3 2 3" xfId="28995" xr:uid="{FF8E955D-7FF1-4AB5-B44E-E5E5413578DC}"/>
    <cellStyle name="20% - Accent4 8 2 3 3" xfId="21624" xr:uid="{94801618-994E-4814-9B34-2F9C019E0BFD}"/>
    <cellStyle name="20% - Accent4 8 2 3 3 2" xfId="36600" xr:uid="{9BC0F4C9-E510-4EA6-9725-D66C4E42440F}"/>
    <cellStyle name="20% - Accent4 8 2 3 4" xfId="28996" xr:uid="{323BB8D0-62FB-480B-B97B-0E68A54CEB72}"/>
    <cellStyle name="20% - Accent4 8 2 4" xfId="21626" xr:uid="{CBD96E60-D1A6-40C1-BD65-107582F44521}"/>
    <cellStyle name="20% - Accent4 8 2 4 2" xfId="36602" xr:uid="{F5EF4B37-2A68-4711-ACA6-8A91BFBA4BF8}"/>
    <cellStyle name="20% - Accent4 8 2 5" xfId="28998" xr:uid="{32D00E5C-D200-4407-AD59-7F32DC06BF77}"/>
    <cellStyle name="20% - Accent4 8 3" xfId="3688" xr:uid="{00000000-0005-0000-0000-000081060000}"/>
    <cellStyle name="20% - Accent4 8 3 2" xfId="21622" xr:uid="{C5498919-8AF4-4A01-928F-8607612E7F43}"/>
    <cellStyle name="20% - Accent4 8 3 2 2" xfId="36598" xr:uid="{248079E5-4AE3-4321-A8C0-D0B1D44E07D7}"/>
    <cellStyle name="20% - Accent4 8 3 3" xfId="28994" xr:uid="{7036CC5C-5D14-4D1B-BD0D-FCB1A704591E}"/>
    <cellStyle name="20% - Accent4 8 4" xfId="3687" xr:uid="{00000000-0005-0000-0000-000082060000}"/>
    <cellStyle name="20% - Accent4 8 4 2" xfId="3686" xr:uid="{00000000-0005-0000-0000-000083060000}"/>
    <cellStyle name="20% - Accent4 8 4 2 2" xfId="21620" xr:uid="{109251BC-E640-4545-BE80-5BD83813A712}"/>
    <cellStyle name="20% - Accent4 8 4 2 2 2" xfId="36596" xr:uid="{8364D040-1AD1-47CD-B51B-250D133434BF}"/>
    <cellStyle name="20% - Accent4 8 4 2 3" xfId="28992" xr:uid="{B5626662-D1A7-48B4-BEA2-7F1E211369AC}"/>
    <cellStyle name="20% - Accent4 8 4 3" xfId="21621" xr:uid="{71820407-0EF3-49EE-882D-8F5C51637E1F}"/>
    <cellStyle name="20% - Accent4 8 4 3 2" xfId="36597" xr:uid="{8F0B0FE1-D848-452E-B8F3-9F974B231FFB}"/>
    <cellStyle name="20% - Accent4 8 4 4" xfId="28993" xr:uid="{5706C0A9-8133-41B2-BAD3-DE423647CB7D}"/>
    <cellStyle name="20% - Accent4 8 5" xfId="3685" xr:uid="{00000000-0005-0000-0000-000084060000}"/>
    <cellStyle name="20% - Accent4 8 5 2" xfId="21619" xr:uid="{F8E6139F-7425-4AC5-B1E2-54CFE3EC3303}"/>
    <cellStyle name="20% - Accent4 8 5 2 2" xfId="36595" xr:uid="{9EB2BD07-0EEB-4EA5-B2A2-B9B05A489A40}"/>
    <cellStyle name="20% - Accent4 8 5 3" xfId="28991" xr:uid="{E096C004-A8C0-4CB8-9466-8B4050AC7106}"/>
    <cellStyle name="20% - Accent4 8 6" xfId="21627" xr:uid="{07CB2297-23B6-4444-AA2A-B10D47EC475F}"/>
    <cellStyle name="20% - Accent4 8 6 2" xfId="36603" xr:uid="{E43C9787-C86F-44F0-8A34-854BAB288EE9}"/>
    <cellStyle name="20% - Accent4 8 7" xfId="28999" xr:uid="{D38C5D18-699A-409D-9596-D85B530EBFB2}"/>
    <cellStyle name="20% - Accent4 9" xfId="3684" xr:uid="{00000000-0005-0000-0000-000085060000}"/>
    <cellStyle name="20% - Accent4 9 2" xfId="3683" xr:uid="{00000000-0005-0000-0000-000086060000}"/>
    <cellStyle name="20% - Accent4 9 2 2" xfId="3682" xr:uid="{00000000-0005-0000-0000-000087060000}"/>
    <cellStyle name="20% - Accent4 9 2 2 2" xfId="21616" xr:uid="{C17432DF-BF56-49B8-998D-A8D0CC7D24FA}"/>
    <cellStyle name="20% - Accent4 9 2 2 2 2" xfId="36592" xr:uid="{2F862B73-AA95-44DF-B819-CF45156D2FB9}"/>
    <cellStyle name="20% - Accent4 9 2 2 3" xfId="28988" xr:uid="{CC1CA874-BFAA-4355-A2C0-9A6CA17F707C}"/>
    <cellStyle name="20% - Accent4 9 2 3" xfId="3681" xr:uid="{00000000-0005-0000-0000-000088060000}"/>
    <cellStyle name="20% - Accent4 9 2 3 2" xfId="21615" xr:uid="{E3AC3FF2-4572-4885-9EA9-95AFE59200DB}"/>
    <cellStyle name="20% - Accent4 9 2 3 2 2" xfId="36591" xr:uid="{70B03FD5-B6E1-4069-AF8C-371D54E9FCE1}"/>
    <cellStyle name="20% - Accent4 9 2 3 3" xfId="28987" xr:uid="{9E0B655A-7347-4817-B982-1310F5435F45}"/>
    <cellStyle name="20% - Accent4 9 2 4" xfId="21617" xr:uid="{17A95297-1DDE-4112-AD09-9461FF488FEC}"/>
    <cellStyle name="20% - Accent4 9 2 4 2" xfId="36593" xr:uid="{64AD0073-3073-4497-BD1B-46078084B389}"/>
    <cellStyle name="20% - Accent4 9 2 5" xfId="28989" xr:uid="{B77F6280-83A6-4F34-8404-C41CEA1FB679}"/>
    <cellStyle name="20% - Accent4 9 3" xfId="3680" xr:uid="{00000000-0005-0000-0000-000089060000}"/>
    <cellStyle name="20% - Accent4 9 3 2" xfId="21614" xr:uid="{90710E15-2318-41DD-9C7A-4CCDCFBB331B}"/>
    <cellStyle name="20% - Accent4 9 3 2 2" xfId="36590" xr:uid="{B895C9AE-EDB0-452F-BABE-2654901EA98D}"/>
    <cellStyle name="20% - Accent4 9 3 3" xfId="28986" xr:uid="{468484C0-110F-4FA0-9EE5-95C59D1A7C2B}"/>
    <cellStyle name="20% - Accent4 9 4" xfId="3679" xr:uid="{00000000-0005-0000-0000-00008A060000}"/>
    <cellStyle name="20% - Accent4 9 4 2" xfId="3678" xr:uid="{00000000-0005-0000-0000-00008B060000}"/>
    <cellStyle name="20% - Accent4 9 4 2 2" xfId="21612" xr:uid="{842F3FF8-8D6F-41A6-ACCC-3FC265E39CD6}"/>
    <cellStyle name="20% - Accent4 9 4 2 2 2" xfId="36588" xr:uid="{BDAC1CA4-EE27-4B68-A63C-4D5450638B0D}"/>
    <cellStyle name="20% - Accent4 9 4 2 3" xfId="28984" xr:uid="{3C4F90BB-4BF7-4A2C-8B55-1FADA61F289B}"/>
    <cellStyle name="20% - Accent4 9 4 3" xfId="21613" xr:uid="{7F1859C1-6D75-4754-B61A-CF3AC9704296}"/>
    <cellStyle name="20% - Accent4 9 4 3 2" xfId="36589" xr:uid="{83721662-0B7C-4E46-8397-BB04DB2919C6}"/>
    <cellStyle name="20% - Accent4 9 4 4" xfId="28985" xr:uid="{B131AE42-364F-436E-AE54-4FA22F1C9EE5}"/>
    <cellStyle name="20% - Accent4 9 5" xfId="3677" xr:uid="{00000000-0005-0000-0000-00008C060000}"/>
    <cellStyle name="20% - Accent4 9 5 2" xfId="21611" xr:uid="{2564193D-8A70-4671-9E83-3211F09853B7}"/>
    <cellStyle name="20% - Accent4 9 5 2 2" xfId="36587" xr:uid="{B823CD77-C912-4406-93DD-48E15D3BFCA6}"/>
    <cellStyle name="20% - Accent4 9 5 3" xfId="28983" xr:uid="{2E2771E5-3EB6-4EB7-891D-1ED51E15970C}"/>
    <cellStyle name="20% - Accent4 9 6" xfId="21618" xr:uid="{5426A6DA-4389-463C-A4CB-8AF76790C972}"/>
    <cellStyle name="20% - Accent4 9 6 2" xfId="36594" xr:uid="{F7D664B7-C4F4-4029-BBE1-3E1D6B811223}"/>
    <cellStyle name="20% - Accent4 9 7" xfId="28990" xr:uid="{38DC1412-A981-4210-8C10-DF1EC3BD1823}"/>
    <cellStyle name="20% - Accent5" xfId="98" builtinId="46" customBuiltin="1"/>
    <cellStyle name="20% - Accent5 10" xfId="3676" xr:uid="{00000000-0005-0000-0000-00008D060000}"/>
    <cellStyle name="20% - Accent5 10 2" xfId="3675" xr:uid="{00000000-0005-0000-0000-00008E060000}"/>
    <cellStyle name="20% - Accent5 10 2 2" xfId="3674" xr:uid="{00000000-0005-0000-0000-00008F060000}"/>
    <cellStyle name="20% - Accent5 10 2 2 2" xfId="21608" xr:uid="{EB058874-55D5-4D7A-9FAE-DAA3759EF0D2}"/>
    <cellStyle name="20% - Accent5 10 2 2 2 2" xfId="36584" xr:uid="{ACCCCF17-E782-42C6-8A05-0C7BFEC1B34C}"/>
    <cellStyle name="20% - Accent5 10 2 2 3" xfId="28980" xr:uid="{32DBCF5A-198D-4934-8842-85F6CA0332AF}"/>
    <cellStyle name="20% - Accent5 10 2 3" xfId="3673" xr:uid="{00000000-0005-0000-0000-000090060000}"/>
    <cellStyle name="20% - Accent5 10 2 3 2" xfId="21607" xr:uid="{22564DAF-EF2A-48D7-9A61-DB49AF2E86AD}"/>
    <cellStyle name="20% - Accent5 10 2 3 2 2" xfId="36583" xr:uid="{FFA95DD8-028C-4795-A105-5330112145B8}"/>
    <cellStyle name="20% - Accent5 10 2 3 3" xfId="28979" xr:uid="{7CFC8B67-26D4-4197-B43D-44632E15DC15}"/>
    <cellStyle name="20% - Accent5 10 2 4" xfId="21609" xr:uid="{80A041C3-407E-415E-99D6-E1F59DEFDAE3}"/>
    <cellStyle name="20% - Accent5 10 2 4 2" xfId="36585" xr:uid="{3890CDDF-1343-47BE-AF4A-9DD36C20D621}"/>
    <cellStyle name="20% - Accent5 10 2 5" xfId="28981" xr:uid="{8EF2F4F4-EB45-4169-9912-052ADCF359E4}"/>
    <cellStyle name="20% - Accent5 10 3" xfId="3672" xr:uid="{00000000-0005-0000-0000-000091060000}"/>
    <cellStyle name="20% - Accent5 10 3 2" xfId="21606" xr:uid="{EF9E5D73-DB2A-42DC-AB33-0D60E659EC45}"/>
    <cellStyle name="20% - Accent5 10 3 2 2" xfId="36582" xr:uid="{E98FAC81-718C-4971-9452-33BEC07FFBCE}"/>
    <cellStyle name="20% - Accent5 10 3 3" xfId="28978" xr:uid="{9E9E9A30-A1C3-44A7-BFD5-716435ABCB00}"/>
    <cellStyle name="20% - Accent5 10 4" xfId="3671" xr:uid="{00000000-0005-0000-0000-000092060000}"/>
    <cellStyle name="20% - Accent5 10 4 2" xfId="21605" xr:uid="{F6F5B9E5-6B5A-4788-A6C3-DD0D7CD1EB84}"/>
    <cellStyle name="20% - Accent5 10 4 2 2" xfId="36581" xr:uid="{7413FA9B-DEE4-4ABF-8387-6BC88F6FEC8F}"/>
    <cellStyle name="20% - Accent5 10 4 3" xfId="28977" xr:uid="{045F83AC-2125-4CAC-BC3D-9C4CAFA0903B}"/>
    <cellStyle name="20% - Accent5 10 5" xfId="21610" xr:uid="{D1BA2F64-757C-4FA6-81E1-60BA7B7B153A}"/>
    <cellStyle name="20% - Accent5 10 5 2" xfId="36586" xr:uid="{731CAE20-7212-4A69-9767-50136DE4E5F2}"/>
    <cellStyle name="20% - Accent5 10 6" xfId="28982" xr:uid="{C418ED93-E231-468D-9EDB-666FA8E06446}"/>
    <cellStyle name="20% - Accent5 11" xfId="3670" xr:uid="{00000000-0005-0000-0000-000093060000}"/>
    <cellStyle name="20% - Accent5 11 2" xfId="3669" xr:uid="{00000000-0005-0000-0000-000094060000}"/>
    <cellStyle name="20% - Accent5 11 2 2" xfId="21603" xr:uid="{4F8F9F03-9CD1-4527-A0F2-FF8DCCDDFA5F}"/>
    <cellStyle name="20% - Accent5 11 2 2 2" xfId="36579" xr:uid="{E490F9DA-8524-4A0D-B5EA-B32C107D2A1D}"/>
    <cellStyle name="20% - Accent5 11 2 3" xfId="28975" xr:uid="{2CF380DA-5D67-4019-9A65-B4C8D68B1628}"/>
    <cellStyle name="20% - Accent5 11 3" xfId="3668" xr:uid="{00000000-0005-0000-0000-000095060000}"/>
    <cellStyle name="20% - Accent5 11 3 2" xfId="21602" xr:uid="{7DF85AB5-5D28-4478-BFF7-91E890C08113}"/>
    <cellStyle name="20% - Accent5 11 3 2 2" xfId="36578" xr:uid="{1703A6B9-7DD4-418C-9A30-1AAD72868664}"/>
    <cellStyle name="20% - Accent5 11 3 3" xfId="28974" xr:uid="{F6181EC4-E672-4E39-8A3C-3CE8D14F6462}"/>
    <cellStyle name="20% - Accent5 11 4" xfId="21604" xr:uid="{EEE62F36-371B-4BFD-BA26-CC4EBF1F2717}"/>
    <cellStyle name="20% - Accent5 11 4 2" xfId="36580" xr:uid="{0597498C-622C-4195-9048-E366B674FAD3}"/>
    <cellStyle name="20% - Accent5 11 5" xfId="28976" xr:uid="{43C26B85-76B2-4335-B4E3-49CDEB42E703}"/>
    <cellStyle name="20% - Accent5 12" xfId="3667" xr:uid="{00000000-0005-0000-0000-000096060000}"/>
    <cellStyle name="20% - Accent5 12 2" xfId="3666" xr:uid="{00000000-0005-0000-0000-000097060000}"/>
    <cellStyle name="20% - Accent5 12 2 2" xfId="21600" xr:uid="{19E7F220-5052-44F2-B0CB-C2826E7BC1AB}"/>
    <cellStyle name="20% - Accent5 12 2 2 2" xfId="36576" xr:uid="{A4EE94B5-0BEE-4E79-9C09-4E35DB0958CD}"/>
    <cellStyle name="20% - Accent5 12 2 3" xfId="28972" xr:uid="{7111BFCE-4730-4E52-9862-97B095960E3B}"/>
    <cellStyle name="20% - Accent5 12 3" xfId="3665" xr:uid="{00000000-0005-0000-0000-000098060000}"/>
    <cellStyle name="20% - Accent5 12 3 2" xfId="21599" xr:uid="{45B918E5-923C-4180-8520-8D101D46ECD7}"/>
    <cellStyle name="20% - Accent5 12 3 2 2" xfId="36575" xr:uid="{855BF80A-1494-4A10-B4F9-E6B5781DC170}"/>
    <cellStyle name="20% - Accent5 12 3 3" xfId="28971" xr:uid="{63EC017C-B240-40C9-8617-AD5A64C9BE05}"/>
    <cellStyle name="20% - Accent5 12 4" xfId="21601" xr:uid="{0D27511C-3435-4411-A5C4-F388BDE2967D}"/>
    <cellStyle name="20% - Accent5 12 4 2" xfId="36577" xr:uid="{AC0F9947-B540-4D7F-95BD-E5CD1279022C}"/>
    <cellStyle name="20% - Accent5 12 5" xfId="28973" xr:uid="{738E0AF7-7F5D-4247-A9AC-CAD719515EED}"/>
    <cellStyle name="20% - Accent5 13" xfId="3664" xr:uid="{00000000-0005-0000-0000-000099060000}"/>
    <cellStyle name="20% - Accent5 13 2" xfId="3663" xr:uid="{00000000-0005-0000-0000-00009A060000}"/>
    <cellStyle name="20% - Accent5 13 2 2" xfId="21597" xr:uid="{39BFFFA6-F3D9-4294-A1DF-EFAEFA6D9335}"/>
    <cellStyle name="20% - Accent5 13 2 2 2" xfId="36573" xr:uid="{AF0206FF-9395-4405-86A0-7102E2785B63}"/>
    <cellStyle name="20% - Accent5 13 2 3" xfId="28969" xr:uid="{C9582882-A205-42E8-B604-7A7A2571F7EC}"/>
    <cellStyle name="20% - Accent5 13 3" xfId="3662" xr:uid="{00000000-0005-0000-0000-00009B060000}"/>
    <cellStyle name="20% - Accent5 13 3 2" xfId="21596" xr:uid="{C8D26FD5-C6F9-4C70-9DE7-F720475F9A7C}"/>
    <cellStyle name="20% - Accent5 13 3 2 2" xfId="36572" xr:uid="{568B7CD9-8365-4427-B3F0-CBC2185D79AF}"/>
    <cellStyle name="20% - Accent5 13 3 3" xfId="28968" xr:uid="{FE4DCDD5-3F6B-4B25-A8CB-0E8CDA772774}"/>
    <cellStyle name="20% - Accent5 13 4" xfId="21598" xr:uid="{81150A8D-9C8A-4ABC-A0AA-C7361306DF69}"/>
    <cellStyle name="20% - Accent5 13 4 2" xfId="36574" xr:uid="{DA3AC4E7-E338-4BD7-BD08-CD357A49DE2B}"/>
    <cellStyle name="20% - Accent5 13 5" xfId="28970" xr:uid="{5B6779AC-DC54-4BEC-B4CF-A4E1BC6ACA8E}"/>
    <cellStyle name="20% - Accent5 14" xfId="3661" xr:uid="{00000000-0005-0000-0000-00009C060000}"/>
    <cellStyle name="20% - Accent5 14 2" xfId="3660" xr:uid="{00000000-0005-0000-0000-00009D060000}"/>
    <cellStyle name="20% - Accent5 14 2 2" xfId="21595" xr:uid="{22950F82-4A9D-4053-8695-B53CB882C9D8}"/>
    <cellStyle name="20% - Accent5 14 2 2 2" xfId="36571" xr:uid="{934CDDF4-69CB-4FC8-89A1-F6EA300E31B2}"/>
    <cellStyle name="20% - Accent5 14 2 3" xfId="28967" xr:uid="{56CAC860-126C-4C55-A2AF-23F788FF2D4A}"/>
    <cellStyle name="20% - Accent5 15" xfId="3659" xr:uid="{00000000-0005-0000-0000-00009E060000}"/>
    <cellStyle name="20% - Accent5 15 2" xfId="21594" xr:uid="{8E4FA169-A990-434A-A671-0E4317A3D3D8}"/>
    <cellStyle name="20% - Accent5 15 2 2" xfId="36570" xr:uid="{6B12EC71-7206-4AB4-8CE0-78D2059FF547}"/>
    <cellStyle name="20% - Accent5 15 3" xfId="28966" xr:uid="{7315EC94-C6F6-473F-8BFF-67B8453D7889}"/>
    <cellStyle name="20% - Accent5 16" xfId="3658" xr:uid="{00000000-0005-0000-0000-00009F060000}"/>
    <cellStyle name="20% - Accent5 17" xfId="20654" xr:uid="{023D2D12-9617-459D-9A64-7AAA128B57DA}"/>
    <cellStyle name="20% - Accent5 17 2" xfId="35655" xr:uid="{012B1184-C517-44C6-B2F5-55B3E0BFEED9}"/>
    <cellStyle name="20% - Accent5 18" xfId="27958" xr:uid="{CFF4706D-6698-4C98-8E1E-CC692CD8BAE2}"/>
    <cellStyle name="20% - Accent5 2" xfId="208" xr:uid="{00000000-0005-0000-0000-00002F000000}"/>
    <cellStyle name="20% - Accent5 2 2" xfId="3657" xr:uid="{00000000-0005-0000-0000-0000A1060000}"/>
    <cellStyle name="20% - Accent5 2 3" xfId="3656" xr:uid="{00000000-0005-0000-0000-0000A2060000}"/>
    <cellStyle name="20% - Accent5 2 3 2" xfId="3655" xr:uid="{00000000-0005-0000-0000-0000A3060000}"/>
    <cellStyle name="20% - Accent5 2 3 2 2" xfId="3654" xr:uid="{00000000-0005-0000-0000-0000A4060000}"/>
    <cellStyle name="20% - Accent5 2 3 2 2 2" xfId="3653" xr:uid="{00000000-0005-0000-0000-0000A5060000}"/>
    <cellStyle name="20% - Accent5 2 3 2 2 2 2" xfId="3652" xr:uid="{00000000-0005-0000-0000-0000A6060000}"/>
    <cellStyle name="20% - Accent5 2 3 2 2 2 2 2" xfId="21589" xr:uid="{8EDF8A02-9861-4B3A-A841-2502B82D9B9E}"/>
    <cellStyle name="20% - Accent5 2 3 2 2 2 2 2 2" xfId="36565" xr:uid="{8AF30849-7E0E-4DF3-9CE7-302D3DC26AF0}"/>
    <cellStyle name="20% - Accent5 2 3 2 2 2 2 3" xfId="28961" xr:uid="{38DED918-B8F2-465A-BEA2-D539FC540B0C}"/>
    <cellStyle name="20% - Accent5 2 3 2 2 2 3" xfId="3651" xr:uid="{00000000-0005-0000-0000-0000A7060000}"/>
    <cellStyle name="20% - Accent5 2 3 2 2 2 3 2" xfId="21588" xr:uid="{3B944661-D5E9-4806-ABB8-4D9EC39D78AA}"/>
    <cellStyle name="20% - Accent5 2 3 2 2 2 3 2 2" xfId="36564" xr:uid="{B79E4F1E-C090-42D0-B387-C5734CBEE95F}"/>
    <cellStyle name="20% - Accent5 2 3 2 2 2 3 3" xfId="28960" xr:uid="{03F1A590-F4F0-4D85-A99B-9DB191B1D541}"/>
    <cellStyle name="20% - Accent5 2 3 2 2 2 4" xfId="21590" xr:uid="{E1AB7ABC-2EA3-4F6C-908F-D5EF311AAB55}"/>
    <cellStyle name="20% - Accent5 2 3 2 2 2 4 2" xfId="36566" xr:uid="{D6BF5E70-4731-476D-A7FA-B8497543A37A}"/>
    <cellStyle name="20% - Accent5 2 3 2 2 2 5" xfId="28962" xr:uid="{A6CF8583-2A95-4623-B6E1-4C059F61BA6E}"/>
    <cellStyle name="20% - Accent5 2 3 2 2 3" xfId="3650" xr:uid="{00000000-0005-0000-0000-0000A8060000}"/>
    <cellStyle name="20% - Accent5 2 3 2 2 3 2" xfId="21587" xr:uid="{699E77C0-AE00-4082-BDD9-BB3703722BA0}"/>
    <cellStyle name="20% - Accent5 2 3 2 2 3 2 2" xfId="36563" xr:uid="{971C84BE-D7C2-4CDF-B126-EDE3F72A72EE}"/>
    <cellStyle name="20% - Accent5 2 3 2 2 3 3" xfId="28959" xr:uid="{548BEE32-BA19-4DC9-8AE1-E7C438DF82A3}"/>
    <cellStyle name="20% - Accent5 2 3 2 2 4" xfId="3649" xr:uid="{00000000-0005-0000-0000-0000A9060000}"/>
    <cellStyle name="20% - Accent5 2 3 2 2 4 2" xfId="21586" xr:uid="{B13CB17C-0EE4-4DD6-8CEF-D80B404DEA92}"/>
    <cellStyle name="20% - Accent5 2 3 2 2 4 2 2" xfId="36562" xr:uid="{D75A01AC-B566-4548-84C9-F60D7FDE3369}"/>
    <cellStyle name="20% - Accent5 2 3 2 2 4 3" xfId="28958" xr:uid="{7B70CDCD-DC80-400E-B708-7F25639E0EEE}"/>
    <cellStyle name="20% - Accent5 2 3 2 2 5" xfId="21591" xr:uid="{6E34F94D-D186-4269-945E-B46332C9309A}"/>
    <cellStyle name="20% - Accent5 2 3 2 2 5 2" xfId="36567" xr:uid="{67CD7AFA-DD38-4D43-B8DD-B628BE11E8A3}"/>
    <cellStyle name="20% - Accent5 2 3 2 2 6" xfId="28963" xr:uid="{62AE5819-254F-4554-B8FD-297FCFD06013}"/>
    <cellStyle name="20% - Accent5 2 3 2 3" xfId="3648" xr:uid="{00000000-0005-0000-0000-0000AA060000}"/>
    <cellStyle name="20% - Accent5 2 3 2 3 2" xfId="3647" xr:uid="{00000000-0005-0000-0000-0000AB060000}"/>
    <cellStyle name="20% - Accent5 2 3 2 3 2 2" xfId="3646" xr:uid="{00000000-0005-0000-0000-0000AC060000}"/>
    <cellStyle name="20% - Accent5 2 3 2 3 2 2 2" xfId="21583" xr:uid="{EB9626D6-A7D8-44E7-B978-AD1F6759E6D1}"/>
    <cellStyle name="20% - Accent5 2 3 2 3 2 2 2 2" xfId="36559" xr:uid="{C11EC669-FA43-4DA3-B5FC-794005683019}"/>
    <cellStyle name="20% - Accent5 2 3 2 3 2 2 3" xfId="28955" xr:uid="{E7F9FB00-94AD-4C29-BD10-13E137479499}"/>
    <cellStyle name="20% - Accent5 2 3 2 3 2 3" xfId="3645" xr:uid="{00000000-0005-0000-0000-0000AD060000}"/>
    <cellStyle name="20% - Accent5 2 3 2 3 2 3 2" xfId="21582" xr:uid="{A384F986-1BFB-45EB-A250-DDDA4B915DAE}"/>
    <cellStyle name="20% - Accent5 2 3 2 3 2 3 2 2" xfId="36558" xr:uid="{67265054-A04F-4673-BCC3-1ACE1873BBB5}"/>
    <cellStyle name="20% - Accent5 2 3 2 3 2 3 3" xfId="28954" xr:uid="{1C66A485-B287-4933-9A3F-E55B17880A6D}"/>
    <cellStyle name="20% - Accent5 2 3 2 3 2 4" xfId="21584" xr:uid="{DB72F92B-E0C1-41E8-99F1-FC3D42A53207}"/>
    <cellStyle name="20% - Accent5 2 3 2 3 2 4 2" xfId="36560" xr:uid="{DCC53194-A9B8-45F2-BF38-43916912298E}"/>
    <cellStyle name="20% - Accent5 2 3 2 3 2 5" xfId="28956" xr:uid="{EFCE7F1E-F4E6-4F95-91C5-0223A1BBC01F}"/>
    <cellStyle name="20% - Accent5 2 3 2 3 3" xfId="3644" xr:uid="{00000000-0005-0000-0000-0000AE060000}"/>
    <cellStyle name="20% - Accent5 2 3 2 3 3 2" xfId="21581" xr:uid="{DE66A25A-55E1-4BEF-AA23-281EB0CD9828}"/>
    <cellStyle name="20% - Accent5 2 3 2 3 3 2 2" xfId="36557" xr:uid="{7483B227-2452-4D59-80BF-B669310493B9}"/>
    <cellStyle name="20% - Accent5 2 3 2 3 3 3" xfId="28953" xr:uid="{8D2AD199-7E3B-4379-A13D-2E823E1ACB47}"/>
    <cellStyle name="20% - Accent5 2 3 2 3 4" xfId="3643" xr:uid="{00000000-0005-0000-0000-0000AF060000}"/>
    <cellStyle name="20% - Accent5 2 3 2 3 4 2" xfId="21580" xr:uid="{FB64B33E-5F46-46D8-9844-3D8F143190EE}"/>
    <cellStyle name="20% - Accent5 2 3 2 3 4 2 2" xfId="36556" xr:uid="{E5FE9A0E-A2EE-4A4F-B44D-11B0D1ECD0DC}"/>
    <cellStyle name="20% - Accent5 2 3 2 3 4 3" xfId="28952" xr:uid="{AF0A799F-9142-4472-9213-C6BA89161321}"/>
    <cellStyle name="20% - Accent5 2 3 2 3 5" xfId="21585" xr:uid="{8AF5FDA1-4753-4FD6-A4ED-3E5C4CD874B4}"/>
    <cellStyle name="20% - Accent5 2 3 2 3 5 2" xfId="36561" xr:uid="{1AD53FBA-4BD3-406D-A5BA-F200F1181482}"/>
    <cellStyle name="20% - Accent5 2 3 2 3 6" xfId="28957" xr:uid="{825224FC-57D0-45D9-BF53-3455BF10C047}"/>
    <cellStyle name="20% - Accent5 2 3 2 4" xfId="3642" xr:uid="{00000000-0005-0000-0000-0000B0060000}"/>
    <cellStyle name="20% - Accent5 2 3 2 4 2" xfId="3641" xr:uid="{00000000-0005-0000-0000-0000B1060000}"/>
    <cellStyle name="20% - Accent5 2 3 2 4 2 2" xfId="21578" xr:uid="{116F0FCE-8167-4A2B-8E43-B8A2BF87CE84}"/>
    <cellStyle name="20% - Accent5 2 3 2 4 2 2 2" xfId="36554" xr:uid="{B121022B-BBD9-482B-AAA0-B3331A94E106}"/>
    <cellStyle name="20% - Accent5 2 3 2 4 2 3" xfId="28950" xr:uid="{C0CE9090-B4C4-48F1-B5C8-8AF6CA844A43}"/>
    <cellStyle name="20% - Accent5 2 3 2 4 3" xfId="3640" xr:uid="{00000000-0005-0000-0000-0000B2060000}"/>
    <cellStyle name="20% - Accent5 2 3 2 4 3 2" xfId="21577" xr:uid="{64B38CDE-D606-4240-B1A9-CDE8744FB3C6}"/>
    <cellStyle name="20% - Accent5 2 3 2 4 3 2 2" xfId="36553" xr:uid="{013253B6-D0CA-45BC-A5CE-EEECE31769F6}"/>
    <cellStyle name="20% - Accent5 2 3 2 4 3 3" xfId="28949" xr:uid="{04841177-BB64-4390-8944-2C80FC0A9A9D}"/>
    <cellStyle name="20% - Accent5 2 3 2 4 4" xfId="21579" xr:uid="{45D8A44D-490A-467C-86B6-C3A8601D362C}"/>
    <cellStyle name="20% - Accent5 2 3 2 4 4 2" xfId="36555" xr:uid="{DB1F2C54-D490-443C-93FF-7BEDC52D91BE}"/>
    <cellStyle name="20% - Accent5 2 3 2 4 5" xfId="28951" xr:uid="{21588618-B163-4FCD-87BB-77FDAB7D32DE}"/>
    <cellStyle name="20% - Accent5 2 3 2 5" xfId="3639" xr:uid="{00000000-0005-0000-0000-0000B3060000}"/>
    <cellStyle name="20% - Accent5 2 3 2 5 2" xfId="21576" xr:uid="{DD9FB861-8DA3-479F-A77E-AC76408BC99A}"/>
    <cellStyle name="20% - Accent5 2 3 2 5 2 2" xfId="36552" xr:uid="{15178633-8BC6-4B12-BD0D-E554FA945D09}"/>
    <cellStyle name="20% - Accent5 2 3 2 5 3" xfId="28948" xr:uid="{B61E172C-0265-4023-B8DB-A35B4F7F0586}"/>
    <cellStyle name="20% - Accent5 2 3 2 6" xfId="3638" xr:uid="{00000000-0005-0000-0000-0000B4060000}"/>
    <cellStyle name="20% - Accent5 2 3 2 6 2" xfId="21575" xr:uid="{9DD851E5-B44C-4128-84C0-B40D55C3D7A0}"/>
    <cellStyle name="20% - Accent5 2 3 2 6 2 2" xfId="36551" xr:uid="{06495BCE-D316-44B0-A77C-8380D1A27673}"/>
    <cellStyle name="20% - Accent5 2 3 2 6 3" xfId="28947" xr:uid="{CCB75481-A03C-46D6-8A98-B1A5563530E9}"/>
    <cellStyle name="20% - Accent5 2 3 2 7" xfId="21592" xr:uid="{C855BD4C-D3D8-479D-A52B-2EE217DD135A}"/>
    <cellStyle name="20% - Accent5 2 3 2 7 2" xfId="36568" xr:uid="{4A6C7FF5-79F4-4C23-A695-585770D378C3}"/>
    <cellStyle name="20% - Accent5 2 3 2 8" xfId="28964" xr:uid="{02DBF673-A4D2-43F6-8F1B-1601FC3BE3DB}"/>
    <cellStyle name="20% - Accent5 2 3 3" xfId="3637" xr:uid="{00000000-0005-0000-0000-0000B5060000}"/>
    <cellStyle name="20% - Accent5 2 3 3 2" xfId="3636" xr:uid="{00000000-0005-0000-0000-0000B6060000}"/>
    <cellStyle name="20% - Accent5 2 3 3 2 2" xfId="3635" xr:uid="{00000000-0005-0000-0000-0000B7060000}"/>
    <cellStyle name="20% - Accent5 2 3 3 2 2 2" xfId="21572" xr:uid="{931FB5FE-0C90-4F07-BD41-261321710EF3}"/>
    <cellStyle name="20% - Accent5 2 3 3 2 2 2 2" xfId="36548" xr:uid="{CB706413-D64F-4D56-9AD9-C2B62802DEEF}"/>
    <cellStyle name="20% - Accent5 2 3 3 2 2 3" xfId="28944" xr:uid="{DDE9603B-132D-42F2-AD0E-4449C01EB187}"/>
    <cellStyle name="20% - Accent5 2 3 3 2 3" xfId="3634" xr:uid="{00000000-0005-0000-0000-0000B8060000}"/>
    <cellStyle name="20% - Accent5 2 3 3 2 3 2" xfId="21571" xr:uid="{573765E8-B6EE-4266-9062-A32AEC5BE64E}"/>
    <cellStyle name="20% - Accent5 2 3 3 2 3 2 2" xfId="36547" xr:uid="{6C08D901-894C-49EF-8CD7-4EA643203648}"/>
    <cellStyle name="20% - Accent5 2 3 3 2 3 3" xfId="28943" xr:uid="{F4083737-B2E8-4636-AB33-EBD8BA4C1586}"/>
    <cellStyle name="20% - Accent5 2 3 3 2 4" xfId="21573" xr:uid="{98BA62F9-553F-48D1-BE2F-C03485B57E13}"/>
    <cellStyle name="20% - Accent5 2 3 3 2 4 2" xfId="36549" xr:uid="{7D4B46EB-EE4F-4A8D-A43B-D9EFB4DE4417}"/>
    <cellStyle name="20% - Accent5 2 3 3 2 5" xfId="28945" xr:uid="{FBE2A78E-D20B-4DA9-91C7-F59287D84BA4}"/>
    <cellStyle name="20% - Accent5 2 3 3 3" xfId="3633" xr:uid="{00000000-0005-0000-0000-0000B9060000}"/>
    <cellStyle name="20% - Accent5 2 3 3 3 2" xfId="21570" xr:uid="{B7F7F12D-77E4-44C6-8E23-6E0DB9E312C0}"/>
    <cellStyle name="20% - Accent5 2 3 3 3 2 2" xfId="36546" xr:uid="{144FBFD5-5125-4D8B-9AF1-A7634CFDD19B}"/>
    <cellStyle name="20% - Accent5 2 3 3 3 3" xfId="28942" xr:uid="{4BD5D8E9-011C-4028-BE81-204BC7F22C5C}"/>
    <cellStyle name="20% - Accent5 2 3 3 4" xfId="3632" xr:uid="{00000000-0005-0000-0000-0000BA060000}"/>
    <cellStyle name="20% - Accent5 2 3 3 4 2" xfId="21569" xr:uid="{CDE0CEFF-7D54-4385-8286-93D953A80CBF}"/>
    <cellStyle name="20% - Accent5 2 3 3 4 2 2" xfId="36545" xr:uid="{EA1B3988-9BBB-478F-B6F8-7D70CA08BDA8}"/>
    <cellStyle name="20% - Accent5 2 3 3 4 3" xfId="28941" xr:uid="{0291DBC5-3BFA-4FDD-8C53-B6045EFFCC4A}"/>
    <cellStyle name="20% - Accent5 2 3 3 5" xfId="21574" xr:uid="{BA275C2F-725B-49BE-8278-49D4CF61EBAD}"/>
    <cellStyle name="20% - Accent5 2 3 3 5 2" xfId="36550" xr:uid="{A2731BED-0284-4163-A0ED-6AC34414365A}"/>
    <cellStyle name="20% - Accent5 2 3 3 6" xfId="28946" xr:uid="{2821C6D5-0E96-449C-9268-7E41966A613D}"/>
    <cellStyle name="20% - Accent5 2 3 4" xfId="3631" xr:uid="{00000000-0005-0000-0000-0000BB060000}"/>
    <cellStyle name="20% - Accent5 2 3 4 2" xfId="3630" xr:uid="{00000000-0005-0000-0000-0000BC060000}"/>
    <cellStyle name="20% - Accent5 2 3 4 2 2" xfId="3629" xr:uid="{00000000-0005-0000-0000-0000BD060000}"/>
    <cellStyle name="20% - Accent5 2 3 4 2 2 2" xfId="21566" xr:uid="{9E7ABEAD-0402-411B-8D82-1DBDA6929D51}"/>
    <cellStyle name="20% - Accent5 2 3 4 2 2 2 2" xfId="36542" xr:uid="{63A2CA50-1737-4D81-B1CF-58E291527475}"/>
    <cellStyle name="20% - Accent5 2 3 4 2 2 3" xfId="28938" xr:uid="{A29579A3-081C-4506-AAA8-C6F37F90817A}"/>
    <cellStyle name="20% - Accent5 2 3 4 2 3" xfId="3628" xr:uid="{00000000-0005-0000-0000-0000BE060000}"/>
    <cellStyle name="20% - Accent5 2 3 4 2 3 2" xfId="21565" xr:uid="{D255680E-FAB4-4BC8-90D3-071E43749592}"/>
    <cellStyle name="20% - Accent5 2 3 4 2 3 2 2" xfId="36541" xr:uid="{A6C21608-8E1F-4A5B-885D-55E25D750AD9}"/>
    <cellStyle name="20% - Accent5 2 3 4 2 3 3" xfId="28937" xr:uid="{8931186D-809A-4C62-9783-28EC9F883C7E}"/>
    <cellStyle name="20% - Accent5 2 3 4 2 4" xfId="21567" xr:uid="{71003C02-EAB7-40A6-ACF5-A32ADE5470E5}"/>
    <cellStyle name="20% - Accent5 2 3 4 2 4 2" xfId="36543" xr:uid="{99F47A9F-9842-4602-885A-86B189D5C3D6}"/>
    <cellStyle name="20% - Accent5 2 3 4 2 5" xfId="28939" xr:uid="{5E58A1B5-D741-448C-9A7B-E8B8888F4317}"/>
    <cellStyle name="20% - Accent5 2 3 4 3" xfId="3627" xr:uid="{00000000-0005-0000-0000-0000BF060000}"/>
    <cellStyle name="20% - Accent5 2 3 4 3 2" xfId="21564" xr:uid="{674282DB-384E-4761-A89B-FACBE6A56B5D}"/>
    <cellStyle name="20% - Accent5 2 3 4 3 2 2" xfId="36540" xr:uid="{83CBFD53-94B4-475F-8627-A0C0A7EF8F7E}"/>
    <cellStyle name="20% - Accent5 2 3 4 3 3" xfId="28936" xr:uid="{08EDBD1D-E99A-4BD4-996B-EA2A4FDE814D}"/>
    <cellStyle name="20% - Accent5 2 3 4 4" xfId="3626" xr:uid="{00000000-0005-0000-0000-0000C0060000}"/>
    <cellStyle name="20% - Accent5 2 3 4 4 2" xfId="21563" xr:uid="{8F394B6C-B908-4220-8F43-E89CC4C87C45}"/>
    <cellStyle name="20% - Accent5 2 3 4 4 2 2" xfId="36539" xr:uid="{854FE5A9-159C-44EE-9D0B-053006881156}"/>
    <cellStyle name="20% - Accent5 2 3 4 4 3" xfId="28935" xr:uid="{47FADF62-84FA-4E50-8E8A-683720913444}"/>
    <cellStyle name="20% - Accent5 2 3 4 5" xfId="21568" xr:uid="{EB5B54D8-9D06-4254-9881-18547245E0C9}"/>
    <cellStyle name="20% - Accent5 2 3 4 5 2" xfId="36544" xr:uid="{B91C75E1-63E7-485C-86A2-6ED4DD4F18DB}"/>
    <cellStyle name="20% - Accent5 2 3 4 6" xfId="28940" xr:uid="{B373C22A-DEEA-4713-920B-6B077FD62844}"/>
    <cellStyle name="20% - Accent5 2 3 5" xfId="3625" xr:uid="{00000000-0005-0000-0000-0000C1060000}"/>
    <cellStyle name="20% - Accent5 2 3 5 2" xfId="3624" xr:uid="{00000000-0005-0000-0000-0000C2060000}"/>
    <cellStyle name="20% - Accent5 2 3 5 2 2" xfId="21561" xr:uid="{F14724B0-308C-4EE5-A790-6A864CB6163A}"/>
    <cellStyle name="20% - Accent5 2 3 5 2 2 2" xfId="36537" xr:uid="{DA190C7C-E4C1-4F02-AD1C-6FF29109AF3F}"/>
    <cellStyle name="20% - Accent5 2 3 5 2 3" xfId="28933" xr:uid="{23F559C0-46E4-4E26-BC1D-666EBE51C9A0}"/>
    <cellStyle name="20% - Accent5 2 3 5 3" xfId="3623" xr:uid="{00000000-0005-0000-0000-0000C3060000}"/>
    <cellStyle name="20% - Accent5 2 3 5 3 2" xfId="21560" xr:uid="{65CE3952-1AED-49D7-984F-DBEB86BC699D}"/>
    <cellStyle name="20% - Accent5 2 3 5 3 2 2" xfId="36536" xr:uid="{BA4F89F5-F8FA-4A13-8D40-35ECCF182943}"/>
    <cellStyle name="20% - Accent5 2 3 5 3 3" xfId="28932" xr:uid="{3490AA5D-621E-468A-A609-7793553C3387}"/>
    <cellStyle name="20% - Accent5 2 3 5 4" xfId="21562" xr:uid="{F6E01C37-FEBA-4C57-89AB-1F89AC0FE710}"/>
    <cellStyle name="20% - Accent5 2 3 5 4 2" xfId="36538" xr:uid="{C62BF3CA-583E-4752-BB8B-DBC58F940BF1}"/>
    <cellStyle name="20% - Accent5 2 3 5 5" xfId="28934" xr:uid="{28EBC8CC-9BEF-49D2-9D00-9BEF980E2821}"/>
    <cellStyle name="20% - Accent5 2 3 6" xfId="3622" xr:uid="{00000000-0005-0000-0000-0000C4060000}"/>
    <cellStyle name="20% - Accent5 2 3 6 2" xfId="21559" xr:uid="{9485D8D3-EBFE-4DFF-8A23-1D6E07A316F0}"/>
    <cellStyle name="20% - Accent5 2 3 6 2 2" xfId="36535" xr:uid="{84B5138E-02DB-450F-BB5E-181DA540674F}"/>
    <cellStyle name="20% - Accent5 2 3 6 3" xfId="28931" xr:uid="{319B4A8B-9C50-4AAD-93B1-2702B8D4F595}"/>
    <cellStyle name="20% - Accent5 2 3 7" xfId="3621" xr:uid="{00000000-0005-0000-0000-0000C5060000}"/>
    <cellStyle name="20% - Accent5 2 3 7 2" xfId="21558" xr:uid="{8E48DECC-B3BD-4660-BB03-F43E8AE0EEF1}"/>
    <cellStyle name="20% - Accent5 2 3 7 2 2" xfId="36534" xr:uid="{CADCCD68-8D02-4954-B1BA-96C753793821}"/>
    <cellStyle name="20% - Accent5 2 3 7 3" xfId="28930" xr:uid="{3AC5C9A1-A176-4798-99EA-6395AC6EBA5A}"/>
    <cellStyle name="20% - Accent5 2 3 8" xfId="21593" xr:uid="{2B28EFB6-0C2F-4F1D-84BF-0E471A629024}"/>
    <cellStyle name="20% - Accent5 2 3 8 2" xfId="36569" xr:uid="{EB06D308-992C-4684-88ED-A27807C86A01}"/>
    <cellStyle name="20% - Accent5 2 3 9" xfId="28965" xr:uid="{01C84DA1-9028-4B7C-9D55-7D871821C5C1}"/>
    <cellStyle name="20% - Accent5 2 4" xfId="3620" xr:uid="{00000000-0005-0000-0000-0000C6060000}"/>
    <cellStyle name="20% - Accent5 2 4 2" xfId="3619" xr:uid="{00000000-0005-0000-0000-0000C7060000}"/>
    <cellStyle name="20% - Accent5 2 4 2 2" xfId="3618" xr:uid="{00000000-0005-0000-0000-0000C8060000}"/>
    <cellStyle name="20% - Accent5 2 4 2 2 2" xfId="3617" xr:uid="{00000000-0005-0000-0000-0000C9060000}"/>
    <cellStyle name="20% - Accent5 2 4 2 2 2 2" xfId="3616" xr:uid="{00000000-0005-0000-0000-0000CA060000}"/>
    <cellStyle name="20% - Accent5 2 4 2 2 2 2 2" xfId="21553" xr:uid="{04E5E28D-DF85-4742-87B3-CA39080EB350}"/>
    <cellStyle name="20% - Accent5 2 4 2 2 2 2 2 2" xfId="36529" xr:uid="{52943DAD-48AF-4BE3-A820-64CD2BF38536}"/>
    <cellStyle name="20% - Accent5 2 4 2 2 2 2 3" xfId="28925" xr:uid="{72D4F76D-644D-4186-8A3F-8FFB059284AB}"/>
    <cellStyle name="20% - Accent5 2 4 2 2 2 3" xfId="3615" xr:uid="{00000000-0005-0000-0000-0000CB060000}"/>
    <cellStyle name="20% - Accent5 2 4 2 2 2 3 2" xfId="21552" xr:uid="{C83295F5-DBC9-49FF-8DB0-6BF115BD256D}"/>
    <cellStyle name="20% - Accent5 2 4 2 2 2 3 2 2" xfId="36528" xr:uid="{C0FB6AD1-8D7D-4B8D-900D-CF491EE55E10}"/>
    <cellStyle name="20% - Accent5 2 4 2 2 2 3 3" xfId="28924" xr:uid="{D9C1EB64-6985-41A3-9A4A-D3D08A1CB4D1}"/>
    <cellStyle name="20% - Accent5 2 4 2 2 2 4" xfId="21554" xr:uid="{9F03BCE7-ED92-410D-A7A1-BAF355B9F8BF}"/>
    <cellStyle name="20% - Accent5 2 4 2 2 2 4 2" xfId="36530" xr:uid="{7AA936DB-7B25-4583-A9E7-0851B4BB2FD2}"/>
    <cellStyle name="20% - Accent5 2 4 2 2 2 5" xfId="28926" xr:uid="{F52144F9-1F05-4FFE-94E4-C45509BA4432}"/>
    <cellStyle name="20% - Accent5 2 4 2 2 3" xfId="3614" xr:uid="{00000000-0005-0000-0000-0000CC060000}"/>
    <cellStyle name="20% - Accent5 2 4 2 2 3 2" xfId="21551" xr:uid="{ADEA4673-9BBD-4BBD-89AE-A2C042D641AE}"/>
    <cellStyle name="20% - Accent5 2 4 2 2 3 2 2" xfId="36527" xr:uid="{0AA68D20-6469-41C4-8350-DD1DA06E0D07}"/>
    <cellStyle name="20% - Accent5 2 4 2 2 3 3" xfId="28923" xr:uid="{4332EDB2-51C8-4F03-98F0-31066A11685F}"/>
    <cellStyle name="20% - Accent5 2 4 2 2 4" xfId="3613" xr:uid="{00000000-0005-0000-0000-0000CD060000}"/>
    <cellStyle name="20% - Accent5 2 4 2 2 4 2" xfId="21550" xr:uid="{FE8B5313-55ED-40F9-8DED-80D22238EEC9}"/>
    <cellStyle name="20% - Accent5 2 4 2 2 4 2 2" xfId="36526" xr:uid="{722D89BA-A57A-45AC-B40E-DDEDC93B08BE}"/>
    <cellStyle name="20% - Accent5 2 4 2 2 4 3" xfId="28922" xr:uid="{30440A76-BBE6-46CF-B98C-B45F23FEA9AE}"/>
    <cellStyle name="20% - Accent5 2 4 2 2 5" xfId="21555" xr:uid="{283CA163-90A3-4387-A5CA-81D3E30DEBE2}"/>
    <cellStyle name="20% - Accent5 2 4 2 2 5 2" xfId="36531" xr:uid="{E91B9656-FEDA-4F7B-9B0B-C6103D721AE5}"/>
    <cellStyle name="20% - Accent5 2 4 2 2 6" xfId="28927" xr:uid="{E27D11A9-1F0A-4872-A693-00096C142651}"/>
    <cellStyle name="20% - Accent5 2 4 2 3" xfId="3612" xr:uid="{00000000-0005-0000-0000-0000CE060000}"/>
    <cellStyle name="20% - Accent5 2 4 2 3 2" xfId="3611" xr:uid="{00000000-0005-0000-0000-0000CF060000}"/>
    <cellStyle name="20% - Accent5 2 4 2 3 2 2" xfId="3610" xr:uid="{00000000-0005-0000-0000-0000D0060000}"/>
    <cellStyle name="20% - Accent5 2 4 2 3 2 2 2" xfId="21547" xr:uid="{5FCD3C53-0994-439A-91F9-A30C42D611ED}"/>
    <cellStyle name="20% - Accent5 2 4 2 3 2 2 2 2" xfId="36523" xr:uid="{3843B66A-2331-4C23-A853-0D7C862AC46D}"/>
    <cellStyle name="20% - Accent5 2 4 2 3 2 2 3" xfId="28919" xr:uid="{ADD7FD5B-4E92-45D1-8D31-5B40270991EB}"/>
    <cellStyle name="20% - Accent5 2 4 2 3 2 3" xfId="3609" xr:uid="{00000000-0005-0000-0000-0000D1060000}"/>
    <cellStyle name="20% - Accent5 2 4 2 3 2 3 2" xfId="21546" xr:uid="{5FCAC723-D5A8-46D0-90C1-1507370B703B}"/>
    <cellStyle name="20% - Accent5 2 4 2 3 2 3 2 2" xfId="36522" xr:uid="{497B80FE-32E6-44BB-8049-BDE3A41D4299}"/>
    <cellStyle name="20% - Accent5 2 4 2 3 2 3 3" xfId="28918" xr:uid="{EDCD3623-1066-4439-B48F-753A7AE16B5D}"/>
    <cellStyle name="20% - Accent5 2 4 2 3 2 4" xfId="21548" xr:uid="{CEC1D255-8B99-4594-A15F-96D4015F09DF}"/>
    <cellStyle name="20% - Accent5 2 4 2 3 2 4 2" xfId="36524" xr:uid="{5E5DD304-03DA-4739-9E59-8F11493A3FEF}"/>
    <cellStyle name="20% - Accent5 2 4 2 3 2 5" xfId="28920" xr:uid="{381C57FB-CA8D-472A-B63B-B3553F21A559}"/>
    <cellStyle name="20% - Accent5 2 4 2 3 3" xfId="3608" xr:uid="{00000000-0005-0000-0000-0000D2060000}"/>
    <cellStyle name="20% - Accent5 2 4 2 3 3 2" xfId="21545" xr:uid="{3FE67AFE-DE0A-4399-BF6B-8AD8AF4A5A10}"/>
    <cellStyle name="20% - Accent5 2 4 2 3 3 2 2" xfId="36521" xr:uid="{94CBA39F-BC1D-46D3-8AFD-83DC58E92B11}"/>
    <cellStyle name="20% - Accent5 2 4 2 3 3 3" xfId="28917" xr:uid="{752499AD-CEAC-4656-A0F0-509E231D7D7A}"/>
    <cellStyle name="20% - Accent5 2 4 2 3 4" xfId="3607" xr:uid="{00000000-0005-0000-0000-0000D3060000}"/>
    <cellStyle name="20% - Accent5 2 4 2 3 4 2" xfId="21544" xr:uid="{2935F690-5E86-4FFD-A062-C98AB37B7399}"/>
    <cellStyle name="20% - Accent5 2 4 2 3 4 2 2" xfId="36520" xr:uid="{8C9F45EE-5937-4F0B-90AD-AA942673C4E6}"/>
    <cellStyle name="20% - Accent5 2 4 2 3 4 3" xfId="28916" xr:uid="{AFAD43FA-C803-4057-9D58-C18C1CFD4AA1}"/>
    <cellStyle name="20% - Accent5 2 4 2 3 5" xfId="21549" xr:uid="{C47EF4E6-79F6-414C-8651-5EBCEDF18312}"/>
    <cellStyle name="20% - Accent5 2 4 2 3 5 2" xfId="36525" xr:uid="{462FA4E9-A2CA-40BA-8AAE-E8C0D2CD6CFE}"/>
    <cellStyle name="20% - Accent5 2 4 2 3 6" xfId="28921" xr:uid="{F55FBCDC-540C-40D6-B1EE-20262EC13F44}"/>
    <cellStyle name="20% - Accent5 2 4 2 4" xfId="3606" xr:uid="{00000000-0005-0000-0000-0000D4060000}"/>
    <cellStyle name="20% - Accent5 2 4 2 4 2" xfId="3605" xr:uid="{00000000-0005-0000-0000-0000D5060000}"/>
    <cellStyle name="20% - Accent5 2 4 2 4 2 2" xfId="21542" xr:uid="{FD8F07CE-B19C-414E-961E-DEDEE1267574}"/>
    <cellStyle name="20% - Accent5 2 4 2 4 2 2 2" xfId="36518" xr:uid="{1A8D108A-601B-4C15-9E31-FC4B56D0370D}"/>
    <cellStyle name="20% - Accent5 2 4 2 4 2 3" xfId="28914" xr:uid="{ABC2628F-E202-4008-A359-582A013C5816}"/>
    <cellStyle name="20% - Accent5 2 4 2 4 3" xfId="3604" xr:uid="{00000000-0005-0000-0000-0000D6060000}"/>
    <cellStyle name="20% - Accent5 2 4 2 4 3 2" xfId="21541" xr:uid="{9B0CFA91-BFDD-4C5D-AA81-A164F7EA953F}"/>
    <cellStyle name="20% - Accent5 2 4 2 4 3 2 2" xfId="36517" xr:uid="{33522344-AC60-4B5B-A4D5-FEA6B845E0CC}"/>
    <cellStyle name="20% - Accent5 2 4 2 4 3 3" xfId="28913" xr:uid="{B1FEE9A2-F789-4272-B753-452E315384FD}"/>
    <cellStyle name="20% - Accent5 2 4 2 4 4" xfId="21543" xr:uid="{0E47B16E-A217-4AC4-97A8-E0DC8DF31B75}"/>
    <cellStyle name="20% - Accent5 2 4 2 4 4 2" xfId="36519" xr:uid="{E1A48DBD-C95F-4B55-8DA4-0B14D3F848D2}"/>
    <cellStyle name="20% - Accent5 2 4 2 4 5" xfId="28915" xr:uid="{3D9CD6C7-4658-4D9C-9DF5-EF77962D71E7}"/>
    <cellStyle name="20% - Accent5 2 4 2 5" xfId="3603" xr:uid="{00000000-0005-0000-0000-0000D7060000}"/>
    <cellStyle name="20% - Accent5 2 4 2 5 2" xfId="21540" xr:uid="{1FFD2419-A2D2-46FC-BB5B-197031B4D1DD}"/>
    <cellStyle name="20% - Accent5 2 4 2 5 2 2" xfId="36516" xr:uid="{827105E3-3DB0-47AB-8BE8-657A0C10070B}"/>
    <cellStyle name="20% - Accent5 2 4 2 5 3" xfId="28912" xr:uid="{FAE6C8F2-456E-47DB-8149-DED0371E2768}"/>
    <cellStyle name="20% - Accent5 2 4 2 6" xfId="3602" xr:uid="{00000000-0005-0000-0000-0000D8060000}"/>
    <cellStyle name="20% - Accent5 2 4 2 6 2" xfId="21539" xr:uid="{2B52DB81-0C23-44B6-AB10-A8D02DEF4823}"/>
    <cellStyle name="20% - Accent5 2 4 2 6 2 2" xfId="36515" xr:uid="{2F713B8C-A37F-492E-8CAE-EF1D12497418}"/>
    <cellStyle name="20% - Accent5 2 4 2 6 3" xfId="28911" xr:uid="{014C6B59-3D94-45A0-9819-B8BC560D8FEC}"/>
    <cellStyle name="20% - Accent5 2 4 2 7" xfId="21556" xr:uid="{66F1F191-045D-4ADD-9566-E6D1FA839040}"/>
    <cellStyle name="20% - Accent5 2 4 2 7 2" xfId="36532" xr:uid="{DE426D3D-1AC5-43D4-8771-E55FACB23481}"/>
    <cellStyle name="20% - Accent5 2 4 2 8" xfId="28928" xr:uid="{9B781E38-DAEE-4D86-89C9-6CED8DF684A0}"/>
    <cellStyle name="20% - Accent5 2 4 3" xfId="3601" xr:uid="{00000000-0005-0000-0000-0000D9060000}"/>
    <cellStyle name="20% - Accent5 2 4 3 2" xfId="3600" xr:uid="{00000000-0005-0000-0000-0000DA060000}"/>
    <cellStyle name="20% - Accent5 2 4 3 2 2" xfId="3599" xr:uid="{00000000-0005-0000-0000-0000DB060000}"/>
    <cellStyle name="20% - Accent5 2 4 3 2 2 2" xfId="21536" xr:uid="{2FD181F0-5726-47D0-B6CB-D952A496C979}"/>
    <cellStyle name="20% - Accent5 2 4 3 2 2 2 2" xfId="36512" xr:uid="{E401EEE5-096D-444A-8C3A-A91B25B0E827}"/>
    <cellStyle name="20% - Accent5 2 4 3 2 2 3" xfId="28908" xr:uid="{086D2F9C-A8B5-452F-BA36-12A28114BF49}"/>
    <cellStyle name="20% - Accent5 2 4 3 2 3" xfId="3598" xr:uid="{00000000-0005-0000-0000-0000DC060000}"/>
    <cellStyle name="20% - Accent5 2 4 3 2 3 2" xfId="21535" xr:uid="{0619CD98-F4E3-4EF2-8F09-11EB89FE0B97}"/>
    <cellStyle name="20% - Accent5 2 4 3 2 3 2 2" xfId="36511" xr:uid="{029B9CA5-081B-44D3-AD7E-094AD611541A}"/>
    <cellStyle name="20% - Accent5 2 4 3 2 3 3" xfId="28907" xr:uid="{21091E0A-E9E5-43B3-84F8-0F3AD0DE51FD}"/>
    <cellStyle name="20% - Accent5 2 4 3 2 4" xfId="21537" xr:uid="{97AC2B2C-E2D0-4D25-822E-B03736EEEBCD}"/>
    <cellStyle name="20% - Accent5 2 4 3 2 4 2" xfId="36513" xr:uid="{F1749523-7ED6-4A14-9304-7A323949C31D}"/>
    <cellStyle name="20% - Accent5 2 4 3 2 5" xfId="28909" xr:uid="{DDD8F6DE-D123-4831-BF1E-F9028D88B644}"/>
    <cellStyle name="20% - Accent5 2 4 3 3" xfId="3597" xr:uid="{00000000-0005-0000-0000-0000DD060000}"/>
    <cellStyle name="20% - Accent5 2 4 3 3 2" xfId="21534" xr:uid="{1B8F7B17-6EF7-4C31-A4D3-4B2D00FE5772}"/>
    <cellStyle name="20% - Accent5 2 4 3 3 2 2" xfId="36510" xr:uid="{55A7C1B4-351A-45BA-AFAE-979707445BC2}"/>
    <cellStyle name="20% - Accent5 2 4 3 3 3" xfId="28906" xr:uid="{800AE125-BF88-4EF9-8EE4-72376C213CE2}"/>
    <cellStyle name="20% - Accent5 2 4 3 4" xfId="3596" xr:uid="{00000000-0005-0000-0000-0000DE060000}"/>
    <cellStyle name="20% - Accent5 2 4 3 4 2" xfId="21533" xr:uid="{7C51FD93-1808-4BE4-8F9F-FB7CF4F2B470}"/>
    <cellStyle name="20% - Accent5 2 4 3 4 2 2" xfId="36509" xr:uid="{FD07CBC7-7D18-4074-9A23-0B7FB9B3C8EC}"/>
    <cellStyle name="20% - Accent5 2 4 3 4 3" xfId="28905" xr:uid="{E8B6A7FA-C04F-4EB3-A376-57633472367F}"/>
    <cellStyle name="20% - Accent5 2 4 3 5" xfId="21538" xr:uid="{0D474045-1145-43F6-A445-3B9CBBCB3AB6}"/>
    <cellStyle name="20% - Accent5 2 4 3 5 2" xfId="36514" xr:uid="{BE9A16CB-6B1F-461C-9D35-815E3D9E470A}"/>
    <cellStyle name="20% - Accent5 2 4 3 6" xfId="28910" xr:uid="{33F0EE72-A513-4BDA-BE4A-F25F9361FFC9}"/>
    <cellStyle name="20% - Accent5 2 4 4" xfId="3595" xr:uid="{00000000-0005-0000-0000-0000DF060000}"/>
    <cellStyle name="20% - Accent5 2 4 4 2" xfId="3594" xr:uid="{00000000-0005-0000-0000-0000E0060000}"/>
    <cellStyle name="20% - Accent5 2 4 4 2 2" xfId="3593" xr:uid="{00000000-0005-0000-0000-0000E1060000}"/>
    <cellStyle name="20% - Accent5 2 4 4 2 2 2" xfId="21530" xr:uid="{516EFF8C-1366-454F-9640-E241A4A94212}"/>
    <cellStyle name="20% - Accent5 2 4 4 2 2 2 2" xfId="36506" xr:uid="{8A3B32EF-A9F5-440E-8F7B-F4EC3897F87E}"/>
    <cellStyle name="20% - Accent5 2 4 4 2 2 3" xfId="28902" xr:uid="{D18240F1-C3B9-408F-A51C-17F8E357AABD}"/>
    <cellStyle name="20% - Accent5 2 4 4 2 3" xfId="3592" xr:uid="{00000000-0005-0000-0000-0000E2060000}"/>
    <cellStyle name="20% - Accent5 2 4 4 2 3 2" xfId="21529" xr:uid="{3FE552D3-ED5A-451C-A1AB-F4528B2EC6C4}"/>
    <cellStyle name="20% - Accent5 2 4 4 2 3 2 2" xfId="36505" xr:uid="{B46A707D-B929-44E6-A1CF-82AF20FB9792}"/>
    <cellStyle name="20% - Accent5 2 4 4 2 3 3" xfId="28901" xr:uid="{DAC902AF-2F5D-488D-A814-270278DA13D9}"/>
    <cellStyle name="20% - Accent5 2 4 4 2 4" xfId="21531" xr:uid="{DA435823-29EC-4C79-BC64-88960D40AE06}"/>
    <cellStyle name="20% - Accent5 2 4 4 2 4 2" xfId="36507" xr:uid="{7B66C1F2-C261-4713-98E0-5BA71BDE3670}"/>
    <cellStyle name="20% - Accent5 2 4 4 2 5" xfId="28903" xr:uid="{D7587B0A-629D-4A60-854D-7F0901CD350C}"/>
    <cellStyle name="20% - Accent5 2 4 4 3" xfId="3591" xr:uid="{00000000-0005-0000-0000-0000E3060000}"/>
    <cellStyle name="20% - Accent5 2 4 4 3 2" xfId="21528" xr:uid="{1440E898-6E47-439E-89FE-BB2F088FA4F9}"/>
    <cellStyle name="20% - Accent5 2 4 4 3 2 2" xfId="36504" xr:uid="{FA1E9862-29C4-4A8D-9AD5-0BFA39F6BD00}"/>
    <cellStyle name="20% - Accent5 2 4 4 3 3" xfId="28900" xr:uid="{09283920-B147-435B-A694-909CFBA66E72}"/>
    <cellStyle name="20% - Accent5 2 4 4 4" xfId="3590" xr:uid="{00000000-0005-0000-0000-0000E4060000}"/>
    <cellStyle name="20% - Accent5 2 4 4 4 2" xfId="21527" xr:uid="{2AADAC22-0CD5-444C-8EF9-C076BED39155}"/>
    <cellStyle name="20% - Accent5 2 4 4 4 2 2" xfId="36503" xr:uid="{855EBB49-E61C-4E2B-925D-BB16FB4D21B5}"/>
    <cellStyle name="20% - Accent5 2 4 4 4 3" xfId="28899" xr:uid="{0428137F-50C8-43FC-8E16-3BC27817B7AF}"/>
    <cellStyle name="20% - Accent5 2 4 4 5" xfId="21532" xr:uid="{8B3534CB-83FA-4677-A907-E4EFC604207E}"/>
    <cellStyle name="20% - Accent5 2 4 4 5 2" xfId="36508" xr:uid="{2356BE7B-99B8-4A03-AF63-E73635888F9F}"/>
    <cellStyle name="20% - Accent5 2 4 4 6" xfId="28904" xr:uid="{91C0A4B9-E10C-47AA-9DB7-3180641EDC5E}"/>
    <cellStyle name="20% - Accent5 2 4 5" xfId="3589" xr:uid="{00000000-0005-0000-0000-0000E5060000}"/>
    <cellStyle name="20% - Accent5 2 4 5 2" xfId="3588" xr:uid="{00000000-0005-0000-0000-0000E6060000}"/>
    <cellStyle name="20% - Accent5 2 4 5 2 2" xfId="21525" xr:uid="{72836180-41D9-4DB3-B90B-F094B6D1780E}"/>
    <cellStyle name="20% - Accent5 2 4 5 2 2 2" xfId="36501" xr:uid="{46D62F94-B47A-4800-BAB1-6D49964CB1D3}"/>
    <cellStyle name="20% - Accent5 2 4 5 2 3" xfId="28897" xr:uid="{8401A53F-2D22-4344-BF6C-26C4463F409B}"/>
    <cellStyle name="20% - Accent5 2 4 5 3" xfId="3587" xr:uid="{00000000-0005-0000-0000-0000E7060000}"/>
    <cellStyle name="20% - Accent5 2 4 5 3 2" xfId="21524" xr:uid="{B8B2D6FC-479E-4D3C-B5DD-8FD1AF5856CA}"/>
    <cellStyle name="20% - Accent5 2 4 5 3 2 2" xfId="36500" xr:uid="{BC817AC7-EE77-42A5-A617-0CCD06B2C480}"/>
    <cellStyle name="20% - Accent5 2 4 5 3 3" xfId="28896" xr:uid="{A1672372-A51B-4664-9545-FCB404806CE5}"/>
    <cellStyle name="20% - Accent5 2 4 5 4" xfId="21526" xr:uid="{325F762D-4B62-4E45-88AF-51F5FC065FD7}"/>
    <cellStyle name="20% - Accent5 2 4 5 4 2" xfId="36502" xr:uid="{43C8E0A0-A763-427F-B27E-D842DA53F61E}"/>
    <cellStyle name="20% - Accent5 2 4 5 5" xfId="28898" xr:uid="{5F04A3AF-C391-4B48-BCE4-27BFB59BAF74}"/>
    <cellStyle name="20% - Accent5 2 4 6" xfId="3586" xr:uid="{00000000-0005-0000-0000-0000E8060000}"/>
    <cellStyle name="20% - Accent5 2 4 6 2" xfId="21523" xr:uid="{DF8B654D-AFE5-4CE0-B1F5-32F4762F8B39}"/>
    <cellStyle name="20% - Accent5 2 4 6 2 2" xfId="36499" xr:uid="{B779CEA6-83E7-41FA-8B70-688A07D9698C}"/>
    <cellStyle name="20% - Accent5 2 4 6 3" xfId="28895" xr:uid="{95CF063C-1368-403D-B5AF-4B018099F21B}"/>
    <cellStyle name="20% - Accent5 2 4 7" xfId="3585" xr:uid="{00000000-0005-0000-0000-0000E9060000}"/>
    <cellStyle name="20% - Accent5 2 4 7 2" xfId="21522" xr:uid="{60957D35-8E67-4812-92C3-4646B29AA97B}"/>
    <cellStyle name="20% - Accent5 2 4 7 2 2" xfId="36498" xr:uid="{71AD7EDF-FC36-4567-A269-5A1BB73E9F92}"/>
    <cellStyle name="20% - Accent5 2 4 7 3" xfId="28894" xr:uid="{25392D7E-5734-4E08-84D7-8B5DDFD28B57}"/>
    <cellStyle name="20% - Accent5 2 4 8" xfId="21557" xr:uid="{D498D2A3-C93E-4082-BFC4-E53B6F046631}"/>
    <cellStyle name="20% - Accent5 2 4 8 2" xfId="36533" xr:uid="{F0B18ABC-D27F-4CDE-8CB4-145426D1C8CA}"/>
    <cellStyle name="20% - Accent5 2 4 9" xfId="28929" xr:uid="{BF2BC0C2-6F27-475A-8802-915026CB33A9}"/>
    <cellStyle name="20% - Accent5 2 5" xfId="3584" xr:uid="{00000000-0005-0000-0000-0000EA060000}"/>
    <cellStyle name="20% - Accent5 2 5 2" xfId="3583" xr:uid="{00000000-0005-0000-0000-0000EB060000}"/>
    <cellStyle name="20% - Accent5 2 5 2 2" xfId="3582" xr:uid="{00000000-0005-0000-0000-0000EC060000}"/>
    <cellStyle name="20% - Accent5 2 5 2 2 2" xfId="3581" xr:uid="{00000000-0005-0000-0000-0000ED060000}"/>
    <cellStyle name="20% - Accent5 2 5 2 2 2 2" xfId="3580" xr:uid="{00000000-0005-0000-0000-0000EE060000}"/>
    <cellStyle name="20% - Accent5 2 5 2 2 2 2 2" xfId="21517" xr:uid="{C2A0F798-CA91-4B0B-A38C-B58FBF133EAD}"/>
    <cellStyle name="20% - Accent5 2 5 2 2 2 2 2 2" xfId="36493" xr:uid="{E8008B85-17BD-4EF8-9F28-A9FC6240808D}"/>
    <cellStyle name="20% - Accent5 2 5 2 2 2 2 3" xfId="28889" xr:uid="{3D31DAF3-2615-4089-B4CD-013BAE72ECCE}"/>
    <cellStyle name="20% - Accent5 2 5 2 2 2 3" xfId="3579" xr:uid="{00000000-0005-0000-0000-0000EF060000}"/>
    <cellStyle name="20% - Accent5 2 5 2 2 2 3 2" xfId="21516" xr:uid="{DAED8671-613C-4D24-A5DF-D549A747FDD3}"/>
    <cellStyle name="20% - Accent5 2 5 2 2 2 3 2 2" xfId="36492" xr:uid="{E48AEA61-F9F7-4831-9E6B-3B9731403204}"/>
    <cellStyle name="20% - Accent5 2 5 2 2 2 3 3" xfId="28888" xr:uid="{71424A1F-C7CA-45D5-82DC-0D5A2C9DA138}"/>
    <cellStyle name="20% - Accent5 2 5 2 2 2 4" xfId="21518" xr:uid="{50D4EAAF-A4AB-4A47-B984-DB44C8092BF7}"/>
    <cellStyle name="20% - Accent5 2 5 2 2 2 4 2" xfId="36494" xr:uid="{283A1936-1D08-48D7-A054-D9D4873C3A89}"/>
    <cellStyle name="20% - Accent5 2 5 2 2 2 5" xfId="28890" xr:uid="{34DCAEA1-B936-483E-9825-9A1B23E45110}"/>
    <cellStyle name="20% - Accent5 2 5 2 2 3" xfId="3578" xr:uid="{00000000-0005-0000-0000-0000F0060000}"/>
    <cellStyle name="20% - Accent5 2 5 2 2 3 2" xfId="21515" xr:uid="{71365697-D51E-4835-B86D-D5BE954E7D2D}"/>
    <cellStyle name="20% - Accent5 2 5 2 2 3 2 2" xfId="36491" xr:uid="{98BA3537-B811-4229-B7E4-535CD333F75E}"/>
    <cellStyle name="20% - Accent5 2 5 2 2 3 3" xfId="28887" xr:uid="{EF54FA74-7031-489A-9E98-F2AC1548B5A2}"/>
    <cellStyle name="20% - Accent5 2 5 2 2 4" xfId="3577" xr:uid="{00000000-0005-0000-0000-0000F1060000}"/>
    <cellStyle name="20% - Accent5 2 5 2 2 4 2" xfId="21514" xr:uid="{ED704AD4-ECE4-48E1-9F34-E58E27C6A705}"/>
    <cellStyle name="20% - Accent5 2 5 2 2 4 2 2" xfId="36490" xr:uid="{C8DBBDA3-EBC2-4E7D-97A3-FD7A75F1A4BB}"/>
    <cellStyle name="20% - Accent5 2 5 2 2 4 3" xfId="28886" xr:uid="{38808641-1433-457C-AD67-CB014276DB33}"/>
    <cellStyle name="20% - Accent5 2 5 2 2 5" xfId="21519" xr:uid="{95D10039-133D-4251-B27C-7F1F4AC64053}"/>
    <cellStyle name="20% - Accent5 2 5 2 2 5 2" xfId="36495" xr:uid="{FCCD94A6-94D7-4A6D-B359-1E437B96BF0B}"/>
    <cellStyle name="20% - Accent5 2 5 2 2 6" xfId="28891" xr:uid="{7066E31F-9B8A-4DA2-81D6-671603A22059}"/>
    <cellStyle name="20% - Accent5 2 5 2 3" xfId="3576" xr:uid="{00000000-0005-0000-0000-0000F2060000}"/>
    <cellStyle name="20% - Accent5 2 5 2 3 2" xfId="3575" xr:uid="{00000000-0005-0000-0000-0000F3060000}"/>
    <cellStyle name="20% - Accent5 2 5 2 3 2 2" xfId="3574" xr:uid="{00000000-0005-0000-0000-0000F4060000}"/>
    <cellStyle name="20% - Accent5 2 5 2 3 2 2 2" xfId="21511" xr:uid="{24E7CA92-CC90-4EAE-B868-DDF821A56E0F}"/>
    <cellStyle name="20% - Accent5 2 5 2 3 2 2 2 2" xfId="36487" xr:uid="{A2EC4183-5C70-46CA-BA9E-C1788F3BDCA5}"/>
    <cellStyle name="20% - Accent5 2 5 2 3 2 2 3" xfId="28883" xr:uid="{94A4D10A-2B4F-46C7-BDCA-C077A99CACF1}"/>
    <cellStyle name="20% - Accent5 2 5 2 3 2 3" xfId="3573" xr:uid="{00000000-0005-0000-0000-0000F5060000}"/>
    <cellStyle name="20% - Accent5 2 5 2 3 2 3 2" xfId="21510" xr:uid="{2C00C615-08DC-4FCC-8D1C-D8F118A6D157}"/>
    <cellStyle name="20% - Accent5 2 5 2 3 2 3 2 2" xfId="36486" xr:uid="{37D15909-539B-4FC7-A4E9-9B7809186E62}"/>
    <cellStyle name="20% - Accent5 2 5 2 3 2 3 3" xfId="28882" xr:uid="{5B29A270-3AFD-4D93-A8BB-51BFFCEA8B31}"/>
    <cellStyle name="20% - Accent5 2 5 2 3 2 4" xfId="21512" xr:uid="{A52B3E8F-3CFD-44BE-9776-314F0CAD404E}"/>
    <cellStyle name="20% - Accent5 2 5 2 3 2 4 2" xfId="36488" xr:uid="{5CC59D9F-BFCA-4AEE-B284-6D98A65EAE85}"/>
    <cellStyle name="20% - Accent5 2 5 2 3 2 5" xfId="28884" xr:uid="{08F25975-1CE7-4174-825E-FBA81C7F3E55}"/>
    <cellStyle name="20% - Accent5 2 5 2 3 3" xfId="3572" xr:uid="{00000000-0005-0000-0000-0000F6060000}"/>
    <cellStyle name="20% - Accent5 2 5 2 3 3 2" xfId="21509" xr:uid="{34D33AE6-46E9-433C-81E4-A547CC0692B8}"/>
    <cellStyle name="20% - Accent5 2 5 2 3 3 2 2" xfId="36485" xr:uid="{7AF3E604-C08E-4FAD-93E4-CC939A15DB2A}"/>
    <cellStyle name="20% - Accent5 2 5 2 3 3 3" xfId="28881" xr:uid="{BE072C04-ADD5-47E2-A6F3-7C85B78C7654}"/>
    <cellStyle name="20% - Accent5 2 5 2 3 4" xfId="3571" xr:uid="{00000000-0005-0000-0000-0000F7060000}"/>
    <cellStyle name="20% - Accent5 2 5 2 3 4 2" xfId="21508" xr:uid="{F17193A0-F78B-4097-B19C-A8B9C1D362DE}"/>
    <cellStyle name="20% - Accent5 2 5 2 3 4 2 2" xfId="36484" xr:uid="{3D5B8539-2D51-4A27-A3D7-982491AD98A1}"/>
    <cellStyle name="20% - Accent5 2 5 2 3 4 3" xfId="28880" xr:uid="{6DBD5FDE-E103-4F6E-8A9A-0DAD322DF2E2}"/>
    <cellStyle name="20% - Accent5 2 5 2 3 5" xfId="21513" xr:uid="{8F60D57A-7F5A-4BB4-8C03-8E1CFAEEAAAE}"/>
    <cellStyle name="20% - Accent5 2 5 2 3 5 2" xfId="36489" xr:uid="{306B4E76-117A-4047-9688-2C197A03CA8E}"/>
    <cellStyle name="20% - Accent5 2 5 2 3 6" xfId="28885" xr:uid="{5CD0C293-5D24-4D1A-8B03-081D5834FED8}"/>
    <cellStyle name="20% - Accent5 2 5 2 4" xfId="3570" xr:uid="{00000000-0005-0000-0000-0000F8060000}"/>
    <cellStyle name="20% - Accent5 2 5 2 4 2" xfId="3569" xr:uid="{00000000-0005-0000-0000-0000F9060000}"/>
    <cellStyle name="20% - Accent5 2 5 2 4 2 2" xfId="21506" xr:uid="{AA6F37CC-001E-41CD-BEF0-1FED9F6B7A8A}"/>
    <cellStyle name="20% - Accent5 2 5 2 4 2 2 2" xfId="36482" xr:uid="{CC1AB1D0-2B10-4AC5-9593-3052032B2529}"/>
    <cellStyle name="20% - Accent5 2 5 2 4 2 3" xfId="28878" xr:uid="{276CF935-881E-4CF3-A348-E4C37CD5C52C}"/>
    <cellStyle name="20% - Accent5 2 5 2 4 3" xfId="3568" xr:uid="{00000000-0005-0000-0000-0000FA060000}"/>
    <cellStyle name="20% - Accent5 2 5 2 4 3 2" xfId="21505" xr:uid="{297137C7-93BB-4AE1-B7B5-D95FA9783809}"/>
    <cellStyle name="20% - Accent5 2 5 2 4 3 2 2" xfId="36481" xr:uid="{10A0D884-9CD3-4051-9453-124BE9B28349}"/>
    <cellStyle name="20% - Accent5 2 5 2 4 3 3" xfId="28877" xr:uid="{01C9ACFB-D8B5-4517-A55B-076F560BA999}"/>
    <cellStyle name="20% - Accent5 2 5 2 4 4" xfId="21507" xr:uid="{75279334-CDBA-42C6-AC70-63CC78584829}"/>
    <cellStyle name="20% - Accent5 2 5 2 4 4 2" xfId="36483" xr:uid="{02E85EDE-5EF7-4513-8245-8125B7DD618A}"/>
    <cellStyle name="20% - Accent5 2 5 2 4 5" xfId="28879" xr:uid="{318D7685-B2D6-4EF4-AB2F-80E71C3A98ED}"/>
    <cellStyle name="20% - Accent5 2 5 2 5" xfId="3567" xr:uid="{00000000-0005-0000-0000-0000FB060000}"/>
    <cellStyle name="20% - Accent5 2 5 2 5 2" xfId="21504" xr:uid="{69ECC3EC-EA0D-4633-914E-A33A2BCCAE27}"/>
    <cellStyle name="20% - Accent5 2 5 2 5 2 2" xfId="36480" xr:uid="{7CB816F3-420B-41ED-9D38-1089687AB140}"/>
    <cellStyle name="20% - Accent5 2 5 2 5 3" xfId="28876" xr:uid="{22B9DAD5-9371-42D1-8DBE-7305B5ACD621}"/>
    <cellStyle name="20% - Accent5 2 5 2 6" xfId="3566" xr:uid="{00000000-0005-0000-0000-0000FC060000}"/>
    <cellStyle name="20% - Accent5 2 5 2 6 2" xfId="21503" xr:uid="{603707B2-A81B-47CD-8691-FCD7826FDBA1}"/>
    <cellStyle name="20% - Accent5 2 5 2 6 2 2" xfId="36479" xr:uid="{C952ED4E-11AD-4934-B7E0-82CCCDADB0AF}"/>
    <cellStyle name="20% - Accent5 2 5 2 6 3" xfId="28875" xr:uid="{E3B95901-F69B-4007-B4FB-79A918E581D6}"/>
    <cellStyle name="20% - Accent5 2 5 2 7" xfId="21520" xr:uid="{2E4D602C-2CEC-4ECF-9C2B-D87C16FB1491}"/>
    <cellStyle name="20% - Accent5 2 5 2 7 2" xfId="36496" xr:uid="{3ECE297D-18F4-424A-9229-130A0FB82BEA}"/>
    <cellStyle name="20% - Accent5 2 5 2 8" xfId="28892" xr:uid="{B41A4CCA-D811-47EE-897F-388C6FFA6A3A}"/>
    <cellStyle name="20% - Accent5 2 5 3" xfId="3565" xr:uid="{00000000-0005-0000-0000-0000FD060000}"/>
    <cellStyle name="20% - Accent5 2 5 3 2" xfId="3564" xr:uid="{00000000-0005-0000-0000-0000FE060000}"/>
    <cellStyle name="20% - Accent5 2 5 3 2 2" xfId="3563" xr:uid="{00000000-0005-0000-0000-0000FF060000}"/>
    <cellStyle name="20% - Accent5 2 5 3 2 2 2" xfId="21500" xr:uid="{482778BB-FCAE-4135-87EE-F114DBD6BB83}"/>
    <cellStyle name="20% - Accent5 2 5 3 2 2 2 2" xfId="36476" xr:uid="{5836D2E4-6F08-4770-B9BC-46DB5C099158}"/>
    <cellStyle name="20% - Accent5 2 5 3 2 2 3" xfId="28872" xr:uid="{20343933-6B60-42DA-A63B-C02EB51B1F58}"/>
    <cellStyle name="20% - Accent5 2 5 3 2 3" xfId="3562" xr:uid="{00000000-0005-0000-0000-000000070000}"/>
    <cellStyle name="20% - Accent5 2 5 3 2 3 2" xfId="21499" xr:uid="{FFA4F1EF-E667-44DE-A246-62E338D46400}"/>
    <cellStyle name="20% - Accent5 2 5 3 2 3 2 2" xfId="36475" xr:uid="{6B587292-F0C2-4840-979B-C305D8455209}"/>
    <cellStyle name="20% - Accent5 2 5 3 2 3 3" xfId="28871" xr:uid="{FC6C62E4-C713-4161-AC74-2A1283FBEAA1}"/>
    <cellStyle name="20% - Accent5 2 5 3 2 4" xfId="21501" xr:uid="{CE3787D3-EC44-4347-8408-B48BD948B478}"/>
    <cellStyle name="20% - Accent5 2 5 3 2 4 2" xfId="36477" xr:uid="{17C38194-FFE6-4855-B492-776C2BC57E35}"/>
    <cellStyle name="20% - Accent5 2 5 3 2 5" xfId="28873" xr:uid="{113CAE0E-5756-41D3-8347-FEA8DE9DE790}"/>
    <cellStyle name="20% - Accent5 2 5 3 3" xfId="3561" xr:uid="{00000000-0005-0000-0000-000001070000}"/>
    <cellStyle name="20% - Accent5 2 5 3 3 2" xfId="21498" xr:uid="{6655F362-AE99-4701-B1E0-D5DDB9D60375}"/>
    <cellStyle name="20% - Accent5 2 5 3 3 2 2" xfId="36474" xr:uid="{B85AEF4E-0D1F-4572-BE09-40DBCD6A20EB}"/>
    <cellStyle name="20% - Accent5 2 5 3 3 3" xfId="28870" xr:uid="{B6227E3D-2E3B-4CD6-8AA6-3F0175EDED72}"/>
    <cellStyle name="20% - Accent5 2 5 3 4" xfId="3560" xr:uid="{00000000-0005-0000-0000-000002070000}"/>
    <cellStyle name="20% - Accent5 2 5 3 4 2" xfId="21497" xr:uid="{05BCBE68-C480-4FC6-BF9C-1FEB7E125978}"/>
    <cellStyle name="20% - Accent5 2 5 3 4 2 2" xfId="36473" xr:uid="{EB8CF164-7679-4B72-A325-2529963FFEA2}"/>
    <cellStyle name="20% - Accent5 2 5 3 4 3" xfId="28869" xr:uid="{63527403-CC9A-4299-941D-C25B4D8AC5DB}"/>
    <cellStyle name="20% - Accent5 2 5 3 5" xfId="21502" xr:uid="{96627DA0-1112-4F5A-80C9-2519ADEC4643}"/>
    <cellStyle name="20% - Accent5 2 5 3 5 2" xfId="36478" xr:uid="{EDCAC69D-FE53-4821-9F05-E2BEAC917D8E}"/>
    <cellStyle name="20% - Accent5 2 5 3 6" xfId="28874" xr:uid="{F0B26C1E-56E1-4FEC-8E7C-A49CDA92B6FD}"/>
    <cellStyle name="20% - Accent5 2 5 4" xfId="3559" xr:uid="{00000000-0005-0000-0000-000003070000}"/>
    <cellStyle name="20% - Accent5 2 5 4 2" xfId="3558" xr:uid="{00000000-0005-0000-0000-000004070000}"/>
    <cellStyle name="20% - Accent5 2 5 4 2 2" xfId="3557" xr:uid="{00000000-0005-0000-0000-000005070000}"/>
    <cellStyle name="20% - Accent5 2 5 4 2 2 2" xfId="21494" xr:uid="{E6F17781-2C4F-437D-98F6-E9257A332649}"/>
    <cellStyle name="20% - Accent5 2 5 4 2 2 2 2" xfId="36470" xr:uid="{3F0A4CA0-0EE8-41AB-AEFE-4E07ED18B391}"/>
    <cellStyle name="20% - Accent5 2 5 4 2 2 3" xfId="28866" xr:uid="{8C4A3AEA-66DC-486B-A4FC-16C41D9056FB}"/>
    <cellStyle name="20% - Accent5 2 5 4 2 3" xfId="3556" xr:uid="{00000000-0005-0000-0000-000006070000}"/>
    <cellStyle name="20% - Accent5 2 5 4 2 3 2" xfId="21493" xr:uid="{40A510BF-8093-44B3-A1CE-D8F4DE0C786E}"/>
    <cellStyle name="20% - Accent5 2 5 4 2 3 2 2" xfId="36469" xr:uid="{EC997025-68EF-426C-87A2-EE08354FCC0B}"/>
    <cellStyle name="20% - Accent5 2 5 4 2 3 3" xfId="28865" xr:uid="{F09E402A-FE3B-4DAC-AC54-CBD6945DA7E2}"/>
    <cellStyle name="20% - Accent5 2 5 4 2 4" xfId="21495" xr:uid="{8270BD70-9494-41F1-8B0E-F251BB18B157}"/>
    <cellStyle name="20% - Accent5 2 5 4 2 4 2" xfId="36471" xr:uid="{A8F744F3-A00B-4F26-A89B-36DBEA9BF57E}"/>
    <cellStyle name="20% - Accent5 2 5 4 2 5" xfId="28867" xr:uid="{4A2AC1B8-9FBD-4B38-A2A5-AEA76AD6C6AB}"/>
    <cellStyle name="20% - Accent5 2 5 4 3" xfId="3555" xr:uid="{00000000-0005-0000-0000-000007070000}"/>
    <cellStyle name="20% - Accent5 2 5 4 3 2" xfId="21492" xr:uid="{CBD20594-162F-4BAE-97D1-188D5EB034AA}"/>
    <cellStyle name="20% - Accent5 2 5 4 3 2 2" xfId="36468" xr:uid="{511A7EB0-977B-4D86-877E-F322AD5EB683}"/>
    <cellStyle name="20% - Accent5 2 5 4 3 3" xfId="28864" xr:uid="{F78DEEF9-AFD0-4179-B87D-B75E20DD085D}"/>
    <cellStyle name="20% - Accent5 2 5 4 4" xfId="3554" xr:uid="{00000000-0005-0000-0000-000008070000}"/>
    <cellStyle name="20% - Accent5 2 5 4 4 2" xfId="21491" xr:uid="{77A049B8-13AE-4DE8-9EDF-86B58FA17EF0}"/>
    <cellStyle name="20% - Accent5 2 5 4 4 2 2" xfId="36467" xr:uid="{2C0A64FE-3CE1-42F5-B03E-621B2BD595DD}"/>
    <cellStyle name="20% - Accent5 2 5 4 4 3" xfId="28863" xr:uid="{3A8E610D-D663-4F8A-8D3A-8C1FC5F11A73}"/>
    <cellStyle name="20% - Accent5 2 5 4 5" xfId="21496" xr:uid="{2F8FCE58-B61E-40E0-9550-B8A3B4AE62F5}"/>
    <cellStyle name="20% - Accent5 2 5 4 5 2" xfId="36472" xr:uid="{0F632A9E-3170-4948-9F07-322EF753FCA8}"/>
    <cellStyle name="20% - Accent5 2 5 4 6" xfId="28868" xr:uid="{5C33FD43-754B-4810-B4B0-C3B1DB8BB981}"/>
    <cellStyle name="20% - Accent5 2 5 5" xfId="3553" xr:uid="{00000000-0005-0000-0000-000009070000}"/>
    <cellStyle name="20% - Accent5 2 5 5 2" xfId="3552" xr:uid="{00000000-0005-0000-0000-00000A070000}"/>
    <cellStyle name="20% - Accent5 2 5 5 2 2" xfId="21489" xr:uid="{9BC0C936-6C57-44A8-AA06-8ABB38EEC7DA}"/>
    <cellStyle name="20% - Accent5 2 5 5 2 2 2" xfId="36465" xr:uid="{BADD9D46-A154-438C-BF87-A4E4CDEF8976}"/>
    <cellStyle name="20% - Accent5 2 5 5 2 3" xfId="28861" xr:uid="{6B93E102-0613-407F-A6AA-34AAB70EBE0F}"/>
    <cellStyle name="20% - Accent5 2 5 5 3" xfId="3551" xr:uid="{00000000-0005-0000-0000-00000B070000}"/>
    <cellStyle name="20% - Accent5 2 5 5 3 2" xfId="21488" xr:uid="{CA24CD6E-86EA-4B4F-8C5F-0D0F90262AC4}"/>
    <cellStyle name="20% - Accent5 2 5 5 3 2 2" xfId="36464" xr:uid="{2FAA1FC9-8E0B-4669-AF0A-4F0D3F058397}"/>
    <cellStyle name="20% - Accent5 2 5 5 3 3" xfId="28860" xr:uid="{A859BF9E-928E-4B94-A394-9C3637D1FADD}"/>
    <cellStyle name="20% - Accent5 2 5 5 4" xfId="21490" xr:uid="{0FAD931D-443E-4C56-9659-AD27891D4C5F}"/>
    <cellStyle name="20% - Accent5 2 5 5 4 2" xfId="36466" xr:uid="{2E75AC92-898C-4E26-AA9E-BE391821A57B}"/>
    <cellStyle name="20% - Accent5 2 5 5 5" xfId="28862" xr:uid="{C6A3FDD0-4111-47C0-8646-34B13B348BB0}"/>
    <cellStyle name="20% - Accent5 2 5 6" xfId="3550" xr:uid="{00000000-0005-0000-0000-00000C070000}"/>
    <cellStyle name="20% - Accent5 2 5 6 2" xfId="21487" xr:uid="{869D8FFE-446D-4714-AFB2-05E9B5800595}"/>
    <cellStyle name="20% - Accent5 2 5 6 2 2" xfId="36463" xr:uid="{88FC1D06-E6CE-42D2-A5CE-BF8CAD7B083E}"/>
    <cellStyle name="20% - Accent5 2 5 6 3" xfId="28859" xr:uid="{84888041-D3F2-4955-A113-15C7D17FC4CC}"/>
    <cellStyle name="20% - Accent5 2 5 7" xfId="3549" xr:uid="{00000000-0005-0000-0000-00000D070000}"/>
    <cellStyle name="20% - Accent5 2 5 7 2" xfId="21486" xr:uid="{9520F50D-3FA2-4889-B6D0-945552113FFD}"/>
    <cellStyle name="20% - Accent5 2 5 7 2 2" xfId="36462" xr:uid="{D1A56D93-D2CF-4FEE-9700-1F7B0BD78410}"/>
    <cellStyle name="20% - Accent5 2 5 7 3" xfId="28858" xr:uid="{29D9A560-AC8F-48D7-BD8C-7477607CAC1B}"/>
    <cellStyle name="20% - Accent5 2 5 8" xfId="21521" xr:uid="{84B69DC5-994D-43E9-824A-EADDE5DBB0C0}"/>
    <cellStyle name="20% - Accent5 2 5 8 2" xfId="36497" xr:uid="{39C6798F-5EA2-487E-8C1E-0167F095CA7C}"/>
    <cellStyle name="20% - Accent5 2 5 9" xfId="28893" xr:uid="{0E1C54CA-B731-4A93-A814-23A88EED8316}"/>
    <cellStyle name="20% - Accent5 2 6" xfId="3548" xr:uid="{00000000-0005-0000-0000-00000E070000}"/>
    <cellStyle name="20% - Accent5 2 6 2" xfId="3547" xr:uid="{00000000-0005-0000-0000-00000F070000}"/>
    <cellStyle name="20% - Accent5 2 6 2 2" xfId="3546" xr:uid="{00000000-0005-0000-0000-000010070000}"/>
    <cellStyle name="20% - Accent5 2 6 2 2 2" xfId="3545" xr:uid="{00000000-0005-0000-0000-000011070000}"/>
    <cellStyle name="20% - Accent5 2 6 2 2 2 2" xfId="3544" xr:uid="{00000000-0005-0000-0000-000012070000}"/>
    <cellStyle name="20% - Accent5 2 6 2 2 2 2 2" xfId="21481" xr:uid="{48F3874D-A994-471C-8C21-9AAC2C6B54BF}"/>
    <cellStyle name="20% - Accent5 2 6 2 2 2 2 2 2" xfId="36457" xr:uid="{D0420D39-0845-400E-875C-CC15B93982E3}"/>
    <cellStyle name="20% - Accent5 2 6 2 2 2 2 3" xfId="28853" xr:uid="{A9C010F9-1EA4-481C-B8A2-10D67FA7F4C5}"/>
    <cellStyle name="20% - Accent5 2 6 2 2 2 3" xfId="3543" xr:uid="{00000000-0005-0000-0000-000013070000}"/>
    <cellStyle name="20% - Accent5 2 6 2 2 2 3 2" xfId="21480" xr:uid="{321305F1-1A57-4439-981B-FC901B0F647E}"/>
    <cellStyle name="20% - Accent5 2 6 2 2 2 3 2 2" xfId="36456" xr:uid="{DFA1D629-9BD8-4EDF-98D6-534D92C86AD9}"/>
    <cellStyle name="20% - Accent5 2 6 2 2 2 3 3" xfId="28852" xr:uid="{E67A66BA-C731-4111-949C-38CF9D80EB8C}"/>
    <cellStyle name="20% - Accent5 2 6 2 2 2 4" xfId="21482" xr:uid="{50295BAE-06B7-4C15-9CE9-65F0D482FA9E}"/>
    <cellStyle name="20% - Accent5 2 6 2 2 2 4 2" xfId="36458" xr:uid="{644D6012-D841-4C49-B303-74850F9FA648}"/>
    <cellStyle name="20% - Accent5 2 6 2 2 2 5" xfId="28854" xr:uid="{F91F43C5-2AF7-4BFB-B727-5900EB9DEACC}"/>
    <cellStyle name="20% - Accent5 2 6 2 2 3" xfId="3542" xr:uid="{00000000-0005-0000-0000-000014070000}"/>
    <cellStyle name="20% - Accent5 2 6 2 2 3 2" xfId="21479" xr:uid="{38ABE3D6-FF59-415E-ADD9-74860634C3FD}"/>
    <cellStyle name="20% - Accent5 2 6 2 2 3 2 2" xfId="36455" xr:uid="{B08A6926-B226-4C7A-BDB8-DEAD59C191E3}"/>
    <cellStyle name="20% - Accent5 2 6 2 2 3 3" xfId="28851" xr:uid="{F78443D7-8A50-4FB9-AA26-89B483EA68B4}"/>
    <cellStyle name="20% - Accent5 2 6 2 2 4" xfId="3541" xr:uid="{00000000-0005-0000-0000-000015070000}"/>
    <cellStyle name="20% - Accent5 2 6 2 2 4 2" xfId="21478" xr:uid="{8EEDC614-AAE0-4372-9302-D33FEBF996A4}"/>
    <cellStyle name="20% - Accent5 2 6 2 2 4 2 2" xfId="36454" xr:uid="{9334B3B7-247B-446B-8A3C-29B01C35686F}"/>
    <cellStyle name="20% - Accent5 2 6 2 2 4 3" xfId="28850" xr:uid="{32ADDF05-4131-4835-A9BA-B6F9C35F688D}"/>
    <cellStyle name="20% - Accent5 2 6 2 2 5" xfId="21483" xr:uid="{931B4C65-02A1-40A8-B903-7D1BD116B289}"/>
    <cellStyle name="20% - Accent5 2 6 2 2 5 2" xfId="36459" xr:uid="{F21F56E5-8268-43EE-A0B3-572A37B3017F}"/>
    <cellStyle name="20% - Accent5 2 6 2 2 6" xfId="28855" xr:uid="{7E0990BF-A8C2-4D29-9745-96F7A6F0A421}"/>
    <cellStyle name="20% - Accent5 2 6 2 3" xfId="3540" xr:uid="{00000000-0005-0000-0000-000016070000}"/>
    <cellStyle name="20% - Accent5 2 6 2 3 2" xfId="3539" xr:uid="{00000000-0005-0000-0000-000017070000}"/>
    <cellStyle name="20% - Accent5 2 6 2 3 2 2" xfId="3538" xr:uid="{00000000-0005-0000-0000-000018070000}"/>
    <cellStyle name="20% - Accent5 2 6 2 3 2 2 2" xfId="21475" xr:uid="{9FA9AA40-165B-43EC-AFF4-7CB6252327C2}"/>
    <cellStyle name="20% - Accent5 2 6 2 3 2 2 2 2" xfId="36451" xr:uid="{78065EAD-5151-4ADF-93A7-D445581F88DA}"/>
    <cellStyle name="20% - Accent5 2 6 2 3 2 2 3" xfId="28847" xr:uid="{20589092-84D4-4948-90CA-A59E585F7745}"/>
    <cellStyle name="20% - Accent5 2 6 2 3 2 3" xfId="3537" xr:uid="{00000000-0005-0000-0000-000019070000}"/>
    <cellStyle name="20% - Accent5 2 6 2 3 2 3 2" xfId="21474" xr:uid="{3125B9AF-F3AB-4DA7-9FCA-CD549394B5C8}"/>
    <cellStyle name="20% - Accent5 2 6 2 3 2 3 2 2" xfId="36450" xr:uid="{A8319418-3BBE-4250-9E9F-D3CE38B84960}"/>
    <cellStyle name="20% - Accent5 2 6 2 3 2 3 3" xfId="28846" xr:uid="{5405E38B-56D9-45B7-8674-D775B5FCD2FC}"/>
    <cellStyle name="20% - Accent5 2 6 2 3 2 4" xfId="21476" xr:uid="{9EB9E175-C376-4190-82AA-55ADD4D311C5}"/>
    <cellStyle name="20% - Accent5 2 6 2 3 2 4 2" xfId="36452" xr:uid="{3A9F1F29-B6CC-4E92-B37C-70B9258F79C6}"/>
    <cellStyle name="20% - Accent5 2 6 2 3 2 5" xfId="28848" xr:uid="{4D0A1545-025A-46B7-95D7-54E9B1528368}"/>
    <cellStyle name="20% - Accent5 2 6 2 3 3" xfId="3536" xr:uid="{00000000-0005-0000-0000-00001A070000}"/>
    <cellStyle name="20% - Accent5 2 6 2 3 3 2" xfId="21473" xr:uid="{805C2A16-7A9C-4EEF-A1AA-B5EAC64301EB}"/>
    <cellStyle name="20% - Accent5 2 6 2 3 3 2 2" xfId="36449" xr:uid="{4B10544B-41E4-4C9E-9A05-964EE15C02AA}"/>
    <cellStyle name="20% - Accent5 2 6 2 3 3 3" xfId="28845" xr:uid="{84F933D0-0DE5-48B6-95EB-6F61445CF3D8}"/>
    <cellStyle name="20% - Accent5 2 6 2 3 4" xfId="3535" xr:uid="{00000000-0005-0000-0000-00001B070000}"/>
    <cellStyle name="20% - Accent5 2 6 2 3 4 2" xfId="21472" xr:uid="{7CAF7296-BDBF-4926-B101-69E4D7897251}"/>
    <cellStyle name="20% - Accent5 2 6 2 3 4 2 2" xfId="36448" xr:uid="{DF531660-42A0-414A-8BE6-D78CA12A0DEF}"/>
    <cellStyle name="20% - Accent5 2 6 2 3 4 3" xfId="28844" xr:uid="{0FED7E67-3CA9-4D39-BBEC-89D57FEC2B56}"/>
    <cellStyle name="20% - Accent5 2 6 2 3 5" xfId="21477" xr:uid="{2AF1386C-898E-400C-9263-0E13FE0EA9DC}"/>
    <cellStyle name="20% - Accent5 2 6 2 3 5 2" xfId="36453" xr:uid="{40F004FF-9FA0-4279-BECF-A1C3B09608D8}"/>
    <cellStyle name="20% - Accent5 2 6 2 3 6" xfId="28849" xr:uid="{82DE091D-4E68-4D5B-99F6-7CA81863F167}"/>
    <cellStyle name="20% - Accent5 2 6 2 4" xfId="3534" xr:uid="{00000000-0005-0000-0000-00001C070000}"/>
    <cellStyle name="20% - Accent5 2 6 2 4 2" xfId="3533" xr:uid="{00000000-0005-0000-0000-00001D070000}"/>
    <cellStyle name="20% - Accent5 2 6 2 4 2 2" xfId="21470" xr:uid="{8E827F26-DC15-4751-B365-F9771869D66C}"/>
    <cellStyle name="20% - Accent5 2 6 2 4 2 2 2" xfId="36446" xr:uid="{026C360E-B110-4468-86C0-941CE70D4E82}"/>
    <cellStyle name="20% - Accent5 2 6 2 4 2 3" xfId="28842" xr:uid="{B00ECA61-A78B-4C9A-96B4-5812DF035FD7}"/>
    <cellStyle name="20% - Accent5 2 6 2 4 3" xfId="3532" xr:uid="{00000000-0005-0000-0000-00001E070000}"/>
    <cellStyle name="20% - Accent5 2 6 2 4 3 2" xfId="21469" xr:uid="{306D7CFB-2A53-474C-BD2F-CEA20C768C4D}"/>
    <cellStyle name="20% - Accent5 2 6 2 4 3 2 2" xfId="36445" xr:uid="{8BAD8D2B-C4A9-4E90-B2F4-B128FA08BF4C}"/>
    <cellStyle name="20% - Accent5 2 6 2 4 3 3" xfId="28841" xr:uid="{60A0A2A6-EF0F-4A1B-9792-763C1FE23732}"/>
    <cellStyle name="20% - Accent5 2 6 2 4 4" xfId="21471" xr:uid="{F250758A-406A-4A01-B566-ABC04729FC49}"/>
    <cellStyle name="20% - Accent5 2 6 2 4 4 2" xfId="36447" xr:uid="{D9EE52C6-6002-4FAA-B627-AB5FE5085D01}"/>
    <cellStyle name="20% - Accent5 2 6 2 4 5" xfId="28843" xr:uid="{F97A02BC-FB84-4AA7-8633-1D53AA75B3CB}"/>
    <cellStyle name="20% - Accent5 2 6 2 5" xfId="3531" xr:uid="{00000000-0005-0000-0000-00001F070000}"/>
    <cellStyle name="20% - Accent5 2 6 2 5 2" xfId="21468" xr:uid="{9AB66622-8055-4FA6-908B-14F9A5E00182}"/>
    <cellStyle name="20% - Accent5 2 6 2 5 2 2" xfId="36444" xr:uid="{345C8398-4329-40A2-80F1-3B5C0B3DD193}"/>
    <cellStyle name="20% - Accent5 2 6 2 5 3" xfId="28840" xr:uid="{7CD73960-8581-44AB-9014-FA383C1E726B}"/>
    <cellStyle name="20% - Accent5 2 6 2 6" xfId="3530" xr:uid="{00000000-0005-0000-0000-000020070000}"/>
    <cellStyle name="20% - Accent5 2 6 2 6 2" xfId="21467" xr:uid="{44A52A49-AE3D-4188-B989-BF3E351A19D8}"/>
    <cellStyle name="20% - Accent5 2 6 2 6 2 2" xfId="36443" xr:uid="{DE220668-C351-4CEA-BB16-C41BAC983D22}"/>
    <cellStyle name="20% - Accent5 2 6 2 6 3" xfId="28839" xr:uid="{4AE509ED-07CD-4852-BE29-C3468423C68C}"/>
    <cellStyle name="20% - Accent5 2 6 2 7" xfId="21484" xr:uid="{7D4EFF1C-162C-43F9-84B2-8EB2F241C265}"/>
    <cellStyle name="20% - Accent5 2 6 2 7 2" xfId="36460" xr:uid="{00EA85BA-8EEE-493B-B9C1-11C467BBA6F5}"/>
    <cellStyle name="20% - Accent5 2 6 2 8" xfId="28856" xr:uid="{3277D787-9884-4DE2-A382-A66D19E0825D}"/>
    <cellStyle name="20% - Accent5 2 6 3" xfId="3529" xr:uid="{00000000-0005-0000-0000-000021070000}"/>
    <cellStyle name="20% - Accent5 2 6 3 2" xfId="3528" xr:uid="{00000000-0005-0000-0000-000022070000}"/>
    <cellStyle name="20% - Accent5 2 6 3 2 2" xfId="3527" xr:uid="{00000000-0005-0000-0000-000023070000}"/>
    <cellStyle name="20% - Accent5 2 6 3 2 2 2" xfId="21464" xr:uid="{2722CEB7-ED06-4B3F-AD83-A1AD7A1A623E}"/>
    <cellStyle name="20% - Accent5 2 6 3 2 2 2 2" xfId="36440" xr:uid="{4514FD72-9156-4312-BEC1-6A4E9ECF0FD2}"/>
    <cellStyle name="20% - Accent5 2 6 3 2 2 3" xfId="28836" xr:uid="{48A8E0F3-D540-4242-B2F4-8A7347998B5A}"/>
    <cellStyle name="20% - Accent5 2 6 3 2 3" xfId="3526" xr:uid="{00000000-0005-0000-0000-000024070000}"/>
    <cellStyle name="20% - Accent5 2 6 3 2 3 2" xfId="21463" xr:uid="{E746E68A-E042-47C2-A62A-BA4A3306F90B}"/>
    <cellStyle name="20% - Accent5 2 6 3 2 3 2 2" xfId="36439" xr:uid="{52F8149D-074C-408B-86FD-9915D4567914}"/>
    <cellStyle name="20% - Accent5 2 6 3 2 3 3" xfId="28835" xr:uid="{BD7CFE8F-E87F-47B8-9C6E-2C4B93F67278}"/>
    <cellStyle name="20% - Accent5 2 6 3 2 4" xfId="21465" xr:uid="{1522BC0C-E1A6-4780-A668-BD4CDC0192DD}"/>
    <cellStyle name="20% - Accent5 2 6 3 2 4 2" xfId="36441" xr:uid="{6D6553A2-CEB8-43C1-BF80-29F01E6AE05D}"/>
    <cellStyle name="20% - Accent5 2 6 3 2 5" xfId="28837" xr:uid="{5603D5E6-CAFF-46C4-8666-DAC55E1883E6}"/>
    <cellStyle name="20% - Accent5 2 6 3 3" xfId="3525" xr:uid="{00000000-0005-0000-0000-000025070000}"/>
    <cellStyle name="20% - Accent5 2 6 3 3 2" xfId="21462" xr:uid="{0CBF49A1-13D8-43A1-A755-E16FCCAEA01A}"/>
    <cellStyle name="20% - Accent5 2 6 3 3 2 2" xfId="36438" xr:uid="{F019C72E-AFDF-44B3-BF46-538F3B4F2494}"/>
    <cellStyle name="20% - Accent5 2 6 3 3 3" xfId="28834" xr:uid="{028AA2B6-ECDE-4EAD-81F4-3719DEB296B6}"/>
    <cellStyle name="20% - Accent5 2 6 3 4" xfId="3524" xr:uid="{00000000-0005-0000-0000-000026070000}"/>
    <cellStyle name="20% - Accent5 2 6 3 4 2" xfId="21461" xr:uid="{BF723AB1-157F-469D-B2FB-F063D810942E}"/>
    <cellStyle name="20% - Accent5 2 6 3 4 2 2" xfId="36437" xr:uid="{A0872D39-9F53-45CF-A07C-4A293D2DE91D}"/>
    <cellStyle name="20% - Accent5 2 6 3 4 3" xfId="28833" xr:uid="{0AC47F7F-CB84-46E2-9292-BED9D5E3EF76}"/>
    <cellStyle name="20% - Accent5 2 6 3 5" xfId="21466" xr:uid="{88ABB531-52F9-49DA-9246-363C8A9B316A}"/>
    <cellStyle name="20% - Accent5 2 6 3 5 2" xfId="36442" xr:uid="{D2E78111-503F-412F-952B-EA8A9286D448}"/>
    <cellStyle name="20% - Accent5 2 6 3 6" xfId="28838" xr:uid="{FC5F9423-60A7-4A19-93B9-837059B6F72E}"/>
    <cellStyle name="20% - Accent5 2 6 4" xfId="3523" xr:uid="{00000000-0005-0000-0000-000027070000}"/>
    <cellStyle name="20% - Accent5 2 6 4 2" xfId="3522" xr:uid="{00000000-0005-0000-0000-000028070000}"/>
    <cellStyle name="20% - Accent5 2 6 4 2 2" xfId="3521" xr:uid="{00000000-0005-0000-0000-000029070000}"/>
    <cellStyle name="20% - Accent5 2 6 4 2 2 2" xfId="21458" xr:uid="{10F69704-B2DC-430C-AB38-704B8B6DDB32}"/>
    <cellStyle name="20% - Accent5 2 6 4 2 2 2 2" xfId="36434" xr:uid="{97C9B8D1-5CE9-42FB-B710-62B071FCE578}"/>
    <cellStyle name="20% - Accent5 2 6 4 2 2 3" xfId="28830" xr:uid="{DC64B3D5-5252-4830-B620-60984A8D0EFB}"/>
    <cellStyle name="20% - Accent5 2 6 4 2 3" xfId="3520" xr:uid="{00000000-0005-0000-0000-00002A070000}"/>
    <cellStyle name="20% - Accent5 2 6 4 2 3 2" xfId="21457" xr:uid="{73D3C64E-F62A-4F09-BE5C-C476AC6B53AE}"/>
    <cellStyle name="20% - Accent5 2 6 4 2 3 2 2" xfId="36433" xr:uid="{F6C9E323-7D53-480F-ADD9-D1997B400D21}"/>
    <cellStyle name="20% - Accent5 2 6 4 2 3 3" xfId="28829" xr:uid="{A2892E00-295E-496D-BF07-7E6905D6B471}"/>
    <cellStyle name="20% - Accent5 2 6 4 2 4" xfId="21459" xr:uid="{81B86BC6-D3EA-4C26-BE4E-3B1C109087FD}"/>
    <cellStyle name="20% - Accent5 2 6 4 2 4 2" xfId="36435" xr:uid="{87E18294-7205-4683-902F-53E6BE5D10F9}"/>
    <cellStyle name="20% - Accent5 2 6 4 2 5" xfId="28831" xr:uid="{201DD65A-47C0-45EF-935E-39744AE48C30}"/>
    <cellStyle name="20% - Accent5 2 6 4 3" xfId="3519" xr:uid="{00000000-0005-0000-0000-00002B070000}"/>
    <cellStyle name="20% - Accent5 2 6 4 3 2" xfId="21456" xr:uid="{4307FA00-3776-4C2C-B4A7-2D20BCCF868B}"/>
    <cellStyle name="20% - Accent5 2 6 4 3 2 2" xfId="36432" xr:uid="{E9D125C1-E934-47A4-9037-C90B42912189}"/>
    <cellStyle name="20% - Accent5 2 6 4 3 3" xfId="28828" xr:uid="{36B84034-6FCA-432F-AC32-2C0326B452A9}"/>
    <cellStyle name="20% - Accent5 2 6 4 4" xfId="3518" xr:uid="{00000000-0005-0000-0000-00002C070000}"/>
    <cellStyle name="20% - Accent5 2 6 4 4 2" xfId="21455" xr:uid="{730EDF5E-2DE8-4F03-9E5B-8A85813708AA}"/>
    <cellStyle name="20% - Accent5 2 6 4 4 2 2" xfId="36431" xr:uid="{29701E0E-48F6-4367-A618-7E5BE9D583D7}"/>
    <cellStyle name="20% - Accent5 2 6 4 4 3" xfId="28827" xr:uid="{7BBBBDE5-58D7-4843-8506-D6BF8D9CF96C}"/>
    <cellStyle name="20% - Accent5 2 6 4 5" xfId="21460" xr:uid="{17914137-3FCF-4EB2-913C-0FF2FB7AFCC7}"/>
    <cellStyle name="20% - Accent5 2 6 4 5 2" xfId="36436" xr:uid="{C848C79C-FE6F-4E54-8CE3-CBEF5FCEF716}"/>
    <cellStyle name="20% - Accent5 2 6 4 6" xfId="28832" xr:uid="{5C65B1A9-FBEC-458D-9DE2-E4EB0CEA69D7}"/>
    <cellStyle name="20% - Accent5 2 6 5" xfId="3517" xr:uid="{00000000-0005-0000-0000-00002D070000}"/>
    <cellStyle name="20% - Accent5 2 6 5 2" xfId="3516" xr:uid="{00000000-0005-0000-0000-00002E070000}"/>
    <cellStyle name="20% - Accent5 2 6 5 2 2" xfId="21453" xr:uid="{C30398B0-6F26-4B8C-B596-616783257575}"/>
    <cellStyle name="20% - Accent5 2 6 5 2 2 2" xfId="36429" xr:uid="{1F56F971-891D-4949-AC97-776A96F0C726}"/>
    <cellStyle name="20% - Accent5 2 6 5 2 3" xfId="28825" xr:uid="{02914C6A-F908-4678-91F4-D14E10D3DF96}"/>
    <cellStyle name="20% - Accent5 2 6 5 3" xfId="3515" xr:uid="{00000000-0005-0000-0000-00002F070000}"/>
    <cellStyle name="20% - Accent5 2 6 5 3 2" xfId="21452" xr:uid="{3DD1AC5E-E4CD-4CA6-A06A-A19CC583C1F1}"/>
    <cellStyle name="20% - Accent5 2 6 5 3 2 2" xfId="36428" xr:uid="{1C513CF9-FDB2-421D-9C0D-8E5A4A11D0D0}"/>
    <cellStyle name="20% - Accent5 2 6 5 3 3" xfId="28824" xr:uid="{6AA0A7B2-F1F0-4431-AF44-804B23C550BC}"/>
    <cellStyle name="20% - Accent5 2 6 5 4" xfId="21454" xr:uid="{38D2AC32-DB6A-4D65-AA92-72D393C43440}"/>
    <cellStyle name="20% - Accent5 2 6 5 4 2" xfId="36430" xr:uid="{525F8BDF-AD85-4F87-A58B-13D18FFD814B}"/>
    <cellStyle name="20% - Accent5 2 6 5 5" xfId="28826" xr:uid="{4C0FDECE-50B4-42D3-A191-1A8C504460E9}"/>
    <cellStyle name="20% - Accent5 2 6 6" xfId="3514" xr:uid="{00000000-0005-0000-0000-000030070000}"/>
    <cellStyle name="20% - Accent5 2 6 6 2" xfId="21451" xr:uid="{345ACFE6-6ABA-446D-8016-98702D97B55D}"/>
    <cellStyle name="20% - Accent5 2 6 6 2 2" xfId="36427" xr:uid="{9F70133D-8B76-4FD8-AFF8-83A3FD050DF6}"/>
    <cellStyle name="20% - Accent5 2 6 6 3" xfId="28823" xr:uid="{13ABBF2D-2B1D-45C0-A46D-35422D7C0F62}"/>
    <cellStyle name="20% - Accent5 2 6 7" xfId="3513" xr:uid="{00000000-0005-0000-0000-000031070000}"/>
    <cellStyle name="20% - Accent5 2 6 7 2" xfId="21450" xr:uid="{DA4CBA58-66F1-4D6E-AE5E-165D1F50B4B5}"/>
    <cellStyle name="20% - Accent5 2 6 7 2 2" xfId="36426" xr:uid="{57F8A1EC-3E7B-49C7-A2BD-6408B4781F39}"/>
    <cellStyle name="20% - Accent5 2 6 7 3" xfId="28822" xr:uid="{53207586-EF18-42B0-9050-CC4B67747E02}"/>
    <cellStyle name="20% - Accent5 2 6 8" xfId="21485" xr:uid="{51A30CF5-EE20-43C7-83BB-9C6FE8F162A6}"/>
    <cellStyle name="20% - Accent5 2 6 8 2" xfId="36461" xr:uid="{0BCB2A83-358A-4A79-83E5-582AAE578C92}"/>
    <cellStyle name="20% - Accent5 2 6 9" xfId="28857" xr:uid="{EF3BC3AF-204C-42FD-91AE-EC3CAF5F70EF}"/>
    <cellStyle name="20% - Accent5 2 7" xfId="3512" xr:uid="{00000000-0005-0000-0000-000032070000}"/>
    <cellStyle name="20% - Accent5 2 7 2" xfId="3511" xr:uid="{00000000-0005-0000-0000-000033070000}"/>
    <cellStyle name="20% - Accent5 2 7 2 2" xfId="3510" xr:uid="{00000000-0005-0000-0000-000034070000}"/>
    <cellStyle name="20% - Accent5 2 7 2 2 2" xfId="21447" xr:uid="{B062CA78-CF92-4AF6-A82B-5510FFF26297}"/>
    <cellStyle name="20% - Accent5 2 7 2 2 2 2" xfId="36423" xr:uid="{1782EECA-E457-4C6C-A994-26CA2F0200CB}"/>
    <cellStyle name="20% - Accent5 2 7 2 2 3" xfId="28819" xr:uid="{2A2BC87B-A9DF-4683-B586-CD9FDDD996DA}"/>
    <cellStyle name="20% - Accent5 2 7 2 3" xfId="3509" xr:uid="{00000000-0005-0000-0000-000035070000}"/>
    <cellStyle name="20% - Accent5 2 7 2 3 2" xfId="21446" xr:uid="{CEE37022-F708-4B33-A779-FD8A6BABD631}"/>
    <cellStyle name="20% - Accent5 2 7 2 3 2 2" xfId="36422" xr:uid="{7D9FCB2C-4132-49D2-806B-5DBF0AFCFD9C}"/>
    <cellStyle name="20% - Accent5 2 7 2 3 3" xfId="28818" xr:uid="{83DAEDD4-DBF7-40D8-9C03-FABD841CB46D}"/>
    <cellStyle name="20% - Accent5 2 7 2 4" xfId="21448" xr:uid="{8C3E287B-CEBF-4222-A132-5D3B7D047BB8}"/>
    <cellStyle name="20% - Accent5 2 7 2 4 2" xfId="36424" xr:uid="{DB72EAF6-8A35-4BE9-B36B-298ACA32273E}"/>
    <cellStyle name="20% - Accent5 2 7 2 5" xfId="28820" xr:uid="{59D21C6F-3E74-46B1-98F5-814337DB5498}"/>
    <cellStyle name="20% - Accent5 2 7 3" xfId="3508" xr:uid="{00000000-0005-0000-0000-000036070000}"/>
    <cellStyle name="20% - Accent5 2 7 3 2" xfId="21445" xr:uid="{50BB33B6-6A21-4774-9744-7EA2C43F9F53}"/>
    <cellStyle name="20% - Accent5 2 7 3 2 2" xfId="36421" xr:uid="{203D33BB-DA1B-4891-AFC2-034A5E09F29C}"/>
    <cellStyle name="20% - Accent5 2 7 3 3" xfId="28817" xr:uid="{FF82F3DB-C234-4E35-946F-4384BFF791F5}"/>
    <cellStyle name="20% - Accent5 2 7 4" xfId="3507" xr:uid="{00000000-0005-0000-0000-000037070000}"/>
    <cellStyle name="20% - Accent5 2 7 4 2" xfId="21444" xr:uid="{369F086F-EF82-4368-8230-FAF65F5942EC}"/>
    <cellStyle name="20% - Accent5 2 7 4 2 2" xfId="36420" xr:uid="{16398F91-D9D4-4745-ABA4-6DF402878538}"/>
    <cellStyle name="20% - Accent5 2 7 4 3" xfId="28816" xr:uid="{CC20B0CF-F1C3-494B-A3A8-40DF0AC1F936}"/>
    <cellStyle name="20% - Accent5 2 7 5" xfId="21449" xr:uid="{A8F78774-24D8-4BF7-A4EF-97B71DA7856B}"/>
    <cellStyle name="20% - Accent5 2 7 5 2" xfId="36425" xr:uid="{ACD60C97-2799-4BDA-9E4A-62F19C2ADE63}"/>
    <cellStyle name="20% - Accent5 2 7 6" xfId="28821" xr:uid="{421932C5-473B-4D69-A4EF-197EA778749A}"/>
    <cellStyle name="20% - Accent5 3" xfId="209" xr:uid="{00000000-0005-0000-0000-000030000000}"/>
    <cellStyle name="20% - Accent5 3 2" xfId="3505" xr:uid="{00000000-0005-0000-0000-000039070000}"/>
    <cellStyle name="20% - Accent5 3 2 2" xfId="3504" xr:uid="{00000000-0005-0000-0000-00003A070000}"/>
    <cellStyle name="20% - Accent5 3 2 2 2" xfId="3503" xr:uid="{00000000-0005-0000-0000-00003B070000}"/>
    <cellStyle name="20% - Accent5 3 2 2 2 2" xfId="3502" xr:uid="{00000000-0005-0000-0000-00003C070000}"/>
    <cellStyle name="20% - Accent5 3 2 2 2 2 2" xfId="3501" xr:uid="{00000000-0005-0000-0000-00003D070000}"/>
    <cellStyle name="20% - Accent5 3 2 2 2 2 2 2" xfId="21439" xr:uid="{1E9DE684-08D3-440F-82BD-3F3305A38FA8}"/>
    <cellStyle name="20% - Accent5 3 2 2 2 2 2 2 2" xfId="36415" xr:uid="{A4F2A5AD-1A83-4D96-ABAE-791A73BD3751}"/>
    <cellStyle name="20% - Accent5 3 2 2 2 2 2 3" xfId="28811" xr:uid="{7E1E4665-77C9-436D-88AB-3F05E1ABDC21}"/>
    <cellStyle name="20% - Accent5 3 2 2 2 2 3" xfId="3500" xr:uid="{00000000-0005-0000-0000-00003E070000}"/>
    <cellStyle name="20% - Accent5 3 2 2 2 2 3 2" xfId="21438" xr:uid="{5A957F83-6C65-4F18-8E18-94F976DF71EC}"/>
    <cellStyle name="20% - Accent5 3 2 2 2 2 3 2 2" xfId="36414" xr:uid="{DEEFFA3A-236D-4F78-8B6F-E8CD25618E7C}"/>
    <cellStyle name="20% - Accent5 3 2 2 2 2 3 3" xfId="28810" xr:uid="{98346C4D-0125-42EB-BDDA-9F84B8534BFF}"/>
    <cellStyle name="20% - Accent5 3 2 2 2 2 4" xfId="21440" xr:uid="{78BA1CC7-016A-4165-837F-BA38FD9F8C25}"/>
    <cellStyle name="20% - Accent5 3 2 2 2 2 4 2" xfId="36416" xr:uid="{004D55DF-63CF-4338-9599-13B27F3BEB4F}"/>
    <cellStyle name="20% - Accent5 3 2 2 2 2 5" xfId="28812" xr:uid="{B590C07E-F549-47CF-959D-F795D3AF35B6}"/>
    <cellStyle name="20% - Accent5 3 2 2 2 3" xfId="3499" xr:uid="{00000000-0005-0000-0000-00003F070000}"/>
    <cellStyle name="20% - Accent5 3 2 2 2 3 2" xfId="21437" xr:uid="{3FFC1249-E63C-4F95-891F-90BB44057533}"/>
    <cellStyle name="20% - Accent5 3 2 2 2 3 2 2" xfId="36413" xr:uid="{333434A1-3385-4C7B-B678-1D95827EEFA1}"/>
    <cellStyle name="20% - Accent5 3 2 2 2 3 3" xfId="28809" xr:uid="{1C8450FE-1430-4A77-AD46-310D383226E5}"/>
    <cellStyle name="20% - Accent5 3 2 2 2 4" xfId="3498" xr:uid="{00000000-0005-0000-0000-000040070000}"/>
    <cellStyle name="20% - Accent5 3 2 2 2 4 2" xfId="21436" xr:uid="{8CE12543-F7E9-4B71-B7C7-FFE13EB986B4}"/>
    <cellStyle name="20% - Accent5 3 2 2 2 4 2 2" xfId="36412" xr:uid="{FF935472-B28E-416E-960A-CD91977678D5}"/>
    <cellStyle name="20% - Accent5 3 2 2 2 4 3" xfId="28808" xr:uid="{CECA5AA5-2DAF-4A3C-8877-A69213C039EB}"/>
    <cellStyle name="20% - Accent5 3 2 2 2 5" xfId="21441" xr:uid="{259D5B5E-DC30-4FA5-A939-EC168C2FEF67}"/>
    <cellStyle name="20% - Accent5 3 2 2 2 5 2" xfId="36417" xr:uid="{FC194723-F8D3-451E-A354-195FED6FE4D1}"/>
    <cellStyle name="20% - Accent5 3 2 2 2 6" xfId="28813" xr:uid="{27FCCECE-22DF-4A06-9A91-4188CCD242F7}"/>
    <cellStyle name="20% - Accent5 3 2 2 3" xfId="3497" xr:uid="{00000000-0005-0000-0000-000041070000}"/>
    <cellStyle name="20% - Accent5 3 2 2 3 2" xfId="3496" xr:uid="{00000000-0005-0000-0000-000042070000}"/>
    <cellStyle name="20% - Accent5 3 2 2 3 2 2" xfId="21434" xr:uid="{F819C699-9FE5-42DB-9416-B821073FD24E}"/>
    <cellStyle name="20% - Accent5 3 2 2 3 2 2 2" xfId="36410" xr:uid="{1EE38A26-AA33-4C0E-8AB7-53E216C2A30A}"/>
    <cellStyle name="20% - Accent5 3 2 2 3 2 3" xfId="28806" xr:uid="{50306CE3-3FA9-4BBD-8795-E8A4C633BB09}"/>
    <cellStyle name="20% - Accent5 3 2 2 3 3" xfId="3495" xr:uid="{00000000-0005-0000-0000-000043070000}"/>
    <cellStyle name="20% - Accent5 3 2 2 3 3 2" xfId="21433" xr:uid="{1C56756F-24BB-41E7-A9BF-565DC68C2C88}"/>
    <cellStyle name="20% - Accent5 3 2 2 3 3 2 2" xfId="36409" xr:uid="{AE70EE69-B78E-46BF-88D9-28AF77F0B018}"/>
    <cellStyle name="20% - Accent5 3 2 2 3 3 3" xfId="28805" xr:uid="{37DA7975-5C8C-4D84-A868-B9B12450137F}"/>
    <cellStyle name="20% - Accent5 3 2 2 3 4" xfId="21435" xr:uid="{0F361B59-3593-4CFB-B075-75753C60679E}"/>
    <cellStyle name="20% - Accent5 3 2 2 3 4 2" xfId="36411" xr:uid="{0604FAB9-EBBA-4A0C-81C0-28E9D4088105}"/>
    <cellStyle name="20% - Accent5 3 2 2 3 5" xfId="28807" xr:uid="{0BB147CB-6019-4896-B1E6-E1DB59618693}"/>
    <cellStyle name="20% - Accent5 3 2 2 4" xfId="3494" xr:uid="{00000000-0005-0000-0000-000044070000}"/>
    <cellStyle name="20% - Accent5 3 2 2 4 2" xfId="21432" xr:uid="{ACDDB713-7D04-4DB8-9C33-BC7318725FE0}"/>
    <cellStyle name="20% - Accent5 3 2 2 4 2 2" xfId="36408" xr:uid="{CACDDBDC-8D5F-44B9-9991-B42EBEB2E9FD}"/>
    <cellStyle name="20% - Accent5 3 2 2 4 3" xfId="28804" xr:uid="{C847A26C-541D-4A77-9A5A-EEC76E45B275}"/>
    <cellStyle name="20% - Accent5 3 2 2 5" xfId="3493" xr:uid="{00000000-0005-0000-0000-000045070000}"/>
    <cellStyle name="20% - Accent5 3 2 2 5 2" xfId="21431" xr:uid="{5CA78704-76AA-4C75-85F2-0D5C0433D0CD}"/>
    <cellStyle name="20% - Accent5 3 2 2 5 2 2" xfId="36407" xr:uid="{08FFC526-6476-4734-B710-FA0B57FAE889}"/>
    <cellStyle name="20% - Accent5 3 2 2 5 3" xfId="28803" xr:uid="{82C8BF66-E3F9-4F5B-B0E5-4701231108BC}"/>
    <cellStyle name="20% - Accent5 3 2 2 6" xfId="21442" xr:uid="{F0CB7CCF-59F1-4A6C-8CF2-0E2BC0AAFC09}"/>
    <cellStyle name="20% - Accent5 3 2 2 6 2" xfId="36418" xr:uid="{1594273F-6818-4A0C-BFDF-D5E1041D0996}"/>
    <cellStyle name="20% - Accent5 3 2 2 7" xfId="28814" xr:uid="{E3FC900D-1932-49C0-AA16-E56E0EA38E00}"/>
    <cellStyle name="20% - Accent5 3 2 3" xfId="3492" xr:uid="{00000000-0005-0000-0000-000046070000}"/>
    <cellStyle name="20% - Accent5 3 2 3 2" xfId="3491" xr:uid="{00000000-0005-0000-0000-000047070000}"/>
    <cellStyle name="20% - Accent5 3 2 3 2 2" xfId="3490" xr:uid="{00000000-0005-0000-0000-000048070000}"/>
    <cellStyle name="20% - Accent5 3 2 3 2 2 2" xfId="21428" xr:uid="{025D6F12-A8D1-4D32-B4FC-4FBBA3282D8D}"/>
    <cellStyle name="20% - Accent5 3 2 3 2 2 2 2" xfId="36404" xr:uid="{356D02BE-3EB6-452E-AC4E-DA7C360AF17D}"/>
    <cellStyle name="20% - Accent5 3 2 3 2 2 3" xfId="28800" xr:uid="{CB67ACEA-D22A-4ECF-BF3D-F1BE8049216F}"/>
    <cellStyle name="20% - Accent5 3 2 3 2 3" xfId="3489" xr:uid="{00000000-0005-0000-0000-000049070000}"/>
    <cellStyle name="20% - Accent5 3 2 3 2 3 2" xfId="21427" xr:uid="{805C679E-B6F6-44B1-977D-06F657C146A6}"/>
    <cellStyle name="20% - Accent5 3 2 3 2 3 2 2" xfId="36403" xr:uid="{526E8D07-A266-4C93-8F59-FA2F968B94B5}"/>
    <cellStyle name="20% - Accent5 3 2 3 2 3 3" xfId="28799" xr:uid="{D72DB858-80E3-42F8-B3BB-619C09EF189C}"/>
    <cellStyle name="20% - Accent5 3 2 3 2 4" xfId="21429" xr:uid="{D06E37B5-E878-4D27-A030-813B9EE83E00}"/>
    <cellStyle name="20% - Accent5 3 2 3 2 4 2" xfId="36405" xr:uid="{60491D76-37D1-4FE3-B831-369027365B7B}"/>
    <cellStyle name="20% - Accent5 3 2 3 2 5" xfId="28801" xr:uid="{A9A57E6A-FB27-46AB-A9D9-C7F44A76A8E1}"/>
    <cellStyle name="20% - Accent5 3 2 3 3" xfId="3488" xr:uid="{00000000-0005-0000-0000-00004A070000}"/>
    <cellStyle name="20% - Accent5 3 2 3 3 2" xfId="21426" xr:uid="{43B83D42-A92C-4C20-AAD0-2A1C3A4FAB4A}"/>
    <cellStyle name="20% - Accent5 3 2 3 3 2 2" xfId="36402" xr:uid="{F648AEFF-D0CB-4B6B-A7EF-A658D2C91C69}"/>
    <cellStyle name="20% - Accent5 3 2 3 3 3" xfId="28798" xr:uid="{090AB78E-6BB0-4E2F-BFC3-681E11FFEFF9}"/>
    <cellStyle name="20% - Accent5 3 2 3 4" xfId="3487" xr:uid="{00000000-0005-0000-0000-00004B070000}"/>
    <cellStyle name="20% - Accent5 3 2 3 4 2" xfId="21425" xr:uid="{2F6032F2-0708-480F-9505-E5E47116E978}"/>
    <cellStyle name="20% - Accent5 3 2 3 4 2 2" xfId="36401" xr:uid="{E6FA7E41-3D13-4F64-B6A3-4209807B8091}"/>
    <cellStyle name="20% - Accent5 3 2 3 4 3" xfId="28797" xr:uid="{CA246358-BACA-4447-BD5C-38AA2C4593B0}"/>
    <cellStyle name="20% - Accent5 3 2 3 5" xfId="21430" xr:uid="{BC83D152-FD17-4623-A47A-01E250CB1FD2}"/>
    <cellStyle name="20% - Accent5 3 2 3 5 2" xfId="36406" xr:uid="{3AC728B6-4082-4670-9BDB-BEB4E92ABDC9}"/>
    <cellStyle name="20% - Accent5 3 2 3 6" xfId="28802" xr:uid="{B6FA81F7-6D64-4A55-A037-981A27AA1360}"/>
    <cellStyle name="20% - Accent5 3 2 4" xfId="3486" xr:uid="{00000000-0005-0000-0000-00004C070000}"/>
    <cellStyle name="20% - Accent5 3 3" xfId="3485" xr:uid="{00000000-0005-0000-0000-00004D070000}"/>
    <cellStyle name="20% - Accent5 3 3 2" xfId="3484" xr:uid="{00000000-0005-0000-0000-00004E070000}"/>
    <cellStyle name="20% - Accent5 3 3 2 2" xfId="3483" xr:uid="{00000000-0005-0000-0000-00004F070000}"/>
    <cellStyle name="20% - Accent5 3 3 2 2 2" xfId="21422" xr:uid="{06822F3B-B7E0-43D9-8EAE-B33FB488C0F9}"/>
    <cellStyle name="20% - Accent5 3 3 2 2 2 2" xfId="36398" xr:uid="{8E95C226-9E4B-4846-B7FB-18A3CAE34EF0}"/>
    <cellStyle name="20% - Accent5 3 3 2 2 3" xfId="28794" xr:uid="{59D8DB95-EBA9-4CE0-895F-E78255EBEFB6}"/>
    <cellStyle name="20% - Accent5 3 3 2 3" xfId="3482" xr:uid="{00000000-0005-0000-0000-000050070000}"/>
    <cellStyle name="20% - Accent5 3 3 2 3 2" xfId="21421" xr:uid="{8BD02A45-8E9D-474F-AC77-F253C62F5706}"/>
    <cellStyle name="20% - Accent5 3 3 2 3 2 2" xfId="36397" xr:uid="{DDC6DA2F-99B7-4D64-94DE-1011328C65C8}"/>
    <cellStyle name="20% - Accent5 3 3 2 3 3" xfId="28793" xr:uid="{E5890664-0404-4E72-BA4F-9B3EA7957487}"/>
    <cellStyle name="20% - Accent5 3 3 2 4" xfId="21423" xr:uid="{80B5E1EC-0F37-48F6-9B65-87338DCBF5EF}"/>
    <cellStyle name="20% - Accent5 3 3 2 4 2" xfId="36399" xr:uid="{1C58C1EF-8995-4E41-B2AD-0083A153B520}"/>
    <cellStyle name="20% - Accent5 3 3 2 5" xfId="28795" xr:uid="{E3F42DCA-B1A8-4075-BA75-02FF37760693}"/>
    <cellStyle name="20% - Accent5 3 3 3" xfId="3481" xr:uid="{00000000-0005-0000-0000-000051070000}"/>
    <cellStyle name="20% - Accent5 3 3 3 2" xfId="21420" xr:uid="{83B9E957-3AE9-498E-A5DB-C5F76B09D8D9}"/>
    <cellStyle name="20% - Accent5 3 3 3 2 2" xfId="36396" xr:uid="{D5C794D6-5827-4F0E-AAA6-0386CF81A239}"/>
    <cellStyle name="20% - Accent5 3 3 3 3" xfId="28792" xr:uid="{2EC8919B-5A35-4A67-816A-69E11EC960BE}"/>
    <cellStyle name="20% - Accent5 3 3 4" xfId="3480" xr:uid="{00000000-0005-0000-0000-000052070000}"/>
    <cellStyle name="20% - Accent5 3 3 4 2" xfId="21419" xr:uid="{6EBE80F2-23AF-4497-9F48-0FAEC96406F1}"/>
    <cellStyle name="20% - Accent5 3 3 4 2 2" xfId="36395" xr:uid="{5A6CA35F-2028-4158-97E8-72D3F457E6E2}"/>
    <cellStyle name="20% - Accent5 3 3 4 3" xfId="28791" xr:uid="{F163E4DF-AD40-4B87-9F3A-6ACF4C5874AB}"/>
    <cellStyle name="20% - Accent5 3 3 5" xfId="21424" xr:uid="{E6AD7FDD-0F68-4F31-A73D-324CB801BC66}"/>
    <cellStyle name="20% - Accent5 3 3 5 2" xfId="36400" xr:uid="{78601ED9-F355-43F0-8F8C-A50A0B89EACF}"/>
    <cellStyle name="20% - Accent5 3 3 6" xfId="28796" xr:uid="{53F8951E-74A8-47BE-9DE8-5804B0F26D78}"/>
    <cellStyle name="20% - Accent5 3 4" xfId="3479" xr:uid="{00000000-0005-0000-0000-000053070000}"/>
    <cellStyle name="20% - Accent5 3 4 2" xfId="3478" xr:uid="{00000000-0005-0000-0000-000054070000}"/>
    <cellStyle name="20% - Accent5 3 4 2 2" xfId="3477" xr:uid="{00000000-0005-0000-0000-000055070000}"/>
    <cellStyle name="20% - Accent5 3 4 2 2 2" xfId="21416" xr:uid="{EB675EE5-EECB-4778-921F-465F802F2ACA}"/>
    <cellStyle name="20% - Accent5 3 4 2 2 2 2" xfId="36392" xr:uid="{2B3B0D61-C942-47E3-B43E-AF70C26E387B}"/>
    <cellStyle name="20% - Accent5 3 4 2 2 3" xfId="28788" xr:uid="{ABCB07F5-47AB-45A5-BB05-DB1006E77EB8}"/>
    <cellStyle name="20% - Accent5 3 4 2 3" xfId="3476" xr:uid="{00000000-0005-0000-0000-000056070000}"/>
    <cellStyle name="20% - Accent5 3 4 2 3 2" xfId="21415" xr:uid="{0EBBC7EC-F5AB-47C6-A24D-3F5187E936C9}"/>
    <cellStyle name="20% - Accent5 3 4 2 3 2 2" xfId="36391" xr:uid="{E0B2AA18-7367-4633-9ED8-BF100CEA473D}"/>
    <cellStyle name="20% - Accent5 3 4 2 3 3" xfId="28787" xr:uid="{FAF73BCC-7870-4648-88F4-B12581F4BFB9}"/>
    <cellStyle name="20% - Accent5 3 4 2 4" xfId="21417" xr:uid="{9B7A3E5F-D324-46E9-B4B4-B72757F3A2F4}"/>
    <cellStyle name="20% - Accent5 3 4 2 4 2" xfId="36393" xr:uid="{951501AF-E4E7-43CB-B12D-3901783DDC1A}"/>
    <cellStyle name="20% - Accent5 3 4 2 5" xfId="28789" xr:uid="{AA6E7A52-C180-4B84-B3B2-3F90D090D64D}"/>
    <cellStyle name="20% - Accent5 3 4 3" xfId="3475" xr:uid="{00000000-0005-0000-0000-000057070000}"/>
    <cellStyle name="20% - Accent5 3 4 3 2" xfId="21414" xr:uid="{D8F67DA4-67C7-4718-978F-2D96ABAF9DB6}"/>
    <cellStyle name="20% - Accent5 3 4 3 2 2" xfId="36390" xr:uid="{CD5DF5CD-6F86-403E-A973-40142AAA370F}"/>
    <cellStyle name="20% - Accent5 3 4 3 3" xfId="28786" xr:uid="{90FF2F2A-3DB5-4E71-BCE0-F9916AA59039}"/>
    <cellStyle name="20% - Accent5 3 4 4" xfId="3474" xr:uid="{00000000-0005-0000-0000-000058070000}"/>
    <cellStyle name="20% - Accent5 3 4 4 2" xfId="21413" xr:uid="{90AF2896-B935-4814-AF80-DF2C2F8353D5}"/>
    <cellStyle name="20% - Accent5 3 4 4 2 2" xfId="36389" xr:uid="{5CA5F6BF-B8EE-40F5-99A7-2FBC514F7140}"/>
    <cellStyle name="20% - Accent5 3 4 4 3" xfId="28785" xr:uid="{BB96D497-50ED-4D8B-9561-128AB4F678E5}"/>
    <cellStyle name="20% - Accent5 3 4 5" xfId="21418" xr:uid="{9CA62BC2-BFCD-4D47-9F7E-D17EAB41A795}"/>
    <cellStyle name="20% - Accent5 3 4 5 2" xfId="36394" xr:uid="{8BDF15AD-8538-403C-A2E9-A59756363AD5}"/>
    <cellStyle name="20% - Accent5 3 4 6" xfId="28790" xr:uid="{D24AE0BC-EC93-40E0-A963-F0A14A803053}"/>
    <cellStyle name="20% - Accent5 3 5" xfId="3473" xr:uid="{00000000-0005-0000-0000-000059070000}"/>
    <cellStyle name="20% - Accent5 3 5 2" xfId="3472" xr:uid="{00000000-0005-0000-0000-00005A070000}"/>
    <cellStyle name="20% - Accent5 3 5 2 2" xfId="3471" xr:uid="{00000000-0005-0000-0000-00005B070000}"/>
    <cellStyle name="20% - Accent5 3 5 2 2 2" xfId="21410" xr:uid="{CB3E1B73-F84B-4F5D-990C-94F3C6E608DF}"/>
    <cellStyle name="20% - Accent5 3 5 2 2 2 2" xfId="36386" xr:uid="{A545844B-E9D1-461B-9E94-E67C0ED0BD48}"/>
    <cellStyle name="20% - Accent5 3 5 2 2 3" xfId="28782" xr:uid="{B393C005-D42D-4A4E-A6BC-4338C4B24970}"/>
    <cellStyle name="20% - Accent5 3 5 2 3" xfId="3470" xr:uid="{00000000-0005-0000-0000-00005C070000}"/>
    <cellStyle name="20% - Accent5 3 5 2 3 2" xfId="21409" xr:uid="{9BE069AA-2B25-4ECE-AFE0-4C0B860B58CD}"/>
    <cellStyle name="20% - Accent5 3 5 2 3 2 2" xfId="36385" xr:uid="{6FECC9F3-1137-4858-AB4F-C8E4BA9EA4E6}"/>
    <cellStyle name="20% - Accent5 3 5 2 3 3" xfId="28781" xr:uid="{DF5B1F88-C51F-47C4-9FA6-151C7EE891CB}"/>
    <cellStyle name="20% - Accent5 3 5 2 4" xfId="21411" xr:uid="{4217CE73-DD8A-4216-967A-828F4BE0FBEA}"/>
    <cellStyle name="20% - Accent5 3 5 2 4 2" xfId="36387" xr:uid="{BC8BE0A8-3440-4EA0-B3BC-973724836B67}"/>
    <cellStyle name="20% - Accent5 3 5 2 5" xfId="28783" xr:uid="{46A0FE7B-F1A1-42A3-81D2-466D460C8897}"/>
    <cellStyle name="20% - Accent5 3 5 3" xfId="3469" xr:uid="{00000000-0005-0000-0000-00005D070000}"/>
    <cellStyle name="20% - Accent5 3 5 3 2" xfId="21408" xr:uid="{FC76C039-0230-44C8-869B-52F225AF70D2}"/>
    <cellStyle name="20% - Accent5 3 5 3 2 2" xfId="36384" xr:uid="{C183A369-C13F-439A-A6A4-6740B4EE0136}"/>
    <cellStyle name="20% - Accent5 3 5 3 3" xfId="28780" xr:uid="{C471734B-7615-442A-AA0C-944A5294E7C8}"/>
    <cellStyle name="20% - Accent5 3 5 4" xfId="3468" xr:uid="{00000000-0005-0000-0000-00005E070000}"/>
    <cellStyle name="20% - Accent5 3 5 4 2" xfId="21407" xr:uid="{BD21A2A0-79DB-439F-8A76-BEDCAA3CFB88}"/>
    <cellStyle name="20% - Accent5 3 5 4 2 2" xfId="36383" xr:uid="{2A76F8AB-4DD8-46CF-B29A-DC0A4D870E4B}"/>
    <cellStyle name="20% - Accent5 3 5 4 3" xfId="28779" xr:uid="{49EFE0B2-C2BD-4335-A711-381A1E826373}"/>
    <cellStyle name="20% - Accent5 3 5 5" xfId="21412" xr:uid="{D04EAB7A-5F37-4232-87FE-A04C1B79FBEA}"/>
    <cellStyle name="20% - Accent5 3 5 5 2" xfId="36388" xr:uid="{16039F2B-318E-49FC-B7A7-C87368936E8D}"/>
    <cellStyle name="20% - Accent5 3 5 6" xfId="28784" xr:uid="{553B5800-BD3A-424E-91E0-C8BA82CBFBD6}"/>
    <cellStyle name="20% - Accent5 3 6" xfId="3467" xr:uid="{00000000-0005-0000-0000-00005F070000}"/>
    <cellStyle name="20% - Accent5 3 6 2" xfId="3466" xr:uid="{00000000-0005-0000-0000-000060070000}"/>
    <cellStyle name="20% - Accent5 3 6 2 2" xfId="21405" xr:uid="{DEE18898-7D9F-4F7D-AD5A-DE7F3991E99A}"/>
    <cellStyle name="20% - Accent5 3 6 2 2 2" xfId="36381" xr:uid="{7BEBCB9B-ABBB-4AA2-9B82-048CA129D24E}"/>
    <cellStyle name="20% - Accent5 3 6 2 3" xfId="28777" xr:uid="{1E4FF404-E5F9-482B-9F4E-76C4AA4C109C}"/>
    <cellStyle name="20% - Accent5 3 6 3" xfId="3465" xr:uid="{00000000-0005-0000-0000-000061070000}"/>
    <cellStyle name="20% - Accent5 3 6 3 2" xfId="21404" xr:uid="{C792F843-7481-4362-B4BF-EF8DA3E67EF1}"/>
    <cellStyle name="20% - Accent5 3 6 3 2 2" xfId="36380" xr:uid="{E11738E7-294F-4B98-B169-9EF2AB9ECF5A}"/>
    <cellStyle name="20% - Accent5 3 6 3 3" xfId="28776" xr:uid="{E701F078-72AD-452E-A6E8-570F78AEE454}"/>
    <cellStyle name="20% - Accent5 3 6 4" xfId="21406" xr:uid="{339A15E3-A042-4CEA-9DAE-54775E0EEB08}"/>
    <cellStyle name="20% - Accent5 3 6 4 2" xfId="36382" xr:uid="{3EC2A384-A676-4741-BC9F-30935235EC23}"/>
    <cellStyle name="20% - Accent5 3 6 5" xfId="28778" xr:uid="{FB169296-3944-4C9A-975B-EA6CE1F467D1}"/>
    <cellStyle name="20% - Accent5 3 7" xfId="3464" xr:uid="{00000000-0005-0000-0000-000062070000}"/>
    <cellStyle name="20% - Accent5 3 7 2" xfId="21403" xr:uid="{0C796D7B-F3E5-4F7A-AADD-67D1AF45FEE0}"/>
    <cellStyle name="20% - Accent5 3 7 2 2" xfId="36379" xr:uid="{F3AC59BB-4A62-43D5-B82B-7E0E921348DD}"/>
    <cellStyle name="20% - Accent5 3 7 3" xfId="28775" xr:uid="{2B82717F-36A6-4BE9-AC67-BC8F62380B1C}"/>
    <cellStyle name="20% - Accent5 3 8" xfId="3463" xr:uid="{00000000-0005-0000-0000-000063070000}"/>
    <cellStyle name="20% - Accent5 3 8 2" xfId="21402" xr:uid="{BF473B1F-84D6-4987-AFAD-710E11BB170D}"/>
    <cellStyle name="20% - Accent5 3 8 2 2" xfId="36378" xr:uid="{E15D6BA6-9BA0-4BF9-BEF3-15E29DCC8BBE}"/>
    <cellStyle name="20% - Accent5 3 8 3" xfId="28774" xr:uid="{90DAFDB6-03D7-4BF0-BBEA-1B6D79E6EBF9}"/>
    <cellStyle name="20% - Accent5 3 9" xfId="3506" xr:uid="{00000000-0005-0000-0000-000038070000}"/>
    <cellStyle name="20% - Accent5 3 9 2" xfId="21443" xr:uid="{10098C96-818E-4CB9-9320-0A4B97D5A9F2}"/>
    <cellStyle name="20% - Accent5 3 9 2 2" xfId="36419" xr:uid="{84435993-972B-40C1-A7CC-6F90CBDA3A34}"/>
    <cellStyle name="20% - Accent5 3 9 3" xfId="28815" xr:uid="{568884B7-E0A0-488A-B0FA-B9B627A2003B}"/>
    <cellStyle name="20% - Accent5 4" xfId="210" xr:uid="{00000000-0005-0000-0000-000031000000}"/>
    <cellStyle name="20% - Accent5 4 2" xfId="3461" xr:uid="{00000000-0005-0000-0000-000065070000}"/>
    <cellStyle name="20% - Accent5 4 2 2" xfId="3460" xr:uid="{00000000-0005-0000-0000-000066070000}"/>
    <cellStyle name="20% - Accent5 4 2 2 2" xfId="3459" xr:uid="{00000000-0005-0000-0000-000067070000}"/>
    <cellStyle name="20% - Accent5 4 2 2 2 2" xfId="3458" xr:uid="{00000000-0005-0000-0000-000068070000}"/>
    <cellStyle name="20% - Accent5 4 2 2 2 2 2" xfId="3457" xr:uid="{00000000-0005-0000-0000-000069070000}"/>
    <cellStyle name="20% - Accent5 4 2 2 2 2 2 2" xfId="21397" xr:uid="{9F11DB4E-6B7F-4D5E-986C-365AFA52E883}"/>
    <cellStyle name="20% - Accent5 4 2 2 2 2 2 2 2" xfId="36373" xr:uid="{796EDF75-DE70-4FA5-B6C1-76C827FF4C0C}"/>
    <cellStyle name="20% - Accent5 4 2 2 2 2 2 3" xfId="28769" xr:uid="{CA20D1F5-822B-4341-9F2F-5D973F87BC5B}"/>
    <cellStyle name="20% - Accent5 4 2 2 2 2 3" xfId="3456" xr:uid="{00000000-0005-0000-0000-00006A070000}"/>
    <cellStyle name="20% - Accent5 4 2 2 2 2 3 2" xfId="21396" xr:uid="{ED06C8CE-3B00-4A9F-8FFA-8517D7EDD082}"/>
    <cellStyle name="20% - Accent5 4 2 2 2 2 3 2 2" xfId="36372" xr:uid="{184194B7-0CE1-4F8D-932E-E702696F4FA3}"/>
    <cellStyle name="20% - Accent5 4 2 2 2 2 3 3" xfId="28768" xr:uid="{1B70B9EA-A61F-43D8-A179-47A6D41B04CD}"/>
    <cellStyle name="20% - Accent5 4 2 2 2 2 4" xfId="21398" xr:uid="{47A0023A-9E7B-4628-AD0B-98CB3C5E306B}"/>
    <cellStyle name="20% - Accent5 4 2 2 2 2 4 2" xfId="36374" xr:uid="{3C9866C7-440D-4049-A2B3-67992BDD7276}"/>
    <cellStyle name="20% - Accent5 4 2 2 2 2 5" xfId="28770" xr:uid="{F1FAF3CF-CB0B-45EE-A93C-5969D26288F3}"/>
    <cellStyle name="20% - Accent5 4 2 2 2 3" xfId="3455" xr:uid="{00000000-0005-0000-0000-00006B070000}"/>
    <cellStyle name="20% - Accent5 4 2 2 2 3 2" xfId="21395" xr:uid="{61EDCA00-496C-431B-A48C-61591647CEE9}"/>
    <cellStyle name="20% - Accent5 4 2 2 2 3 2 2" xfId="36371" xr:uid="{3185A3E6-E575-498A-BAB1-ED8DF7B831FA}"/>
    <cellStyle name="20% - Accent5 4 2 2 2 3 3" xfId="28767" xr:uid="{526100AC-C475-4B8C-9D83-EEC4401532D4}"/>
    <cellStyle name="20% - Accent5 4 2 2 2 4" xfId="3454" xr:uid="{00000000-0005-0000-0000-00006C070000}"/>
    <cellStyle name="20% - Accent5 4 2 2 2 4 2" xfId="21394" xr:uid="{8C96FBB8-88FF-4DCD-A28E-C09DE4C819D5}"/>
    <cellStyle name="20% - Accent5 4 2 2 2 4 2 2" xfId="36370" xr:uid="{E4DB0548-52E3-4046-AAA8-EB3C0BA8A80C}"/>
    <cellStyle name="20% - Accent5 4 2 2 2 4 3" xfId="28766" xr:uid="{D1771D59-5867-4D16-B556-41E3A74137ED}"/>
    <cellStyle name="20% - Accent5 4 2 2 2 5" xfId="21399" xr:uid="{1BB0E70E-C07F-426C-B6FB-7FB94EFEB51B}"/>
    <cellStyle name="20% - Accent5 4 2 2 2 5 2" xfId="36375" xr:uid="{2ADD8A94-B59C-4055-A6F7-5D9407D977EC}"/>
    <cellStyle name="20% - Accent5 4 2 2 2 6" xfId="28771" xr:uid="{FADA3C91-3BDC-4DED-9749-BE76D4D36788}"/>
    <cellStyle name="20% - Accent5 4 2 2 3" xfId="3453" xr:uid="{00000000-0005-0000-0000-00006D070000}"/>
    <cellStyle name="20% - Accent5 4 2 2 3 2" xfId="3452" xr:uid="{00000000-0005-0000-0000-00006E070000}"/>
    <cellStyle name="20% - Accent5 4 2 2 3 2 2" xfId="21392" xr:uid="{807FB188-884C-480C-9015-AF068003C21B}"/>
    <cellStyle name="20% - Accent5 4 2 2 3 2 2 2" xfId="36368" xr:uid="{876293A6-2156-48FB-BDEA-2B897020BBF2}"/>
    <cellStyle name="20% - Accent5 4 2 2 3 2 3" xfId="28764" xr:uid="{1559A09F-DB5A-4CE1-8A80-7FCB7B96C262}"/>
    <cellStyle name="20% - Accent5 4 2 2 3 3" xfId="3451" xr:uid="{00000000-0005-0000-0000-00006F070000}"/>
    <cellStyle name="20% - Accent5 4 2 2 3 3 2" xfId="21391" xr:uid="{87788E66-513B-4652-86BE-5F33685CA051}"/>
    <cellStyle name="20% - Accent5 4 2 2 3 3 2 2" xfId="36367" xr:uid="{78AEC68C-186F-4659-B6B4-CC5A794B2D43}"/>
    <cellStyle name="20% - Accent5 4 2 2 3 3 3" xfId="28763" xr:uid="{1ACCD97C-F9A7-45BD-9E4B-00D00AB06445}"/>
    <cellStyle name="20% - Accent5 4 2 2 3 4" xfId="21393" xr:uid="{20F3B51F-F04C-41FE-8AE9-CFF8A07690D9}"/>
    <cellStyle name="20% - Accent5 4 2 2 3 4 2" xfId="36369" xr:uid="{8228A46D-187F-4D56-80B7-AF019FFC03C9}"/>
    <cellStyle name="20% - Accent5 4 2 2 3 5" xfId="28765" xr:uid="{D22F30D6-4E32-4FC8-96EC-15ACEA8BCB96}"/>
    <cellStyle name="20% - Accent5 4 2 2 4" xfId="3450" xr:uid="{00000000-0005-0000-0000-000070070000}"/>
    <cellStyle name="20% - Accent5 4 2 2 4 2" xfId="21390" xr:uid="{A5E39536-2BEA-4D2C-9E9E-1C33EEA068D7}"/>
    <cellStyle name="20% - Accent5 4 2 2 4 2 2" xfId="36366" xr:uid="{B44521F2-B522-4453-A4A6-496E18B3DA17}"/>
    <cellStyle name="20% - Accent5 4 2 2 4 3" xfId="28762" xr:uid="{A95DFAAB-8023-481C-9136-E7D676542E4F}"/>
    <cellStyle name="20% - Accent5 4 2 2 5" xfId="3449" xr:uid="{00000000-0005-0000-0000-000071070000}"/>
    <cellStyle name="20% - Accent5 4 2 2 5 2" xfId="21389" xr:uid="{26A2155D-DA30-4E96-A659-057A601AAD4D}"/>
    <cellStyle name="20% - Accent5 4 2 2 5 2 2" xfId="36365" xr:uid="{0C923321-C7E5-4130-B821-95732F15519E}"/>
    <cellStyle name="20% - Accent5 4 2 2 5 3" xfId="28761" xr:uid="{678CBE7F-173D-40FC-829A-F925DD295C09}"/>
    <cellStyle name="20% - Accent5 4 2 2 6" xfId="21400" xr:uid="{B38DABC7-D515-459E-8A72-76A32A402BAA}"/>
    <cellStyle name="20% - Accent5 4 2 2 6 2" xfId="36376" xr:uid="{3B89DC7F-B237-4F6B-ACD3-D4CE7E96FFF2}"/>
    <cellStyle name="20% - Accent5 4 2 2 7" xfId="28772" xr:uid="{86036F6A-BD0E-444C-BA71-8DC69BE7C28B}"/>
    <cellStyle name="20% - Accent5 4 2 3" xfId="3448" xr:uid="{00000000-0005-0000-0000-000072070000}"/>
    <cellStyle name="20% - Accent5 4 2 3 2" xfId="3447" xr:uid="{00000000-0005-0000-0000-000073070000}"/>
    <cellStyle name="20% - Accent5 4 2 3 2 2" xfId="3446" xr:uid="{00000000-0005-0000-0000-000074070000}"/>
    <cellStyle name="20% - Accent5 4 2 3 2 2 2" xfId="21386" xr:uid="{F1A2A790-170C-426A-B212-72CD4E8BCF20}"/>
    <cellStyle name="20% - Accent5 4 2 3 2 2 2 2" xfId="36362" xr:uid="{05D57EC0-C665-46D0-8395-0C631E17771E}"/>
    <cellStyle name="20% - Accent5 4 2 3 2 2 3" xfId="28758" xr:uid="{A25F6B66-A6EA-40B3-BDAB-C8CEB9142C4D}"/>
    <cellStyle name="20% - Accent5 4 2 3 2 3" xfId="3445" xr:uid="{00000000-0005-0000-0000-000075070000}"/>
    <cellStyle name="20% - Accent5 4 2 3 2 3 2" xfId="21385" xr:uid="{D5ACE4D2-E16E-4A19-B842-D9C7F396CD70}"/>
    <cellStyle name="20% - Accent5 4 2 3 2 3 2 2" xfId="36361" xr:uid="{F73E3D5D-CCFB-4B0C-A2AD-BCA1E7157B36}"/>
    <cellStyle name="20% - Accent5 4 2 3 2 3 3" xfId="28757" xr:uid="{A537A3EA-DB30-4E20-BC57-894F7BF0F010}"/>
    <cellStyle name="20% - Accent5 4 2 3 2 4" xfId="21387" xr:uid="{3D2F222D-B75A-4964-A6C8-B84E37639B4B}"/>
    <cellStyle name="20% - Accent5 4 2 3 2 4 2" xfId="36363" xr:uid="{E31B219A-0871-452F-BB7D-00E3CCCB5600}"/>
    <cellStyle name="20% - Accent5 4 2 3 2 5" xfId="28759" xr:uid="{15891D40-7F86-4831-9C11-01091B756A3C}"/>
    <cellStyle name="20% - Accent5 4 2 3 3" xfId="3444" xr:uid="{00000000-0005-0000-0000-000076070000}"/>
    <cellStyle name="20% - Accent5 4 2 3 3 2" xfId="21384" xr:uid="{B0F76614-6E32-4916-BE6E-97BF2C488843}"/>
    <cellStyle name="20% - Accent5 4 2 3 3 2 2" xfId="36360" xr:uid="{36E2995F-4AA4-4CCB-BB44-A6BE62E15B09}"/>
    <cellStyle name="20% - Accent5 4 2 3 3 3" xfId="28756" xr:uid="{C47799D7-84BA-47ED-AFDE-361357F1A05E}"/>
    <cellStyle name="20% - Accent5 4 2 3 4" xfId="3443" xr:uid="{00000000-0005-0000-0000-000077070000}"/>
    <cellStyle name="20% - Accent5 4 2 3 4 2" xfId="21383" xr:uid="{D5E2C099-2541-4B92-8958-F953D2E33D2B}"/>
    <cellStyle name="20% - Accent5 4 2 3 4 2 2" xfId="36359" xr:uid="{03386ECC-A24D-4439-BA05-4FE9958AD533}"/>
    <cellStyle name="20% - Accent5 4 2 3 4 3" xfId="28755" xr:uid="{48BAA99C-320E-40E2-8A6A-7842740A9AE3}"/>
    <cellStyle name="20% - Accent5 4 2 3 5" xfId="21388" xr:uid="{AFEC7FF9-EAC9-4644-9C85-882FE0CD4983}"/>
    <cellStyle name="20% - Accent5 4 2 3 5 2" xfId="36364" xr:uid="{0C3ECEEE-0674-41EB-8DD8-76A5A29BE68A}"/>
    <cellStyle name="20% - Accent5 4 2 3 6" xfId="28760" xr:uid="{FA08E4AA-0B5B-4E57-B5D3-C0553529E2A5}"/>
    <cellStyle name="20% - Accent5 4 2 4" xfId="3442" xr:uid="{00000000-0005-0000-0000-000078070000}"/>
    <cellStyle name="20% - Accent5 4 3" xfId="3441" xr:uid="{00000000-0005-0000-0000-000079070000}"/>
    <cellStyle name="20% - Accent5 4 3 2" xfId="3440" xr:uid="{00000000-0005-0000-0000-00007A070000}"/>
    <cellStyle name="20% - Accent5 4 3 2 2" xfId="3439" xr:uid="{00000000-0005-0000-0000-00007B070000}"/>
    <cellStyle name="20% - Accent5 4 3 2 2 2" xfId="21380" xr:uid="{F2787F7F-5FA3-4BBD-AA96-C2A31A45A63D}"/>
    <cellStyle name="20% - Accent5 4 3 2 2 2 2" xfId="36356" xr:uid="{75BBF2F7-F39A-4263-BD4D-5A7D84F32CF3}"/>
    <cellStyle name="20% - Accent5 4 3 2 2 3" xfId="28752" xr:uid="{D9AEF22E-872C-429D-8B72-2E473FB7F3BE}"/>
    <cellStyle name="20% - Accent5 4 3 2 3" xfId="3438" xr:uid="{00000000-0005-0000-0000-00007C070000}"/>
    <cellStyle name="20% - Accent5 4 3 2 3 2" xfId="21379" xr:uid="{CFF158F9-6693-48C4-A7FF-C75585C82FFF}"/>
    <cellStyle name="20% - Accent5 4 3 2 3 2 2" xfId="36355" xr:uid="{41871F03-F24E-40B7-9F1F-22FA572DE687}"/>
    <cellStyle name="20% - Accent5 4 3 2 3 3" xfId="28751" xr:uid="{961A6C5E-BE2A-44B3-B7AC-04CD0A1EE3EE}"/>
    <cellStyle name="20% - Accent5 4 3 2 4" xfId="21381" xr:uid="{08BA9230-3206-4DD4-9F5E-DA162E5EB594}"/>
    <cellStyle name="20% - Accent5 4 3 2 4 2" xfId="36357" xr:uid="{AC4FC01D-9B65-47F4-8DAC-15A99B979678}"/>
    <cellStyle name="20% - Accent5 4 3 2 5" xfId="28753" xr:uid="{8054501D-3814-49B0-953C-7D3D011F0352}"/>
    <cellStyle name="20% - Accent5 4 3 3" xfId="3437" xr:uid="{00000000-0005-0000-0000-00007D070000}"/>
    <cellStyle name="20% - Accent5 4 3 3 2" xfId="21378" xr:uid="{99A5F3F5-8DD7-4DCD-8B82-4E7972460CA8}"/>
    <cellStyle name="20% - Accent5 4 3 3 2 2" xfId="36354" xr:uid="{98188E0D-5E4A-4FDC-9214-EA4DCCA67331}"/>
    <cellStyle name="20% - Accent5 4 3 3 3" xfId="28750" xr:uid="{3D363CB1-FEA3-4BA8-96DC-57C884943687}"/>
    <cellStyle name="20% - Accent5 4 3 4" xfId="3436" xr:uid="{00000000-0005-0000-0000-00007E070000}"/>
    <cellStyle name="20% - Accent5 4 3 4 2" xfId="21377" xr:uid="{EB34759A-E0A1-48EB-9F49-5BC1F630EE7D}"/>
    <cellStyle name="20% - Accent5 4 3 4 2 2" xfId="36353" xr:uid="{E7E5A807-C345-4122-8710-91D1ED14D81B}"/>
    <cellStyle name="20% - Accent5 4 3 4 3" xfId="28749" xr:uid="{2B9C04B0-91C7-4AA0-9D79-24B0EC870BE8}"/>
    <cellStyle name="20% - Accent5 4 3 5" xfId="21382" xr:uid="{588FE71E-4AE1-4DF8-B37F-B621CA41A79C}"/>
    <cellStyle name="20% - Accent5 4 3 5 2" xfId="36358" xr:uid="{653FDF52-01DF-414C-9892-4112A5164606}"/>
    <cellStyle name="20% - Accent5 4 3 6" xfId="28754" xr:uid="{478AC3EB-6AEF-4D5E-8EC4-27FB879E6EED}"/>
    <cellStyle name="20% - Accent5 4 4" xfId="3435" xr:uid="{00000000-0005-0000-0000-00007F070000}"/>
    <cellStyle name="20% - Accent5 4 4 2" xfId="3434" xr:uid="{00000000-0005-0000-0000-000080070000}"/>
    <cellStyle name="20% - Accent5 4 4 2 2" xfId="3433" xr:uid="{00000000-0005-0000-0000-000081070000}"/>
    <cellStyle name="20% - Accent5 4 4 2 2 2" xfId="21374" xr:uid="{1CC50294-5A5A-4D58-AA7C-4006F3E9D051}"/>
    <cellStyle name="20% - Accent5 4 4 2 2 2 2" xfId="36350" xr:uid="{728297B2-6FE2-4579-A5E1-B675D8500FE0}"/>
    <cellStyle name="20% - Accent5 4 4 2 2 3" xfId="28746" xr:uid="{93476E75-D7BA-4400-AC66-D0592754665E}"/>
    <cellStyle name="20% - Accent5 4 4 2 3" xfId="3432" xr:uid="{00000000-0005-0000-0000-000082070000}"/>
    <cellStyle name="20% - Accent5 4 4 2 3 2" xfId="21373" xr:uid="{7440EF67-A86E-433D-894C-14A5A95ADB63}"/>
    <cellStyle name="20% - Accent5 4 4 2 3 2 2" xfId="36349" xr:uid="{93B9BA94-5120-4FD2-AD23-7398E79820E2}"/>
    <cellStyle name="20% - Accent5 4 4 2 3 3" xfId="28745" xr:uid="{3E9F09E3-B91D-4121-AB85-3017A9A2A92A}"/>
    <cellStyle name="20% - Accent5 4 4 2 4" xfId="21375" xr:uid="{45B1F7D5-F519-401A-9B76-F8B521003288}"/>
    <cellStyle name="20% - Accent5 4 4 2 4 2" xfId="36351" xr:uid="{57632646-6525-4712-88B5-4EF034C8ED5F}"/>
    <cellStyle name="20% - Accent5 4 4 2 5" xfId="28747" xr:uid="{DE0A47E5-4A6E-4B70-9604-718DAF3853FC}"/>
    <cellStyle name="20% - Accent5 4 4 3" xfId="3431" xr:uid="{00000000-0005-0000-0000-000083070000}"/>
    <cellStyle name="20% - Accent5 4 4 3 2" xfId="21372" xr:uid="{28AC6A02-1FD2-47F6-BC09-FB2ADEF090D5}"/>
    <cellStyle name="20% - Accent5 4 4 3 2 2" xfId="36348" xr:uid="{8871E707-C53D-4FF1-8F0E-FD139B8C796C}"/>
    <cellStyle name="20% - Accent5 4 4 3 3" xfId="28744" xr:uid="{CE39E0EA-D9EA-4A17-A796-21AD221AD035}"/>
    <cellStyle name="20% - Accent5 4 4 4" xfId="3430" xr:uid="{00000000-0005-0000-0000-000084070000}"/>
    <cellStyle name="20% - Accent5 4 4 4 2" xfId="21371" xr:uid="{D27E686D-F01B-43C8-84B6-74037396A41B}"/>
    <cellStyle name="20% - Accent5 4 4 4 2 2" xfId="36347" xr:uid="{E2C4EE30-284D-4039-8883-1DD961AD9D05}"/>
    <cellStyle name="20% - Accent5 4 4 4 3" xfId="28743" xr:uid="{297DB713-FE54-4FB0-B663-516C96065D96}"/>
    <cellStyle name="20% - Accent5 4 4 5" xfId="21376" xr:uid="{8C135A77-B34F-4866-9B35-B4AFA16BA813}"/>
    <cellStyle name="20% - Accent5 4 4 5 2" xfId="36352" xr:uid="{F5A41DE3-D3E3-4867-B6A9-E182E0618030}"/>
    <cellStyle name="20% - Accent5 4 4 6" xfId="28748" xr:uid="{E078E5B7-5490-4A1B-B4B5-75DE99BA6923}"/>
    <cellStyle name="20% - Accent5 4 5" xfId="3429" xr:uid="{00000000-0005-0000-0000-000085070000}"/>
    <cellStyle name="20% - Accent5 4 5 2" xfId="3428" xr:uid="{00000000-0005-0000-0000-000086070000}"/>
    <cellStyle name="20% - Accent5 4 5 2 2" xfId="5515" xr:uid="{00000000-0005-0000-0000-000087070000}"/>
    <cellStyle name="20% - Accent5 4 5 2 2 2" xfId="23191" xr:uid="{E49398A8-2764-4E03-ABD0-76C670501D78}"/>
    <cellStyle name="20% - Accent5 4 5 2 2 2 2" xfId="38162" xr:uid="{EB48D853-7F74-4DF3-9126-5E06BC46C251}"/>
    <cellStyle name="20% - Accent5 4 5 2 2 3" xfId="30559" xr:uid="{4DD389B9-B2B2-45A3-B5A7-8A45A4A378E7}"/>
    <cellStyle name="20% - Accent5 4 5 2 3" xfId="3427" xr:uid="{00000000-0005-0000-0000-000088070000}"/>
    <cellStyle name="20% - Accent5 4 5 2 3 2" xfId="21368" xr:uid="{006990F8-32B2-4DC2-919C-0C294E37A3C7}"/>
    <cellStyle name="20% - Accent5 4 5 2 3 2 2" xfId="36344" xr:uid="{866E93B4-3374-4EBF-B47A-9680816307FB}"/>
    <cellStyle name="20% - Accent5 4 5 2 3 3" xfId="28740" xr:uid="{441184CB-9BAC-4ACB-848E-91969DC46BF2}"/>
    <cellStyle name="20% - Accent5 4 5 2 4" xfId="21369" xr:uid="{E36BF269-106A-459F-BFF5-64E0A8C1DA51}"/>
    <cellStyle name="20% - Accent5 4 5 2 4 2" xfId="36345" xr:uid="{786C0D8D-B59D-46A7-8109-939C33210875}"/>
    <cellStyle name="20% - Accent5 4 5 2 5" xfId="28741" xr:uid="{01005E3A-D112-4378-BE68-AA26959224BA}"/>
    <cellStyle name="20% - Accent5 4 5 3" xfId="3426" xr:uid="{00000000-0005-0000-0000-000089070000}"/>
    <cellStyle name="20% - Accent5 4 5 3 2" xfId="21367" xr:uid="{D4B9CD43-9688-4F7A-82D7-E0A366AD4ECA}"/>
    <cellStyle name="20% - Accent5 4 5 3 2 2" xfId="36343" xr:uid="{3F87AB46-D854-4C1C-BC48-E39EC330FFEC}"/>
    <cellStyle name="20% - Accent5 4 5 3 3" xfId="28739" xr:uid="{6B62FDD5-01CC-43AD-B0F1-FB8DDB8570BE}"/>
    <cellStyle name="20% - Accent5 4 5 4" xfId="3425" xr:uid="{00000000-0005-0000-0000-00008A070000}"/>
    <cellStyle name="20% - Accent5 4 5 4 2" xfId="21366" xr:uid="{4E090E48-1CCA-44A5-89E6-4F22765962C7}"/>
    <cellStyle name="20% - Accent5 4 5 4 2 2" xfId="36342" xr:uid="{1B296F85-4B10-482D-A945-B9A7113C48DD}"/>
    <cellStyle name="20% - Accent5 4 5 4 3" xfId="28738" xr:uid="{DFCB974E-6D2C-4B0B-A842-121B13C432A5}"/>
    <cellStyle name="20% - Accent5 4 5 5" xfId="21370" xr:uid="{F2988B08-3285-45DC-AA77-1824A642B08F}"/>
    <cellStyle name="20% - Accent5 4 5 5 2" xfId="36346" xr:uid="{AEC39725-86EB-44E3-98DC-0C3A0B118965}"/>
    <cellStyle name="20% - Accent5 4 5 6" xfId="28742" xr:uid="{D0F1DE47-2EA2-4ECE-98C8-2FE31A832AA7}"/>
    <cellStyle name="20% - Accent5 4 6" xfId="3424" xr:uid="{00000000-0005-0000-0000-00008B070000}"/>
    <cellStyle name="20% - Accent5 4 6 2" xfId="3423" xr:uid="{00000000-0005-0000-0000-00008C070000}"/>
    <cellStyle name="20% - Accent5 4 6 2 2" xfId="21364" xr:uid="{E2A84813-14E2-4C90-9F87-93B32A4365B4}"/>
    <cellStyle name="20% - Accent5 4 6 2 2 2" xfId="36340" xr:uid="{2654D991-3B9A-4E74-BC0F-DE0363257970}"/>
    <cellStyle name="20% - Accent5 4 6 2 3" xfId="28736" xr:uid="{7EFDB6CA-89EE-46A5-B9EF-05148FD81084}"/>
    <cellStyle name="20% - Accent5 4 6 3" xfId="3422" xr:uid="{00000000-0005-0000-0000-00008D070000}"/>
    <cellStyle name="20% - Accent5 4 6 3 2" xfId="21363" xr:uid="{01DE27AE-AD2C-4310-9309-73EBA41B1AD4}"/>
    <cellStyle name="20% - Accent5 4 6 3 2 2" xfId="36339" xr:uid="{61358B00-FC24-4CDD-942C-AD99B9A0E864}"/>
    <cellStyle name="20% - Accent5 4 6 3 3" xfId="28735" xr:uid="{A6E5668F-E81B-49F5-A00C-133B74581EC9}"/>
    <cellStyle name="20% - Accent5 4 6 4" xfId="21365" xr:uid="{5AEBD629-C29A-434F-BC84-78BEB2BC950D}"/>
    <cellStyle name="20% - Accent5 4 6 4 2" xfId="36341" xr:uid="{40B8FDCF-DB20-4FF3-84D6-9EDEA1B3F17F}"/>
    <cellStyle name="20% - Accent5 4 6 5" xfId="28737" xr:uid="{17E1C38B-EA09-4380-A009-B177AB20D17F}"/>
    <cellStyle name="20% - Accent5 4 7" xfId="3421" xr:uid="{00000000-0005-0000-0000-00008E070000}"/>
    <cellStyle name="20% - Accent5 4 7 2" xfId="21362" xr:uid="{B9F7C3EA-BA65-4876-8CA3-00ACCBF33E83}"/>
    <cellStyle name="20% - Accent5 4 7 2 2" xfId="36338" xr:uid="{199F43FA-EB75-476D-9B4C-672CF8A94F0D}"/>
    <cellStyle name="20% - Accent5 4 7 3" xfId="28734" xr:uid="{F61C0C48-EBA7-42D6-84B0-BA7CC629E43A}"/>
    <cellStyle name="20% - Accent5 4 8" xfId="3420" xr:uid="{00000000-0005-0000-0000-00008F070000}"/>
    <cellStyle name="20% - Accent5 4 8 2" xfId="21361" xr:uid="{EEBA5FC1-AEFE-4625-ABB4-BB75709708DF}"/>
    <cellStyle name="20% - Accent5 4 8 2 2" xfId="36337" xr:uid="{7AD8ED89-A5F9-423D-9C3B-E6D2D509A7C8}"/>
    <cellStyle name="20% - Accent5 4 8 3" xfId="28733" xr:uid="{D78790BF-04F0-4C71-8313-C925FDADB26F}"/>
    <cellStyle name="20% - Accent5 4 9" xfId="3462" xr:uid="{00000000-0005-0000-0000-000064070000}"/>
    <cellStyle name="20% - Accent5 4 9 2" xfId="21401" xr:uid="{5E8FFFC6-11E4-49CF-9914-1C28884F84E8}"/>
    <cellStyle name="20% - Accent5 4 9 2 2" xfId="36377" xr:uid="{523BB7E2-0A3E-441C-8DF1-8F67C7497DC4}"/>
    <cellStyle name="20% - Accent5 4 9 3" xfId="28773" xr:uid="{DB2A87E9-B06D-4F51-B711-1E00ECCA89C2}"/>
    <cellStyle name="20% - Accent5 5" xfId="211" xr:uid="{00000000-0005-0000-0000-000032000000}"/>
    <cellStyle name="20% - Accent5 5 2" xfId="3418" xr:uid="{00000000-0005-0000-0000-000091070000}"/>
    <cellStyle name="20% - Accent5 5 2 2" xfId="3417" xr:uid="{00000000-0005-0000-0000-000092070000}"/>
    <cellStyle name="20% - Accent5 5 2 2 2" xfId="3416" xr:uid="{00000000-0005-0000-0000-000093070000}"/>
    <cellStyle name="20% - Accent5 5 2 2 2 2" xfId="3415" xr:uid="{00000000-0005-0000-0000-000094070000}"/>
    <cellStyle name="20% - Accent5 5 2 2 2 2 2" xfId="3414" xr:uid="{00000000-0005-0000-0000-000095070000}"/>
    <cellStyle name="20% - Accent5 5 2 2 2 2 2 2" xfId="21356" xr:uid="{1F922FF0-9F6B-48D9-8158-B36CFDEE1A7B}"/>
    <cellStyle name="20% - Accent5 5 2 2 2 2 2 2 2" xfId="36332" xr:uid="{10EA223D-1AD6-4902-B11D-3EE897A4463B}"/>
    <cellStyle name="20% - Accent5 5 2 2 2 2 2 3" xfId="28728" xr:uid="{4AADD153-2DF0-4F0F-A755-4C213DE0DBF3}"/>
    <cellStyle name="20% - Accent5 5 2 2 2 2 3" xfId="3413" xr:uid="{00000000-0005-0000-0000-000096070000}"/>
    <cellStyle name="20% - Accent5 5 2 2 2 2 3 2" xfId="21355" xr:uid="{5A989FAC-9E03-4004-940D-B5269387BDB3}"/>
    <cellStyle name="20% - Accent5 5 2 2 2 2 3 2 2" xfId="36331" xr:uid="{A9AE6DFC-1289-41CA-BDCB-F2F5D6AA59F4}"/>
    <cellStyle name="20% - Accent5 5 2 2 2 2 3 3" xfId="28727" xr:uid="{10ECA6C4-43F5-4411-9A6D-6E91891B9154}"/>
    <cellStyle name="20% - Accent5 5 2 2 2 2 4" xfId="21357" xr:uid="{DF7A1F98-8AB9-40AE-8DB1-384DD99FA01D}"/>
    <cellStyle name="20% - Accent5 5 2 2 2 2 4 2" xfId="36333" xr:uid="{8E017F81-59BC-482A-9AAF-4D8665ADDEDE}"/>
    <cellStyle name="20% - Accent5 5 2 2 2 2 5" xfId="28729" xr:uid="{1D385178-3979-48BC-8111-0A9ECAD7EADF}"/>
    <cellStyle name="20% - Accent5 5 2 2 2 3" xfId="3412" xr:uid="{00000000-0005-0000-0000-000097070000}"/>
    <cellStyle name="20% - Accent5 5 2 2 2 3 2" xfId="21354" xr:uid="{1A4DC5E8-8947-4894-A598-29CF3FF03BAC}"/>
    <cellStyle name="20% - Accent5 5 2 2 2 3 2 2" xfId="36330" xr:uid="{DC31A2B0-A491-45C9-A8AD-92D4B4B3C8E3}"/>
    <cellStyle name="20% - Accent5 5 2 2 2 3 3" xfId="28726" xr:uid="{3CE82025-F2D1-413D-82F9-F6A29E0FE92F}"/>
    <cellStyle name="20% - Accent5 5 2 2 2 4" xfId="3411" xr:uid="{00000000-0005-0000-0000-000098070000}"/>
    <cellStyle name="20% - Accent5 5 2 2 2 4 2" xfId="21353" xr:uid="{FED47E4E-7ED4-4311-9499-DD198A956F85}"/>
    <cellStyle name="20% - Accent5 5 2 2 2 4 2 2" xfId="36329" xr:uid="{616B15E2-0396-4FB7-A76D-ADEBCF6A11E5}"/>
    <cellStyle name="20% - Accent5 5 2 2 2 4 3" xfId="28725" xr:uid="{EF852F83-8CA3-4A0E-9472-2CE00BBDB992}"/>
    <cellStyle name="20% - Accent5 5 2 2 2 5" xfId="21358" xr:uid="{53EB1FFF-524B-42B9-BAE6-8DB895FF348B}"/>
    <cellStyle name="20% - Accent5 5 2 2 2 5 2" xfId="36334" xr:uid="{7418F3BA-9A0C-4BDF-8CB9-0F4F7CF4F24C}"/>
    <cellStyle name="20% - Accent5 5 2 2 2 6" xfId="28730" xr:uid="{BCA05DD7-D00A-4CB0-A592-965861BA1D6F}"/>
    <cellStyle name="20% - Accent5 5 2 2 3" xfId="3410" xr:uid="{00000000-0005-0000-0000-000099070000}"/>
    <cellStyle name="20% - Accent5 5 2 2 3 2" xfId="3409" xr:uid="{00000000-0005-0000-0000-00009A070000}"/>
    <cellStyle name="20% - Accent5 5 2 2 3 2 2" xfId="21351" xr:uid="{45E2A338-27CD-4E39-A67B-ABB1F0FB0214}"/>
    <cellStyle name="20% - Accent5 5 2 2 3 2 2 2" xfId="36327" xr:uid="{F490F9C5-E826-4764-AE14-C6E49902481E}"/>
    <cellStyle name="20% - Accent5 5 2 2 3 2 3" xfId="28723" xr:uid="{8C654FC3-F3D3-4C51-9DFC-D52294CDECE7}"/>
    <cellStyle name="20% - Accent5 5 2 2 3 3" xfId="3408" xr:uid="{00000000-0005-0000-0000-00009B070000}"/>
    <cellStyle name="20% - Accent5 5 2 2 3 3 2" xfId="21350" xr:uid="{E29B0ECD-A1F7-4674-8DF3-092C55087563}"/>
    <cellStyle name="20% - Accent5 5 2 2 3 3 2 2" xfId="36326" xr:uid="{7C7C573C-51A1-4415-9765-73ACCFCD4A99}"/>
    <cellStyle name="20% - Accent5 5 2 2 3 3 3" xfId="28722" xr:uid="{0E7AB2B3-1B1F-4B3B-A08E-2503A80633C5}"/>
    <cellStyle name="20% - Accent5 5 2 2 3 4" xfId="21352" xr:uid="{BCAE9519-8D12-4670-B304-3C093A4A28A2}"/>
    <cellStyle name="20% - Accent5 5 2 2 3 4 2" xfId="36328" xr:uid="{E3648B28-E87A-42C3-B687-92768AB25A0C}"/>
    <cellStyle name="20% - Accent5 5 2 2 3 5" xfId="28724" xr:uid="{22036CE3-195D-4D25-824B-EC7490E57737}"/>
    <cellStyle name="20% - Accent5 5 2 2 4" xfId="3407" xr:uid="{00000000-0005-0000-0000-00009C070000}"/>
    <cellStyle name="20% - Accent5 5 2 2 4 2" xfId="21349" xr:uid="{E7AF47E2-B62D-44EE-A1B7-9955C995A7CB}"/>
    <cellStyle name="20% - Accent5 5 2 2 4 2 2" xfId="36325" xr:uid="{5E6695E7-73E0-454B-A178-C33D943DDA51}"/>
    <cellStyle name="20% - Accent5 5 2 2 4 3" xfId="28721" xr:uid="{EB12C567-AAEC-4B85-8884-FDD18E01A2D8}"/>
    <cellStyle name="20% - Accent5 5 2 2 5" xfId="3406" xr:uid="{00000000-0005-0000-0000-00009D070000}"/>
    <cellStyle name="20% - Accent5 5 2 2 5 2" xfId="21348" xr:uid="{235F0021-DF53-45C4-B3BC-6B6B8C25C1EC}"/>
    <cellStyle name="20% - Accent5 5 2 2 5 2 2" xfId="36324" xr:uid="{12F94618-9E7B-456A-A85E-D55CD8FC3979}"/>
    <cellStyle name="20% - Accent5 5 2 2 5 3" xfId="28720" xr:uid="{5DB7ACB3-CEAB-498F-8A21-C34CA576E9B0}"/>
    <cellStyle name="20% - Accent5 5 2 2 6" xfId="21359" xr:uid="{3109ABC1-4693-440E-9AA8-F8816F077F42}"/>
    <cellStyle name="20% - Accent5 5 2 2 6 2" xfId="36335" xr:uid="{0B563E9F-132E-4A94-96A7-CB20F5087A95}"/>
    <cellStyle name="20% - Accent5 5 2 2 7" xfId="28731" xr:uid="{F866FE37-206F-47D0-9B92-BE9192A2763F}"/>
    <cellStyle name="20% - Accent5 5 2 3" xfId="3405" xr:uid="{00000000-0005-0000-0000-00009E070000}"/>
    <cellStyle name="20% - Accent5 5 2 3 2" xfId="3404" xr:uid="{00000000-0005-0000-0000-00009F070000}"/>
    <cellStyle name="20% - Accent5 5 2 3 2 2" xfId="3403" xr:uid="{00000000-0005-0000-0000-0000A0070000}"/>
    <cellStyle name="20% - Accent5 5 2 3 2 2 2" xfId="21345" xr:uid="{15DA3A49-C31E-4053-ABAC-A858E8C3231A}"/>
    <cellStyle name="20% - Accent5 5 2 3 2 2 2 2" xfId="36321" xr:uid="{97607D02-9097-4D3D-90BC-F3BC36B32B87}"/>
    <cellStyle name="20% - Accent5 5 2 3 2 2 3" xfId="28717" xr:uid="{69A502BF-84B0-408C-9933-574955C63AD5}"/>
    <cellStyle name="20% - Accent5 5 2 3 2 3" xfId="3402" xr:uid="{00000000-0005-0000-0000-0000A1070000}"/>
    <cellStyle name="20% - Accent5 5 2 3 2 3 2" xfId="21344" xr:uid="{69D63CB5-A82F-48F0-A8A0-9B27164AA2AB}"/>
    <cellStyle name="20% - Accent5 5 2 3 2 3 2 2" xfId="36320" xr:uid="{6F500724-9302-4564-9779-B9BF9D445E2B}"/>
    <cellStyle name="20% - Accent5 5 2 3 2 3 3" xfId="28716" xr:uid="{EA5AB814-D715-4BB5-AFFA-3F0F22BE66C1}"/>
    <cellStyle name="20% - Accent5 5 2 3 2 4" xfId="21346" xr:uid="{D9269049-FE28-4E2B-8656-B86D077F217A}"/>
    <cellStyle name="20% - Accent5 5 2 3 2 4 2" xfId="36322" xr:uid="{0273726A-3345-4F09-95CC-6764F65A9616}"/>
    <cellStyle name="20% - Accent5 5 2 3 2 5" xfId="28718" xr:uid="{7E2ED682-AC34-41C2-8CAC-293ADD2DCE82}"/>
    <cellStyle name="20% - Accent5 5 2 3 3" xfId="3401" xr:uid="{00000000-0005-0000-0000-0000A2070000}"/>
    <cellStyle name="20% - Accent5 5 2 3 3 2" xfId="21343" xr:uid="{CDE42257-51E5-4B24-A9CC-821889CF5D5F}"/>
    <cellStyle name="20% - Accent5 5 2 3 3 2 2" xfId="36319" xr:uid="{C311E674-E34F-4E23-B3E1-483DBE6418A2}"/>
    <cellStyle name="20% - Accent5 5 2 3 3 3" xfId="28715" xr:uid="{38D28A22-EF5E-4259-834F-09DB7F242B82}"/>
    <cellStyle name="20% - Accent5 5 2 3 4" xfId="3400" xr:uid="{00000000-0005-0000-0000-0000A3070000}"/>
    <cellStyle name="20% - Accent5 5 2 3 4 2" xfId="21342" xr:uid="{29D16794-4A3D-457D-B7D9-4A74661DBE3B}"/>
    <cellStyle name="20% - Accent5 5 2 3 4 2 2" xfId="36318" xr:uid="{9C4072CE-0AAF-4734-9180-51B0B98A2E9C}"/>
    <cellStyle name="20% - Accent5 5 2 3 4 3" xfId="28714" xr:uid="{25CC001A-55BB-40B6-AD0D-D60980CBC2AB}"/>
    <cellStyle name="20% - Accent5 5 2 3 5" xfId="21347" xr:uid="{186531E3-008F-4953-B7C9-2CA4A9505C6B}"/>
    <cellStyle name="20% - Accent5 5 2 3 5 2" xfId="36323" xr:uid="{E4C2803A-B1C9-4851-953C-E10347D1389B}"/>
    <cellStyle name="20% - Accent5 5 2 3 6" xfId="28719" xr:uid="{1665695C-D6B0-4374-A2F1-0AC4ED5D726A}"/>
    <cellStyle name="20% - Accent5 5 2 4" xfId="3399" xr:uid="{00000000-0005-0000-0000-0000A4070000}"/>
    <cellStyle name="20% - Accent5 5 3" xfId="3398" xr:uid="{00000000-0005-0000-0000-0000A5070000}"/>
    <cellStyle name="20% - Accent5 5 3 2" xfId="3397" xr:uid="{00000000-0005-0000-0000-0000A6070000}"/>
    <cellStyle name="20% - Accent5 5 3 2 2" xfId="3396" xr:uid="{00000000-0005-0000-0000-0000A7070000}"/>
    <cellStyle name="20% - Accent5 5 3 2 2 2" xfId="21339" xr:uid="{D70254C5-C76A-47D4-B2FC-76D9786A53D9}"/>
    <cellStyle name="20% - Accent5 5 3 2 2 2 2" xfId="36315" xr:uid="{FA1A54E3-5BA1-4B7D-9711-B854E941E05B}"/>
    <cellStyle name="20% - Accent5 5 3 2 2 3" xfId="28711" xr:uid="{AB68D596-EF75-43AA-B289-FFE4275962D3}"/>
    <cellStyle name="20% - Accent5 5 3 2 3" xfId="2867" xr:uid="{00000000-0005-0000-0000-0000A8070000}"/>
    <cellStyle name="20% - Accent5 5 3 2 3 2" xfId="20824" xr:uid="{4300A9A9-640D-4A76-B2A9-13FB5962DFEA}"/>
    <cellStyle name="20% - Accent5 5 3 2 3 2 2" xfId="35800" xr:uid="{99358F17-88DD-4D1A-98FB-42BB0E294912}"/>
    <cellStyle name="20% - Accent5 5 3 2 3 3" xfId="28196" xr:uid="{A878CC28-C867-4B2A-99BB-6B708686454B}"/>
    <cellStyle name="20% - Accent5 5 3 2 4" xfId="21340" xr:uid="{637EA4FE-B47C-410E-84DE-915464AE8858}"/>
    <cellStyle name="20% - Accent5 5 3 2 4 2" xfId="36316" xr:uid="{A5391B8C-C62F-465C-A372-030553098C84}"/>
    <cellStyle name="20% - Accent5 5 3 2 5" xfId="28712" xr:uid="{9DECF0C6-AC43-42A8-8DAD-97A42FBB30F4}"/>
    <cellStyle name="20% - Accent5 5 3 3" xfId="3395" xr:uid="{00000000-0005-0000-0000-0000A9070000}"/>
    <cellStyle name="20% - Accent5 5 3 3 2" xfId="21338" xr:uid="{E0E3EE3E-ED6B-4A68-8009-5B815B5B72BC}"/>
    <cellStyle name="20% - Accent5 5 3 3 2 2" xfId="36314" xr:uid="{4C9F885A-D8CD-4C58-9AC8-760A8781FDA5}"/>
    <cellStyle name="20% - Accent5 5 3 3 3" xfId="28710" xr:uid="{8C899F46-81FC-4A49-A691-EFC88EC1412D}"/>
    <cellStyle name="20% - Accent5 5 3 4" xfId="3394" xr:uid="{00000000-0005-0000-0000-0000AA070000}"/>
    <cellStyle name="20% - Accent5 5 3 4 2" xfId="21337" xr:uid="{D7EC8900-FC2C-4BB4-A43A-D6F17562A5A8}"/>
    <cellStyle name="20% - Accent5 5 3 4 2 2" xfId="36313" xr:uid="{5EA87D4A-A2D9-47C3-AF3B-9D35E4C4D3EC}"/>
    <cellStyle name="20% - Accent5 5 3 4 3" xfId="28709" xr:uid="{2A69DE81-DCBE-4358-837C-854FD6263F4E}"/>
    <cellStyle name="20% - Accent5 5 3 5" xfId="21341" xr:uid="{BB4AE927-6D76-471E-8674-12FE8BA5573A}"/>
    <cellStyle name="20% - Accent5 5 3 5 2" xfId="36317" xr:uid="{95313FD9-55CF-416C-8194-BAA8E855B410}"/>
    <cellStyle name="20% - Accent5 5 3 6" xfId="28713" xr:uid="{2F341322-288E-4D32-AE38-AA988FCEF8B3}"/>
    <cellStyle name="20% - Accent5 5 4" xfId="3393" xr:uid="{00000000-0005-0000-0000-0000AB070000}"/>
    <cellStyle name="20% - Accent5 5 4 2" xfId="3392" xr:uid="{00000000-0005-0000-0000-0000AC070000}"/>
    <cellStyle name="20% - Accent5 5 4 2 2" xfId="3391" xr:uid="{00000000-0005-0000-0000-0000AD070000}"/>
    <cellStyle name="20% - Accent5 5 4 2 2 2" xfId="21334" xr:uid="{7A374281-3C35-47A8-BBCD-0F252884CDB3}"/>
    <cellStyle name="20% - Accent5 5 4 2 2 2 2" xfId="36310" xr:uid="{2557699B-7ACD-45D9-84F0-9CA70979410D}"/>
    <cellStyle name="20% - Accent5 5 4 2 2 3" xfId="28706" xr:uid="{F3DF6803-EE2B-4F20-B3E6-C0B1B45789C6}"/>
    <cellStyle name="20% - Accent5 5 4 2 3" xfId="3390" xr:uid="{00000000-0005-0000-0000-0000AE070000}"/>
    <cellStyle name="20% - Accent5 5 4 2 3 2" xfId="21333" xr:uid="{9F0F8BDE-4144-4A85-9F01-B8060D8F22C4}"/>
    <cellStyle name="20% - Accent5 5 4 2 3 2 2" xfId="36309" xr:uid="{14F412C3-3944-4E0E-AE04-F6F4BBD68B42}"/>
    <cellStyle name="20% - Accent5 5 4 2 3 3" xfId="28705" xr:uid="{42C697A4-55C2-4544-A987-E4814C150BD9}"/>
    <cellStyle name="20% - Accent5 5 4 2 4" xfId="21335" xr:uid="{76E2E209-CCCA-4D7A-A63B-37A442626469}"/>
    <cellStyle name="20% - Accent5 5 4 2 4 2" xfId="36311" xr:uid="{DB383AE3-7344-45C0-B7D6-B6DFFE368D01}"/>
    <cellStyle name="20% - Accent5 5 4 2 5" xfId="28707" xr:uid="{58929644-F8F6-4E01-92ED-EC8A27E6855F}"/>
    <cellStyle name="20% - Accent5 5 4 3" xfId="3389" xr:uid="{00000000-0005-0000-0000-0000AF070000}"/>
    <cellStyle name="20% - Accent5 5 4 3 2" xfId="21332" xr:uid="{6223AA08-61C3-41DA-A354-0E81BC89B83C}"/>
    <cellStyle name="20% - Accent5 5 4 3 2 2" xfId="36308" xr:uid="{8B2081AC-633D-4537-B823-FCCFA963F25C}"/>
    <cellStyle name="20% - Accent5 5 4 3 3" xfId="28704" xr:uid="{D525100A-3BFF-46A0-A983-290BB6F4C1F3}"/>
    <cellStyle name="20% - Accent5 5 4 4" xfId="3388" xr:uid="{00000000-0005-0000-0000-0000B0070000}"/>
    <cellStyle name="20% - Accent5 5 4 4 2" xfId="21331" xr:uid="{3215AF4C-A572-4743-8CF0-476D45D0E6D4}"/>
    <cellStyle name="20% - Accent5 5 4 4 2 2" xfId="36307" xr:uid="{6DF02E53-40D9-4B96-92C1-997A5B34891D}"/>
    <cellStyle name="20% - Accent5 5 4 4 3" xfId="28703" xr:uid="{264F0DB8-524B-4AC0-AB64-9E3F7A55FC53}"/>
    <cellStyle name="20% - Accent5 5 4 5" xfId="21336" xr:uid="{47618B5E-AFBB-487A-A512-77BB60CE80CC}"/>
    <cellStyle name="20% - Accent5 5 4 5 2" xfId="36312" xr:uid="{C41EA37A-C257-450F-957E-BDB0DDC4DE3C}"/>
    <cellStyle name="20% - Accent5 5 4 6" xfId="28708" xr:uid="{D1FF4C8F-ABE4-440C-8794-A30C4BF116D2}"/>
    <cellStyle name="20% - Accent5 5 5" xfId="3387" xr:uid="{00000000-0005-0000-0000-0000B1070000}"/>
    <cellStyle name="20% - Accent5 5 5 2" xfId="3386" xr:uid="{00000000-0005-0000-0000-0000B2070000}"/>
    <cellStyle name="20% - Accent5 5 5 2 2" xfId="21329" xr:uid="{504391C1-E25A-4B0A-9888-54C5C914D5EC}"/>
    <cellStyle name="20% - Accent5 5 5 2 2 2" xfId="36305" xr:uid="{F31DAC63-C90C-484D-984A-C0B853CF67E1}"/>
    <cellStyle name="20% - Accent5 5 5 2 3" xfId="28701" xr:uid="{619C8DE2-8951-41B8-A31E-FCE606BCA853}"/>
    <cellStyle name="20% - Accent5 5 5 3" xfId="3385" xr:uid="{00000000-0005-0000-0000-0000B3070000}"/>
    <cellStyle name="20% - Accent5 5 5 3 2" xfId="21328" xr:uid="{77B91D8A-AE9C-412B-8C27-8C0BEF1178DF}"/>
    <cellStyle name="20% - Accent5 5 5 3 2 2" xfId="36304" xr:uid="{99022A9C-8235-41FB-AA1C-8C48BBB4E5FF}"/>
    <cellStyle name="20% - Accent5 5 5 3 3" xfId="28700" xr:uid="{7F8BC347-07AE-4084-B7FE-4A653724DFE8}"/>
    <cellStyle name="20% - Accent5 5 5 4" xfId="21330" xr:uid="{21C96378-38B8-4AD6-B380-6BC4AAD5A352}"/>
    <cellStyle name="20% - Accent5 5 5 4 2" xfId="36306" xr:uid="{1060285F-815A-4EB5-8E31-94F4879981D1}"/>
    <cellStyle name="20% - Accent5 5 5 5" xfId="28702" xr:uid="{810AFE4D-984C-40C0-816F-CEBF3F271582}"/>
    <cellStyle name="20% - Accent5 5 6" xfId="3384" xr:uid="{00000000-0005-0000-0000-0000B4070000}"/>
    <cellStyle name="20% - Accent5 5 6 2" xfId="21327" xr:uid="{BF7BCBE3-8CFD-4E07-96E0-3A02FEC22A21}"/>
    <cellStyle name="20% - Accent5 5 6 2 2" xfId="36303" xr:uid="{F4AAB469-45C5-47D4-9EC2-50E9CE8885B7}"/>
    <cellStyle name="20% - Accent5 5 6 3" xfId="28699" xr:uid="{2CE8E85D-B2FA-4B18-9350-9566BCBEA3DF}"/>
    <cellStyle name="20% - Accent5 5 7" xfId="3383" xr:uid="{00000000-0005-0000-0000-0000B5070000}"/>
    <cellStyle name="20% - Accent5 5 7 2" xfId="21326" xr:uid="{D317011F-5FD1-47DA-8940-467DBD5EE76C}"/>
    <cellStyle name="20% - Accent5 5 7 2 2" xfId="36302" xr:uid="{ABBAE086-3880-4E5A-A75A-62224380EAB7}"/>
    <cellStyle name="20% - Accent5 5 7 3" xfId="28698" xr:uid="{117FE194-B80A-435F-9566-44D7365E4D8D}"/>
    <cellStyle name="20% - Accent5 5 8" xfId="3419" xr:uid="{00000000-0005-0000-0000-000090070000}"/>
    <cellStyle name="20% - Accent5 5 8 2" xfId="21360" xr:uid="{DF46FC3C-A8C7-4EF7-881F-807955687324}"/>
    <cellStyle name="20% - Accent5 5 8 2 2" xfId="36336" xr:uid="{87586D3A-C415-47E8-8EF8-9A78A2927288}"/>
    <cellStyle name="20% - Accent5 5 8 3" xfId="28732" xr:uid="{790C1843-8DF6-46B5-999B-3209AA87096A}"/>
    <cellStyle name="20% - Accent5 6" xfId="212" xr:uid="{00000000-0005-0000-0000-000033000000}"/>
    <cellStyle name="20% - Accent5 6 2" xfId="3382" xr:uid="{00000000-0005-0000-0000-0000B7070000}"/>
    <cellStyle name="20% - Accent5 6 2 2" xfId="3381" xr:uid="{00000000-0005-0000-0000-0000B8070000}"/>
    <cellStyle name="20% - Accent5 6 2 2 2" xfId="3380" xr:uid="{00000000-0005-0000-0000-0000B9070000}"/>
    <cellStyle name="20% - Accent5 6 2 2 2 2" xfId="3379" xr:uid="{00000000-0005-0000-0000-0000BA070000}"/>
    <cellStyle name="20% - Accent5 6 2 2 2 2 2" xfId="21322" xr:uid="{8F584C7F-71AF-48F9-8043-BC2C627E1058}"/>
    <cellStyle name="20% - Accent5 6 2 2 2 2 2 2" xfId="36298" xr:uid="{AC3FAC45-D533-46F3-BF45-E9250EF70AE5}"/>
    <cellStyle name="20% - Accent5 6 2 2 2 2 3" xfId="28694" xr:uid="{18AE5A15-80EF-426C-8B0D-05861C9F63BA}"/>
    <cellStyle name="20% - Accent5 6 2 2 2 3" xfId="3378" xr:uid="{00000000-0005-0000-0000-0000BB070000}"/>
    <cellStyle name="20% - Accent5 6 2 2 2 3 2" xfId="21321" xr:uid="{F4974EE4-C0C3-4301-865C-3D345235CFC9}"/>
    <cellStyle name="20% - Accent5 6 2 2 2 3 2 2" xfId="36297" xr:uid="{A4C4FCDC-901E-46D2-8B58-B996A7F90883}"/>
    <cellStyle name="20% - Accent5 6 2 2 2 3 3" xfId="28693" xr:uid="{B1A249E9-22D1-4268-A80D-2677CA5997DD}"/>
    <cellStyle name="20% - Accent5 6 2 2 2 4" xfId="21323" xr:uid="{AF7518DE-318D-40A0-A934-85A89CB3C3B1}"/>
    <cellStyle name="20% - Accent5 6 2 2 2 4 2" xfId="36299" xr:uid="{CF16E805-BC56-4741-97B8-8DC7775B4411}"/>
    <cellStyle name="20% - Accent5 6 2 2 2 5" xfId="28695" xr:uid="{3BE58749-1286-4601-A4E3-FA3AD127FFA4}"/>
    <cellStyle name="20% - Accent5 6 2 2 3" xfId="3377" xr:uid="{00000000-0005-0000-0000-0000BC070000}"/>
    <cellStyle name="20% - Accent5 6 2 2 3 2" xfId="21320" xr:uid="{2AD2E3EA-5CF3-4924-8268-0E623870FB01}"/>
    <cellStyle name="20% - Accent5 6 2 2 3 2 2" xfId="36296" xr:uid="{AC59E45B-129A-4598-AA85-A903319AA579}"/>
    <cellStyle name="20% - Accent5 6 2 2 3 3" xfId="28692" xr:uid="{70A789E0-EB95-4CB1-9835-9501D764ACA3}"/>
    <cellStyle name="20% - Accent5 6 2 2 4" xfId="3375" xr:uid="{00000000-0005-0000-0000-0000BD070000}"/>
    <cellStyle name="20% - Accent5 6 2 2 4 2" xfId="21318" xr:uid="{0F936589-753F-42A1-98F7-7CC12721699F}"/>
    <cellStyle name="20% - Accent5 6 2 2 4 2 2" xfId="36294" xr:uid="{7F713991-2AD6-4339-A038-8DF1145E4E01}"/>
    <cellStyle name="20% - Accent5 6 2 2 4 3" xfId="28690" xr:uid="{2AB8C438-5060-479A-8F43-EBBD1A98742F}"/>
    <cellStyle name="20% - Accent5 6 2 2 5" xfId="21324" xr:uid="{7DB61ED2-3DDF-46A6-BFEB-DBE79B832193}"/>
    <cellStyle name="20% - Accent5 6 2 2 5 2" xfId="36300" xr:uid="{732B1286-B6AF-4CE7-8874-572A482BBB45}"/>
    <cellStyle name="20% - Accent5 6 2 2 6" xfId="28696" xr:uid="{391DE499-4967-4EB8-BA3A-88CC2F6C7351}"/>
    <cellStyle name="20% - Accent5 6 2 3" xfId="3376" xr:uid="{00000000-0005-0000-0000-0000BE070000}"/>
    <cellStyle name="20% - Accent5 6 2 3 2" xfId="3374" xr:uid="{00000000-0005-0000-0000-0000BF070000}"/>
    <cellStyle name="20% - Accent5 6 2 3 2 2" xfId="21317" xr:uid="{2D0FED21-8A7D-428A-8853-CD139466DF67}"/>
    <cellStyle name="20% - Accent5 6 2 3 2 2 2" xfId="36293" xr:uid="{A5479DA1-475D-4BE5-B476-0AB0F4A739AD}"/>
    <cellStyle name="20% - Accent5 6 2 3 2 3" xfId="28689" xr:uid="{08FA5674-2098-4515-97F2-2DAA816AC4D4}"/>
    <cellStyle name="20% - Accent5 6 2 3 3" xfId="3373" xr:uid="{00000000-0005-0000-0000-0000C0070000}"/>
    <cellStyle name="20% - Accent5 6 2 3 3 2" xfId="21316" xr:uid="{48741502-213F-49EB-AFF6-A74DBF7765A1}"/>
    <cellStyle name="20% - Accent5 6 2 3 3 2 2" xfId="36292" xr:uid="{DAB2B698-93C1-49A5-8752-9D2DD137B29C}"/>
    <cellStyle name="20% - Accent5 6 2 3 3 3" xfId="28688" xr:uid="{67228886-E290-458C-B062-07F93D1FC5CD}"/>
    <cellStyle name="20% - Accent5 6 2 3 4" xfId="21319" xr:uid="{6C7CF4DC-1138-429F-B802-3A41D9D141DD}"/>
    <cellStyle name="20% - Accent5 6 2 3 4 2" xfId="36295" xr:uid="{1F395DE4-132A-4AC1-94EB-18D12E120AA6}"/>
    <cellStyle name="20% - Accent5 6 2 3 5" xfId="28691" xr:uid="{CEEBD63D-87EF-4B5D-90C8-149322ECA9D6}"/>
    <cellStyle name="20% - Accent5 6 2 4" xfId="3372" xr:uid="{00000000-0005-0000-0000-0000C1070000}"/>
    <cellStyle name="20% - Accent5 6 2 4 2" xfId="21315" xr:uid="{0CE0F337-29EA-4C62-B556-276768C3A7B3}"/>
    <cellStyle name="20% - Accent5 6 2 4 2 2" xfId="36291" xr:uid="{AD2B60EC-3C31-4862-993A-F7BA6139DC94}"/>
    <cellStyle name="20% - Accent5 6 2 4 3" xfId="28687" xr:uid="{56838041-A9A5-4551-A27A-E9E8586C4BE9}"/>
    <cellStyle name="20% - Accent5 6 2 5" xfId="3371" xr:uid="{00000000-0005-0000-0000-0000C2070000}"/>
    <cellStyle name="20% - Accent5 6 2 5 2" xfId="21314" xr:uid="{AC917253-5EDE-41B1-8610-798D5301799C}"/>
    <cellStyle name="20% - Accent5 6 2 5 2 2" xfId="36290" xr:uid="{CEB2CC5E-8F79-45B0-A6A8-082FDD530DAD}"/>
    <cellStyle name="20% - Accent5 6 2 5 3" xfId="28686" xr:uid="{9236B4BF-6C56-4899-9365-BD02B4129613}"/>
    <cellStyle name="20% - Accent5 6 2 6" xfId="21325" xr:uid="{C7B04963-4F91-4DEC-9614-3E383ACE1ED0}"/>
    <cellStyle name="20% - Accent5 6 2 6 2" xfId="36301" xr:uid="{9A2C2E1B-D6E3-4DA5-A20E-5B08A053A022}"/>
    <cellStyle name="20% - Accent5 6 2 7" xfId="28697" xr:uid="{FCE72F0A-DF68-47A5-B9BA-5860D90FCB9A}"/>
    <cellStyle name="20% - Accent5 6 3" xfId="3370" xr:uid="{00000000-0005-0000-0000-0000C3070000}"/>
    <cellStyle name="20% - Accent5 6 3 2" xfId="3369" xr:uid="{00000000-0005-0000-0000-0000C4070000}"/>
    <cellStyle name="20% - Accent5 6 3 2 2" xfId="3368" xr:uid="{00000000-0005-0000-0000-0000C5070000}"/>
    <cellStyle name="20% - Accent5 6 3 2 2 2" xfId="21311" xr:uid="{770C9397-AC2F-495A-AE67-1AC5F7BD8E8B}"/>
    <cellStyle name="20% - Accent5 6 3 2 2 2 2" xfId="36287" xr:uid="{D22F32C7-4AAD-48AA-B09B-AF15C0B6DED3}"/>
    <cellStyle name="20% - Accent5 6 3 2 2 3" xfId="28683" xr:uid="{620E8093-1A35-4AD1-A0A7-17CE0535A90D}"/>
    <cellStyle name="20% - Accent5 6 3 2 3" xfId="3367" xr:uid="{00000000-0005-0000-0000-0000C6070000}"/>
    <cellStyle name="20% - Accent5 6 3 2 3 2" xfId="21310" xr:uid="{C1AB58B5-E4F0-4324-B8AF-FFA5BB7D0D58}"/>
    <cellStyle name="20% - Accent5 6 3 2 3 2 2" xfId="36286" xr:uid="{70B25BDD-014D-448C-AE0E-E77E9A580CF1}"/>
    <cellStyle name="20% - Accent5 6 3 2 3 3" xfId="28682" xr:uid="{CFD60AC0-1C97-482F-9E7E-E9ADC5B5DF09}"/>
    <cellStyle name="20% - Accent5 6 3 2 4" xfId="21312" xr:uid="{3F554DF4-CE90-425B-8A14-5D109A7DF8AF}"/>
    <cellStyle name="20% - Accent5 6 3 2 4 2" xfId="36288" xr:uid="{1869871F-B60A-45BD-93E1-87E166F56556}"/>
    <cellStyle name="20% - Accent5 6 3 2 5" xfId="28684" xr:uid="{A7FC706A-4A54-4E0A-BDA1-BC61BFE15CB1}"/>
    <cellStyle name="20% - Accent5 6 3 3" xfId="3366" xr:uid="{00000000-0005-0000-0000-0000C7070000}"/>
    <cellStyle name="20% - Accent5 6 3 3 2" xfId="21309" xr:uid="{6D2356E2-E511-4C31-A57B-5F789CA98144}"/>
    <cellStyle name="20% - Accent5 6 3 3 2 2" xfId="36285" xr:uid="{96DBF766-ECCB-43CC-8241-E3A90D26A2A4}"/>
    <cellStyle name="20% - Accent5 6 3 3 3" xfId="28681" xr:uid="{7543DDD6-F47F-49CC-9650-DE2D517906E2}"/>
    <cellStyle name="20% - Accent5 6 3 4" xfId="3365" xr:uid="{00000000-0005-0000-0000-0000C8070000}"/>
    <cellStyle name="20% - Accent5 6 3 4 2" xfId="21308" xr:uid="{08440E3C-3B3B-45FC-ABCF-E0BA94AF8456}"/>
    <cellStyle name="20% - Accent5 6 3 4 2 2" xfId="36284" xr:uid="{08FDD301-A951-4C8E-94CE-6FF809849130}"/>
    <cellStyle name="20% - Accent5 6 3 4 3" xfId="28680" xr:uid="{0F3863D7-0EEC-4D41-9915-6B2CE10F1918}"/>
    <cellStyle name="20% - Accent5 6 3 5" xfId="21313" xr:uid="{D0150C06-3D13-4E48-82DF-F5F6A0260B6F}"/>
    <cellStyle name="20% - Accent5 6 3 5 2" xfId="36289" xr:uid="{2599ECED-BB49-4226-8289-2E6BFAAA809E}"/>
    <cellStyle name="20% - Accent5 6 3 6" xfId="28685" xr:uid="{B7F428E3-7857-41CD-98A2-B967522E2A54}"/>
    <cellStyle name="20% - Accent5 6 4" xfId="3364" xr:uid="{00000000-0005-0000-0000-0000C9070000}"/>
    <cellStyle name="20% - Accent5 7" xfId="213" xr:uid="{00000000-0005-0000-0000-000034000000}"/>
    <cellStyle name="20% - Accent5 7 2" xfId="3363" xr:uid="{00000000-0005-0000-0000-0000CB070000}"/>
    <cellStyle name="20% - Accent5 7 2 2" xfId="21307" xr:uid="{B30DA703-8CED-4646-9F12-D5F0F7F34DF5}"/>
    <cellStyle name="20% - Accent5 7 2 2 2" xfId="36283" xr:uid="{E179CDBC-AE43-4F37-95E3-097978E091DE}"/>
    <cellStyle name="20% - Accent5 7 2 3" xfId="28679" xr:uid="{9487ECAD-EE63-472F-A7B1-507FFCCD6C7E}"/>
    <cellStyle name="20% - Accent5 7 3" xfId="3362" xr:uid="{00000000-0005-0000-0000-0000CC070000}"/>
    <cellStyle name="20% - Accent5 7 4" xfId="5520" xr:uid="{00000000-0005-0000-0000-0000CD070000}"/>
    <cellStyle name="20% - Accent5 7 4 2" xfId="23195" xr:uid="{DD18EAB0-241F-430B-9AB0-77A68891D6E1}"/>
    <cellStyle name="20% - Accent5 7 4 2 2" xfId="38166" xr:uid="{DE106F23-1CB4-4CF8-809D-460DF7AC64C6}"/>
    <cellStyle name="20% - Accent5 7 4 3" xfId="30563" xr:uid="{10D28EC7-7492-4E20-9FD9-B2A0C683BCDD}"/>
    <cellStyle name="20% - Accent5 8" xfId="5523" xr:uid="{00000000-0005-0000-0000-0000CE070000}"/>
    <cellStyle name="20% - Accent5 8 2" xfId="3361" xr:uid="{00000000-0005-0000-0000-0000CF070000}"/>
    <cellStyle name="20% - Accent5 8 2 2" xfId="5521" xr:uid="{00000000-0005-0000-0000-0000D0070000}"/>
    <cellStyle name="20% - Accent5 8 2 2 2" xfId="23196" xr:uid="{A9F1E3B8-9BAB-4E87-AFAA-0F4DD67C3158}"/>
    <cellStyle name="20% - Accent5 8 2 2 2 2" xfId="38167" xr:uid="{7ED14002-6335-4C23-B9FE-F9A6EBF2EE74}"/>
    <cellStyle name="20% - Accent5 8 2 2 3" xfId="30564" xr:uid="{1F340C03-A98A-44F4-B926-461EA93C4C0A}"/>
    <cellStyle name="20% - Accent5 8 2 3" xfId="5522" xr:uid="{00000000-0005-0000-0000-0000D1070000}"/>
    <cellStyle name="20% - Accent5 8 2 3 2" xfId="23197" xr:uid="{672BEC3B-CDE7-4EC9-B744-E7F55A21015F}"/>
    <cellStyle name="20% - Accent5 8 2 3 2 2" xfId="38168" xr:uid="{AAAD3A62-895D-4672-A59F-B038243652E2}"/>
    <cellStyle name="20% - Accent5 8 2 3 3" xfId="30565" xr:uid="{175FD388-99FF-45E6-9266-7B5083353354}"/>
    <cellStyle name="20% - Accent5 8 2 4" xfId="21306" xr:uid="{16310A37-EA6E-4766-BEC0-C444319A24CF}"/>
    <cellStyle name="20% - Accent5 8 2 4 2" xfId="36282" xr:uid="{54A0D170-F75A-4771-8DE3-8F1BFDA08228}"/>
    <cellStyle name="20% - Accent5 8 2 5" xfId="28678" xr:uid="{038EF9BC-B0E5-4082-8AD4-394442B71D9F}"/>
    <cellStyle name="20% - Accent5 8 3" xfId="3360" xr:uid="{00000000-0005-0000-0000-0000D2070000}"/>
    <cellStyle name="20% - Accent5 8 3 2" xfId="21305" xr:uid="{7A7E0C3F-88F0-4F6F-A70D-8B75C40B1FD2}"/>
    <cellStyle name="20% - Accent5 8 3 2 2" xfId="36281" xr:uid="{A364D28A-023B-44F8-9E52-AD86D2059C83}"/>
    <cellStyle name="20% - Accent5 8 3 3" xfId="28677" xr:uid="{590247ED-D4ED-49BC-9D89-55B41E383E12}"/>
    <cellStyle name="20% - Accent5 8 4" xfId="3359" xr:uid="{00000000-0005-0000-0000-0000D3070000}"/>
    <cellStyle name="20% - Accent5 8 4 2" xfId="21304" xr:uid="{6D730A47-B09F-469F-A5EF-3ADF869F6AE1}"/>
    <cellStyle name="20% - Accent5 8 4 2 2" xfId="36280" xr:uid="{EC97423A-22CC-47B2-9F34-4A24D430E706}"/>
    <cellStyle name="20% - Accent5 8 4 3" xfId="28676" xr:uid="{691D9C38-24CE-4EB8-8B3B-49ED062A93C3}"/>
    <cellStyle name="20% - Accent5 8 5" xfId="23198" xr:uid="{8211BE74-B24B-4DB9-822E-99AB49DBF19A}"/>
    <cellStyle name="20% - Accent5 8 5 2" xfId="38169" xr:uid="{EC1E70CE-FE11-4D4E-9A4C-8FC8E006DF07}"/>
    <cellStyle name="20% - Accent5 8 6" xfId="30566" xr:uid="{E877A7B9-78BD-4056-9326-48983C174003}"/>
    <cellStyle name="20% - Accent5 9" xfId="3358" xr:uid="{00000000-0005-0000-0000-0000D4070000}"/>
    <cellStyle name="20% - Accent5 9 2" xfId="3357" xr:uid="{00000000-0005-0000-0000-0000D5070000}"/>
    <cellStyle name="20% - Accent5 9 2 2" xfId="3356" xr:uid="{00000000-0005-0000-0000-0000D6070000}"/>
    <cellStyle name="20% - Accent5 9 2 2 2" xfId="21301" xr:uid="{08638807-4DF5-42AB-9C8B-253DB4D48B4D}"/>
    <cellStyle name="20% - Accent5 9 2 2 2 2" xfId="36277" xr:uid="{D098B4D1-8EF9-4AFD-A068-542A108D2402}"/>
    <cellStyle name="20% - Accent5 9 2 2 3" xfId="28673" xr:uid="{FF0F9A0C-E3B3-45A2-BB5D-A1EBF712AFB8}"/>
    <cellStyle name="20% - Accent5 9 2 3" xfId="3355" xr:uid="{00000000-0005-0000-0000-0000D7070000}"/>
    <cellStyle name="20% - Accent5 9 2 3 2" xfId="21300" xr:uid="{59672723-C153-42FC-A32D-21F0B458B292}"/>
    <cellStyle name="20% - Accent5 9 2 3 2 2" xfId="36276" xr:uid="{48809CC6-D2E8-4F6E-BFBD-F843FAC188DC}"/>
    <cellStyle name="20% - Accent5 9 2 3 3" xfId="28672" xr:uid="{AC661C8B-665E-42EC-A985-55EFE6EF37A0}"/>
    <cellStyle name="20% - Accent5 9 2 4" xfId="21302" xr:uid="{77AF5C47-89A1-4C75-AEDA-C79BAAD964EE}"/>
    <cellStyle name="20% - Accent5 9 2 4 2" xfId="36278" xr:uid="{B89FB7F9-BE17-4F13-9A51-8D6366F3E2F4}"/>
    <cellStyle name="20% - Accent5 9 2 5" xfId="28674" xr:uid="{39099A33-4580-4AA9-A596-AF5196894B42}"/>
    <cellStyle name="20% - Accent5 9 3" xfId="3354" xr:uid="{00000000-0005-0000-0000-0000D8070000}"/>
    <cellStyle name="20% - Accent5 9 3 2" xfId="21299" xr:uid="{CD095B59-599D-4B23-BF30-BF694D0DE4C2}"/>
    <cellStyle name="20% - Accent5 9 3 2 2" xfId="36275" xr:uid="{BC031BE6-2F69-4833-909E-19205B1ED696}"/>
    <cellStyle name="20% - Accent5 9 3 3" xfId="28671" xr:uid="{4789E8E8-08D5-4569-B377-306AF95544E8}"/>
    <cellStyle name="20% - Accent5 9 4" xfId="3353" xr:uid="{00000000-0005-0000-0000-0000D9070000}"/>
    <cellStyle name="20% - Accent5 9 4 2" xfId="21298" xr:uid="{2E264C0F-F10F-4E31-B2C8-16FECE51F9D9}"/>
    <cellStyle name="20% - Accent5 9 4 2 2" xfId="36274" xr:uid="{10E81145-C6BB-44A6-B60F-3D5472E90F68}"/>
    <cellStyle name="20% - Accent5 9 4 3" xfId="28670" xr:uid="{358008A0-F4E7-4C75-9D24-9378707FD7DE}"/>
    <cellStyle name="20% - Accent5 9 5" xfId="21303" xr:uid="{4D9C5DF7-23A6-4C36-A48E-F99EA06D84FD}"/>
    <cellStyle name="20% - Accent5 9 5 2" xfId="36279" xr:uid="{95CDA557-DA0E-4170-ABB1-F2221821A51C}"/>
    <cellStyle name="20% - Accent5 9 6" xfId="28675" xr:uid="{4D77FC77-BB77-4A65-9C38-3434B5E9DE73}"/>
    <cellStyle name="20% - Accent6" xfId="102" builtinId="50" customBuiltin="1"/>
    <cellStyle name="20% - Accent6 10" xfId="3352" xr:uid="{00000000-0005-0000-0000-0000DA070000}"/>
    <cellStyle name="20% - Accent6 10 2" xfId="3351" xr:uid="{00000000-0005-0000-0000-0000DB070000}"/>
    <cellStyle name="20% - Accent6 10 2 2" xfId="3350" xr:uid="{00000000-0005-0000-0000-0000DC070000}"/>
    <cellStyle name="20% - Accent6 10 2 2 2" xfId="21295" xr:uid="{84F1BBEF-1E7A-4FC8-A71C-2EEEB386C67D}"/>
    <cellStyle name="20% - Accent6 10 2 2 2 2" xfId="36271" xr:uid="{FDA89FD5-942D-4D90-BAEB-523AFDD440AA}"/>
    <cellStyle name="20% - Accent6 10 2 2 3" xfId="28667" xr:uid="{09540B1C-43FA-4A6D-8637-7236BC3023E5}"/>
    <cellStyle name="20% - Accent6 10 2 3" xfId="3349" xr:uid="{00000000-0005-0000-0000-0000DD070000}"/>
    <cellStyle name="20% - Accent6 10 2 3 2" xfId="21294" xr:uid="{115BFFF6-DE05-4750-9FC6-75CF278DFC78}"/>
    <cellStyle name="20% - Accent6 10 2 3 2 2" xfId="36270" xr:uid="{850B86A3-2F7D-4E36-ABEE-57A9DA9ACA7C}"/>
    <cellStyle name="20% - Accent6 10 2 3 3" xfId="28666" xr:uid="{73AE3026-D039-4B80-A6BA-552920BEDD4E}"/>
    <cellStyle name="20% - Accent6 10 2 4" xfId="21296" xr:uid="{29800C6B-2CD0-4738-89FB-8FFDC38321D3}"/>
    <cellStyle name="20% - Accent6 10 2 4 2" xfId="36272" xr:uid="{056FC9CE-7620-40DD-816D-C2D42A596820}"/>
    <cellStyle name="20% - Accent6 10 2 5" xfId="28668" xr:uid="{AC96B495-2BFF-4CBC-933A-45767931B9B6}"/>
    <cellStyle name="20% - Accent6 10 3" xfId="3348" xr:uid="{00000000-0005-0000-0000-0000DE070000}"/>
    <cellStyle name="20% - Accent6 10 3 2" xfId="21293" xr:uid="{BA8F19A1-ED53-483E-A58E-DECFFD5DCDF2}"/>
    <cellStyle name="20% - Accent6 10 3 2 2" xfId="36269" xr:uid="{5DD23CC8-A04D-4948-88AD-C85C0F43A603}"/>
    <cellStyle name="20% - Accent6 10 3 3" xfId="28665" xr:uid="{AE4F539D-DBF1-4A44-854A-957A0219C0FF}"/>
    <cellStyle name="20% - Accent6 10 4" xfId="3347" xr:uid="{00000000-0005-0000-0000-0000DF070000}"/>
    <cellStyle name="20% - Accent6 10 4 2" xfId="3346" xr:uid="{00000000-0005-0000-0000-0000E0070000}"/>
    <cellStyle name="20% - Accent6 10 4 2 2" xfId="21291" xr:uid="{16F6FD75-42CF-49C9-B8A5-60244B6BE9EA}"/>
    <cellStyle name="20% - Accent6 10 4 2 2 2" xfId="36267" xr:uid="{25CF1A0A-C9D0-4A89-875D-A64EB20C6F15}"/>
    <cellStyle name="20% - Accent6 10 4 2 3" xfId="28663" xr:uid="{D62A52CE-1DF6-471E-B9B9-6A82BD7ACC57}"/>
    <cellStyle name="20% - Accent6 10 4 3" xfId="21292" xr:uid="{0C856CD3-58D7-4F55-81E0-FF0B38238867}"/>
    <cellStyle name="20% - Accent6 10 4 3 2" xfId="36268" xr:uid="{1EB77BD6-84C6-44E6-9D6C-4E41A079E9B9}"/>
    <cellStyle name="20% - Accent6 10 4 4" xfId="28664" xr:uid="{54A8288E-8A66-4EEE-8593-6268170D092D}"/>
    <cellStyle name="20% - Accent6 10 5" xfId="3345" xr:uid="{00000000-0005-0000-0000-0000E1070000}"/>
    <cellStyle name="20% - Accent6 10 5 2" xfId="21290" xr:uid="{74F94373-3350-4404-A066-340A55D5B3BC}"/>
    <cellStyle name="20% - Accent6 10 5 2 2" xfId="36266" xr:uid="{C8AA5761-D528-4ECA-9CA2-0987F6B02DBB}"/>
    <cellStyle name="20% - Accent6 10 5 3" xfId="28662" xr:uid="{5DDF3000-E51A-4C45-A04A-081523DFD616}"/>
    <cellStyle name="20% - Accent6 10 6" xfId="21297" xr:uid="{39605300-9815-45D2-80CB-D3FC31691A9C}"/>
    <cellStyle name="20% - Accent6 10 6 2" xfId="36273" xr:uid="{96D8E3C7-B8B5-462B-9C9D-BFFA1C82A2A5}"/>
    <cellStyle name="20% - Accent6 10 7" xfId="28669" xr:uid="{497AD610-FE20-4D27-AC81-178261CDA0C2}"/>
    <cellStyle name="20% - Accent6 11" xfId="3344" xr:uid="{00000000-0005-0000-0000-0000E2070000}"/>
    <cellStyle name="20% - Accent6 11 2" xfId="3343" xr:uid="{00000000-0005-0000-0000-0000E3070000}"/>
    <cellStyle name="20% - Accent6 11 2 2" xfId="21288" xr:uid="{89229A6D-09DB-44C9-9ADF-3B7DB2D72373}"/>
    <cellStyle name="20% - Accent6 11 2 2 2" xfId="36264" xr:uid="{DB931BDC-04CE-423F-B003-443F44E5F16F}"/>
    <cellStyle name="20% - Accent6 11 2 3" xfId="28660" xr:uid="{F7441F2B-44CC-4885-86A8-6DDCD7E6E7B0}"/>
    <cellStyle name="20% - Accent6 11 3" xfId="3342" xr:uid="{00000000-0005-0000-0000-0000E4070000}"/>
    <cellStyle name="20% - Accent6 11 3 2" xfId="3341" xr:uid="{00000000-0005-0000-0000-0000E5070000}"/>
    <cellStyle name="20% - Accent6 11 3 2 2" xfId="21286" xr:uid="{687D6E29-3550-4004-B9D1-E4DBF639A2AD}"/>
    <cellStyle name="20% - Accent6 11 3 2 2 2" xfId="36262" xr:uid="{B41D9BD6-75B5-4549-8418-6933A401D5B3}"/>
    <cellStyle name="20% - Accent6 11 3 2 3" xfId="28658" xr:uid="{FEB575C8-5216-48FA-8540-E66D7EF25F72}"/>
    <cellStyle name="20% - Accent6 11 3 3" xfId="21287" xr:uid="{8EAC741E-07CD-4C83-8C8A-0EB0038AF17A}"/>
    <cellStyle name="20% - Accent6 11 3 3 2" xfId="36263" xr:uid="{979260E2-A448-4913-A486-590E1A4AE212}"/>
    <cellStyle name="20% - Accent6 11 3 4" xfId="28659" xr:uid="{770768DA-6025-4A93-B686-8D2B13F44144}"/>
    <cellStyle name="20% - Accent6 11 4" xfId="21289" xr:uid="{A3724296-C687-47FF-AB02-B62DD46DFA21}"/>
    <cellStyle name="20% - Accent6 11 4 2" xfId="36265" xr:uid="{3B100AF8-637C-40D2-9EEF-AB09A8977078}"/>
    <cellStyle name="20% - Accent6 11 5" xfId="28661" xr:uid="{E8C191A5-DDBF-4E97-8882-6F3309340841}"/>
    <cellStyle name="20% - Accent6 12" xfId="3340" xr:uid="{00000000-0005-0000-0000-0000E6070000}"/>
    <cellStyle name="20% - Accent6 12 2" xfId="3339" xr:uid="{00000000-0005-0000-0000-0000E7070000}"/>
    <cellStyle name="20% - Accent6 12 2 2" xfId="21284" xr:uid="{306F0BF5-81FF-46C1-8FDD-95E230808FA2}"/>
    <cellStyle name="20% - Accent6 12 2 2 2" xfId="36260" xr:uid="{A35B6DCE-C229-4B13-A9D6-548026D3BEFC}"/>
    <cellStyle name="20% - Accent6 12 2 3" xfId="28656" xr:uid="{BED08928-531A-4416-AF6E-4FF9BE97F6E1}"/>
    <cellStyle name="20% - Accent6 12 3" xfId="3338" xr:uid="{00000000-0005-0000-0000-0000E8070000}"/>
    <cellStyle name="20% - Accent6 12 3 2" xfId="21283" xr:uid="{C63819F3-4E2E-4D37-8F00-DEF694C3BAD6}"/>
    <cellStyle name="20% - Accent6 12 3 2 2" xfId="36259" xr:uid="{75569FA5-9C67-4345-A14F-9971D5311AD2}"/>
    <cellStyle name="20% - Accent6 12 3 3" xfId="28655" xr:uid="{40E1AFDF-1331-448E-8AAF-0524EB5DB1BF}"/>
    <cellStyle name="20% - Accent6 12 4" xfId="21285" xr:uid="{F4DD58CB-5C33-49C0-A37F-5EBFBBB5D4A0}"/>
    <cellStyle name="20% - Accent6 12 4 2" xfId="36261" xr:uid="{CD671DF1-AF76-4782-A52C-164FF2FEF205}"/>
    <cellStyle name="20% - Accent6 12 5" xfId="28657" xr:uid="{89A980A6-76A5-4DFC-9204-EEB41D4C6A80}"/>
    <cellStyle name="20% - Accent6 13" xfId="3337" xr:uid="{00000000-0005-0000-0000-0000E9070000}"/>
    <cellStyle name="20% - Accent6 13 2" xfId="3336" xr:uid="{00000000-0005-0000-0000-0000EA070000}"/>
    <cellStyle name="20% - Accent6 13 2 2" xfId="21281" xr:uid="{CEA0B605-3C20-4449-BE7C-4E965A8D53F5}"/>
    <cellStyle name="20% - Accent6 13 2 2 2" xfId="36257" xr:uid="{AAE13169-DD86-4FF4-8943-71BED5A566BF}"/>
    <cellStyle name="20% - Accent6 13 2 3" xfId="28653" xr:uid="{4C8A8B9D-39F1-4414-B617-2C46975DAB38}"/>
    <cellStyle name="20% - Accent6 13 3" xfId="3335" xr:uid="{00000000-0005-0000-0000-0000EB070000}"/>
    <cellStyle name="20% - Accent6 13 3 2" xfId="21280" xr:uid="{ED902B4F-EF4D-455B-828D-7201D6ABBADE}"/>
    <cellStyle name="20% - Accent6 13 3 2 2" xfId="36256" xr:uid="{842673F8-1CD6-46A2-857F-06CF5157648E}"/>
    <cellStyle name="20% - Accent6 13 3 3" xfId="28652" xr:uid="{D6F62A94-F2AD-4798-AF56-0871A498875A}"/>
    <cellStyle name="20% - Accent6 13 4" xfId="21282" xr:uid="{C013D028-6D62-4E3C-A8C4-D2E93CA1EFDA}"/>
    <cellStyle name="20% - Accent6 13 4 2" xfId="36258" xr:uid="{ED8AD075-A433-4BFF-96A6-45732AE466FD}"/>
    <cellStyle name="20% - Accent6 13 5" xfId="28654" xr:uid="{1C5D364E-5D40-436F-AA66-6A71E7F1A176}"/>
    <cellStyle name="20% - Accent6 14" xfId="3334" xr:uid="{00000000-0005-0000-0000-0000EC070000}"/>
    <cellStyle name="20% - Accent6 14 2" xfId="3333" xr:uid="{00000000-0005-0000-0000-0000ED070000}"/>
    <cellStyle name="20% - Accent6 14 2 2" xfId="21279" xr:uid="{6D51D8AE-F7BD-4CB5-8927-A1ECA0FD5A4A}"/>
    <cellStyle name="20% - Accent6 14 2 2 2" xfId="36255" xr:uid="{7092B3C9-F244-4BE8-AF8A-B8C1A1EB7C06}"/>
    <cellStyle name="20% - Accent6 14 2 3" xfId="28651" xr:uid="{F9ED61C9-BC95-4D4F-87A6-BE8D4B72060F}"/>
    <cellStyle name="20% - Accent6 15" xfId="3332" xr:uid="{00000000-0005-0000-0000-0000EE070000}"/>
    <cellStyle name="20% - Accent6 15 2" xfId="21278" xr:uid="{4AC21773-C626-4F3F-8F04-388CBA4C592D}"/>
    <cellStyle name="20% - Accent6 15 2 2" xfId="36254" xr:uid="{1539B0FD-241B-4A9E-BC0B-06B28D92ACCE}"/>
    <cellStyle name="20% - Accent6 15 3" xfId="28650" xr:uid="{A8FC0427-82BE-473D-9D1D-04A9A8F9127F}"/>
    <cellStyle name="20% - Accent6 16" xfId="3331" xr:uid="{00000000-0005-0000-0000-0000EF070000}"/>
    <cellStyle name="20% - Accent6 17" xfId="20657" xr:uid="{3E1C9095-C2D3-4488-B328-323A8DF6C971}"/>
    <cellStyle name="20% - Accent6 17 2" xfId="35658" xr:uid="{CA1EA9D6-7635-4120-A760-ABD9D87F805C}"/>
    <cellStyle name="20% - Accent6 18" xfId="27961" xr:uid="{40BCB57A-56A0-4571-BEC3-3A64EAA530B9}"/>
    <cellStyle name="20% - Accent6 2" xfId="214" xr:uid="{00000000-0005-0000-0000-000035000000}"/>
    <cellStyle name="20% - Accent6 2 2" xfId="3330" xr:uid="{00000000-0005-0000-0000-0000F1070000}"/>
    <cellStyle name="20% - Accent6 2 3" xfId="3329" xr:uid="{00000000-0005-0000-0000-0000F2070000}"/>
    <cellStyle name="20% - Accent6 2 3 10" xfId="28649" xr:uid="{EB997E11-77BF-447D-ACD3-23CB90ED21E9}"/>
    <cellStyle name="20% - Accent6 2 3 2" xfId="3328" xr:uid="{00000000-0005-0000-0000-0000F3070000}"/>
    <cellStyle name="20% - Accent6 2 3 2 2" xfId="3327" xr:uid="{00000000-0005-0000-0000-0000F4070000}"/>
    <cellStyle name="20% - Accent6 2 3 2 2 2" xfId="3326" xr:uid="{00000000-0005-0000-0000-0000F5070000}"/>
    <cellStyle name="20% - Accent6 2 3 2 2 2 2" xfId="3325" xr:uid="{00000000-0005-0000-0000-0000F6070000}"/>
    <cellStyle name="20% - Accent6 2 3 2 2 2 2 2" xfId="21273" xr:uid="{0A9E59A1-D616-41E7-9AE0-4DB8B1147E89}"/>
    <cellStyle name="20% - Accent6 2 3 2 2 2 2 2 2" xfId="36249" xr:uid="{08431F31-9ADC-48A8-A1F3-6F378F550531}"/>
    <cellStyle name="20% - Accent6 2 3 2 2 2 2 3" xfId="28645" xr:uid="{D393A149-D4CE-40A6-A996-58289547A385}"/>
    <cellStyle name="20% - Accent6 2 3 2 2 2 3" xfId="3324" xr:uid="{00000000-0005-0000-0000-0000F7070000}"/>
    <cellStyle name="20% - Accent6 2 3 2 2 2 3 2" xfId="21272" xr:uid="{847BE610-9CB0-466D-A6AB-AEC0261DA613}"/>
    <cellStyle name="20% - Accent6 2 3 2 2 2 3 2 2" xfId="36248" xr:uid="{73F6C700-645A-4FA1-BD02-2820784007F1}"/>
    <cellStyle name="20% - Accent6 2 3 2 2 2 3 3" xfId="28644" xr:uid="{D82D717D-92C4-4463-A8E3-3F4ADA3CD686}"/>
    <cellStyle name="20% - Accent6 2 3 2 2 2 4" xfId="21274" xr:uid="{B883639E-977C-4A97-B752-957ED99C7B7F}"/>
    <cellStyle name="20% - Accent6 2 3 2 2 2 4 2" xfId="36250" xr:uid="{1D79B874-E482-489D-B69D-88005EBE76AB}"/>
    <cellStyle name="20% - Accent6 2 3 2 2 2 5" xfId="28646" xr:uid="{AD2C1E10-8BAC-467A-AAD4-EB187022B60F}"/>
    <cellStyle name="20% - Accent6 2 3 2 2 3" xfId="3323" xr:uid="{00000000-0005-0000-0000-0000F8070000}"/>
    <cellStyle name="20% - Accent6 2 3 2 2 3 2" xfId="3322" xr:uid="{00000000-0005-0000-0000-0000F9070000}"/>
    <cellStyle name="20% - Accent6 2 3 2 2 3 2 2" xfId="21270" xr:uid="{CAD40F89-5D89-4230-BE9A-86D46D96D570}"/>
    <cellStyle name="20% - Accent6 2 3 2 2 3 2 2 2" xfId="36246" xr:uid="{F16AE9A7-9251-4360-9E72-4AA54C519ABD}"/>
    <cellStyle name="20% - Accent6 2 3 2 2 3 2 3" xfId="28642" xr:uid="{292818C6-DC00-4A0D-A395-E0AD2015AA54}"/>
    <cellStyle name="20% - Accent6 2 3 2 2 3 3" xfId="21271" xr:uid="{8261941A-7AF9-4EEB-B398-DAFFD1283070}"/>
    <cellStyle name="20% - Accent6 2 3 2 2 3 3 2" xfId="36247" xr:uid="{349AACA2-31FE-48F0-BF0A-12A016E912F5}"/>
    <cellStyle name="20% - Accent6 2 3 2 2 3 4" xfId="28643" xr:uid="{169BA079-C07D-4F22-B79B-76BEABCAD325}"/>
    <cellStyle name="20% - Accent6 2 3 2 2 4" xfId="3321" xr:uid="{00000000-0005-0000-0000-0000FA070000}"/>
    <cellStyle name="20% - Accent6 2 3 2 2 4 2" xfId="21269" xr:uid="{54AF66DD-0CEC-4756-B107-B991D3768A03}"/>
    <cellStyle name="20% - Accent6 2 3 2 2 4 2 2" xfId="36245" xr:uid="{33B03B3A-12F1-4271-936B-04FDF573C2B7}"/>
    <cellStyle name="20% - Accent6 2 3 2 2 4 3" xfId="28641" xr:uid="{AE25EF26-DBE7-4902-8C14-CAA39982D4E7}"/>
    <cellStyle name="20% - Accent6 2 3 2 2 5" xfId="21275" xr:uid="{78B91D54-26B3-4673-AF16-EA83A3F89AA1}"/>
    <cellStyle name="20% - Accent6 2 3 2 2 5 2" xfId="36251" xr:uid="{58B69175-6BA4-45B2-A6DB-8E92C94B40B1}"/>
    <cellStyle name="20% - Accent6 2 3 2 2 6" xfId="28647" xr:uid="{920E3110-D3A8-4CFB-B8DE-052E4911F0E8}"/>
    <cellStyle name="20% - Accent6 2 3 2 3" xfId="3320" xr:uid="{00000000-0005-0000-0000-0000FB070000}"/>
    <cellStyle name="20% - Accent6 2 3 2 3 2" xfId="3319" xr:uid="{00000000-0005-0000-0000-0000FC070000}"/>
    <cellStyle name="20% - Accent6 2 3 2 3 2 2" xfId="3318" xr:uid="{00000000-0005-0000-0000-0000FD070000}"/>
    <cellStyle name="20% - Accent6 2 3 2 3 2 2 2" xfId="21266" xr:uid="{A59C7960-C125-4A38-9524-631EED0C5200}"/>
    <cellStyle name="20% - Accent6 2 3 2 3 2 2 2 2" xfId="36242" xr:uid="{9266EC5A-6F53-478E-8138-7765474CAC9A}"/>
    <cellStyle name="20% - Accent6 2 3 2 3 2 2 3" xfId="28638" xr:uid="{4459FC94-4322-4395-A674-3099DEBEA57D}"/>
    <cellStyle name="20% - Accent6 2 3 2 3 2 3" xfId="3317" xr:uid="{00000000-0005-0000-0000-0000FE070000}"/>
    <cellStyle name="20% - Accent6 2 3 2 3 2 3 2" xfId="21265" xr:uid="{89881527-3CD1-4E48-B8D6-0D2D321D3C8F}"/>
    <cellStyle name="20% - Accent6 2 3 2 3 2 3 2 2" xfId="36241" xr:uid="{2059FBEE-9652-4D0A-9B80-64402343F956}"/>
    <cellStyle name="20% - Accent6 2 3 2 3 2 3 3" xfId="28637" xr:uid="{D98244A8-9E85-4285-BCC2-57F47E1A416F}"/>
    <cellStyle name="20% - Accent6 2 3 2 3 2 4" xfId="21267" xr:uid="{2078DD6F-56BE-4267-ADB4-E867EDC67AC5}"/>
    <cellStyle name="20% - Accent6 2 3 2 3 2 4 2" xfId="36243" xr:uid="{6F534B38-E6A6-4511-8560-4315BC14EE80}"/>
    <cellStyle name="20% - Accent6 2 3 2 3 2 5" xfId="28639" xr:uid="{F3590CF4-0743-4964-916F-E232ED563214}"/>
    <cellStyle name="20% - Accent6 2 3 2 3 3" xfId="3316" xr:uid="{00000000-0005-0000-0000-0000FF070000}"/>
    <cellStyle name="20% - Accent6 2 3 2 3 3 2" xfId="3315" xr:uid="{00000000-0005-0000-0000-000000080000}"/>
    <cellStyle name="20% - Accent6 2 3 2 3 3 2 2" xfId="21263" xr:uid="{607FF84D-8AD0-4415-9832-C502396B8703}"/>
    <cellStyle name="20% - Accent6 2 3 2 3 3 2 2 2" xfId="36239" xr:uid="{1393123B-A55F-4718-9167-773F25076998}"/>
    <cellStyle name="20% - Accent6 2 3 2 3 3 2 3" xfId="28635" xr:uid="{779F996E-A338-47E4-BFB4-C6C39EC9208A}"/>
    <cellStyle name="20% - Accent6 2 3 2 3 3 3" xfId="21264" xr:uid="{FA657BE1-22A6-4097-B543-B49ACB324B13}"/>
    <cellStyle name="20% - Accent6 2 3 2 3 3 3 2" xfId="36240" xr:uid="{959FAEBF-243D-45F6-9FC6-4AC0A3AC1FD3}"/>
    <cellStyle name="20% - Accent6 2 3 2 3 3 4" xfId="28636" xr:uid="{69255844-A613-43F7-ADCF-631B208EEC14}"/>
    <cellStyle name="20% - Accent6 2 3 2 3 4" xfId="3314" xr:uid="{00000000-0005-0000-0000-000001080000}"/>
    <cellStyle name="20% - Accent6 2 3 2 3 4 2" xfId="21262" xr:uid="{49EECBC0-ECD7-4A00-A4C0-9ABC2A28C10B}"/>
    <cellStyle name="20% - Accent6 2 3 2 3 4 2 2" xfId="36238" xr:uid="{86F95A36-3EF1-4A3F-BD8F-912E1B809E70}"/>
    <cellStyle name="20% - Accent6 2 3 2 3 4 3" xfId="28634" xr:uid="{FEFC19E8-9499-4042-9D6C-127886899534}"/>
    <cellStyle name="20% - Accent6 2 3 2 3 5" xfId="21268" xr:uid="{338DDFAA-08CB-4213-B61F-44093139DFD3}"/>
    <cellStyle name="20% - Accent6 2 3 2 3 5 2" xfId="36244" xr:uid="{D1DA612A-97E3-4C04-94AA-EDB63A7D83C7}"/>
    <cellStyle name="20% - Accent6 2 3 2 3 6" xfId="28640" xr:uid="{89260315-8EDE-43E0-B349-B46898046BFC}"/>
    <cellStyle name="20% - Accent6 2 3 2 4" xfId="3313" xr:uid="{00000000-0005-0000-0000-000002080000}"/>
    <cellStyle name="20% - Accent6 2 3 2 4 2" xfId="3312" xr:uid="{00000000-0005-0000-0000-000003080000}"/>
    <cellStyle name="20% - Accent6 2 3 2 4 2 2" xfId="21260" xr:uid="{80E0C313-9F50-4A0B-B325-11B614C3212C}"/>
    <cellStyle name="20% - Accent6 2 3 2 4 2 2 2" xfId="36236" xr:uid="{0B197166-88BE-4B1A-9F44-B394265D4E52}"/>
    <cellStyle name="20% - Accent6 2 3 2 4 2 3" xfId="28632" xr:uid="{D1DB09D7-DBCB-454C-A0CD-D559FC5E8A3C}"/>
    <cellStyle name="20% - Accent6 2 3 2 4 3" xfId="3311" xr:uid="{00000000-0005-0000-0000-000004080000}"/>
    <cellStyle name="20% - Accent6 2 3 2 4 3 2" xfId="21259" xr:uid="{7E050237-753E-43B0-A2CD-527015707169}"/>
    <cellStyle name="20% - Accent6 2 3 2 4 3 2 2" xfId="36235" xr:uid="{8C938087-9DB2-4AAF-81C4-845F258ECA91}"/>
    <cellStyle name="20% - Accent6 2 3 2 4 3 3" xfId="28631" xr:uid="{210D14D7-2A94-4A5A-A910-ECA811C2829D}"/>
    <cellStyle name="20% - Accent6 2 3 2 4 4" xfId="21261" xr:uid="{2CCD11B7-F6EE-4AA5-A18B-102785539C4C}"/>
    <cellStyle name="20% - Accent6 2 3 2 4 4 2" xfId="36237" xr:uid="{7A2ED230-43AB-413E-A6E5-2CA15F69126D}"/>
    <cellStyle name="20% - Accent6 2 3 2 4 5" xfId="28633" xr:uid="{2D5EC8EE-BB37-4B84-B6B7-2A9F86A3C43C}"/>
    <cellStyle name="20% - Accent6 2 3 2 5" xfId="3310" xr:uid="{00000000-0005-0000-0000-000005080000}"/>
    <cellStyle name="20% - Accent6 2 3 2 5 2" xfId="21258" xr:uid="{1BF681CC-923E-45F4-88BE-E59A9BA03E6F}"/>
    <cellStyle name="20% - Accent6 2 3 2 5 2 2" xfId="36234" xr:uid="{2BFA427E-18DD-42DF-BD76-3A52F538DBF0}"/>
    <cellStyle name="20% - Accent6 2 3 2 5 3" xfId="28630" xr:uid="{7FC2AD05-76A8-4FBD-B885-C8F349809427}"/>
    <cellStyle name="20% - Accent6 2 3 2 6" xfId="3309" xr:uid="{00000000-0005-0000-0000-000006080000}"/>
    <cellStyle name="20% - Accent6 2 3 2 6 2" xfId="3308" xr:uid="{00000000-0005-0000-0000-000007080000}"/>
    <cellStyle name="20% - Accent6 2 3 2 6 2 2" xfId="21256" xr:uid="{7ED0F8D7-D202-4088-827C-53A392689F88}"/>
    <cellStyle name="20% - Accent6 2 3 2 6 2 2 2" xfId="36232" xr:uid="{8DCF5771-B370-4D82-8C3D-6B2D992158AA}"/>
    <cellStyle name="20% - Accent6 2 3 2 6 2 3" xfId="28628" xr:uid="{18714E2C-6927-4CC9-8746-AC90407149D4}"/>
    <cellStyle name="20% - Accent6 2 3 2 6 3" xfId="21257" xr:uid="{C55684E3-7C36-4CBB-BE8E-AD9993690F53}"/>
    <cellStyle name="20% - Accent6 2 3 2 6 3 2" xfId="36233" xr:uid="{E603AEFB-8CFC-485C-91DC-220E067D6CA7}"/>
    <cellStyle name="20% - Accent6 2 3 2 6 4" xfId="28629" xr:uid="{5232670A-820B-4EC8-879F-8495F7E74E17}"/>
    <cellStyle name="20% - Accent6 2 3 2 7" xfId="3307" xr:uid="{00000000-0005-0000-0000-000008080000}"/>
    <cellStyle name="20% - Accent6 2 3 2 7 2" xfId="21255" xr:uid="{AE83447B-16FA-48DD-8509-AAC5E2D74E21}"/>
    <cellStyle name="20% - Accent6 2 3 2 7 2 2" xfId="36231" xr:uid="{55F16B77-C84E-4889-941A-AA7F76E79B0B}"/>
    <cellStyle name="20% - Accent6 2 3 2 7 3" xfId="28627" xr:uid="{FDF01B69-EF35-47FC-926B-46E3B3F03DED}"/>
    <cellStyle name="20% - Accent6 2 3 2 8" xfId="21276" xr:uid="{8BD1978C-CAF6-406C-87F7-43D2484B8D25}"/>
    <cellStyle name="20% - Accent6 2 3 2 8 2" xfId="36252" xr:uid="{8BCE11E9-ACD8-42AE-ACB6-04CE9D43F7C6}"/>
    <cellStyle name="20% - Accent6 2 3 2 9" xfId="28648" xr:uid="{5FCB9D20-5179-4045-B3EC-ECBB5C4FF267}"/>
    <cellStyle name="20% - Accent6 2 3 3" xfId="3306" xr:uid="{00000000-0005-0000-0000-000009080000}"/>
    <cellStyle name="20% - Accent6 2 3 3 2" xfId="3305" xr:uid="{00000000-0005-0000-0000-00000A080000}"/>
    <cellStyle name="20% - Accent6 2 3 3 2 2" xfId="3304" xr:uid="{00000000-0005-0000-0000-00000B080000}"/>
    <cellStyle name="20% - Accent6 2 3 3 2 2 2" xfId="21252" xr:uid="{D8FFFF46-1FCA-4B7F-93AD-ADCF5A0220FB}"/>
    <cellStyle name="20% - Accent6 2 3 3 2 2 2 2" xfId="36228" xr:uid="{925D11D6-492F-4572-A8B5-4A4B1B07F49A}"/>
    <cellStyle name="20% - Accent6 2 3 3 2 2 3" xfId="28624" xr:uid="{784B4509-BF7C-4D5E-AC5A-49EB7A25F942}"/>
    <cellStyle name="20% - Accent6 2 3 3 2 3" xfId="3303" xr:uid="{00000000-0005-0000-0000-00000C080000}"/>
    <cellStyle name="20% - Accent6 2 3 3 2 3 2" xfId="21251" xr:uid="{EAA50C0F-D34E-40B7-ACBF-38010FE229B5}"/>
    <cellStyle name="20% - Accent6 2 3 3 2 3 2 2" xfId="36227" xr:uid="{E5EED1B2-4E84-42AB-8674-9EFACE121087}"/>
    <cellStyle name="20% - Accent6 2 3 3 2 3 3" xfId="28623" xr:uid="{4843BA94-D2D2-42E8-93DF-F9B31F3A4BA7}"/>
    <cellStyle name="20% - Accent6 2 3 3 2 4" xfId="21253" xr:uid="{D811CB05-914E-46B0-A2A0-608BF1F64B57}"/>
    <cellStyle name="20% - Accent6 2 3 3 2 4 2" xfId="36229" xr:uid="{C208F3F2-0411-4894-BE63-BEDDFD17A43F}"/>
    <cellStyle name="20% - Accent6 2 3 3 2 5" xfId="28625" xr:uid="{A2484113-EFED-43BC-98B3-C50FF5E65CD6}"/>
    <cellStyle name="20% - Accent6 2 3 3 3" xfId="3302" xr:uid="{00000000-0005-0000-0000-00000D080000}"/>
    <cellStyle name="20% - Accent6 2 3 3 3 2" xfId="3301" xr:uid="{00000000-0005-0000-0000-00000E080000}"/>
    <cellStyle name="20% - Accent6 2 3 3 3 2 2" xfId="21249" xr:uid="{780A699E-F13E-43F3-9B4D-69E94FF25E41}"/>
    <cellStyle name="20% - Accent6 2 3 3 3 2 2 2" xfId="36225" xr:uid="{B660319D-9C7D-49D3-BC7F-D18E38AE4C0C}"/>
    <cellStyle name="20% - Accent6 2 3 3 3 2 3" xfId="28621" xr:uid="{0749CA74-3E8D-4509-8D00-CB20FC9BC386}"/>
    <cellStyle name="20% - Accent6 2 3 3 3 3" xfId="21250" xr:uid="{53F4F68C-0870-4228-8933-B6D693B3DCE0}"/>
    <cellStyle name="20% - Accent6 2 3 3 3 3 2" xfId="36226" xr:uid="{497A87C1-E102-4BFF-89EF-1F2F42205488}"/>
    <cellStyle name="20% - Accent6 2 3 3 3 4" xfId="28622" xr:uid="{A6EB2516-0C26-495D-B2D5-0F7D95EA94F6}"/>
    <cellStyle name="20% - Accent6 2 3 3 4" xfId="3300" xr:uid="{00000000-0005-0000-0000-00000F080000}"/>
    <cellStyle name="20% - Accent6 2 3 3 4 2" xfId="21248" xr:uid="{BCA3FD53-D89C-4601-A7FA-7E21EDA20BE7}"/>
    <cellStyle name="20% - Accent6 2 3 3 4 2 2" xfId="36224" xr:uid="{F04D1D05-9832-490C-9426-AC53FAE2255D}"/>
    <cellStyle name="20% - Accent6 2 3 3 4 3" xfId="28620" xr:uid="{2057A574-1285-4DB2-982F-0029DF700E41}"/>
    <cellStyle name="20% - Accent6 2 3 3 5" xfId="21254" xr:uid="{261EDCA0-1F56-450A-BC5F-DF4AF8EF37F0}"/>
    <cellStyle name="20% - Accent6 2 3 3 5 2" xfId="36230" xr:uid="{73A77DEB-BFDE-45CB-8539-0EF8463D1F8B}"/>
    <cellStyle name="20% - Accent6 2 3 3 6" xfId="28626" xr:uid="{2D49E8E9-767F-4A6A-87B9-F94793E64238}"/>
    <cellStyle name="20% - Accent6 2 3 4" xfId="3299" xr:uid="{00000000-0005-0000-0000-000010080000}"/>
    <cellStyle name="20% - Accent6 2 3 4 2" xfId="3298" xr:uid="{00000000-0005-0000-0000-000011080000}"/>
    <cellStyle name="20% - Accent6 2 3 4 2 2" xfId="3297" xr:uid="{00000000-0005-0000-0000-000012080000}"/>
    <cellStyle name="20% - Accent6 2 3 4 2 2 2" xfId="21245" xr:uid="{032E6ECF-2FC0-4E29-8D9F-A0F14492D6E3}"/>
    <cellStyle name="20% - Accent6 2 3 4 2 2 2 2" xfId="36221" xr:uid="{ED95C692-D563-4B4B-B2D5-DDD4E1704EB1}"/>
    <cellStyle name="20% - Accent6 2 3 4 2 2 3" xfId="28617" xr:uid="{2E36A388-598E-4143-9F0A-75B45019DCA2}"/>
    <cellStyle name="20% - Accent6 2 3 4 2 3" xfId="3296" xr:uid="{00000000-0005-0000-0000-000013080000}"/>
    <cellStyle name="20% - Accent6 2 3 4 2 3 2" xfId="21244" xr:uid="{7E3B2ACB-820E-4141-B7C1-6330BEF03767}"/>
    <cellStyle name="20% - Accent6 2 3 4 2 3 2 2" xfId="36220" xr:uid="{FF10820A-D62C-4B12-8596-FBFBCCC8B486}"/>
    <cellStyle name="20% - Accent6 2 3 4 2 3 3" xfId="28616" xr:uid="{F41EC595-5728-4BB1-8D90-7EB8DB651E83}"/>
    <cellStyle name="20% - Accent6 2 3 4 2 4" xfId="21246" xr:uid="{49B463AA-E8CE-4C33-AFA8-6510691427D3}"/>
    <cellStyle name="20% - Accent6 2 3 4 2 4 2" xfId="36222" xr:uid="{84AF1273-75A1-4B34-8D1E-68790B4DE434}"/>
    <cellStyle name="20% - Accent6 2 3 4 2 5" xfId="28618" xr:uid="{639C6AC9-1612-4E48-AF41-11CF2E4B35B7}"/>
    <cellStyle name="20% - Accent6 2 3 4 3" xfId="3295" xr:uid="{00000000-0005-0000-0000-000014080000}"/>
    <cellStyle name="20% - Accent6 2 3 4 3 2" xfId="3294" xr:uid="{00000000-0005-0000-0000-000015080000}"/>
    <cellStyle name="20% - Accent6 2 3 4 3 2 2" xfId="21242" xr:uid="{87454F7A-5A14-4915-8454-E9AE531596AC}"/>
    <cellStyle name="20% - Accent6 2 3 4 3 2 2 2" xfId="36218" xr:uid="{E46BEAA5-E876-44AF-B342-6FE56620F762}"/>
    <cellStyle name="20% - Accent6 2 3 4 3 2 3" xfId="28614" xr:uid="{7A6F6A93-392C-4705-84E7-6178BC742D9E}"/>
    <cellStyle name="20% - Accent6 2 3 4 3 3" xfId="21243" xr:uid="{9EEF046F-4216-4336-9E8F-D4ED28F13DAD}"/>
    <cellStyle name="20% - Accent6 2 3 4 3 3 2" xfId="36219" xr:uid="{7D1ADA00-A51E-480B-8ABD-ECCF41C50501}"/>
    <cellStyle name="20% - Accent6 2 3 4 3 4" xfId="28615" xr:uid="{D5425DB9-E242-4AE5-969D-90B2F8259FC5}"/>
    <cellStyle name="20% - Accent6 2 3 4 4" xfId="3293" xr:uid="{00000000-0005-0000-0000-000016080000}"/>
    <cellStyle name="20% - Accent6 2 3 4 4 2" xfId="21241" xr:uid="{7585E78B-AC48-4733-B9AE-E2E5B5DE1387}"/>
    <cellStyle name="20% - Accent6 2 3 4 4 2 2" xfId="36217" xr:uid="{41E304C2-4C73-44E0-AB67-1EAEB7ED8368}"/>
    <cellStyle name="20% - Accent6 2 3 4 4 3" xfId="28613" xr:uid="{7F7CC787-1349-4373-BA66-CAD8CB9A3035}"/>
    <cellStyle name="20% - Accent6 2 3 4 5" xfId="21247" xr:uid="{1CE768EC-7A5D-4D5A-831D-1FB341FF1687}"/>
    <cellStyle name="20% - Accent6 2 3 4 5 2" xfId="36223" xr:uid="{9EA1B1A1-7405-455F-83F9-9450A7B0D5AE}"/>
    <cellStyle name="20% - Accent6 2 3 4 6" xfId="28619" xr:uid="{F31974DA-0574-47E5-A7B2-AB7C06B05864}"/>
    <cellStyle name="20% - Accent6 2 3 5" xfId="3292" xr:uid="{00000000-0005-0000-0000-000017080000}"/>
    <cellStyle name="20% - Accent6 2 3 5 2" xfId="3291" xr:uid="{00000000-0005-0000-0000-000018080000}"/>
    <cellStyle name="20% - Accent6 2 3 5 2 2" xfId="21239" xr:uid="{B89E0392-8BE8-4533-9978-6BC79A1F8943}"/>
    <cellStyle name="20% - Accent6 2 3 5 2 2 2" xfId="36215" xr:uid="{9A198AA7-979B-41C4-8608-17C1C1C9651C}"/>
    <cellStyle name="20% - Accent6 2 3 5 2 3" xfId="28611" xr:uid="{1A16CDE3-7B05-4EB2-A47A-051E64FD9A01}"/>
    <cellStyle name="20% - Accent6 2 3 5 3" xfId="3290" xr:uid="{00000000-0005-0000-0000-000019080000}"/>
    <cellStyle name="20% - Accent6 2 3 5 3 2" xfId="21238" xr:uid="{9C389567-E0D6-45DA-98C0-B66FDA49751B}"/>
    <cellStyle name="20% - Accent6 2 3 5 3 2 2" xfId="36214" xr:uid="{38A8F48B-059A-4ADE-BCE9-BD8A09BC0EAD}"/>
    <cellStyle name="20% - Accent6 2 3 5 3 3" xfId="28610" xr:uid="{F52CB7BE-CB64-4969-A03A-97666CA0298F}"/>
    <cellStyle name="20% - Accent6 2 3 5 4" xfId="21240" xr:uid="{8D87E839-BEC7-446B-B5A5-778F32359229}"/>
    <cellStyle name="20% - Accent6 2 3 5 4 2" xfId="36216" xr:uid="{44A83048-1E8E-41C6-B396-0E4D1B072850}"/>
    <cellStyle name="20% - Accent6 2 3 5 5" xfId="28612" xr:uid="{2627E760-F3C5-41AE-A94A-1EA07CB66329}"/>
    <cellStyle name="20% - Accent6 2 3 6" xfId="3289" xr:uid="{00000000-0005-0000-0000-00001A080000}"/>
    <cellStyle name="20% - Accent6 2 3 6 2" xfId="21237" xr:uid="{7F741B35-A06A-4C1E-940B-90C4F48720FA}"/>
    <cellStyle name="20% - Accent6 2 3 6 2 2" xfId="36213" xr:uid="{15BEB807-89D1-4E0E-9A35-703BA6666ECE}"/>
    <cellStyle name="20% - Accent6 2 3 6 3" xfId="28609" xr:uid="{4B1950B0-9B5F-4F77-A1CE-4774FB970F8D}"/>
    <cellStyle name="20% - Accent6 2 3 7" xfId="3288" xr:uid="{00000000-0005-0000-0000-00001B080000}"/>
    <cellStyle name="20% - Accent6 2 3 7 2" xfId="3287" xr:uid="{00000000-0005-0000-0000-00001C080000}"/>
    <cellStyle name="20% - Accent6 2 3 7 2 2" xfId="21235" xr:uid="{3510291E-53ED-4B58-8CC8-E8BAB6BDBF06}"/>
    <cellStyle name="20% - Accent6 2 3 7 2 2 2" xfId="36211" xr:uid="{D13DA2A8-366D-4DB6-AC83-1ABBE887605B}"/>
    <cellStyle name="20% - Accent6 2 3 7 2 3" xfId="28607" xr:uid="{38E71829-A025-44E1-9538-57A074C850E7}"/>
    <cellStyle name="20% - Accent6 2 3 7 3" xfId="21236" xr:uid="{37CACC2F-7635-43FE-A480-57235E9DD369}"/>
    <cellStyle name="20% - Accent6 2 3 7 3 2" xfId="36212" xr:uid="{98D6E18A-1C3C-437A-B3C5-143F4E63A55B}"/>
    <cellStyle name="20% - Accent6 2 3 7 4" xfId="28608" xr:uid="{07E70CF4-4557-4494-81B2-9C1161197092}"/>
    <cellStyle name="20% - Accent6 2 3 8" xfId="3286" xr:uid="{00000000-0005-0000-0000-00001D080000}"/>
    <cellStyle name="20% - Accent6 2 3 8 2" xfId="21234" xr:uid="{FEB3DD5F-3200-43D4-9EFD-BFB46D9DA28B}"/>
    <cellStyle name="20% - Accent6 2 3 8 2 2" xfId="36210" xr:uid="{35119277-FFDF-4E51-BB63-7C50AA3AA758}"/>
    <cellStyle name="20% - Accent6 2 3 8 3" xfId="28606" xr:uid="{BE3A9822-8A1B-4A84-80A4-43B0D30A2B8A}"/>
    <cellStyle name="20% - Accent6 2 3 9" xfId="21277" xr:uid="{20C47B75-B450-4CFD-B2C2-B11A406EE4C4}"/>
    <cellStyle name="20% - Accent6 2 3 9 2" xfId="36253" xr:uid="{A362D23B-64BF-4220-AA76-3D420486BD35}"/>
    <cellStyle name="20% - Accent6 2 4" xfId="3285" xr:uid="{00000000-0005-0000-0000-00001E080000}"/>
    <cellStyle name="20% - Accent6 2 4 10" xfId="28605" xr:uid="{6CFD66BF-0D5D-4B21-8FBC-FE8AA66EDB05}"/>
    <cellStyle name="20% - Accent6 2 4 2" xfId="3284" xr:uid="{00000000-0005-0000-0000-00001F080000}"/>
    <cellStyle name="20% - Accent6 2 4 2 2" xfId="3283" xr:uid="{00000000-0005-0000-0000-000020080000}"/>
    <cellStyle name="20% - Accent6 2 4 2 2 2" xfId="3282" xr:uid="{00000000-0005-0000-0000-000021080000}"/>
    <cellStyle name="20% - Accent6 2 4 2 2 2 2" xfId="3281" xr:uid="{00000000-0005-0000-0000-000022080000}"/>
    <cellStyle name="20% - Accent6 2 4 2 2 2 2 2" xfId="21229" xr:uid="{F1AB5A53-1474-4505-BB24-074127A24FD6}"/>
    <cellStyle name="20% - Accent6 2 4 2 2 2 2 2 2" xfId="36205" xr:uid="{B97A8127-0ED0-44C6-AA1A-67331AF44221}"/>
    <cellStyle name="20% - Accent6 2 4 2 2 2 2 3" xfId="28601" xr:uid="{67B7A381-3F28-4EFB-A42B-C5B720602459}"/>
    <cellStyle name="20% - Accent6 2 4 2 2 2 3" xfId="3280" xr:uid="{00000000-0005-0000-0000-000023080000}"/>
    <cellStyle name="20% - Accent6 2 4 2 2 2 3 2" xfId="21228" xr:uid="{F62952EA-95E0-4525-9CD8-8F08CAE77AB1}"/>
    <cellStyle name="20% - Accent6 2 4 2 2 2 3 2 2" xfId="36204" xr:uid="{D52D7E36-443D-4E74-89CF-40D61B9C1665}"/>
    <cellStyle name="20% - Accent6 2 4 2 2 2 3 3" xfId="28600" xr:uid="{50C20A3C-6EA4-432F-8421-44DA5375A0AE}"/>
    <cellStyle name="20% - Accent6 2 4 2 2 2 4" xfId="21230" xr:uid="{8B3C0B8D-5927-484E-AB72-237A571C34C8}"/>
    <cellStyle name="20% - Accent6 2 4 2 2 2 4 2" xfId="36206" xr:uid="{DABDE74E-7BA2-4E75-A760-41B15A311702}"/>
    <cellStyle name="20% - Accent6 2 4 2 2 2 5" xfId="28602" xr:uid="{37FEC252-BB85-41B0-B2A6-915F1BF8B025}"/>
    <cellStyle name="20% - Accent6 2 4 2 2 3" xfId="3279" xr:uid="{00000000-0005-0000-0000-000024080000}"/>
    <cellStyle name="20% - Accent6 2 4 2 2 3 2" xfId="3278" xr:uid="{00000000-0005-0000-0000-000025080000}"/>
    <cellStyle name="20% - Accent6 2 4 2 2 3 2 2" xfId="21226" xr:uid="{C30767E4-49D8-4C2D-9315-66CD107132A2}"/>
    <cellStyle name="20% - Accent6 2 4 2 2 3 2 2 2" xfId="36202" xr:uid="{CD0B194F-6C54-4633-9137-B3400D626C97}"/>
    <cellStyle name="20% - Accent6 2 4 2 2 3 2 3" xfId="28598" xr:uid="{BFC4CEE7-5933-4223-97AC-E233102E2BBC}"/>
    <cellStyle name="20% - Accent6 2 4 2 2 3 3" xfId="21227" xr:uid="{72031385-489F-4D68-B590-301B346903DB}"/>
    <cellStyle name="20% - Accent6 2 4 2 2 3 3 2" xfId="36203" xr:uid="{06A1D078-9DDB-4E03-BFC3-7EBF51714F19}"/>
    <cellStyle name="20% - Accent6 2 4 2 2 3 4" xfId="28599" xr:uid="{249981A9-A74C-4252-B828-DD2D9FFEEB2F}"/>
    <cellStyle name="20% - Accent6 2 4 2 2 4" xfId="3277" xr:uid="{00000000-0005-0000-0000-000026080000}"/>
    <cellStyle name="20% - Accent6 2 4 2 2 4 2" xfId="21225" xr:uid="{4A6F29BB-2E02-4AB6-AC6A-0F386460D53A}"/>
    <cellStyle name="20% - Accent6 2 4 2 2 4 2 2" xfId="36201" xr:uid="{7BC30383-27AF-44C5-8570-F74029C06B81}"/>
    <cellStyle name="20% - Accent6 2 4 2 2 4 3" xfId="28597" xr:uid="{DFCA8659-9567-4699-A9AA-0F08106707F2}"/>
    <cellStyle name="20% - Accent6 2 4 2 2 5" xfId="21231" xr:uid="{2591A88F-866C-42CF-85FB-B5999AEE27B1}"/>
    <cellStyle name="20% - Accent6 2 4 2 2 5 2" xfId="36207" xr:uid="{AD2EFAB0-4D1B-4218-9537-36B65AD60C7A}"/>
    <cellStyle name="20% - Accent6 2 4 2 2 6" xfId="28603" xr:uid="{475C8664-2632-4BD8-BFEB-73A6E527899F}"/>
    <cellStyle name="20% - Accent6 2 4 2 3" xfId="3276" xr:uid="{00000000-0005-0000-0000-000027080000}"/>
    <cellStyle name="20% - Accent6 2 4 2 3 2" xfId="3275" xr:uid="{00000000-0005-0000-0000-000028080000}"/>
    <cellStyle name="20% - Accent6 2 4 2 3 2 2" xfId="3274" xr:uid="{00000000-0005-0000-0000-000029080000}"/>
    <cellStyle name="20% - Accent6 2 4 2 3 2 2 2" xfId="21222" xr:uid="{CEE1A184-801D-4DB2-B7D9-355EF34E9146}"/>
    <cellStyle name="20% - Accent6 2 4 2 3 2 2 2 2" xfId="36198" xr:uid="{68806D5F-CAAA-4673-B612-7681A3EB38A7}"/>
    <cellStyle name="20% - Accent6 2 4 2 3 2 2 3" xfId="28594" xr:uid="{3B589101-8666-4164-8DDB-EBB4887C668F}"/>
    <cellStyle name="20% - Accent6 2 4 2 3 2 3" xfId="3273" xr:uid="{00000000-0005-0000-0000-00002A080000}"/>
    <cellStyle name="20% - Accent6 2 4 2 3 2 3 2" xfId="21221" xr:uid="{C28140B9-F24F-4387-AE32-B16C1EB8275F}"/>
    <cellStyle name="20% - Accent6 2 4 2 3 2 3 2 2" xfId="36197" xr:uid="{AAA7E3B0-8AF1-49B9-B5CC-2237C0CF1FC4}"/>
    <cellStyle name="20% - Accent6 2 4 2 3 2 3 3" xfId="28593" xr:uid="{0CEA1C80-D26C-4E00-B6DD-133005775EEA}"/>
    <cellStyle name="20% - Accent6 2 4 2 3 2 4" xfId="21223" xr:uid="{D28F8B7F-7326-4C58-AF54-A82AC89C0196}"/>
    <cellStyle name="20% - Accent6 2 4 2 3 2 4 2" xfId="36199" xr:uid="{425265CE-1D52-44CD-BB3C-8DB6F32E44D1}"/>
    <cellStyle name="20% - Accent6 2 4 2 3 2 5" xfId="28595" xr:uid="{7B2DB377-AB36-47D3-9EA3-3227228279AD}"/>
    <cellStyle name="20% - Accent6 2 4 2 3 3" xfId="3272" xr:uid="{00000000-0005-0000-0000-00002B080000}"/>
    <cellStyle name="20% - Accent6 2 4 2 3 3 2" xfId="3271" xr:uid="{00000000-0005-0000-0000-00002C080000}"/>
    <cellStyle name="20% - Accent6 2 4 2 3 3 2 2" xfId="21219" xr:uid="{BF3F5B08-2F0E-4312-85B1-B23DBD974BD8}"/>
    <cellStyle name="20% - Accent6 2 4 2 3 3 2 2 2" xfId="36195" xr:uid="{A3610948-4952-4E8B-B08A-0D123CB0DC8B}"/>
    <cellStyle name="20% - Accent6 2 4 2 3 3 2 3" xfId="28591" xr:uid="{3F294DC7-712A-476E-9DA6-67A6E62AE095}"/>
    <cellStyle name="20% - Accent6 2 4 2 3 3 3" xfId="21220" xr:uid="{637E4C88-EC53-4527-AE27-C4CF08B005EF}"/>
    <cellStyle name="20% - Accent6 2 4 2 3 3 3 2" xfId="36196" xr:uid="{824755D1-A632-46C9-8ECD-A51665E6E081}"/>
    <cellStyle name="20% - Accent6 2 4 2 3 3 4" xfId="28592" xr:uid="{E30777CE-F921-47D1-AC56-3C5AE331CCA6}"/>
    <cellStyle name="20% - Accent6 2 4 2 3 4" xfId="3270" xr:uid="{00000000-0005-0000-0000-00002D080000}"/>
    <cellStyle name="20% - Accent6 2 4 2 3 4 2" xfId="21218" xr:uid="{757FC1DF-A096-4989-AF3C-52238DD240D9}"/>
    <cellStyle name="20% - Accent6 2 4 2 3 4 2 2" xfId="36194" xr:uid="{3B81B713-08D3-4844-8DCA-6E008D4F5EEE}"/>
    <cellStyle name="20% - Accent6 2 4 2 3 4 3" xfId="28590" xr:uid="{608CF503-0C40-4DD7-BB7D-B3E36EA5A870}"/>
    <cellStyle name="20% - Accent6 2 4 2 3 5" xfId="21224" xr:uid="{88F0854D-A3FF-4540-916D-2037859A169C}"/>
    <cellStyle name="20% - Accent6 2 4 2 3 5 2" xfId="36200" xr:uid="{3BD62233-D366-4799-B997-45842AC56A39}"/>
    <cellStyle name="20% - Accent6 2 4 2 3 6" xfId="28596" xr:uid="{D61C9C25-FF2D-4EFD-BF8E-92A4AFF5D14E}"/>
    <cellStyle name="20% - Accent6 2 4 2 4" xfId="3269" xr:uid="{00000000-0005-0000-0000-00002E080000}"/>
    <cellStyle name="20% - Accent6 2 4 2 4 2" xfId="3268" xr:uid="{00000000-0005-0000-0000-00002F080000}"/>
    <cellStyle name="20% - Accent6 2 4 2 4 2 2" xfId="21216" xr:uid="{9199F804-BA7A-466A-9902-1683872C0788}"/>
    <cellStyle name="20% - Accent6 2 4 2 4 2 2 2" xfId="36192" xr:uid="{0BA9989A-B07E-425F-B31B-94051BF7A0CC}"/>
    <cellStyle name="20% - Accent6 2 4 2 4 2 3" xfId="28588" xr:uid="{3374071B-EC8A-4A37-950E-8303AC3D6F87}"/>
    <cellStyle name="20% - Accent6 2 4 2 4 3" xfId="3267" xr:uid="{00000000-0005-0000-0000-000030080000}"/>
    <cellStyle name="20% - Accent6 2 4 2 4 3 2" xfId="21215" xr:uid="{DD0FF7BB-756B-4041-864C-2FE0F3398A03}"/>
    <cellStyle name="20% - Accent6 2 4 2 4 3 2 2" xfId="36191" xr:uid="{95FC77EB-62B7-4EF1-B366-B4193F1B667B}"/>
    <cellStyle name="20% - Accent6 2 4 2 4 3 3" xfId="28587" xr:uid="{402D5912-333C-4B32-AED6-85B45693B90B}"/>
    <cellStyle name="20% - Accent6 2 4 2 4 4" xfId="21217" xr:uid="{9F7D30F6-EE3E-4B1B-9665-007FAE91B466}"/>
    <cellStyle name="20% - Accent6 2 4 2 4 4 2" xfId="36193" xr:uid="{DEE6C54B-1117-4CD8-ADF7-6AF6AD067A0F}"/>
    <cellStyle name="20% - Accent6 2 4 2 4 5" xfId="28589" xr:uid="{3CCF721A-7520-4484-8C7B-62BE9C0403A5}"/>
    <cellStyle name="20% - Accent6 2 4 2 5" xfId="3266" xr:uid="{00000000-0005-0000-0000-000031080000}"/>
    <cellStyle name="20% - Accent6 2 4 2 5 2" xfId="21214" xr:uid="{4B6C758B-5DD2-4FEA-BEB3-0F95427FD12E}"/>
    <cellStyle name="20% - Accent6 2 4 2 5 2 2" xfId="36190" xr:uid="{D4C9F20B-F4E1-4CE4-AD4B-814D2F4C207F}"/>
    <cellStyle name="20% - Accent6 2 4 2 5 3" xfId="28586" xr:uid="{21E08226-C98D-4B69-ADCD-E46E83DBD6A2}"/>
    <cellStyle name="20% - Accent6 2 4 2 6" xfId="3265" xr:uid="{00000000-0005-0000-0000-000032080000}"/>
    <cellStyle name="20% - Accent6 2 4 2 6 2" xfId="3264" xr:uid="{00000000-0005-0000-0000-000033080000}"/>
    <cellStyle name="20% - Accent6 2 4 2 6 2 2" xfId="21212" xr:uid="{D49A5DD9-910B-4603-937E-D5BD14148557}"/>
    <cellStyle name="20% - Accent6 2 4 2 6 2 2 2" xfId="36188" xr:uid="{A2879C5D-C045-4B25-89CE-7F459BBE1004}"/>
    <cellStyle name="20% - Accent6 2 4 2 6 2 3" xfId="28584" xr:uid="{55770E53-87DB-4280-8438-D1CD4DC7686B}"/>
    <cellStyle name="20% - Accent6 2 4 2 6 3" xfId="21213" xr:uid="{0004CEC4-03D1-46D2-916D-D3AFF7893ED5}"/>
    <cellStyle name="20% - Accent6 2 4 2 6 3 2" xfId="36189" xr:uid="{0C4F37BC-4CF8-4DCD-ABE2-67AD65438E83}"/>
    <cellStyle name="20% - Accent6 2 4 2 6 4" xfId="28585" xr:uid="{FBF074D7-0BDD-4896-98BF-D33FB181A4A4}"/>
    <cellStyle name="20% - Accent6 2 4 2 7" xfId="3263" xr:uid="{00000000-0005-0000-0000-000034080000}"/>
    <cellStyle name="20% - Accent6 2 4 2 7 2" xfId="21211" xr:uid="{ABA30C7B-0ACA-4C83-AA38-EA980CF47941}"/>
    <cellStyle name="20% - Accent6 2 4 2 7 2 2" xfId="36187" xr:uid="{FAE3A1DF-B019-4550-AFCA-0D89A5301959}"/>
    <cellStyle name="20% - Accent6 2 4 2 7 3" xfId="28583" xr:uid="{299ABC8A-50B0-4EE0-AADA-99F5E3B84802}"/>
    <cellStyle name="20% - Accent6 2 4 2 8" xfId="21232" xr:uid="{6652BB56-047A-457B-B282-E52C0E793C26}"/>
    <cellStyle name="20% - Accent6 2 4 2 8 2" xfId="36208" xr:uid="{7B42106D-5287-4086-B2AB-7C06396507EF}"/>
    <cellStyle name="20% - Accent6 2 4 2 9" xfId="28604" xr:uid="{362902B4-5463-49C0-BB90-24C4EDCAF964}"/>
    <cellStyle name="20% - Accent6 2 4 3" xfId="3262" xr:uid="{00000000-0005-0000-0000-000035080000}"/>
    <cellStyle name="20% - Accent6 2 4 3 2" xfId="3261" xr:uid="{00000000-0005-0000-0000-000036080000}"/>
    <cellStyle name="20% - Accent6 2 4 3 2 2" xfId="3260" xr:uid="{00000000-0005-0000-0000-000037080000}"/>
    <cellStyle name="20% - Accent6 2 4 3 2 2 2" xfId="21208" xr:uid="{5DD18231-7561-40CB-BE22-5BBE48D7B62C}"/>
    <cellStyle name="20% - Accent6 2 4 3 2 2 2 2" xfId="36184" xr:uid="{C4217E86-1BB5-432A-A7D0-23D3607BCDDC}"/>
    <cellStyle name="20% - Accent6 2 4 3 2 2 3" xfId="28580" xr:uid="{AB416667-BC28-4C00-8114-9809778B13E1}"/>
    <cellStyle name="20% - Accent6 2 4 3 2 3" xfId="3259" xr:uid="{00000000-0005-0000-0000-000038080000}"/>
    <cellStyle name="20% - Accent6 2 4 3 2 3 2" xfId="21207" xr:uid="{3B21D5FD-576B-4539-A309-A1065650A2D3}"/>
    <cellStyle name="20% - Accent6 2 4 3 2 3 2 2" xfId="36183" xr:uid="{9F473995-3A3D-47F9-A893-C3D9C6F786A0}"/>
    <cellStyle name="20% - Accent6 2 4 3 2 3 3" xfId="28579" xr:uid="{71B5CE23-6328-4546-A4B3-3FA543ABE594}"/>
    <cellStyle name="20% - Accent6 2 4 3 2 4" xfId="21209" xr:uid="{FB5A7295-D0F8-43D0-90F8-908B2DD440A9}"/>
    <cellStyle name="20% - Accent6 2 4 3 2 4 2" xfId="36185" xr:uid="{BDF74E77-7ECA-42FF-A43C-2C172CA3F1FF}"/>
    <cellStyle name="20% - Accent6 2 4 3 2 5" xfId="28581" xr:uid="{A01BA40F-7D16-4DD4-9212-9FA4FDDF52A3}"/>
    <cellStyle name="20% - Accent6 2 4 3 3" xfId="5580" xr:uid="{00000000-0005-0000-0000-000039080000}"/>
    <cellStyle name="20% - Accent6 2 4 3 3 2" xfId="5582" xr:uid="{00000000-0005-0000-0000-00003A080000}"/>
    <cellStyle name="20% - Accent6 2 4 3 3 2 2" xfId="23238" xr:uid="{69970890-9C05-46A5-B7FD-1A49B0B4B37B}"/>
    <cellStyle name="20% - Accent6 2 4 3 3 2 2 2" xfId="38209" xr:uid="{5A9213FA-CEE4-49B8-A48E-1D6DF88B6A39}"/>
    <cellStyle name="20% - Accent6 2 4 3 3 2 3" xfId="30606" xr:uid="{D05D5842-F3AD-4E7F-954E-9462578F2ECD}"/>
    <cellStyle name="20% - Accent6 2 4 3 3 3" xfId="23236" xr:uid="{48B0820F-57C3-4D7E-BB6E-9950E9CE4A64}"/>
    <cellStyle name="20% - Accent6 2 4 3 3 3 2" xfId="38207" xr:uid="{5333F208-9D92-4500-AEC9-954D08EECF29}"/>
    <cellStyle name="20% - Accent6 2 4 3 3 4" xfId="30604" xr:uid="{4A86655D-1332-47FE-859A-B7FA1D11A869}"/>
    <cellStyle name="20% - Accent6 2 4 3 4" xfId="5587" xr:uid="{00000000-0005-0000-0000-00003B080000}"/>
    <cellStyle name="20% - Accent6 2 4 3 4 2" xfId="23243" xr:uid="{CEB82FA7-5414-4E43-83C8-3C753397DC12}"/>
    <cellStyle name="20% - Accent6 2 4 3 4 2 2" xfId="38214" xr:uid="{E0412F1A-7AC5-4BC9-8C74-31020287C90E}"/>
    <cellStyle name="20% - Accent6 2 4 3 4 3" xfId="30611" xr:uid="{55DBD1D0-3456-4D52-974F-9FE476012F04}"/>
    <cellStyle name="20% - Accent6 2 4 3 5" xfId="21210" xr:uid="{55EAB872-457E-4098-A617-1836BA6A99CD}"/>
    <cellStyle name="20% - Accent6 2 4 3 5 2" xfId="36186" xr:uid="{A82B6ACA-C541-439D-9317-B82CCDA4D31C}"/>
    <cellStyle name="20% - Accent6 2 4 3 6" xfId="28582" xr:uid="{3E01A8B1-C626-4A57-97B2-E184FD0804FF}"/>
    <cellStyle name="20% - Accent6 2 4 4" xfId="5590" xr:uid="{00000000-0005-0000-0000-00003C080000}"/>
    <cellStyle name="20% - Accent6 2 4 4 2" xfId="3258" xr:uid="{00000000-0005-0000-0000-00003D080000}"/>
    <cellStyle name="20% - Accent6 2 4 4 2 2" xfId="3257" xr:uid="{00000000-0005-0000-0000-00003E080000}"/>
    <cellStyle name="20% - Accent6 2 4 4 2 2 2" xfId="21205" xr:uid="{0085AEC8-DCCC-407F-BCD5-39220AA5432C}"/>
    <cellStyle name="20% - Accent6 2 4 4 2 2 2 2" xfId="36181" xr:uid="{40A2B5BA-1C6F-4303-A354-73C2E17C40C4}"/>
    <cellStyle name="20% - Accent6 2 4 4 2 2 3" xfId="28577" xr:uid="{32C6D2D2-44DC-43C3-B92D-DAAA1997C96A}"/>
    <cellStyle name="20% - Accent6 2 4 4 2 3" xfId="3256" xr:uid="{00000000-0005-0000-0000-00003F080000}"/>
    <cellStyle name="20% - Accent6 2 4 4 2 3 2" xfId="21204" xr:uid="{42C26804-14C8-44A3-A8CD-EB0B28B15F1E}"/>
    <cellStyle name="20% - Accent6 2 4 4 2 3 2 2" xfId="36180" xr:uid="{F2E449B7-EE6A-47C1-A8CD-443872390010}"/>
    <cellStyle name="20% - Accent6 2 4 4 2 3 3" xfId="28576" xr:uid="{0FAC1CB0-D92B-4599-8A4E-0E54AD0C4364}"/>
    <cellStyle name="20% - Accent6 2 4 4 2 4" xfId="21206" xr:uid="{6D2DD0FE-D605-4F27-8F17-6F40202421FC}"/>
    <cellStyle name="20% - Accent6 2 4 4 2 4 2" xfId="36182" xr:uid="{1D7A2A3E-285D-4A62-9F38-9C9E283BC36F}"/>
    <cellStyle name="20% - Accent6 2 4 4 2 5" xfId="28578" xr:uid="{62D5A714-679F-4487-94BC-AD67997118C6}"/>
    <cellStyle name="20% - Accent6 2 4 4 3" xfId="3255" xr:uid="{00000000-0005-0000-0000-000040080000}"/>
    <cellStyle name="20% - Accent6 2 4 4 3 2" xfId="3254" xr:uid="{00000000-0005-0000-0000-000041080000}"/>
    <cellStyle name="20% - Accent6 2 4 4 3 2 2" xfId="21202" xr:uid="{E2D7E1EB-DDB9-4F2F-90B5-28424C1E573F}"/>
    <cellStyle name="20% - Accent6 2 4 4 3 2 2 2" xfId="36178" xr:uid="{E75217F6-85FD-4FAE-88AD-45D91B6CEFA5}"/>
    <cellStyle name="20% - Accent6 2 4 4 3 2 3" xfId="28574" xr:uid="{5040DF1E-325B-456F-BC76-B0E3BE827F27}"/>
    <cellStyle name="20% - Accent6 2 4 4 3 3" xfId="21203" xr:uid="{9313D4B8-396E-43E1-9193-D9E1A9A0F2EC}"/>
    <cellStyle name="20% - Accent6 2 4 4 3 3 2" xfId="36179" xr:uid="{5C21DE96-B4CD-40D4-B158-697D0373FB51}"/>
    <cellStyle name="20% - Accent6 2 4 4 3 4" xfId="28575" xr:uid="{8151DDB0-E2A0-4DE5-8E9B-04DC2E05B1E1}"/>
    <cellStyle name="20% - Accent6 2 4 4 4" xfId="5593" xr:uid="{00000000-0005-0000-0000-000042080000}"/>
    <cellStyle name="20% - Accent6 2 4 4 4 2" xfId="23249" xr:uid="{D3778B4F-E1F5-470B-80AC-4123847C3953}"/>
    <cellStyle name="20% - Accent6 2 4 4 4 2 2" xfId="38220" xr:uid="{00BDF04B-8B48-48A0-9FDA-3EB0E64FE884}"/>
    <cellStyle name="20% - Accent6 2 4 4 4 3" xfId="30617" xr:uid="{210B525F-A221-4EB9-8003-3A1658CDE91F}"/>
    <cellStyle name="20% - Accent6 2 4 4 5" xfId="23246" xr:uid="{41667959-D53E-4A3D-BEC0-1C5D295C73A8}"/>
    <cellStyle name="20% - Accent6 2 4 4 5 2" xfId="38217" xr:uid="{EA2345DE-8FF9-4C67-A56B-7C0A459F710D}"/>
    <cellStyle name="20% - Accent6 2 4 4 6" xfId="30614" xr:uid="{F2540318-6630-4295-83B1-BE0BB2D2E94E}"/>
    <cellStyle name="20% - Accent6 2 4 5" xfId="5596" xr:uid="{00000000-0005-0000-0000-000043080000}"/>
    <cellStyle name="20% - Accent6 2 4 5 2" xfId="5599" xr:uid="{00000000-0005-0000-0000-000044080000}"/>
    <cellStyle name="20% - Accent6 2 4 5 2 2" xfId="23255" xr:uid="{7DE9BB01-5DEE-4914-A1AB-71ACB94C0B33}"/>
    <cellStyle name="20% - Accent6 2 4 5 2 2 2" xfId="38226" xr:uid="{94B2886D-DF21-4FCC-9777-6D76E33925DD}"/>
    <cellStyle name="20% - Accent6 2 4 5 2 3" xfId="30623" xr:uid="{3B40F3AA-0F2E-4867-8295-01D086DA62CE}"/>
    <cellStyle name="20% - Accent6 2 4 5 3" xfId="5602" xr:uid="{00000000-0005-0000-0000-000045080000}"/>
    <cellStyle name="20% - Accent6 2 4 5 3 2" xfId="23258" xr:uid="{A33E57BA-7B47-4DFC-9FC7-24F4488E9352}"/>
    <cellStyle name="20% - Accent6 2 4 5 3 2 2" xfId="38229" xr:uid="{50CFD762-86E0-4CB1-9D35-715A546067B9}"/>
    <cellStyle name="20% - Accent6 2 4 5 3 3" xfId="30626" xr:uid="{C887D544-CEB7-4DE6-90DD-28B93085B999}"/>
    <cellStyle name="20% - Accent6 2 4 5 4" xfId="23252" xr:uid="{BA0D9A98-1B32-4603-8E68-372E818DCA16}"/>
    <cellStyle name="20% - Accent6 2 4 5 4 2" xfId="38223" xr:uid="{CB04C10A-DB90-4501-8E62-89307D91FF93}"/>
    <cellStyle name="20% - Accent6 2 4 5 5" xfId="30620" xr:uid="{96F5E4A3-D645-4038-AF5D-C6FC8B47AA2E}"/>
    <cellStyle name="20% - Accent6 2 4 6" xfId="5608" xr:uid="{00000000-0005-0000-0000-000046080000}"/>
    <cellStyle name="20% - Accent6 2 4 6 2" xfId="23262" xr:uid="{0C4F91DF-15F3-4A2D-8607-92C8E55E6176}"/>
    <cellStyle name="20% - Accent6 2 4 6 2 2" xfId="38233" xr:uid="{25B53408-1FBF-44BD-B627-3FDC6E01B0EE}"/>
    <cellStyle name="20% - Accent6 2 4 6 3" xfId="30630" xr:uid="{811CCB50-CAEF-4C41-9B57-A079A640AFC3}"/>
    <cellStyle name="20% - Accent6 2 4 7" xfId="5610" xr:uid="{00000000-0005-0000-0000-000047080000}"/>
    <cellStyle name="20% - Accent6 2 4 7 2" xfId="5613" xr:uid="{00000000-0005-0000-0000-000048080000}"/>
    <cellStyle name="20% - Accent6 2 4 7 2 2" xfId="23266" xr:uid="{5AB90723-64CE-456D-AF18-224C906491DB}"/>
    <cellStyle name="20% - Accent6 2 4 7 2 2 2" xfId="38237" xr:uid="{B2054FBB-F385-429C-A943-7890A79F4099}"/>
    <cellStyle name="20% - Accent6 2 4 7 2 3" xfId="30634" xr:uid="{19ECCD2F-BFF9-4701-9E8D-F95426E02916}"/>
    <cellStyle name="20% - Accent6 2 4 7 3" xfId="23264" xr:uid="{C9977928-88E4-4043-9211-F7ABCB983CD5}"/>
    <cellStyle name="20% - Accent6 2 4 7 3 2" xfId="38235" xr:uid="{1C231D53-85C0-4123-ACE2-04E65C50C4AB}"/>
    <cellStyle name="20% - Accent6 2 4 7 4" xfId="30632" xr:uid="{D41FF9D0-6214-4EA3-8909-28600AB24BE9}"/>
    <cellStyle name="20% - Accent6 2 4 8" xfId="5615" xr:uid="{00000000-0005-0000-0000-000049080000}"/>
    <cellStyle name="20% - Accent6 2 4 8 2" xfId="23268" xr:uid="{D7D36274-6CD5-4355-B333-835A027BBA7A}"/>
    <cellStyle name="20% - Accent6 2 4 8 2 2" xfId="38239" xr:uid="{BDB1FD1E-D79F-4126-AE6F-1F2340C4D92A}"/>
    <cellStyle name="20% - Accent6 2 4 8 3" xfId="30636" xr:uid="{72047300-BFE9-4514-9286-68E1FFCD13B2}"/>
    <cellStyle name="20% - Accent6 2 4 9" xfId="21233" xr:uid="{17BCD3F4-618E-4EA2-B5B9-A80C3627D31D}"/>
    <cellStyle name="20% - Accent6 2 4 9 2" xfId="36209" xr:uid="{2E5ECCDF-94FB-456A-BBCB-4FA8EE42F627}"/>
    <cellStyle name="20% - Accent6 2 5" xfId="5618" xr:uid="{00000000-0005-0000-0000-00004A080000}"/>
    <cellStyle name="20% - Accent6 2 5 10" xfId="30638" xr:uid="{868247E1-DA24-473B-8957-B0800FDA0337}"/>
    <cellStyle name="20% - Accent6 2 5 2" xfId="5621" xr:uid="{00000000-0005-0000-0000-00004B080000}"/>
    <cellStyle name="20% - Accent6 2 5 2 2" xfId="3253" xr:uid="{00000000-0005-0000-0000-00004C080000}"/>
    <cellStyle name="20% - Accent6 2 5 2 2 2" xfId="3252" xr:uid="{00000000-0005-0000-0000-00004D080000}"/>
    <cellStyle name="20% - Accent6 2 5 2 2 2 2" xfId="3251" xr:uid="{00000000-0005-0000-0000-00004E080000}"/>
    <cellStyle name="20% - Accent6 2 5 2 2 2 2 2" xfId="21199" xr:uid="{1099B426-29F2-4209-8979-C5B8FC2FCBAF}"/>
    <cellStyle name="20% - Accent6 2 5 2 2 2 2 2 2" xfId="36175" xr:uid="{5FAD7C19-0954-47FD-B0DB-D8875780BC50}"/>
    <cellStyle name="20% - Accent6 2 5 2 2 2 2 3" xfId="28571" xr:uid="{20C00A83-4DC7-4110-9FFB-7C32767DB532}"/>
    <cellStyle name="20% - Accent6 2 5 2 2 2 3" xfId="3250" xr:uid="{00000000-0005-0000-0000-00004F080000}"/>
    <cellStyle name="20% - Accent6 2 5 2 2 2 3 2" xfId="21198" xr:uid="{CC315E1F-19E7-4C60-80C9-F7F48C582A48}"/>
    <cellStyle name="20% - Accent6 2 5 2 2 2 3 2 2" xfId="36174" xr:uid="{3263CD01-7B91-4DC6-B5DC-F137D4BA3F5B}"/>
    <cellStyle name="20% - Accent6 2 5 2 2 2 3 3" xfId="28570" xr:uid="{CF4AA848-54BE-4CD7-958C-F662E8BE2D49}"/>
    <cellStyle name="20% - Accent6 2 5 2 2 2 4" xfId="21200" xr:uid="{A87DDC19-0CB4-46AF-A328-43A2F3A3ABB3}"/>
    <cellStyle name="20% - Accent6 2 5 2 2 2 4 2" xfId="36176" xr:uid="{7273213D-2FF6-47AE-9B72-E682E680A300}"/>
    <cellStyle name="20% - Accent6 2 5 2 2 2 5" xfId="28572" xr:uid="{3652ABD1-176A-4BD0-A7A4-806C49C64387}"/>
    <cellStyle name="20% - Accent6 2 5 2 2 3" xfId="5624" xr:uid="{00000000-0005-0000-0000-000050080000}"/>
    <cellStyle name="20% - Accent6 2 5 2 2 3 2" xfId="5628" xr:uid="{00000000-0005-0000-0000-000051080000}"/>
    <cellStyle name="20% - Accent6 2 5 2 2 3 2 2" xfId="23280" xr:uid="{6D827D0B-DD53-4140-8274-8A3C3ED3EEC8}"/>
    <cellStyle name="20% - Accent6 2 5 2 2 3 2 2 2" xfId="38251" xr:uid="{D6D8C4FA-03B3-4939-B6DE-4F1C4D49EA82}"/>
    <cellStyle name="20% - Accent6 2 5 2 2 3 2 3" xfId="30648" xr:uid="{23848ADB-F9AE-4E7C-88DD-C7DB6D7AB059}"/>
    <cellStyle name="20% - Accent6 2 5 2 2 3 3" xfId="23276" xr:uid="{F48D94A8-E47B-4BE4-80DD-0B67E3DE1568}"/>
    <cellStyle name="20% - Accent6 2 5 2 2 3 3 2" xfId="38247" xr:uid="{261E4E78-052F-41E6-B372-F507A6B21726}"/>
    <cellStyle name="20% - Accent6 2 5 2 2 3 4" xfId="30644" xr:uid="{225EBEBD-8259-489E-A3CC-676EEFF037EE}"/>
    <cellStyle name="20% - Accent6 2 5 2 2 4" xfId="5554" xr:uid="{00000000-0005-0000-0000-000052080000}"/>
    <cellStyle name="20% - Accent6 2 5 2 2 4 2" xfId="23212" xr:uid="{C168CD57-CEE7-4A98-9A05-2202AD59F22F}"/>
    <cellStyle name="20% - Accent6 2 5 2 2 4 2 2" xfId="38183" xr:uid="{DA7A7F41-5EDE-4E71-A7C2-A61A50523206}"/>
    <cellStyle name="20% - Accent6 2 5 2 2 4 3" xfId="30580" xr:uid="{75C12F73-11F3-4756-BC4C-458A4735DACC}"/>
    <cellStyle name="20% - Accent6 2 5 2 2 5" xfId="21201" xr:uid="{0E113F56-7B80-4487-8B33-D49C3675CC70}"/>
    <cellStyle name="20% - Accent6 2 5 2 2 5 2" xfId="36177" xr:uid="{12A83769-7BA0-4D3C-A2A9-CC6A028EB376}"/>
    <cellStyle name="20% - Accent6 2 5 2 2 6" xfId="28573" xr:uid="{1661EDF1-8A8D-4E14-92C6-32D0F0BC8FDE}"/>
    <cellStyle name="20% - Accent6 2 5 2 3" xfId="5556" xr:uid="{00000000-0005-0000-0000-000053080000}"/>
    <cellStyle name="20% - Accent6 2 5 2 3 2" xfId="5561" xr:uid="{00000000-0005-0000-0000-000054080000}"/>
    <cellStyle name="20% - Accent6 2 5 2 3 2 2" xfId="5631" xr:uid="{00000000-0005-0000-0000-000055080000}"/>
    <cellStyle name="20% - Accent6 2 5 2 3 2 2 2" xfId="23283" xr:uid="{0A11F352-55D5-48E2-BDB7-D96B878137EA}"/>
    <cellStyle name="20% - Accent6 2 5 2 3 2 2 2 2" xfId="38254" xr:uid="{C6237070-A3CA-4C08-B898-C577202FA90F}"/>
    <cellStyle name="20% - Accent6 2 5 2 3 2 2 3" xfId="30651" xr:uid="{06313645-F19A-48D8-AA4B-A995EED68606}"/>
    <cellStyle name="20% - Accent6 2 5 2 3 2 3" xfId="5564" xr:uid="{00000000-0005-0000-0000-000056080000}"/>
    <cellStyle name="20% - Accent6 2 5 2 3 2 3 2" xfId="23221" xr:uid="{0344D2F8-90BF-4406-AE09-63104E296496}"/>
    <cellStyle name="20% - Accent6 2 5 2 3 2 3 2 2" xfId="38192" xr:uid="{8176BB8A-1003-4E20-8F32-FDA25BC22F59}"/>
    <cellStyle name="20% - Accent6 2 5 2 3 2 3 3" xfId="30589" xr:uid="{BA3D0ADB-D544-4C87-AE51-FC6D75046767}"/>
    <cellStyle name="20% - Accent6 2 5 2 3 2 4" xfId="23218" xr:uid="{60C1E3A2-A9D3-420C-85A3-592DAC96DF9B}"/>
    <cellStyle name="20% - Accent6 2 5 2 3 2 4 2" xfId="38189" xr:uid="{D04C1ABD-8E9F-495E-A4CD-0FD08DA3523A}"/>
    <cellStyle name="20% - Accent6 2 5 2 3 2 5" xfId="30586" xr:uid="{89CE8A23-AB00-4BE5-A822-5AFA7C4583C4}"/>
    <cellStyle name="20% - Accent6 2 5 2 3 3" xfId="5566" xr:uid="{00000000-0005-0000-0000-000057080000}"/>
    <cellStyle name="20% - Accent6 2 5 2 3 3 2" xfId="5516" xr:uid="{00000000-0005-0000-0000-000058080000}"/>
    <cellStyle name="20% - Accent6 2 5 2 3 3 2 2" xfId="23192" xr:uid="{5EC37DD1-5522-402C-853E-BCB2E4547245}"/>
    <cellStyle name="20% - Accent6 2 5 2 3 3 2 2 2" xfId="38163" xr:uid="{1FBAA5AB-6EFB-4C2B-ABC0-26650CEA0FA0}"/>
    <cellStyle name="20% - Accent6 2 5 2 3 3 2 3" xfId="30560" xr:uid="{8397C07F-1798-4456-BDF5-62852CFFD197}"/>
    <cellStyle name="20% - Accent6 2 5 2 3 3 3" xfId="23223" xr:uid="{C8EB622D-505D-42D8-BC52-F292672F0C07}"/>
    <cellStyle name="20% - Accent6 2 5 2 3 3 3 2" xfId="38194" xr:uid="{5FD94129-AE0E-409F-B868-59235A078CCE}"/>
    <cellStyle name="20% - Accent6 2 5 2 3 3 4" xfId="30591" xr:uid="{C02683B7-8125-4040-8BB6-D37A81DDFC12}"/>
    <cellStyle name="20% - Accent6 2 5 2 3 4" xfId="5510" xr:uid="{00000000-0005-0000-0000-000059080000}"/>
    <cellStyle name="20% - Accent6 2 5 2 3 4 2" xfId="23187" xr:uid="{AC842935-E664-4ACC-8570-B898F0746B3A}"/>
    <cellStyle name="20% - Accent6 2 5 2 3 4 2 2" xfId="38158" xr:uid="{E2B304FE-DB28-4C9B-B0BD-052C8D49BAF9}"/>
    <cellStyle name="20% - Accent6 2 5 2 3 4 3" xfId="30555" xr:uid="{7E2720CC-E772-4C9B-9F9C-CABE71CCB820}"/>
    <cellStyle name="20% - Accent6 2 5 2 3 5" xfId="23214" xr:uid="{27F4AD89-F944-4C11-8E79-BC3CBCC41488}"/>
    <cellStyle name="20% - Accent6 2 5 2 3 5 2" xfId="38185" xr:uid="{288E362F-7046-4D4A-8D47-9F879B3C54B5}"/>
    <cellStyle name="20% - Accent6 2 5 2 3 6" xfId="30582" xr:uid="{0D1798EC-5644-46EE-B614-57AF0706EEB9}"/>
    <cellStyle name="20% - Accent6 2 5 2 4" xfId="3249" xr:uid="{00000000-0005-0000-0000-00005A080000}"/>
    <cellStyle name="20% - Accent6 2 5 2 4 2" xfId="3248" xr:uid="{00000000-0005-0000-0000-00005B080000}"/>
    <cellStyle name="20% - Accent6 2 5 2 4 2 2" xfId="21196" xr:uid="{99FDBDC8-1D5B-4AD5-9AAD-820B5B6C06F7}"/>
    <cellStyle name="20% - Accent6 2 5 2 4 2 2 2" xfId="36172" xr:uid="{CE5F67FD-9B86-4E3F-BB27-4BDDB1DFC58C}"/>
    <cellStyle name="20% - Accent6 2 5 2 4 2 3" xfId="28568" xr:uid="{3B6E4B2F-1BF8-4B16-BB22-9213AB76563E}"/>
    <cellStyle name="20% - Accent6 2 5 2 4 3" xfId="3247" xr:uid="{00000000-0005-0000-0000-00005C080000}"/>
    <cellStyle name="20% - Accent6 2 5 2 4 3 2" xfId="21195" xr:uid="{FBFFD032-039D-4AB7-8B0A-8D3740131601}"/>
    <cellStyle name="20% - Accent6 2 5 2 4 3 2 2" xfId="36171" xr:uid="{7F30C531-4097-40E8-B5D6-BA6AF05F50AA}"/>
    <cellStyle name="20% - Accent6 2 5 2 4 3 3" xfId="28567" xr:uid="{92F51E01-0309-4D76-8FF8-D9A63EC0E826}"/>
    <cellStyle name="20% - Accent6 2 5 2 4 4" xfId="21197" xr:uid="{23471832-45EB-44B5-9328-E9A4CBB4A5C0}"/>
    <cellStyle name="20% - Accent6 2 5 2 4 4 2" xfId="36173" xr:uid="{0824CD1C-E72D-4BC7-8C80-8952F766A72F}"/>
    <cellStyle name="20% - Accent6 2 5 2 4 5" xfId="28569" xr:uid="{BC12DFE0-4C12-4E50-9763-2333464FE64C}"/>
    <cellStyle name="20% - Accent6 2 5 2 5" xfId="3246" xr:uid="{00000000-0005-0000-0000-00005D080000}"/>
    <cellStyle name="20% - Accent6 2 5 2 5 2" xfId="21194" xr:uid="{518F5CFF-B687-44EA-B519-B6595E931F61}"/>
    <cellStyle name="20% - Accent6 2 5 2 5 2 2" xfId="36170" xr:uid="{68E124D5-B318-4337-8146-A91F2D45BF2E}"/>
    <cellStyle name="20% - Accent6 2 5 2 5 3" xfId="28566" xr:uid="{9092A443-892B-4159-AB82-6DBEEA7D79D6}"/>
    <cellStyle name="20% - Accent6 2 5 2 6" xfId="3245" xr:uid="{00000000-0005-0000-0000-00005E080000}"/>
    <cellStyle name="20% - Accent6 2 5 2 6 2" xfId="3244" xr:uid="{00000000-0005-0000-0000-00005F080000}"/>
    <cellStyle name="20% - Accent6 2 5 2 6 2 2" xfId="21192" xr:uid="{347BD82B-17FD-4BCB-9F36-1BD83B98F4E7}"/>
    <cellStyle name="20% - Accent6 2 5 2 6 2 2 2" xfId="36168" xr:uid="{318A90D0-D980-439D-B104-FB4D4775A419}"/>
    <cellStyle name="20% - Accent6 2 5 2 6 2 3" xfId="28564" xr:uid="{C00CDB07-FBF6-4425-91E1-6E002A11B1BA}"/>
    <cellStyle name="20% - Accent6 2 5 2 6 3" xfId="21193" xr:uid="{8A93AE16-E106-486D-9872-E32BA18B7259}"/>
    <cellStyle name="20% - Accent6 2 5 2 6 3 2" xfId="36169" xr:uid="{1D8D3A0F-7F37-4B72-8B1F-29F649B46332}"/>
    <cellStyle name="20% - Accent6 2 5 2 6 4" xfId="28565" xr:uid="{4999F864-A7C1-4E05-AEB8-367F5974518B}"/>
    <cellStyle name="20% - Accent6 2 5 2 7" xfId="5511" xr:uid="{00000000-0005-0000-0000-000060080000}"/>
    <cellStyle name="20% - Accent6 2 5 2 7 2" xfId="23188" xr:uid="{BD4C6142-59F2-4604-A20B-A0C0375080ED}"/>
    <cellStyle name="20% - Accent6 2 5 2 7 2 2" xfId="38159" xr:uid="{AE3FD464-266F-4EF3-B364-AD81B0C3EF72}"/>
    <cellStyle name="20% - Accent6 2 5 2 7 3" xfId="30556" xr:uid="{280BFEE2-062A-4847-9D7F-E35DBE3C1DBB}"/>
    <cellStyle name="20% - Accent6 2 5 2 8" xfId="23273" xr:uid="{60BB144B-7D0C-4730-B493-AC232FFA5F3B}"/>
    <cellStyle name="20% - Accent6 2 5 2 8 2" xfId="38244" xr:uid="{F4CC2033-A8B6-41E2-BFBD-27D2BEC30B64}"/>
    <cellStyle name="20% - Accent6 2 5 2 9" xfId="30641" xr:uid="{C0D2DF63-FFDF-4921-B000-523D3507381A}"/>
    <cellStyle name="20% - Accent6 2 5 3" xfId="3243" xr:uid="{00000000-0005-0000-0000-000061080000}"/>
    <cellStyle name="20% - Accent6 2 5 3 2" xfId="3242" xr:uid="{00000000-0005-0000-0000-000062080000}"/>
    <cellStyle name="20% - Accent6 2 5 3 2 2" xfId="3241" xr:uid="{00000000-0005-0000-0000-000063080000}"/>
    <cellStyle name="20% - Accent6 2 5 3 2 2 2" xfId="21189" xr:uid="{314F1A68-22B9-4E10-8BE4-8080FE1D7794}"/>
    <cellStyle name="20% - Accent6 2 5 3 2 2 2 2" xfId="36165" xr:uid="{54CE58CF-CA87-40D3-8CDB-137A15BDDD12}"/>
    <cellStyle name="20% - Accent6 2 5 3 2 2 3" xfId="28561" xr:uid="{30C0721F-1520-488E-A8FB-A8FC2A074C56}"/>
    <cellStyle name="20% - Accent6 2 5 3 2 3" xfId="3240" xr:uid="{00000000-0005-0000-0000-000064080000}"/>
    <cellStyle name="20% - Accent6 2 5 3 2 3 2" xfId="21188" xr:uid="{9FC44A06-1890-4F6B-8AEC-F72B7665F499}"/>
    <cellStyle name="20% - Accent6 2 5 3 2 3 2 2" xfId="36164" xr:uid="{181299BA-B7C6-4A89-B00C-5D4A97FE74B7}"/>
    <cellStyle name="20% - Accent6 2 5 3 2 3 3" xfId="28560" xr:uid="{8DB23238-9A98-4E71-9F59-AA41EBCBDC8D}"/>
    <cellStyle name="20% - Accent6 2 5 3 2 4" xfId="21190" xr:uid="{E85985D2-AD47-421D-9EDC-926FD7B1876E}"/>
    <cellStyle name="20% - Accent6 2 5 3 2 4 2" xfId="36166" xr:uid="{1ECAD41A-DFDB-4E60-AA29-FA4AFBF26D2F}"/>
    <cellStyle name="20% - Accent6 2 5 3 2 5" xfId="28562" xr:uid="{8A96546F-CF89-4052-9480-82FCD5EB19F2}"/>
    <cellStyle name="20% - Accent6 2 5 3 3" xfId="3239" xr:uid="{00000000-0005-0000-0000-000065080000}"/>
    <cellStyle name="20% - Accent6 2 5 3 3 2" xfId="3238" xr:uid="{00000000-0005-0000-0000-000066080000}"/>
    <cellStyle name="20% - Accent6 2 5 3 3 2 2" xfId="21186" xr:uid="{56AFA4D9-B3A3-47AF-AF23-C0C0E6F3453A}"/>
    <cellStyle name="20% - Accent6 2 5 3 3 2 2 2" xfId="36162" xr:uid="{39870E7F-D260-4F7B-870E-D819CEABBE99}"/>
    <cellStyle name="20% - Accent6 2 5 3 3 2 3" xfId="28558" xr:uid="{D0444624-9C8D-46CE-AB67-ECFAD69AD8E6}"/>
    <cellStyle name="20% - Accent6 2 5 3 3 3" xfId="21187" xr:uid="{1D656ACD-DCCC-4536-8020-FB26A6CDAAAE}"/>
    <cellStyle name="20% - Accent6 2 5 3 3 3 2" xfId="36163" xr:uid="{1E23919D-2FD2-4439-81FD-D3A59D3FC463}"/>
    <cellStyle name="20% - Accent6 2 5 3 3 4" xfId="28559" xr:uid="{E0336747-C92C-4307-8B84-9F1ACA227A90}"/>
    <cellStyle name="20% - Accent6 2 5 3 4" xfId="3237" xr:uid="{00000000-0005-0000-0000-000067080000}"/>
    <cellStyle name="20% - Accent6 2 5 3 4 2" xfId="21185" xr:uid="{B7A42DFA-6ED9-49E4-ACF0-470C02A11B0A}"/>
    <cellStyle name="20% - Accent6 2 5 3 4 2 2" xfId="36161" xr:uid="{BF2D66E2-8C83-45D2-AC27-DE895BF6D5C0}"/>
    <cellStyle name="20% - Accent6 2 5 3 4 3" xfId="28557" xr:uid="{FEEE41B1-CA68-4F93-930A-30FF0C9FA0A9}"/>
    <cellStyle name="20% - Accent6 2 5 3 5" xfId="21191" xr:uid="{84989EC0-9ADA-4045-B14A-5A31140E01DF}"/>
    <cellStyle name="20% - Accent6 2 5 3 5 2" xfId="36167" xr:uid="{76259974-8F19-4158-85EC-54A633615F2A}"/>
    <cellStyle name="20% - Accent6 2 5 3 6" xfId="28563" xr:uid="{57F6A305-B092-4F70-9C76-06EFD2D500D3}"/>
    <cellStyle name="20% - Accent6 2 5 4" xfId="3236" xr:uid="{00000000-0005-0000-0000-000068080000}"/>
    <cellStyle name="20% - Accent6 2 5 4 2" xfId="3235" xr:uid="{00000000-0005-0000-0000-000069080000}"/>
    <cellStyle name="20% - Accent6 2 5 4 2 2" xfId="3234" xr:uid="{00000000-0005-0000-0000-00006A080000}"/>
    <cellStyle name="20% - Accent6 2 5 4 2 2 2" xfId="21182" xr:uid="{C0C6A24B-7C2D-4593-A548-2C44EA382FCB}"/>
    <cellStyle name="20% - Accent6 2 5 4 2 2 2 2" xfId="36158" xr:uid="{FB7D6D56-6F52-47D2-A58C-C4ACD7963087}"/>
    <cellStyle name="20% - Accent6 2 5 4 2 2 3" xfId="28554" xr:uid="{929806C2-DA10-4AE7-BC79-4197EAF1FFC3}"/>
    <cellStyle name="20% - Accent6 2 5 4 2 3" xfId="3233" xr:uid="{00000000-0005-0000-0000-00006B080000}"/>
    <cellStyle name="20% - Accent6 2 5 4 2 3 2" xfId="21181" xr:uid="{8FA39FAD-3290-4A54-8EE2-D78F5845DE6D}"/>
    <cellStyle name="20% - Accent6 2 5 4 2 3 2 2" xfId="36157" xr:uid="{AA6C21AD-C7CC-4DF0-B18F-7E89356AA146}"/>
    <cellStyle name="20% - Accent6 2 5 4 2 3 3" xfId="28553" xr:uid="{A6091715-63C6-4A3B-8C09-BDB852EC6751}"/>
    <cellStyle name="20% - Accent6 2 5 4 2 4" xfId="21183" xr:uid="{2DF34988-F4B2-4C25-AA9C-24B8912AC3A6}"/>
    <cellStyle name="20% - Accent6 2 5 4 2 4 2" xfId="36159" xr:uid="{F401B9E5-F92A-4918-9427-3EE0CB7C9A00}"/>
    <cellStyle name="20% - Accent6 2 5 4 2 5" xfId="28555" xr:uid="{017B5B81-CF9A-49EC-AB91-47B97A63DCD7}"/>
    <cellStyle name="20% - Accent6 2 5 4 3" xfId="3232" xr:uid="{00000000-0005-0000-0000-00006C080000}"/>
    <cellStyle name="20% - Accent6 2 5 4 3 2" xfId="3231" xr:uid="{00000000-0005-0000-0000-00006D080000}"/>
    <cellStyle name="20% - Accent6 2 5 4 3 2 2" xfId="21179" xr:uid="{78100C58-F2FB-4B0D-9F07-FD92A9C501B5}"/>
    <cellStyle name="20% - Accent6 2 5 4 3 2 2 2" xfId="36155" xr:uid="{02A19506-B42B-432A-8892-60E4462E1D0B}"/>
    <cellStyle name="20% - Accent6 2 5 4 3 2 3" xfId="28551" xr:uid="{D3D9077B-8F91-4E5B-984B-B0EE994B4950}"/>
    <cellStyle name="20% - Accent6 2 5 4 3 3" xfId="21180" xr:uid="{5A082CE2-3B61-416B-B0D9-4D6C2BB34549}"/>
    <cellStyle name="20% - Accent6 2 5 4 3 3 2" xfId="36156" xr:uid="{384488B6-7A55-4EC8-BDEA-A225B848C070}"/>
    <cellStyle name="20% - Accent6 2 5 4 3 4" xfId="28552" xr:uid="{727E86C5-49EB-4D45-BD82-2891995D6C9B}"/>
    <cellStyle name="20% - Accent6 2 5 4 4" xfId="3230" xr:uid="{00000000-0005-0000-0000-00006E080000}"/>
    <cellStyle name="20% - Accent6 2 5 4 4 2" xfId="21178" xr:uid="{3D17C508-CAC1-4763-B749-B426AD11B70E}"/>
    <cellStyle name="20% - Accent6 2 5 4 4 2 2" xfId="36154" xr:uid="{633CCB9F-D9B5-4143-8744-F0EB932D1905}"/>
    <cellStyle name="20% - Accent6 2 5 4 4 3" xfId="28550" xr:uid="{2DEB6B09-F67F-44B3-AAD2-F5501666F16A}"/>
    <cellStyle name="20% - Accent6 2 5 4 5" xfId="21184" xr:uid="{F6B45303-0385-4F01-96F9-274BC1F9A965}"/>
    <cellStyle name="20% - Accent6 2 5 4 5 2" xfId="36160" xr:uid="{D75A202B-9F05-471A-9CAC-E795CF4B28A9}"/>
    <cellStyle name="20% - Accent6 2 5 4 6" xfId="28556" xr:uid="{F2BD7EFA-F288-4092-BD54-227B81D5FB79}"/>
    <cellStyle name="20% - Accent6 2 5 5" xfId="3229" xr:uid="{00000000-0005-0000-0000-00006F080000}"/>
    <cellStyle name="20% - Accent6 2 5 5 2" xfId="3228" xr:uid="{00000000-0005-0000-0000-000070080000}"/>
    <cellStyle name="20% - Accent6 2 5 5 2 2" xfId="21176" xr:uid="{12E1C149-6595-4A6C-A991-86B14F48E3DD}"/>
    <cellStyle name="20% - Accent6 2 5 5 2 2 2" xfId="36152" xr:uid="{229E6689-5898-42E7-94AE-E6CCD0336C16}"/>
    <cellStyle name="20% - Accent6 2 5 5 2 3" xfId="28548" xr:uid="{C16FC388-6525-4C7D-8FCE-756ED12CF003}"/>
    <cellStyle name="20% - Accent6 2 5 5 3" xfId="3227" xr:uid="{00000000-0005-0000-0000-000071080000}"/>
    <cellStyle name="20% - Accent6 2 5 5 3 2" xfId="21175" xr:uid="{17C0B06D-E8D8-4F61-98D1-22E58B43363C}"/>
    <cellStyle name="20% - Accent6 2 5 5 3 2 2" xfId="36151" xr:uid="{2F2D72FD-D92A-487A-8B7A-A48768545367}"/>
    <cellStyle name="20% - Accent6 2 5 5 3 3" xfId="28547" xr:uid="{507F050D-47B1-4625-BCD5-077FF7D04159}"/>
    <cellStyle name="20% - Accent6 2 5 5 4" xfId="21177" xr:uid="{289BF8E8-DD92-4F1F-B121-D6ACE8404921}"/>
    <cellStyle name="20% - Accent6 2 5 5 4 2" xfId="36153" xr:uid="{D8552F5A-C743-4A43-A21D-3137FC430D36}"/>
    <cellStyle name="20% - Accent6 2 5 5 5" xfId="28549" xr:uid="{E1918224-0870-4F12-9E83-825A3534C884}"/>
    <cellStyle name="20% - Accent6 2 5 6" xfId="3226" xr:uid="{00000000-0005-0000-0000-000072080000}"/>
    <cellStyle name="20% - Accent6 2 5 6 2" xfId="21174" xr:uid="{8F5241A2-CA13-4B0B-A649-B46E00F8AFB9}"/>
    <cellStyle name="20% - Accent6 2 5 6 2 2" xfId="36150" xr:uid="{B4DF61D3-B261-4BFA-BF9F-E11F3D6A1E65}"/>
    <cellStyle name="20% - Accent6 2 5 6 3" xfId="28546" xr:uid="{9EB049EA-A89A-47DD-9B8E-7A6B63268A2E}"/>
    <cellStyle name="20% - Accent6 2 5 7" xfId="3225" xr:uid="{00000000-0005-0000-0000-000073080000}"/>
    <cellStyle name="20% - Accent6 2 5 7 2" xfId="3224" xr:uid="{00000000-0005-0000-0000-000074080000}"/>
    <cellStyle name="20% - Accent6 2 5 7 2 2" xfId="21172" xr:uid="{3749F340-DCBC-4D36-952A-20B21A03E4D2}"/>
    <cellStyle name="20% - Accent6 2 5 7 2 2 2" xfId="36148" xr:uid="{FB7A8D1B-AB34-40AD-8D21-2B05A94CE8A0}"/>
    <cellStyle name="20% - Accent6 2 5 7 2 3" xfId="28544" xr:uid="{4582B128-CE01-4475-A2C8-E723AEF38A28}"/>
    <cellStyle name="20% - Accent6 2 5 7 3" xfId="21173" xr:uid="{DDA35C89-E9BA-4F00-A44D-B68BF64DE591}"/>
    <cellStyle name="20% - Accent6 2 5 7 3 2" xfId="36149" xr:uid="{D6AB62F0-2788-4948-9636-E762A36924CD}"/>
    <cellStyle name="20% - Accent6 2 5 7 4" xfId="28545" xr:uid="{7017D70E-44BA-45CC-8155-7145F7965AE1}"/>
    <cellStyle name="20% - Accent6 2 5 8" xfId="3223" xr:uid="{00000000-0005-0000-0000-000075080000}"/>
    <cellStyle name="20% - Accent6 2 5 8 2" xfId="21171" xr:uid="{3B52EB4E-33B6-4FA2-83EC-9FD60989A02B}"/>
    <cellStyle name="20% - Accent6 2 5 8 2 2" xfId="36147" xr:uid="{D13A18F0-33EA-462D-B522-F78A495B453E}"/>
    <cellStyle name="20% - Accent6 2 5 8 3" xfId="28543" xr:uid="{B0F94DA9-05C3-4F7D-B82C-3348AC20B85E}"/>
    <cellStyle name="20% - Accent6 2 5 9" xfId="23270" xr:uid="{972A8C27-7D99-4723-BAB6-B19AEBA532CB}"/>
    <cellStyle name="20% - Accent6 2 5 9 2" xfId="38241" xr:uid="{7C6F2260-5F13-408D-BF07-F1F8774E3D8B}"/>
    <cellStyle name="20% - Accent6 2 6" xfId="3222" xr:uid="{00000000-0005-0000-0000-000076080000}"/>
    <cellStyle name="20% - Accent6 2 6 10" xfId="28542" xr:uid="{C47E1DC4-8145-4845-8EEA-CA57990B99E5}"/>
    <cellStyle name="20% - Accent6 2 6 2" xfId="3221" xr:uid="{00000000-0005-0000-0000-000077080000}"/>
    <cellStyle name="20% - Accent6 2 6 2 2" xfId="5581" xr:uid="{00000000-0005-0000-0000-000078080000}"/>
    <cellStyle name="20% - Accent6 2 6 2 2 2" xfId="5583" xr:uid="{00000000-0005-0000-0000-000079080000}"/>
    <cellStyle name="20% - Accent6 2 6 2 2 2 2" xfId="5588" xr:uid="{00000000-0005-0000-0000-00007A080000}"/>
    <cellStyle name="20% - Accent6 2 6 2 2 2 2 2" xfId="23244" xr:uid="{425EC787-46CC-4D73-BAD9-39CA9E1033CA}"/>
    <cellStyle name="20% - Accent6 2 6 2 2 2 2 2 2" xfId="38215" xr:uid="{8C51DA32-06E7-47F4-90A1-E12BDD84FCD2}"/>
    <cellStyle name="20% - Accent6 2 6 2 2 2 2 3" xfId="30612" xr:uid="{756B8B71-E3C6-4C1C-B051-FEEBB8C6D11A}"/>
    <cellStyle name="20% - Accent6 2 6 2 2 2 3" xfId="5591" xr:uid="{00000000-0005-0000-0000-00007B080000}"/>
    <cellStyle name="20% - Accent6 2 6 2 2 2 3 2" xfId="23247" xr:uid="{36AB91A1-C2AD-40F4-8174-370D32B75F05}"/>
    <cellStyle name="20% - Accent6 2 6 2 2 2 3 2 2" xfId="38218" xr:uid="{182B1A7E-3537-4F84-B28A-AF4E65BA28E9}"/>
    <cellStyle name="20% - Accent6 2 6 2 2 2 3 3" xfId="30615" xr:uid="{C7DD10BC-DDA1-442A-8685-423CD7BB7526}"/>
    <cellStyle name="20% - Accent6 2 6 2 2 2 4" xfId="23239" xr:uid="{FA6246C9-1BD2-4336-80D3-69A94940D4F1}"/>
    <cellStyle name="20% - Accent6 2 6 2 2 2 4 2" xfId="38210" xr:uid="{5D21C3D4-67B5-46C2-95A5-8528920849C6}"/>
    <cellStyle name="20% - Accent6 2 6 2 2 2 5" xfId="30607" xr:uid="{7150194C-162E-4771-81B8-885356FBE01B}"/>
    <cellStyle name="20% - Accent6 2 6 2 2 3" xfId="5594" xr:uid="{00000000-0005-0000-0000-00007C080000}"/>
    <cellStyle name="20% - Accent6 2 6 2 2 3 2" xfId="5597" xr:uid="{00000000-0005-0000-0000-00007D080000}"/>
    <cellStyle name="20% - Accent6 2 6 2 2 3 2 2" xfId="23253" xr:uid="{59F57AC1-E8FF-4177-851E-F1991ED78AC5}"/>
    <cellStyle name="20% - Accent6 2 6 2 2 3 2 2 2" xfId="38224" xr:uid="{6EC2EC59-8DD7-48C2-B617-C13730DF04CB}"/>
    <cellStyle name="20% - Accent6 2 6 2 2 3 2 3" xfId="30621" xr:uid="{33DF82EE-6791-4A26-9006-45E4B6E78F84}"/>
    <cellStyle name="20% - Accent6 2 6 2 2 3 3" xfId="23250" xr:uid="{BFA4D46C-78BA-485B-8864-14A02FA4849F}"/>
    <cellStyle name="20% - Accent6 2 6 2 2 3 3 2" xfId="38221" xr:uid="{0A93A64D-8C13-4CCE-9094-27C367F2B4F8}"/>
    <cellStyle name="20% - Accent6 2 6 2 2 3 4" xfId="30618" xr:uid="{8F9C6AB1-C6D3-45DB-BD0F-5AAD90C536A1}"/>
    <cellStyle name="20% - Accent6 2 6 2 2 4" xfId="3220" xr:uid="{00000000-0005-0000-0000-00007E080000}"/>
    <cellStyle name="20% - Accent6 2 6 2 2 4 2" xfId="21168" xr:uid="{69504CA1-1E08-4956-828C-913310C13354}"/>
    <cellStyle name="20% - Accent6 2 6 2 2 4 2 2" xfId="36144" xr:uid="{74CDEC7B-A023-472F-987B-E718EA3BC5FB}"/>
    <cellStyle name="20% - Accent6 2 6 2 2 4 3" xfId="28540" xr:uid="{546F9142-4E0B-4FDB-8C7F-C5DEFA44A0C6}"/>
    <cellStyle name="20% - Accent6 2 6 2 2 5" xfId="23237" xr:uid="{1DD671B3-8DAC-4DD5-9BFB-8787FDEC9B55}"/>
    <cellStyle name="20% - Accent6 2 6 2 2 5 2" xfId="38208" xr:uid="{5CB9BF00-AE7C-45C2-931D-172F6528EB48}"/>
    <cellStyle name="20% - Accent6 2 6 2 2 6" xfId="30605" xr:uid="{589C6B0A-DEBE-46D9-B287-5407173E66E5}"/>
    <cellStyle name="20% - Accent6 2 6 2 3" xfId="3219" xr:uid="{00000000-0005-0000-0000-00007F080000}"/>
    <cellStyle name="20% - Accent6 2 6 2 3 2" xfId="3218" xr:uid="{00000000-0005-0000-0000-000080080000}"/>
    <cellStyle name="20% - Accent6 2 6 2 3 2 2" xfId="5600" xr:uid="{00000000-0005-0000-0000-000081080000}"/>
    <cellStyle name="20% - Accent6 2 6 2 3 2 2 2" xfId="23256" xr:uid="{34B46682-918B-4FC9-8017-1F240B1786D8}"/>
    <cellStyle name="20% - Accent6 2 6 2 3 2 2 2 2" xfId="38227" xr:uid="{A8A8B1B3-AB71-4F0A-A260-131C169734AA}"/>
    <cellStyle name="20% - Accent6 2 6 2 3 2 2 3" xfId="30624" xr:uid="{FE49F9E9-C37B-409B-AFA1-39A2323D5AC5}"/>
    <cellStyle name="20% - Accent6 2 6 2 3 2 3" xfId="5603" xr:uid="{00000000-0005-0000-0000-000082080000}"/>
    <cellStyle name="20% - Accent6 2 6 2 3 2 3 2" xfId="23259" xr:uid="{2F226ECD-34BC-4741-BD67-1E37C241F020}"/>
    <cellStyle name="20% - Accent6 2 6 2 3 2 3 2 2" xfId="38230" xr:uid="{417D92CA-0017-4420-984E-9387C49ABD38}"/>
    <cellStyle name="20% - Accent6 2 6 2 3 2 3 3" xfId="30627" xr:uid="{91BEACB7-DB96-4E2B-8489-D7B0F362CA1E}"/>
    <cellStyle name="20% - Accent6 2 6 2 3 2 4" xfId="21166" xr:uid="{CACA9BF6-4A03-4572-B2F4-385957BAFD67}"/>
    <cellStyle name="20% - Accent6 2 6 2 3 2 4 2" xfId="36142" xr:uid="{C03AE993-D939-4FD7-A952-E67316A3B218}"/>
    <cellStyle name="20% - Accent6 2 6 2 3 2 5" xfId="28538" xr:uid="{E3D0F124-F333-448A-A187-43032A44BF37}"/>
    <cellStyle name="20% - Accent6 2 6 2 3 3" xfId="5609" xr:uid="{00000000-0005-0000-0000-000083080000}"/>
    <cellStyle name="20% - Accent6 2 6 2 3 3 2" xfId="5611" xr:uid="{00000000-0005-0000-0000-000084080000}"/>
    <cellStyle name="20% - Accent6 2 6 2 3 3 2 2" xfId="23265" xr:uid="{2D09CA69-0DD2-47F8-9C08-9E54174D9B36}"/>
    <cellStyle name="20% - Accent6 2 6 2 3 3 2 2 2" xfId="38236" xr:uid="{0377DC16-F15E-43FC-B879-9DE70AB7BF29}"/>
    <cellStyle name="20% - Accent6 2 6 2 3 3 2 3" xfId="30633" xr:uid="{2D973D73-B763-4417-A5C2-8A4E60B86BD7}"/>
    <cellStyle name="20% - Accent6 2 6 2 3 3 3" xfId="23263" xr:uid="{FCABDD64-A63C-4FB4-B75C-806388D48E92}"/>
    <cellStyle name="20% - Accent6 2 6 2 3 3 3 2" xfId="38234" xr:uid="{151BB472-FFB2-444D-9FF4-F5A6B1306316}"/>
    <cellStyle name="20% - Accent6 2 6 2 3 3 4" xfId="30631" xr:uid="{E87E1BAB-031B-443B-AFFF-43A28DB64C58}"/>
    <cellStyle name="20% - Accent6 2 6 2 3 4" xfId="5614" xr:uid="{00000000-0005-0000-0000-000085080000}"/>
    <cellStyle name="20% - Accent6 2 6 2 3 4 2" xfId="23267" xr:uid="{570A8C37-05A6-4067-9E75-19D1C246733E}"/>
    <cellStyle name="20% - Accent6 2 6 2 3 4 2 2" xfId="38238" xr:uid="{E31D2BE6-FEDC-429C-834B-5FB17D89F8D0}"/>
    <cellStyle name="20% - Accent6 2 6 2 3 4 3" xfId="30635" xr:uid="{E47FCF0B-4EC4-4A60-90A2-9B9AACF79EE6}"/>
    <cellStyle name="20% - Accent6 2 6 2 3 5" xfId="21167" xr:uid="{2A55E759-667B-4C42-88AE-7EE50FCE9D79}"/>
    <cellStyle name="20% - Accent6 2 6 2 3 5 2" xfId="36143" xr:uid="{68DCFF3C-A9CD-4622-B1E1-B72C64E6DA96}"/>
    <cellStyle name="20% - Accent6 2 6 2 3 6" xfId="28539" xr:uid="{E3C27CCC-206E-460D-9CF0-60B34D207277}"/>
    <cellStyle name="20% - Accent6 2 6 2 4" xfId="5616" xr:uid="{00000000-0005-0000-0000-000086080000}"/>
    <cellStyle name="20% - Accent6 2 6 2 4 2" xfId="5619" xr:uid="{00000000-0005-0000-0000-000087080000}"/>
    <cellStyle name="20% - Accent6 2 6 2 4 2 2" xfId="23271" xr:uid="{557CDD9F-2AE8-4BE0-A8FA-44606721F3E2}"/>
    <cellStyle name="20% - Accent6 2 6 2 4 2 2 2" xfId="38242" xr:uid="{370DBCB8-D7D6-4336-8AC8-4F1E3787A7BF}"/>
    <cellStyle name="20% - Accent6 2 6 2 4 2 3" xfId="30639" xr:uid="{E5228BC5-2BF5-4DDC-8E04-4B72D393F004}"/>
    <cellStyle name="20% - Accent6 2 6 2 4 3" xfId="5622" xr:uid="{00000000-0005-0000-0000-000088080000}"/>
    <cellStyle name="20% - Accent6 2 6 2 4 3 2" xfId="23274" xr:uid="{C1E2A2C6-0EF4-4613-B6A3-A603CACF54E7}"/>
    <cellStyle name="20% - Accent6 2 6 2 4 3 2 2" xfId="38245" xr:uid="{75F6B4B8-6F40-46CC-8C7A-E51CCB7E4486}"/>
    <cellStyle name="20% - Accent6 2 6 2 4 3 3" xfId="30642" xr:uid="{1649976C-AE0E-468E-B945-940721143288}"/>
    <cellStyle name="20% - Accent6 2 6 2 4 4" xfId="23269" xr:uid="{CDA5AD4A-3021-48B7-8CB1-496495846939}"/>
    <cellStyle name="20% - Accent6 2 6 2 4 4 2" xfId="38240" xr:uid="{19D91882-70A1-47D3-9084-FAF632BB8351}"/>
    <cellStyle name="20% - Accent6 2 6 2 4 5" xfId="30637" xr:uid="{3F4CE48B-D097-47CA-97CE-B000C36469C2}"/>
    <cellStyle name="20% - Accent6 2 6 2 5" xfId="5625" xr:uid="{00000000-0005-0000-0000-000089080000}"/>
    <cellStyle name="20% - Accent6 2 6 2 5 2" xfId="23277" xr:uid="{F3ECCF2E-28EB-483B-A824-A518BBB05F73}"/>
    <cellStyle name="20% - Accent6 2 6 2 5 2 2" xfId="38248" xr:uid="{8626FA1E-7E91-4036-AD4B-5D4BA707E779}"/>
    <cellStyle name="20% - Accent6 2 6 2 5 3" xfId="30645" xr:uid="{00DF0421-3CB3-42E2-B493-D8C90EA286E1}"/>
    <cellStyle name="20% - Accent6 2 6 2 6" xfId="5629" xr:uid="{00000000-0005-0000-0000-00008A080000}"/>
    <cellStyle name="20% - Accent6 2 6 2 6 2" xfId="5568" xr:uid="{00000000-0005-0000-0000-00008B080000}"/>
    <cellStyle name="20% - Accent6 2 6 2 6 2 2" xfId="23225" xr:uid="{A2F2E9FD-C33C-441E-A6C3-775301FB5533}"/>
    <cellStyle name="20% - Accent6 2 6 2 6 2 2 2" xfId="38196" xr:uid="{CD473E60-0191-40C2-83DA-B7F678BEB7EA}"/>
    <cellStyle name="20% - Accent6 2 6 2 6 2 3" xfId="30593" xr:uid="{62465B13-66D9-4593-A1E9-A526509F5F5F}"/>
    <cellStyle name="20% - Accent6 2 6 2 6 3" xfId="23281" xr:uid="{6BA56F31-2115-4A9D-9FAC-5E2093BE0522}"/>
    <cellStyle name="20% - Accent6 2 6 2 6 3 2" xfId="38252" xr:uid="{83B2F21F-45A3-4C9D-81C6-9E4ABB32D2EA}"/>
    <cellStyle name="20% - Accent6 2 6 2 6 4" xfId="30649" xr:uid="{0B048A28-C253-469B-BE2B-DB54D1D75E95}"/>
    <cellStyle name="20% - Accent6 2 6 2 7" xfId="5518" xr:uid="{00000000-0005-0000-0000-00008C080000}"/>
    <cellStyle name="20% - Accent6 2 6 2 7 2" xfId="23194" xr:uid="{C122EFAD-8875-4941-81FC-E80B5019C09F}"/>
    <cellStyle name="20% - Accent6 2 6 2 7 2 2" xfId="38165" xr:uid="{5B7A8CFD-4AC4-4A1E-A236-522B33871E12}"/>
    <cellStyle name="20% - Accent6 2 6 2 7 3" xfId="30562" xr:uid="{68EA442B-E71A-4F76-A864-060F17762902}"/>
    <cellStyle name="20% - Accent6 2 6 2 8" xfId="21169" xr:uid="{F87DAC1C-1D66-4EA3-B031-E26D7CA4476E}"/>
    <cellStyle name="20% - Accent6 2 6 2 8 2" xfId="36145" xr:uid="{743B21C2-268C-42A3-AF11-DEC526F0422B}"/>
    <cellStyle name="20% - Accent6 2 6 2 9" xfId="28541" xr:uid="{07FBDDC8-9FD0-4EA5-9406-AC02F8920FFF}"/>
    <cellStyle name="20% - Accent6 2 6 3" xfId="5565" xr:uid="{00000000-0005-0000-0000-00008D080000}"/>
    <cellStyle name="20% - Accent6 2 6 3 2" xfId="5514" xr:uid="{00000000-0005-0000-0000-00008E080000}"/>
    <cellStyle name="20% - Accent6 2 6 3 2 2" xfId="3217" xr:uid="{00000000-0005-0000-0000-00008F080000}"/>
    <cellStyle name="20% - Accent6 2 6 3 2 2 2" xfId="21165" xr:uid="{841F4676-A8A0-4646-9DBC-0A82BDB1353D}"/>
    <cellStyle name="20% - Accent6 2 6 3 2 2 2 2" xfId="36141" xr:uid="{8821800F-C6A0-4505-8ACE-3616212A65C3}"/>
    <cellStyle name="20% - Accent6 2 6 3 2 2 3" xfId="28537" xr:uid="{4EAB1326-8113-441E-B2C9-6146A9D7B253}"/>
    <cellStyle name="20% - Accent6 2 6 3 2 3" xfId="3216" xr:uid="{00000000-0005-0000-0000-000090080000}"/>
    <cellStyle name="20% - Accent6 2 6 3 2 3 2" xfId="21164" xr:uid="{225BDAC3-F202-49F5-A7DC-8BFD0BDA65B4}"/>
    <cellStyle name="20% - Accent6 2 6 3 2 3 2 2" xfId="36140" xr:uid="{951E522D-F319-403E-B1B3-4816771927E5}"/>
    <cellStyle name="20% - Accent6 2 6 3 2 3 3" xfId="28536" xr:uid="{574163A5-59C7-45D0-82CD-661D55B77EC2}"/>
    <cellStyle name="20% - Accent6 2 6 3 2 4" xfId="23190" xr:uid="{E1066478-33FC-452E-9ECA-6056CD05320F}"/>
    <cellStyle name="20% - Accent6 2 6 3 2 4 2" xfId="38161" xr:uid="{6D5B104D-294D-4D14-B970-6822F45572F8}"/>
    <cellStyle name="20% - Accent6 2 6 3 2 5" xfId="30558" xr:uid="{5E84347B-829A-4D31-9A73-3FA0367AC4C0}"/>
    <cellStyle name="20% - Accent6 2 6 3 3" xfId="3215" xr:uid="{00000000-0005-0000-0000-000091080000}"/>
    <cellStyle name="20% - Accent6 2 6 3 3 2" xfId="1625" xr:uid="{00000000-0005-0000-0000-000092080000}"/>
    <cellStyle name="20% - Accent6 2 6 3 3 2 2" xfId="20745" xr:uid="{8186661D-5EE6-4534-8FF8-9629491F1245}"/>
    <cellStyle name="20% - Accent6 2 6 3 3 2 2 2" xfId="35738" xr:uid="{DD1DB360-239B-455B-9D7A-9421F1371481}"/>
    <cellStyle name="20% - Accent6 2 6 3 3 2 3" xfId="28062" xr:uid="{DC6C3703-2EA0-4CAD-8FF9-9AB7422B84BD}"/>
    <cellStyle name="20% - Accent6 2 6 3 3 3" xfId="21163" xr:uid="{A885997E-F567-4464-B259-D20AD44FC12A}"/>
    <cellStyle name="20% - Accent6 2 6 3 3 3 2" xfId="36139" xr:uid="{70A9F6C9-BAE8-469C-9B36-C9B8F98A1662}"/>
    <cellStyle name="20% - Accent6 2 6 3 3 4" xfId="28535" xr:uid="{026DCC4C-5AEF-49D1-977E-BAB2757C6FC6}"/>
    <cellStyle name="20% - Accent6 2 6 3 4" xfId="5555" xr:uid="{00000000-0005-0000-0000-000093080000}"/>
    <cellStyle name="20% - Accent6 2 6 3 4 2" xfId="23213" xr:uid="{6EA0780D-344F-4DD7-981F-0FCB002A26A5}"/>
    <cellStyle name="20% - Accent6 2 6 3 4 2 2" xfId="38184" xr:uid="{3A7F8730-5EA5-4D5C-9D88-AA29FE7D4F41}"/>
    <cellStyle name="20% - Accent6 2 6 3 4 3" xfId="30581" xr:uid="{8AF690C8-0F2B-474C-8FBC-5F9C10D310D5}"/>
    <cellStyle name="20% - Accent6 2 6 3 5" xfId="23222" xr:uid="{2DDD661D-FE39-44E2-B64A-9468048451B3}"/>
    <cellStyle name="20% - Accent6 2 6 3 5 2" xfId="38193" xr:uid="{C0EE52A2-6A23-46ED-A314-2BC7161E4564}"/>
    <cellStyle name="20% - Accent6 2 6 3 6" xfId="30590" xr:uid="{DACE4B30-FB73-4254-8E0E-8D0A7C3F437D}"/>
    <cellStyle name="20% - Accent6 2 6 4" xfId="5557" xr:uid="{00000000-0005-0000-0000-000094080000}"/>
    <cellStyle name="20% - Accent6 2 6 4 2" xfId="5562" xr:uid="{00000000-0005-0000-0000-000095080000}"/>
    <cellStyle name="20% - Accent6 2 6 4 2 2" xfId="3214" xr:uid="{00000000-0005-0000-0000-000096080000}"/>
    <cellStyle name="20% - Accent6 2 6 4 2 2 2" xfId="21162" xr:uid="{35D32776-6564-4233-A587-57F989D7A983}"/>
    <cellStyle name="20% - Accent6 2 6 4 2 2 2 2" xfId="36138" xr:uid="{2A829F73-5C53-496B-B759-44B645D5A939}"/>
    <cellStyle name="20% - Accent6 2 6 4 2 2 3" xfId="28534" xr:uid="{3DA3FE65-87EF-49E3-9494-88C655991657}"/>
    <cellStyle name="20% - Accent6 2 6 4 2 3" xfId="3213" xr:uid="{00000000-0005-0000-0000-000097080000}"/>
    <cellStyle name="20% - Accent6 2 6 4 2 3 2" xfId="21161" xr:uid="{CB319680-F682-480D-89C3-530DFA08864E}"/>
    <cellStyle name="20% - Accent6 2 6 4 2 3 2 2" xfId="36137" xr:uid="{1FD8D279-17EE-48EC-A3E3-C8EC53F83091}"/>
    <cellStyle name="20% - Accent6 2 6 4 2 3 3" xfId="28533" xr:uid="{4766D3C3-7447-4F7A-A7A8-951DA14B189E}"/>
    <cellStyle name="20% - Accent6 2 6 4 2 4" xfId="23219" xr:uid="{745EED33-936F-4CAA-8586-E83BE1C3C526}"/>
    <cellStyle name="20% - Accent6 2 6 4 2 4 2" xfId="38190" xr:uid="{32626142-544A-4B72-9770-1B76E4562BE8}"/>
    <cellStyle name="20% - Accent6 2 6 4 2 5" xfId="30587" xr:uid="{11819313-4FEC-478A-8E40-F01A5F419880}"/>
    <cellStyle name="20% - Accent6 2 6 4 3" xfId="3212" xr:uid="{00000000-0005-0000-0000-000098080000}"/>
    <cellStyle name="20% - Accent6 2 6 4 3 2" xfId="3211" xr:uid="{00000000-0005-0000-0000-000099080000}"/>
    <cellStyle name="20% - Accent6 2 6 4 3 2 2" xfId="21159" xr:uid="{C5FD0449-0D09-4AC3-B4B4-0216EF4E138B}"/>
    <cellStyle name="20% - Accent6 2 6 4 3 2 2 2" xfId="36135" xr:uid="{D441D083-B36F-43B5-BD82-228D030433B9}"/>
    <cellStyle name="20% - Accent6 2 6 4 3 2 3" xfId="28531" xr:uid="{C283B6E4-0B10-4719-A94E-5AD766D513A1}"/>
    <cellStyle name="20% - Accent6 2 6 4 3 3" xfId="21160" xr:uid="{1B6D9509-0750-4A9B-9B94-4D32607665A9}"/>
    <cellStyle name="20% - Accent6 2 6 4 3 3 2" xfId="36136" xr:uid="{E37EC9CC-FF6F-432F-91E4-8985151B1119}"/>
    <cellStyle name="20% - Accent6 2 6 4 3 4" xfId="28532" xr:uid="{E2D185F0-E93B-4F09-9A40-1D613A246719}"/>
    <cellStyle name="20% - Accent6 2 6 4 4" xfId="3210" xr:uid="{00000000-0005-0000-0000-00009A080000}"/>
    <cellStyle name="20% - Accent6 2 6 4 4 2" xfId="21158" xr:uid="{62C977E6-8274-449A-935F-82B53F157BD9}"/>
    <cellStyle name="20% - Accent6 2 6 4 4 2 2" xfId="36134" xr:uid="{48CAB10E-930C-43FD-A6E3-018543AEC66A}"/>
    <cellStyle name="20% - Accent6 2 6 4 4 3" xfId="28530" xr:uid="{38C24B19-D133-44B5-9DBB-E80EFAF2BF8A}"/>
    <cellStyle name="20% - Accent6 2 6 4 5" xfId="23215" xr:uid="{C7916691-E814-4286-BE10-B1B69ED09EFB}"/>
    <cellStyle name="20% - Accent6 2 6 4 5 2" xfId="38186" xr:uid="{7B0123F6-D9E1-43D0-AB67-1BE9FC89087C}"/>
    <cellStyle name="20% - Accent6 2 6 4 6" xfId="30583" xr:uid="{674C82BB-CDEE-4F9B-8009-EF0E0CB96A8C}"/>
    <cellStyle name="20% - Accent6 2 6 5" xfId="3209" xr:uid="{00000000-0005-0000-0000-00009B080000}"/>
    <cellStyle name="20% - Accent6 2 6 5 2" xfId="3208" xr:uid="{00000000-0005-0000-0000-00009C080000}"/>
    <cellStyle name="20% - Accent6 2 6 5 2 2" xfId="21156" xr:uid="{A3794298-7847-4D9A-A999-3412730D28AB}"/>
    <cellStyle name="20% - Accent6 2 6 5 2 2 2" xfId="36132" xr:uid="{93F0EDBB-43B5-47DD-A403-E2D68AAE17AF}"/>
    <cellStyle name="20% - Accent6 2 6 5 2 3" xfId="28528" xr:uid="{EC7CBFBD-D0BF-4DF0-AD2C-FC3AE9FA521C}"/>
    <cellStyle name="20% - Accent6 2 6 5 3" xfId="3207" xr:uid="{00000000-0005-0000-0000-00009D080000}"/>
    <cellStyle name="20% - Accent6 2 6 5 3 2" xfId="21155" xr:uid="{7DCF920A-C626-4A23-B306-DC86E844D703}"/>
    <cellStyle name="20% - Accent6 2 6 5 3 2 2" xfId="36131" xr:uid="{E21F603C-9E43-4831-BC0D-7BB392060F13}"/>
    <cellStyle name="20% - Accent6 2 6 5 3 3" xfId="28527" xr:uid="{EBC0C5F3-CCAC-4F14-B7C6-C27C3D84D197}"/>
    <cellStyle name="20% - Accent6 2 6 5 4" xfId="21157" xr:uid="{455B7D85-C57C-4294-B261-5A98C4E8C96E}"/>
    <cellStyle name="20% - Accent6 2 6 5 4 2" xfId="36133" xr:uid="{0D8AF11A-8955-4B56-9D33-41B5BDAF0354}"/>
    <cellStyle name="20% - Accent6 2 6 5 5" xfId="28529" xr:uid="{0745A5F2-3EE6-462D-8F83-502078FCD27C}"/>
    <cellStyle name="20% - Accent6 2 6 6" xfId="3206" xr:uid="{00000000-0005-0000-0000-00009E080000}"/>
    <cellStyle name="20% - Accent6 2 6 6 2" xfId="21154" xr:uid="{155734DD-F3EE-4B55-870C-C754F496D82B}"/>
    <cellStyle name="20% - Accent6 2 6 6 2 2" xfId="36130" xr:uid="{E528AFF1-5871-4644-BB12-C63CA5F333B0}"/>
    <cellStyle name="20% - Accent6 2 6 6 3" xfId="28526" xr:uid="{8F2485A8-ABD7-4F2F-8736-46F71D9FBFE4}"/>
    <cellStyle name="20% - Accent6 2 6 7" xfId="3205" xr:uid="{00000000-0005-0000-0000-00009F080000}"/>
    <cellStyle name="20% - Accent6 2 6 7 2" xfId="3204" xr:uid="{00000000-0005-0000-0000-0000A0080000}"/>
    <cellStyle name="20% - Accent6 2 6 7 2 2" xfId="21152" xr:uid="{A2E7D291-564A-414E-B214-C207C3A7ED9A}"/>
    <cellStyle name="20% - Accent6 2 6 7 2 2 2" xfId="36128" xr:uid="{A855A49C-83F9-4DCD-899D-12D4CEC35526}"/>
    <cellStyle name="20% - Accent6 2 6 7 2 3" xfId="28524" xr:uid="{F5731760-0BE2-4BFF-84E0-DED885F080FD}"/>
    <cellStyle name="20% - Accent6 2 6 7 3" xfId="21153" xr:uid="{706B1657-B204-447D-AEB1-E00CDE89EABF}"/>
    <cellStyle name="20% - Accent6 2 6 7 3 2" xfId="36129" xr:uid="{91784BA6-4134-426C-8872-960069370652}"/>
    <cellStyle name="20% - Accent6 2 6 7 4" xfId="28525" xr:uid="{2DBD68B8-B30E-42A6-A2F6-2F870FA0FD54}"/>
    <cellStyle name="20% - Accent6 2 6 8" xfId="3203" xr:uid="{00000000-0005-0000-0000-0000A1080000}"/>
    <cellStyle name="20% - Accent6 2 6 8 2" xfId="21151" xr:uid="{ABC12B32-BAFB-4A7D-93C2-2B636F011340}"/>
    <cellStyle name="20% - Accent6 2 6 8 2 2" xfId="36127" xr:uid="{EFCEB598-B8FB-4EC8-B1F2-F7077A5D5104}"/>
    <cellStyle name="20% - Accent6 2 6 8 3" xfId="28523" xr:uid="{F726FEFC-93F3-40E3-9DFA-53817A9A772C}"/>
    <cellStyle name="20% - Accent6 2 6 9" xfId="21170" xr:uid="{2F5201EC-D395-40DC-AC30-9F8D0417A90A}"/>
    <cellStyle name="20% - Accent6 2 6 9 2" xfId="36146" xr:uid="{03BE5A6F-6D1F-424B-B84E-3B6039EC100A}"/>
    <cellStyle name="20% - Accent6 2 7" xfId="3202" xr:uid="{00000000-0005-0000-0000-0000A2080000}"/>
    <cellStyle name="20% - Accent6 2 7 2" xfId="3201" xr:uid="{00000000-0005-0000-0000-0000A3080000}"/>
    <cellStyle name="20% - Accent6 2 7 2 2" xfId="3200" xr:uid="{00000000-0005-0000-0000-0000A4080000}"/>
    <cellStyle name="20% - Accent6 2 7 2 2 2" xfId="21148" xr:uid="{9BC6A3A1-10C0-4932-B754-3786712135AD}"/>
    <cellStyle name="20% - Accent6 2 7 2 2 2 2" xfId="36124" xr:uid="{EFD9C136-5A6C-4F7A-BEC0-4B4308EAEFB5}"/>
    <cellStyle name="20% - Accent6 2 7 2 2 3" xfId="28520" xr:uid="{3268FC7A-20A9-476E-89DE-925F1DF2629E}"/>
    <cellStyle name="20% - Accent6 2 7 2 3" xfId="5513" xr:uid="{00000000-0005-0000-0000-0000A5080000}"/>
    <cellStyle name="20% - Accent6 2 7 2 3 2" xfId="23189" xr:uid="{5A50F001-BCF9-4BB0-8A47-9CCBC5FBF25E}"/>
    <cellStyle name="20% - Accent6 2 7 2 3 2 2" xfId="38160" xr:uid="{047C50D1-465D-49EF-92A2-EC967FF91196}"/>
    <cellStyle name="20% - Accent6 2 7 2 3 3" xfId="30557" xr:uid="{FBE1AEED-0E71-4A53-A6C1-A668CF7ED7AA}"/>
    <cellStyle name="20% - Accent6 2 7 2 4" xfId="21149" xr:uid="{C21DAE31-39A1-48BC-B8E7-C90352358A74}"/>
    <cellStyle name="20% - Accent6 2 7 2 4 2" xfId="36125" xr:uid="{463BBFF5-9F7D-4858-BE14-F42AADDCC63C}"/>
    <cellStyle name="20% - Accent6 2 7 2 5" xfId="28521" xr:uid="{F899AC5F-6712-4E19-902A-4335BBE40F51}"/>
    <cellStyle name="20% - Accent6 2 7 3" xfId="3199" xr:uid="{00000000-0005-0000-0000-0000A6080000}"/>
    <cellStyle name="20% - Accent6 2 7 3 2" xfId="3198" xr:uid="{00000000-0005-0000-0000-0000A7080000}"/>
    <cellStyle name="20% - Accent6 2 7 3 2 2" xfId="21146" xr:uid="{AB12EEFB-0975-4435-A424-5F508C832250}"/>
    <cellStyle name="20% - Accent6 2 7 3 2 2 2" xfId="36122" xr:uid="{8F44CD3E-9DDC-4302-AEF1-B15A604C4784}"/>
    <cellStyle name="20% - Accent6 2 7 3 2 3" xfId="28518" xr:uid="{9F2A544B-C0A7-4068-B6B2-6532C952C306}"/>
    <cellStyle name="20% - Accent6 2 7 3 3" xfId="21147" xr:uid="{25DC80F2-AA9B-49C8-B09C-A541C0DF4FE0}"/>
    <cellStyle name="20% - Accent6 2 7 3 3 2" xfId="36123" xr:uid="{6505828C-CD02-459A-B681-B4CFE687210B}"/>
    <cellStyle name="20% - Accent6 2 7 3 4" xfId="28519" xr:uid="{2D0F2653-265E-4048-BB2B-E05FFD80AB79}"/>
    <cellStyle name="20% - Accent6 2 7 4" xfId="3197" xr:uid="{00000000-0005-0000-0000-0000A8080000}"/>
    <cellStyle name="20% - Accent6 2 7 4 2" xfId="21145" xr:uid="{ED0A4999-5DC8-4096-88BE-48AA29FD4915}"/>
    <cellStyle name="20% - Accent6 2 7 4 2 2" xfId="36121" xr:uid="{3F4CEBAA-4F9C-450B-A0D3-43EF4A2A86F4}"/>
    <cellStyle name="20% - Accent6 2 7 4 3" xfId="28517" xr:uid="{A4B32A4F-C56F-4BCD-9C5F-5DBE603A4750}"/>
    <cellStyle name="20% - Accent6 2 7 5" xfId="21150" xr:uid="{6278C209-0AEF-4E08-AF68-1C5582D7E6FB}"/>
    <cellStyle name="20% - Accent6 2 7 5 2" xfId="36126" xr:uid="{BEA41BF4-9840-4441-B181-9B527F6E5DF0}"/>
    <cellStyle name="20% - Accent6 2 7 6" xfId="28522" xr:uid="{513ED157-0012-4DC4-8EC3-56FB513305CA}"/>
    <cellStyle name="20% - Accent6 3" xfId="215" xr:uid="{00000000-0005-0000-0000-000036000000}"/>
    <cellStyle name="20% - Accent6 3 10" xfId="3196" xr:uid="{00000000-0005-0000-0000-0000A9080000}"/>
    <cellStyle name="20% - Accent6 3 10 2" xfId="21144" xr:uid="{855DC1AF-9584-45E8-B3CF-6EB34CE754C4}"/>
    <cellStyle name="20% - Accent6 3 10 2 2" xfId="36120" xr:uid="{FD48F0CA-9923-4505-842A-E9AA140D7556}"/>
    <cellStyle name="20% - Accent6 3 10 3" xfId="28516" xr:uid="{86B60C27-BD1E-4EC0-B448-08D52FB0C120}"/>
    <cellStyle name="20% - Accent6 3 2" xfId="3195" xr:uid="{00000000-0005-0000-0000-0000AA080000}"/>
    <cellStyle name="20% - Accent6 3 2 2" xfId="3194" xr:uid="{00000000-0005-0000-0000-0000AB080000}"/>
    <cellStyle name="20% - Accent6 3 2 2 2" xfId="3193" xr:uid="{00000000-0005-0000-0000-0000AC080000}"/>
    <cellStyle name="20% - Accent6 3 2 2 2 2" xfId="3192" xr:uid="{00000000-0005-0000-0000-0000AD080000}"/>
    <cellStyle name="20% - Accent6 3 2 2 2 2 2" xfId="3191" xr:uid="{00000000-0005-0000-0000-0000AE080000}"/>
    <cellStyle name="20% - Accent6 3 2 2 2 2 2 2" xfId="21140" xr:uid="{9195224F-332F-4463-9A02-5C86193AD689}"/>
    <cellStyle name="20% - Accent6 3 2 2 2 2 2 2 2" xfId="36116" xr:uid="{AA539AB4-6F17-4B9C-959F-C0460D8861A7}"/>
    <cellStyle name="20% - Accent6 3 2 2 2 2 2 3" xfId="28512" xr:uid="{04D2B9F9-6FA7-4E2F-B08D-CE611F492AAF}"/>
    <cellStyle name="20% - Accent6 3 2 2 2 2 3" xfId="3190" xr:uid="{00000000-0005-0000-0000-0000AF080000}"/>
    <cellStyle name="20% - Accent6 3 2 2 2 2 3 2" xfId="21139" xr:uid="{5055A0AE-8AE4-44C6-ACE1-BA24865D063F}"/>
    <cellStyle name="20% - Accent6 3 2 2 2 2 3 2 2" xfId="36115" xr:uid="{9919702F-DF2D-4225-A318-48D503B2E202}"/>
    <cellStyle name="20% - Accent6 3 2 2 2 2 3 3" xfId="28511" xr:uid="{E3FBCABC-F3D5-4226-9547-151926475850}"/>
    <cellStyle name="20% - Accent6 3 2 2 2 2 4" xfId="21141" xr:uid="{812151D1-913D-4158-B979-990AC8A0B490}"/>
    <cellStyle name="20% - Accent6 3 2 2 2 2 4 2" xfId="36117" xr:uid="{3A3B8A95-7C60-473F-9C89-97C9D17EAB84}"/>
    <cellStyle name="20% - Accent6 3 2 2 2 2 5" xfId="28513" xr:uid="{2ADE1D0E-6EDE-46B4-9F1A-7AA73335D6F3}"/>
    <cellStyle name="20% - Accent6 3 2 2 2 3" xfId="3189" xr:uid="{00000000-0005-0000-0000-0000B0080000}"/>
    <cellStyle name="20% - Accent6 3 2 2 2 3 2" xfId="3188" xr:uid="{00000000-0005-0000-0000-0000B1080000}"/>
    <cellStyle name="20% - Accent6 3 2 2 2 3 2 2" xfId="21137" xr:uid="{45DF6EC3-042D-4DA9-839A-33B291159B7A}"/>
    <cellStyle name="20% - Accent6 3 2 2 2 3 2 2 2" xfId="36113" xr:uid="{CF6DE42D-6E63-4D5B-9383-4851D7B193FB}"/>
    <cellStyle name="20% - Accent6 3 2 2 2 3 2 3" xfId="28509" xr:uid="{1C4E7A6D-2889-4899-8E49-0BD334B09E92}"/>
    <cellStyle name="20% - Accent6 3 2 2 2 3 3" xfId="21138" xr:uid="{12AE5E60-95B4-4D66-9F02-F6871501199D}"/>
    <cellStyle name="20% - Accent6 3 2 2 2 3 3 2" xfId="36114" xr:uid="{964F5231-C47E-476C-99CE-BAB7C57C7CA7}"/>
    <cellStyle name="20% - Accent6 3 2 2 2 3 4" xfId="28510" xr:uid="{133A0267-81D4-4F02-B59F-D91F79275C38}"/>
    <cellStyle name="20% - Accent6 3 2 2 2 4" xfId="3187" xr:uid="{00000000-0005-0000-0000-0000B2080000}"/>
    <cellStyle name="20% - Accent6 3 2 2 2 4 2" xfId="21136" xr:uid="{D114B307-B8C8-4485-AF4A-08C3FADBE0E3}"/>
    <cellStyle name="20% - Accent6 3 2 2 2 4 2 2" xfId="36112" xr:uid="{D4B808C6-9FD0-44FF-A365-8DE83964807E}"/>
    <cellStyle name="20% - Accent6 3 2 2 2 4 3" xfId="28508" xr:uid="{3A88A27D-EEB7-4B05-968B-22530D243DE2}"/>
    <cellStyle name="20% - Accent6 3 2 2 2 5" xfId="21142" xr:uid="{4DA4E686-8553-4444-9300-26F002A77A22}"/>
    <cellStyle name="20% - Accent6 3 2 2 2 5 2" xfId="36118" xr:uid="{2DDF070F-039B-44A6-9C61-FE8961EF0798}"/>
    <cellStyle name="20% - Accent6 3 2 2 2 6" xfId="28514" xr:uid="{9262C3D2-83B6-48AD-99E8-DD8E9FE4FF8C}"/>
    <cellStyle name="20% - Accent6 3 2 2 3" xfId="3186" xr:uid="{00000000-0005-0000-0000-0000B3080000}"/>
    <cellStyle name="20% - Accent6 3 2 2 3 2" xfId="3185" xr:uid="{00000000-0005-0000-0000-0000B4080000}"/>
    <cellStyle name="20% - Accent6 3 2 2 3 2 2" xfId="21134" xr:uid="{94E34245-D0C6-4340-92C0-9A3D481B4821}"/>
    <cellStyle name="20% - Accent6 3 2 2 3 2 2 2" xfId="36110" xr:uid="{BF2F2F3C-F6E9-4E56-9A16-97E2F33C6E4A}"/>
    <cellStyle name="20% - Accent6 3 2 2 3 2 3" xfId="28506" xr:uid="{0E4764D8-5C3A-4EDA-9181-64AE58D81285}"/>
    <cellStyle name="20% - Accent6 3 2 2 3 3" xfId="3184" xr:uid="{00000000-0005-0000-0000-0000B5080000}"/>
    <cellStyle name="20% - Accent6 3 2 2 3 3 2" xfId="21133" xr:uid="{6B6AE99D-86FF-4915-918F-6E66515F817C}"/>
    <cellStyle name="20% - Accent6 3 2 2 3 3 2 2" xfId="36109" xr:uid="{AA6E9030-485A-4EBF-B429-4213162EA63C}"/>
    <cellStyle name="20% - Accent6 3 2 2 3 3 3" xfId="28505" xr:uid="{F0CC994E-4855-4114-B53B-F8B7A3757F9C}"/>
    <cellStyle name="20% - Accent6 3 2 2 3 4" xfId="21135" xr:uid="{AAD6FBEB-E16A-4AA4-A171-F5F97FBD819C}"/>
    <cellStyle name="20% - Accent6 3 2 2 3 4 2" xfId="36111" xr:uid="{0262D790-3220-4D58-A986-68B4F486B27E}"/>
    <cellStyle name="20% - Accent6 3 2 2 3 5" xfId="28507" xr:uid="{FACD85D5-5768-47F3-AB96-60C0769384DD}"/>
    <cellStyle name="20% - Accent6 3 2 2 4" xfId="3183" xr:uid="{00000000-0005-0000-0000-0000B6080000}"/>
    <cellStyle name="20% - Accent6 3 2 2 4 2" xfId="21132" xr:uid="{BFDB8503-391E-4C0A-8560-F18445A6E120}"/>
    <cellStyle name="20% - Accent6 3 2 2 4 2 2" xfId="36108" xr:uid="{CA68DDB7-CB57-450D-93CE-3EFD1167255E}"/>
    <cellStyle name="20% - Accent6 3 2 2 4 3" xfId="28504" xr:uid="{DEC1366E-1E9E-4126-80A8-B59E701D2ECE}"/>
    <cellStyle name="20% - Accent6 3 2 2 5" xfId="3182" xr:uid="{00000000-0005-0000-0000-0000B7080000}"/>
    <cellStyle name="20% - Accent6 3 2 2 5 2" xfId="3181" xr:uid="{00000000-0005-0000-0000-0000B8080000}"/>
    <cellStyle name="20% - Accent6 3 2 2 5 2 2" xfId="21130" xr:uid="{9157BD6A-1A60-4675-BE25-388CC4FAAE56}"/>
    <cellStyle name="20% - Accent6 3 2 2 5 2 2 2" xfId="36106" xr:uid="{55D4091D-CDB0-4E0F-AACA-9A3769AD8D37}"/>
    <cellStyle name="20% - Accent6 3 2 2 5 2 3" xfId="28502" xr:uid="{D0795FE4-3E94-4E9F-B5A2-B7136812C3ED}"/>
    <cellStyle name="20% - Accent6 3 2 2 5 3" xfId="21131" xr:uid="{617635E8-9B66-477B-83ED-EB965AC916B2}"/>
    <cellStyle name="20% - Accent6 3 2 2 5 3 2" xfId="36107" xr:uid="{24FF2E1C-ECCF-4B0C-9C82-EAD39EB79D62}"/>
    <cellStyle name="20% - Accent6 3 2 2 5 4" xfId="28503" xr:uid="{6A4F535C-D812-4048-AE8F-F7AAB89443D7}"/>
    <cellStyle name="20% - Accent6 3 2 2 6" xfId="3180" xr:uid="{00000000-0005-0000-0000-0000B9080000}"/>
    <cellStyle name="20% - Accent6 3 2 2 6 2" xfId="21129" xr:uid="{008FA302-D292-40C0-A159-90F2947F3D4B}"/>
    <cellStyle name="20% - Accent6 3 2 2 6 2 2" xfId="36105" xr:uid="{0DCEBAED-170C-42D6-932A-79D5680F41FD}"/>
    <cellStyle name="20% - Accent6 3 2 2 6 3" xfId="28501" xr:uid="{2FB8C5DE-61DC-4478-B26F-1E6F3671737B}"/>
    <cellStyle name="20% - Accent6 3 2 2 7" xfId="21143" xr:uid="{EF1ADDCF-0460-4D18-A37F-1134EF492FC7}"/>
    <cellStyle name="20% - Accent6 3 2 2 7 2" xfId="36119" xr:uid="{2D599AC1-76F0-4672-A8E6-C9A13357B9B9}"/>
    <cellStyle name="20% - Accent6 3 2 2 8" xfId="28515" xr:uid="{7AB139CE-C211-44A2-9AF6-59D56EBAB545}"/>
    <cellStyle name="20% - Accent6 3 2 3" xfId="3179" xr:uid="{00000000-0005-0000-0000-0000BA080000}"/>
    <cellStyle name="20% - Accent6 3 2 3 2" xfId="3178" xr:uid="{00000000-0005-0000-0000-0000BB080000}"/>
    <cellStyle name="20% - Accent6 3 2 3 2 2" xfId="3177" xr:uid="{00000000-0005-0000-0000-0000BC080000}"/>
    <cellStyle name="20% - Accent6 3 2 3 2 2 2" xfId="21126" xr:uid="{59007889-0004-4FA6-9492-B64ED5DFE871}"/>
    <cellStyle name="20% - Accent6 3 2 3 2 2 2 2" xfId="36102" xr:uid="{B71851BF-1E68-47B1-9DF3-DD5ECE78B5CA}"/>
    <cellStyle name="20% - Accent6 3 2 3 2 2 3" xfId="28498" xr:uid="{D2896F0E-4266-43A0-A16B-C8B948E9CE5B}"/>
    <cellStyle name="20% - Accent6 3 2 3 2 3" xfId="3176" xr:uid="{00000000-0005-0000-0000-0000BD080000}"/>
    <cellStyle name="20% - Accent6 3 2 3 2 3 2" xfId="21125" xr:uid="{ED454345-A28E-43A2-A988-2EC315DD0EEC}"/>
    <cellStyle name="20% - Accent6 3 2 3 2 3 2 2" xfId="36101" xr:uid="{300C56C9-82EB-4B4D-A9CB-6617C07C76D8}"/>
    <cellStyle name="20% - Accent6 3 2 3 2 3 3" xfId="28497" xr:uid="{4D0F9502-8BDB-4049-B5E4-D8204F0383E6}"/>
    <cellStyle name="20% - Accent6 3 2 3 2 4" xfId="21127" xr:uid="{346ADAE3-7F2C-46CF-8AEE-24BF26D1CFDC}"/>
    <cellStyle name="20% - Accent6 3 2 3 2 4 2" xfId="36103" xr:uid="{D7A11A19-5AFD-4A5B-B440-7AE403F1D829}"/>
    <cellStyle name="20% - Accent6 3 2 3 2 5" xfId="28499" xr:uid="{925480BD-4451-4A68-BD4C-E609C4A87A6E}"/>
    <cellStyle name="20% - Accent6 3 2 3 3" xfId="3175" xr:uid="{00000000-0005-0000-0000-0000BE080000}"/>
    <cellStyle name="20% - Accent6 3 2 3 3 2" xfId="3174" xr:uid="{00000000-0005-0000-0000-0000BF080000}"/>
    <cellStyle name="20% - Accent6 3 2 3 3 2 2" xfId="21123" xr:uid="{4236AC0E-EA38-4E83-8183-D674DB1A9ABB}"/>
    <cellStyle name="20% - Accent6 3 2 3 3 2 2 2" xfId="36099" xr:uid="{636F2A19-E68C-466A-8434-5E1BF2BB7F8D}"/>
    <cellStyle name="20% - Accent6 3 2 3 3 2 3" xfId="28495" xr:uid="{8BFD99D8-C5ED-411B-ADDD-B9765C42B3B9}"/>
    <cellStyle name="20% - Accent6 3 2 3 3 3" xfId="21124" xr:uid="{1196FADD-2851-4B2A-97C2-5B056C883C90}"/>
    <cellStyle name="20% - Accent6 3 2 3 3 3 2" xfId="36100" xr:uid="{B077EA21-6B06-4838-9704-DA2C5FAD8F89}"/>
    <cellStyle name="20% - Accent6 3 2 3 3 4" xfId="28496" xr:uid="{54905852-9BA4-4436-A815-752CA9AF5BD5}"/>
    <cellStyle name="20% - Accent6 3 2 3 4" xfId="3173" xr:uid="{00000000-0005-0000-0000-0000C0080000}"/>
    <cellStyle name="20% - Accent6 3 2 3 4 2" xfId="21122" xr:uid="{08B33EAB-EB38-4455-B520-3FDE8BBBDEB3}"/>
    <cellStyle name="20% - Accent6 3 2 3 4 2 2" xfId="36098" xr:uid="{5D6B0E6E-25A4-4856-AD9E-71D3F54BF66A}"/>
    <cellStyle name="20% - Accent6 3 2 3 4 3" xfId="28494" xr:uid="{FEA36791-F260-4C5E-8E01-2382BCA88B94}"/>
    <cellStyle name="20% - Accent6 3 2 3 5" xfId="21128" xr:uid="{3013901D-8A66-4216-BE1A-8BEE1D4CEE9B}"/>
    <cellStyle name="20% - Accent6 3 2 3 5 2" xfId="36104" xr:uid="{9F5BA2EA-2F9F-4F83-BC14-B49E356D0C43}"/>
    <cellStyle name="20% - Accent6 3 2 3 6" xfId="28500" xr:uid="{4CB54B6E-7BD4-4C80-93AC-6258939574B0}"/>
    <cellStyle name="20% - Accent6 3 2 4" xfId="3172" xr:uid="{00000000-0005-0000-0000-0000C1080000}"/>
    <cellStyle name="20% - Accent6 3 2 5" xfId="3171" xr:uid="{00000000-0005-0000-0000-0000C2080000}"/>
    <cellStyle name="20% - Accent6 3 2 5 2" xfId="21121" xr:uid="{F37D7B37-9E6B-4A0A-B962-F5AF62173A87}"/>
    <cellStyle name="20% - Accent6 3 2 5 2 2" xfId="36097" xr:uid="{1A452512-DA3A-4EE7-9207-AAA7397B1923}"/>
    <cellStyle name="20% - Accent6 3 2 5 3" xfId="28493" xr:uid="{A053572C-10DB-4497-B72D-67C9F12BD05C}"/>
    <cellStyle name="20% - Accent6 3 3" xfId="3170" xr:uid="{00000000-0005-0000-0000-0000C3080000}"/>
    <cellStyle name="20% - Accent6 3 3 2" xfId="3169" xr:uid="{00000000-0005-0000-0000-0000C4080000}"/>
    <cellStyle name="20% - Accent6 3 3 2 2" xfId="3168" xr:uid="{00000000-0005-0000-0000-0000C5080000}"/>
    <cellStyle name="20% - Accent6 3 3 2 2 2" xfId="21118" xr:uid="{70A4A235-256D-4DFF-A32C-D997E427AB63}"/>
    <cellStyle name="20% - Accent6 3 3 2 2 2 2" xfId="36094" xr:uid="{EB548A69-4E6E-4FDD-8C74-D52D1574518F}"/>
    <cellStyle name="20% - Accent6 3 3 2 2 3" xfId="28490" xr:uid="{5F291E36-BC47-4EE7-A6C9-1D0F7F497437}"/>
    <cellStyle name="20% - Accent6 3 3 2 3" xfId="3167" xr:uid="{00000000-0005-0000-0000-0000C6080000}"/>
    <cellStyle name="20% - Accent6 3 3 2 3 2" xfId="3166" xr:uid="{00000000-0005-0000-0000-0000C7080000}"/>
    <cellStyle name="20% - Accent6 3 3 2 3 2 2" xfId="21116" xr:uid="{CC9DDD46-23DA-49D3-BBB8-1843958AA9E5}"/>
    <cellStyle name="20% - Accent6 3 3 2 3 2 2 2" xfId="36092" xr:uid="{32D7E1E6-FF56-4EFF-B34F-576999651629}"/>
    <cellStyle name="20% - Accent6 3 3 2 3 2 3" xfId="28488" xr:uid="{20A56E6E-0CB4-4C0E-B381-703C57E38BC9}"/>
    <cellStyle name="20% - Accent6 3 3 2 3 3" xfId="21117" xr:uid="{AD42CC5B-1D3C-4C8D-B979-B4F78ECEBED8}"/>
    <cellStyle name="20% - Accent6 3 3 2 3 3 2" xfId="36093" xr:uid="{5A27B600-8CAB-491E-9F0F-E309798CD917}"/>
    <cellStyle name="20% - Accent6 3 3 2 3 4" xfId="28489" xr:uid="{67E564DD-A4EE-41C9-9895-4213E4F27C58}"/>
    <cellStyle name="20% - Accent6 3 3 2 4" xfId="21119" xr:uid="{59CD2A1B-61D2-457A-BD0E-DDED59881244}"/>
    <cellStyle name="20% - Accent6 3 3 2 4 2" xfId="36095" xr:uid="{DDDE4500-3254-4389-9B7E-46A7C72751DE}"/>
    <cellStyle name="20% - Accent6 3 3 2 5" xfId="28491" xr:uid="{11092A1E-5A73-4453-8915-45D36D8F777D}"/>
    <cellStyle name="20% - Accent6 3 3 3" xfId="3165" xr:uid="{00000000-0005-0000-0000-0000C8080000}"/>
    <cellStyle name="20% - Accent6 3 3 3 2" xfId="21115" xr:uid="{501181AD-6985-4136-B706-3E6B833E51A2}"/>
    <cellStyle name="20% - Accent6 3 3 3 2 2" xfId="36091" xr:uid="{7F660C4F-07CB-4219-A4FF-D56F7030B82B}"/>
    <cellStyle name="20% - Accent6 3 3 3 3" xfId="28487" xr:uid="{E7A807D2-F5F6-4E77-A0F5-121AE1E760E2}"/>
    <cellStyle name="20% - Accent6 3 3 4" xfId="3164" xr:uid="{00000000-0005-0000-0000-0000C9080000}"/>
    <cellStyle name="20% - Accent6 3 3 4 2" xfId="3163" xr:uid="{00000000-0005-0000-0000-0000CA080000}"/>
    <cellStyle name="20% - Accent6 3 3 4 2 2" xfId="21113" xr:uid="{5C2B034F-E5B4-4AD8-B5B6-3E37EE1EA782}"/>
    <cellStyle name="20% - Accent6 3 3 4 2 2 2" xfId="36089" xr:uid="{B4D35036-D220-469F-A608-38B91B7B9E52}"/>
    <cellStyle name="20% - Accent6 3 3 4 2 3" xfId="28485" xr:uid="{9B62ED9D-DF21-453E-A927-B5962E3969B1}"/>
    <cellStyle name="20% - Accent6 3 3 4 3" xfId="21114" xr:uid="{4B4D9B56-2A64-4FD2-A665-A9BA0DC8552D}"/>
    <cellStyle name="20% - Accent6 3 3 4 3 2" xfId="36090" xr:uid="{2C949EB0-F5B4-4720-8BAB-E96D1DA8CBFB}"/>
    <cellStyle name="20% - Accent6 3 3 4 4" xfId="28486" xr:uid="{5CEF26D9-41D1-49C3-9EF0-1167F6E5AB96}"/>
    <cellStyle name="20% - Accent6 3 3 5" xfId="3162" xr:uid="{00000000-0005-0000-0000-0000CB080000}"/>
    <cellStyle name="20% - Accent6 3 3 5 2" xfId="21112" xr:uid="{BDB29E85-F91B-4D46-A83C-E56C20B1BC04}"/>
    <cellStyle name="20% - Accent6 3 3 5 2 2" xfId="36088" xr:uid="{679DFF18-86A6-4C15-AF90-697F6FE91397}"/>
    <cellStyle name="20% - Accent6 3 3 5 3" xfId="28484" xr:uid="{A95908C6-E3A2-4584-B4A5-EBBA9FB6AF9E}"/>
    <cellStyle name="20% - Accent6 3 3 6" xfId="21120" xr:uid="{E5507C55-39D0-44D9-B576-99267FB710C3}"/>
    <cellStyle name="20% - Accent6 3 3 6 2" xfId="36096" xr:uid="{4A1FA534-632E-45BF-B2A9-488E22F1E013}"/>
    <cellStyle name="20% - Accent6 3 3 7" xfId="28492" xr:uid="{09862D0D-7296-48FD-81E9-B6C4C0FE2715}"/>
    <cellStyle name="20% - Accent6 3 4" xfId="3161" xr:uid="{00000000-0005-0000-0000-0000CC080000}"/>
    <cellStyle name="20% - Accent6 3 4 2" xfId="3160" xr:uid="{00000000-0005-0000-0000-0000CD080000}"/>
    <cellStyle name="20% - Accent6 3 4 2 2" xfId="3159" xr:uid="{00000000-0005-0000-0000-0000CE080000}"/>
    <cellStyle name="20% - Accent6 3 4 2 2 2" xfId="21109" xr:uid="{24D71AE3-233A-45DF-A55B-EAAA829F6A7D}"/>
    <cellStyle name="20% - Accent6 3 4 2 2 2 2" xfId="36085" xr:uid="{4622738B-DB57-46B3-AC3B-31CD0F2A85BE}"/>
    <cellStyle name="20% - Accent6 3 4 2 2 3" xfId="28481" xr:uid="{91387A1B-154E-4D7B-AF15-443BBF20CB5E}"/>
    <cellStyle name="20% - Accent6 3 4 2 3" xfId="3158" xr:uid="{00000000-0005-0000-0000-0000CF080000}"/>
    <cellStyle name="20% - Accent6 3 4 2 3 2" xfId="21108" xr:uid="{1214E0CD-0E73-4255-9C7A-B4F1D0975CEA}"/>
    <cellStyle name="20% - Accent6 3 4 2 3 2 2" xfId="36084" xr:uid="{F7C6FAAF-AC12-4816-9CC4-8F8B44D35665}"/>
    <cellStyle name="20% - Accent6 3 4 2 3 3" xfId="28480" xr:uid="{A3BA3D66-E513-4B47-8848-7AD496021185}"/>
    <cellStyle name="20% - Accent6 3 4 2 4" xfId="21110" xr:uid="{134C264F-B5E9-426D-9A3A-C57ECE0F70E6}"/>
    <cellStyle name="20% - Accent6 3 4 2 4 2" xfId="36086" xr:uid="{A682F167-B5A8-4F2F-B531-CE98CEFEA29F}"/>
    <cellStyle name="20% - Accent6 3 4 2 5" xfId="28482" xr:uid="{F01219A7-F174-409A-B250-EB9B5C1462EB}"/>
    <cellStyle name="20% - Accent6 3 4 3" xfId="3157" xr:uid="{00000000-0005-0000-0000-0000D0080000}"/>
    <cellStyle name="20% - Accent6 3 4 3 2" xfId="21107" xr:uid="{412571B4-A703-404F-AC76-52E16D41710D}"/>
    <cellStyle name="20% - Accent6 3 4 3 2 2" xfId="36083" xr:uid="{33F585D6-59B2-41FD-8AD8-D1F17003F4E2}"/>
    <cellStyle name="20% - Accent6 3 4 3 3" xfId="28479" xr:uid="{E3397DD4-0E24-48DA-97F8-3D60FD1885B7}"/>
    <cellStyle name="20% - Accent6 3 4 4" xfId="3156" xr:uid="{00000000-0005-0000-0000-0000D1080000}"/>
    <cellStyle name="20% - Accent6 3 4 4 2" xfId="3155" xr:uid="{00000000-0005-0000-0000-0000D2080000}"/>
    <cellStyle name="20% - Accent6 3 4 4 2 2" xfId="21105" xr:uid="{6B58AF7B-DD39-4E55-AEA4-4811C595C055}"/>
    <cellStyle name="20% - Accent6 3 4 4 2 2 2" xfId="36081" xr:uid="{E492B1FC-C711-4592-814E-FE2F17DA4B1D}"/>
    <cellStyle name="20% - Accent6 3 4 4 2 3" xfId="28477" xr:uid="{D068F7A3-255E-4B27-8A10-9727BF01F1E6}"/>
    <cellStyle name="20% - Accent6 3 4 4 3" xfId="21106" xr:uid="{2FD75B58-1FFE-4B4F-8934-C7EB2C1D7D6E}"/>
    <cellStyle name="20% - Accent6 3 4 4 3 2" xfId="36082" xr:uid="{57E4083E-9F5F-440C-9444-0B6B1A36C1D4}"/>
    <cellStyle name="20% - Accent6 3 4 4 4" xfId="28478" xr:uid="{512986DD-7A52-4100-8751-96ABEDB5A1B1}"/>
    <cellStyle name="20% - Accent6 3 4 5" xfId="3154" xr:uid="{00000000-0005-0000-0000-0000D3080000}"/>
    <cellStyle name="20% - Accent6 3 4 5 2" xfId="21104" xr:uid="{FCAEE04F-7DC3-4A63-831A-E2879BA53989}"/>
    <cellStyle name="20% - Accent6 3 4 5 2 2" xfId="36080" xr:uid="{E627E2FD-3F92-4120-81B6-1594AD9F4798}"/>
    <cellStyle name="20% - Accent6 3 4 5 3" xfId="28476" xr:uid="{B1D7D8C0-F653-4FC8-B52A-FCA9CE6A75AD}"/>
    <cellStyle name="20% - Accent6 3 4 6" xfId="21111" xr:uid="{12489009-3BE4-4F2A-9E7E-CC620B18F5D8}"/>
    <cellStyle name="20% - Accent6 3 4 6 2" xfId="36087" xr:uid="{C148E105-DE31-4F44-A39C-7D621BDDC2C7}"/>
    <cellStyle name="20% - Accent6 3 4 7" xfId="28483" xr:uid="{4CB21FC5-DD03-4FFE-909F-2A7EE4383007}"/>
    <cellStyle name="20% - Accent6 3 5" xfId="3153" xr:uid="{00000000-0005-0000-0000-0000D4080000}"/>
    <cellStyle name="20% - Accent6 3 5 2" xfId="3152" xr:uid="{00000000-0005-0000-0000-0000D5080000}"/>
    <cellStyle name="20% - Accent6 3 5 2 2" xfId="3151" xr:uid="{00000000-0005-0000-0000-0000D6080000}"/>
    <cellStyle name="20% - Accent6 3 5 2 2 2" xfId="21101" xr:uid="{7B8D32E5-2FE8-45E0-9464-53934D7A2AB4}"/>
    <cellStyle name="20% - Accent6 3 5 2 2 2 2" xfId="36077" xr:uid="{EEAD04F7-66D1-4879-9248-4CB75ADA9D18}"/>
    <cellStyle name="20% - Accent6 3 5 2 2 3" xfId="28473" xr:uid="{91548000-59F1-4640-AC48-B1163980BA32}"/>
    <cellStyle name="20% - Accent6 3 5 2 3" xfId="3150" xr:uid="{00000000-0005-0000-0000-0000D7080000}"/>
    <cellStyle name="20% - Accent6 3 5 2 3 2" xfId="21100" xr:uid="{2CAF20AB-31F3-4F06-9BD3-A6ACEDD622BD}"/>
    <cellStyle name="20% - Accent6 3 5 2 3 2 2" xfId="36076" xr:uid="{D7B4127E-C037-4BCE-93A5-D3C83BAB1F3B}"/>
    <cellStyle name="20% - Accent6 3 5 2 3 3" xfId="28472" xr:uid="{ECC35649-3AEC-4006-A0E9-2DF79CA450AC}"/>
    <cellStyle name="20% - Accent6 3 5 2 4" xfId="21102" xr:uid="{A09CA749-AB7F-4770-B8BB-19D50EDFB7FF}"/>
    <cellStyle name="20% - Accent6 3 5 2 4 2" xfId="36078" xr:uid="{3D943F48-4E17-44EF-963C-D2909C8C942E}"/>
    <cellStyle name="20% - Accent6 3 5 2 5" xfId="28474" xr:uid="{33B91E68-044A-44D2-9021-95E0F8DCE982}"/>
    <cellStyle name="20% - Accent6 3 5 3" xfId="3149" xr:uid="{00000000-0005-0000-0000-0000D8080000}"/>
    <cellStyle name="20% - Accent6 3 5 3 2" xfId="3148" xr:uid="{00000000-0005-0000-0000-0000D9080000}"/>
    <cellStyle name="20% - Accent6 3 5 3 2 2" xfId="21098" xr:uid="{66EB7FC5-228E-4C21-9382-D7E4357B5E80}"/>
    <cellStyle name="20% - Accent6 3 5 3 2 2 2" xfId="36074" xr:uid="{F3012521-7222-4EF8-9EB5-197AB35AD4DC}"/>
    <cellStyle name="20% - Accent6 3 5 3 2 3" xfId="28470" xr:uid="{C2CC49E1-9CDC-4DE6-A106-EE0B6460CA46}"/>
    <cellStyle name="20% - Accent6 3 5 3 3" xfId="21099" xr:uid="{3F07110C-93F9-4007-AEE7-218D92E68196}"/>
    <cellStyle name="20% - Accent6 3 5 3 3 2" xfId="36075" xr:uid="{7C6B961C-78A6-4C88-9378-C67D97ECFB05}"/>
    <cellStyle name="20% - Accent6 3 5 3 4" xfId="28471" xr:uid="{43B0861B-5A1C-4FF5-900C-2720E29D82C4}"/>
    <cellStyle name="20% - Accent6 3 5 4" xfId="3147" xr:uid="{00000000-0005-0000-0000-0000DA080000}"/>
    <cellStyle name="20% - Accent6 3 5 4 2" xfId="21097" xr:uid="{8852A3A4-EF9D-4244-926D-7ACE40614F3E}"/>
    <cellStyle name="20% - Accent6 3 5 4 2 2" xfId="36073" xr:uid="{6F2CFEA2-518D-4326-8307-C30BD26E1E30}"/>
    <cellStyle name="20% - Accent6 3 5 4 3" xfId="28469" xr:uid="{456847C1-AB45-40F5-8944-451BFF3BFF79}"/>
    <cellStyle name="20% - Accent6 3 5 5" xfId="21103" xr:uid="{E92B9C69-0660-4D9F-AC5A-046F5A8FAA03}"/>
    <cellStyle name="20% - Accent6 3 5 5 2" xfId="36079" xr:uid="{47B622B2-570F-4358-A1FE-9289FB7B78E1}"/>
    <cellStyle name="20% - Accent6 3 5 6" xfId="28475" xr:uid="{CC59CCA4-8D1A-4420-9EBF-F354286186F3}"/>
    <cellStyle name="20% - Accent6 3 6" xfId="3146" xr:uid="{00000000-0005-0000-0000-0000DB080000}"/>
    <cellStyle name="20% - Accent6 3 6 2" xfId="3145" xr:uid="{00000000-0005-0000-0000-0000DC080000}"/>
    <cellStyle name="20% - Accent6 3 6 2 2" xfId="21095" xr:uid="{292C8D28-AD61-4931-BA9C-988F9A0642F9}"/>
    <cellStyle name="20% - Accent6 3 6 2 2 2" xfId="36071" xr:uid="{035E77BD-D2A7-4059-B676-1A24144E5281}"/>
    <cellStyle name="20% - Accent6 3 6 2 3" xfId="28467" xr:uid="{22620249-8E4E-4ACC-8CB0-FF480B31BD6C}"/>
    <cellStyle name="20% - Accent6 3 6 3" xfId="3144" xr:uid="{00000000-0005-0000-0000-0000DD080000}"/>
    <cellStyle name="20% - Accent6 3 6 3 2" xfId="21094" xr:uid="{C7140D4E-4183-47CE-BAAD-C35EDE290A96}"/>
    <cellStyle name="20% - Accent6 3 6 3 2 2" xfId="36070" xr:uid="{40E515FF-40E1-492C-8715-804DBF5F7A29}"/>
    <cellStyle name="20% - Accent6 3 6 3 3" xfId="28466" xr:uid="{D2EE4815-1CF9-4444-AC9A-DC305DF24D09}"/>
    <cellStyle name="20% - Accent6 3 6 4" xfId="21096" xr:uid="{0BE56BA2-A114-4C66-BB34-C3A84B4D1584}"/>
    <cellStyle name="20% - Accent6 3 6 4 2" xfId="36072" xr:uid="{D4A6A318-E846-459A-B1E9-3CC821A056AC}"/>
    <cellStyle name="20% - Accent6 3 6 5" xfId="28468" xr:uid="{558E7AC1-F04C-487B-BBF4-FF6731DB9E24}"/>
    <cellStyle name="20% - Accent6 3 7" xfId="3143" xr:uid="{00000000-0005-0000-0000-0000DE080000}"/>
    <cellStyle name="20% - Accent6 3 7 2" xfId="21093" xr:uid="{6488DCEC-2A49-4C1E-A3C9-34D9D1766369}"/>
    <cellStyle name="20% - Accent6 3 7 2 2" xfId="36069" xr:uid="{A2F4C7DD-A6B7-4C24-A876-FEE9245E21D9}"/>
    <cellStyle name="20% - Accent6 3 7 3" xfId="28465" xr:uid="{36E18005-DC08-421C-AAD0-7C268E737291}"/>
    <cellStyle name="20% - Accent6 3 8" xfId="3142" xr:uid="{00000000-0005-0000-0000-0000DF080000}"/>
    <cellStyle name="20% - Accent6 3 8 2" xfId="3141" xr:uid="{00000000-0005-0000-0000-0000E0080000}"/>
    <cellStyle name="20% - Accent6 3 8 2 2" xfId="21091" xr:uid="{C43EC87A-26C7-402C-8D6A-0D4437C5C468}"/>
    <cellStyle name="20% - Accent6 3 8 2 2 2" xfId="36067" xr:uid="{2E0A60F7-6BD9-4E11-96AC-EBDACAE982E4}"/>
    <cellStyle name="20% - Accent6 3 8 2 3" xfId="28463" xr:uid="{C1CD2980-4EE2-4737-8A41-35D28075B290}"/>
    <cellStyle name="20% - Accent6 3 8 3" xfId="21092" xr:uid="{E2A8F854-D4B0-409D-A30F-0ACA815DAA17}"/>
    <cellStyle name="20% - Accent6 3 8 3 2" xfId="36068" xr:uid="{12173CE9-72AB-4F1D-8B0A-D08336A56B2C}"/>
    <cellStyle name="20% - Accent6 3 8 4" xfId="28464" xr:uid="{3E32C1E0-354C-42E4-8B5C-AB9367527C8E}"/>
    <cellStyle name="20% - Accent6 3 9" xfId="3140" xr:uid="{00000000-0005-0000-0000-0000E1080000}"/>
    <cellStyle name="20% - Accent6 3 9 2" xfId="21090" xr:uid="{3ACF311B-F1C7-4A79-AC65-F756025DB9E0}"/>
    <cellStyle name="20% - Accent6 3 9 2 2" xfId="36066" xr:uid="{95C1DA6A-D4C8-42BE-9733-88F510B04F12}"/>
    <cellStyle name="20% - Accent6 3 9 3" xfId="28462" xr:uid="{CCB29165-5100-445D-9DB5-CF643288AF7E}"/>
    <cellStyle name="20% - Accent6 4" xfId="216" xr:uid="{00000000-0005-0000-0000-000037000000}"/>
    <cellStyle name="20% - Accent6 4 10" xfId="3139" xr:uid="{00000000-0005-0000-0000-0000E2080000}"/>
    <cellStyle name="20% - Accent6 4 10 2" xfId="21089" xr:uid="{8E9E0ADA-9766-4ED5-A5D1-782235BFF7B6}"/>
    <cellStyle name="20% - Accent6 4 10 2 2" xfId="36065" xr:uid="{AD97E319-6608-4E4E-8567-09104592B487}"/>
    <cellStyle name="20% - Accent6 4 10 3" xfId="28461" xr:uid="{EA66C8DD-9DD9-45EA-8675-8C31D6D249FE}"/>
    <cellStyle name="20% - Accent6 4 2" xfId="3138" xr:uid="{00000000-0005-0000-0000-0000E3080000}"/>
    <cellStyle name="20% - Accent6 4 2 2" xfId="3137" xr:uid="{00000000-0005-0000-0000-0000E4080000}"/>
    <cellStyle name="20% - Accent6 4 2 2 2" xfId="3136" xr:uid="{00000000-0005-0000-0000-0000E5080000}"/>
    <cellStyle name="20% - Accent6 4 2 2 2 2" xfId="3135" xr:uid="{00000000-0005-0000-0000-0000E6080000}"/>
    <cellStyle name="20% - Accent6 4 2 2 2 2 2" xfId="3134" xr:uid="{00000000-0005-0000-0000-0000E7080000}"/>
    <cellStyle name="20% - Accent6 4 2 2 2 2 2 2" xfId="21085" xr:uid="{5736D8D2-54BE-43ED-8A67-309E732A9E97}"/>
    <cellStyle name="20% - Accent6 4 2 2 2 2 2 2 2" xfId="36061" xr:uid="{AEB34094-34AA-402E-91BB-4071FEED2053}"/>
    <cellStyle name="20% - Accent6 4 2 2 2 2 2 3" xfId="28457" xr:uid="{41D994B8-0946-43CF-97B2-95719DE38ACA}"/>
    <cellStyle name="20% - Accent6 4 2 2 2 2 3" xfId="3133" xr:uid="{00000000-0005-0000-0000-0000E8080000}"/>
    <cellStyle name="20% - Accent6 4 2 2 2 2 3 2" xfId="21084" xr:uid="{AA646D31-DB5C-4591-B666-40358BC39F10}"/>
    <cellStyle name="20% - Accent6 4 2 2 2 2 3 2 2" xfId="36060" xr:uid="{87351BD0-C6C7-4871-8FBE-6CD5814D71E6}"/>
    <cellStyle name="20% - Accent6 4 2 2 2 2 3 3" xfId="28456" xr:uid="{18B9A098-F03E-4BE9-8681-7A82E2CB6024}"/>
    <cellStyle name="20% - Accent6 4 2 2 2 2 4" xfId="21086" xr:uid="{0C0997A9-EAF1-46EC-9B01-A67366E3A58C}"/>
    <cellStyle name="20% - Accent6 4 2 2 2 2 4 2" xfId="36062" xr:uid="{0F763C1B-2702-4FC3-836E-49DE2C222DB1}"/>
    <cellStyle name="20% - Accent6 4 2 2 2 2 5" xfId="28458" xr:uid="{B3A405F3-D37E-4A3B-9EDD-D04901137091}"/>
    <cellStyle name="20% - Accent6 4 2 2 2 3" xfId="3132" xr:uid="{00000000-0005-0000-0000-0000E9080000}"/>
    <cellStyle name="20% - Accent6 4 2 2 2 3 2" xfId="3131" xr:uid="{00000000-0005-0000-0000-0000EA080000}"/>
    <cellStyle name="20% - Accent6 4 2 2 2 3 2 2" xfId="21082" xr:uid="{55F9E65F-DAFC-4B4B-92A3-8636B93CD835}"/>
    <cellStyle name="20% - Accent6 4 2 2 2 3 2 2 2" xfId="36058" xr:uid="{13FF2B67-4F4B-4CB6-9BE8-F3657A47AA22}"/>
    <cellStyle name="20% - Accent6 4 2 2 2 3 2 3" xfId="28454" xr:uid="{FBF87B76-0369-4A26-870D-B52CBC967EB1}"/>
    <cellStyle name="20% - Accent6 4 2 2 2 3 3" xfId="21083" xr:uid="{EB3409A8-B53D-4DC8-96BC-B997973C1984}"/>
    <cellStyle name="20% - Accent6 4 2 2 2 3 3 2" xfId="36059" xr:uid="{52B0C644-9311-4530-9EB0-C7D764E522B1}"/>
    <cellStyle name="20% - Accent6 4 2 2 2 3 4" xfId="28455" xr:uid="{E35DA9D1-F2DA-4AEF-9E70-04ECAD6C6C7A}"/>
    <cellStyle name="20% - Accent6 4 2 2 2 4" xfId="3130" xr:uid="{00000000-0005-0000-0000-0000EB080000}"/>
    <cellStyle name="20% - Accent6 4 2 2 2 4 2" xfId="21081" xr:uid="{7E08BA1F-1AF9-4188-A24E-FDCFC203A84B}"/>
    <cellStyle name="20% - Accent6 4 2 2 2 4 2 2" xfId="36057" xr:uid="{BDBBF6D5-5F13-43E0-BB16-5CACC55AAD4A}"/>
    <cellStyle name="20% - Accent6 4 2 2 2 4 3" xfId="28453" xr:uid="{38F0EA4E-3D31-4153-8876-40CD81F8011A}"/>
    <cellStyle name="20% - Accent6 4 2 2 2 5" xfId="21087" xr:uid="{E630DB0B-997E-45EC-950F-3F409DDCC881}"/>
    <cellStyle name="20% - Accent6 4 2 2 2 5 2" xfId="36063" xr:uid="{6A15E51E-824C-489B-AB0B-95B286FD67D0}"/>
    <cellStyle name="20% - Accent6 4 2 2 2 6" xfId="28459" xr:uid="{9C1E54D7-BED2-4102-B2AB-801CCD1C702A}"/>
    <cellStyle name="20% - Accent6 4 2 2 3" xfId="3129" xr:uid="{00000000-0005-0000-0000-0000EC080000}"/>
    <cellStyle name="20% - Accent6 4 2 2 3 2" xfId="3128" xr:uid="{00000000-0005-0000-0000-0000ED080000}"/>
    <cellStyle name="20% - Accent6 4 2 2 3 2 2" xfId="21079" xr:uid="{61CA2771-2EF7-43C8-B9D5-2759165C8460}"/>
    <cellStyle name="20% - Accent6 4 2 2 3 2 2 2" xfId="36055" xr:uid="{CED4FF6F-7A96-478A-8A91-AFD73CD4D07E}"/>
    <cellStyle name="20% - Accent6 4 2 2 3 2 3" xfId="28451" xr:uid="{BD427653-10D9-4E8A-AAEA-0A8489CEF18B}"/>
    <cellStyle name="20% - Accent6 4 2 2 3 3" xfId="3127" xr:uid="{00000000-0005-0000-0000-0000EE080000}"/>
    <cellStyle name="20% - Accent6 4 2 2 3 3 2" xfId="21078" xr:uid="{FD8CEB6D-DD14-49F4-BCA6-BFB62A4B2D6D}"/>
    <cellStyle name="20% - Accent6 4 2 2 3 3 2 2" xfId="36054" xr:uid="{10AD3D26-73AD-4E98-887F-1D37F8635D1B}"/>
    <cellStyle name="20% - Accent6 4 2 2 3 3 3" xfId="28450" xr:uid="{CE71821E-3A02-4382-8718-F6AD1D1AB9BB}"/>
    <cellStyle name="20% - Accent6 4 2 2 3 4" xfId="21080" xr:uid="{2282E63F-33C1-44ED-B479-F848CB9450AD}"/>
    <cellStyle name="20% - Accent6 4 2 2 3 4 2" xfId="36056" xr:uid="{D0F66D58-4B1D-4920-A7C2-F8EA6C7883C0}"/>
    <cellStyle name="20% - Accent6 4 2 2 3 5" xfId="28452" xr:uid="{EC3A501E-9089-48B1-B5F2-21908B9E92BE}"/>
    <cellStyle name="20% - Accent6 4 2 2 4" xfId="3126" xr:uid="{00000000-0005-0000-0000-0000EF080000}"/>
    <cellStyle name="20% - Accent6 4 2 2 4 2" xfId="21077" xr:uid="{CD5657D6-9E93-4A4A-A89C-B7BFEB39EA02}"/>
    <cellStyle name="20% - Accent6 4 2 2 4 2 2" xfId="36053" xr:uid="{F4316F0F-910A-4735-BF9B-E1F3433992EF}"/>
    <cellStyle name="20% - Accent6 4 2 2 4 3" xfId="28449" xr:uid="{89258339-8033-44C8-8F91-6F58E738B5F6}"/>
    <cellStyle name="20% - Accent6 4 2 2 5" xfId="3125" xr:uid="{00000000-0005-0000-0000-0000F0080000}"/>
    <cellStyle name="20% - Accent6 4 2 2 5 2" xfId="3124" xr:uid="{00000000-0005-0000-0000-0000F1080000}"/>
    <cellStyle name="20% - Accent6 4 2 2 5 2 2" xfId="21075" xr:uid="{F71BBFE4-F230-4054-BB03-92442B4C77B6}"/>
    <cellStyle name="20% - Accent6 4 2 2 5 2 2 2" xfId="36051" xr:uid="{E6677FE1-3EB6-4814-9FEC-D257F62DE9AD}"/>
    <cellStyle name="20% - Accent6 4 2 2 5 2 3" xfId="28447" xr:uid="{2ED5159A-C8B9-4EEB-BC63-F0AD86ED9812}"/>
    <cellStyle name="20% - Accent6 4 2 2 5 3" xfId="21076" xr:uid="{66AD4B83-B9FA-4D60-995D-E15C2F34D3A7}"/>
    <cellStyle name="20% - Accent6 4 2 2 5 3 2" xfId="36052" xr:uid="{BBD2BCB7-D63D-4FB6-905A-8909C818E6C9}"/>
    <cellStyle name="20% - Accent6 4 2 2 5 4" xfId="28448" xr:uid="{9BE30E0F-34CD-4166-B88F-1F6CEC9D7DBE}"/>
    <cellStyle name="20% - Accent6 4 2 2 6" xfId="3123" xr:uid="{00000000-0005-0000-0000-0000F2080000}"/>
    <cellStyle name="20% - Accent6 4 2 2 6 2" xfId="21074" xr:uid="{E812322C-01A7-4829-8783-011A61C81366}"/>
    <cellStyle name="20% - Accent6 4 2 2 6 2 2" xfId="36050" xr:uid="{48706BB6-835F-440D-A45C-15EF90C45D1D}"/>
    <cellStyle name="20% - Accent6 4 2 2 6 3" xfId="28446" xr:uid="{E131934F-F7D4-4672-AFDB-36952761B8A8}"/>
    <cellStyle name="20% - Accent6 4 2 2 7" xfId="21088" xr:uid="{A4A7933D-F598-4866-9CCB-AC44BA4868A9}"/>
    <cellStyle name="20% - Accent6 4 2 2 7 2" xfId="36064" xr:uid="{C971BCC6-8783-4396-BF92-88900B2078EB}"/>
    <cellStyle name="20% - Accent6 4 2 2 8" xfId="28460" xr:uid="{C0154305-1B5A-4EDA-BA37-1F3B96E566A9}"/>
    <cellStyle name="20% - Accent6 4 2 3" xfId="3122" xr:uid="{00000000-0005-0000-0000-0000F3080000}"/>
    <cellStyle name="20% - Accent6 4 2 3 2" xfId="3121" xr:uid="{00000000-0005-0000-0000-0000F4080000}"/>
    <cellStyle name="20% - Accent6 4 2 3 2 2" xfId="3120" xr:uid="{00000000-0005-0000-0000-0000F5080000}"/>
    <cellStyle name="20% - Accent6 4 2 3 2 2 2" xfId="21071" xr:uid="{FBBA5A99-F348-40D5-819F-1DB337D3B44C}"/>
    <cellStyle name="20% - Accent6 4 2 3 2 2 2 2" xfId="36047" xr:uid="{3E3ECC70-C9D8-41E7-AAD3-6D49D77D80EE}"/>
    <cellStyle name="20% - Accent6 4 2 3 2 2 3" xfId="28443" xr:uid="{F247DB4A-AFB8-4A04-9A38-CC7A4B92B6DF}"/>
    <cellStyle name="20% - Accent6 4 2 3 2 3" xfId="3119" xr:uid="{00000000-0005-0000-0000-0000F6080000}"/>
    <cellStyle name="20% - Accent6 4 2 3 2 3 2" xfId="21070" xr:uid="{245B75A4-7C54-48CC-B829-4ECD2FB7E5F2}"/>
    <cellStyle name="20% - Accent6 4 2 3 2 3 2 2" xfId="36046" xr:uid="{0F060C9B-CA37-4190-912A-FC67D4B67002}"/>
    <cellStyle name="20% - Accent6 4 2 3 2 3 3" xfId="28442" xr:uid="{C5FF0627-5EE0-4874-9C7A-A62EEBE9F845}"/>
    <cellStyle name="20% - Accent6 4 2 3 2 4" xfId="21072" xr:uid="{CF0D948A-4684-4F18-9AB5-BB8F9DDAA1D9}"/>
    <cellStyle name="20% - Accent6 4 2 3 2 4 2" xfId="36048" xr:uid="{95086EB6-8B86-4274-9C69-B52F208E19CB}"/>
    <cellStyle name="20% - Accent6 4 2 3 2 5" xfId="28444" xr:uid="{FCF0442A-786A-46A0-AB34-9B02F83F649B}"/>
    <cellStyle name="20% - Accent6 4 2 3 3" xfId="3118" xr:uid="{00000000-0005-0000-0000-0000F7080000}"/>
    <cellStyle name="20% - Accent6 4 2 3 3 2" xfId="3117" xr:uid="{00000000-0005-0000-0000-0000F8080000}"/>
    <cellStyle name="20% - Accent6 4 2 3 3 2 2" xfId="21068" xr:uid="{94CA44DB-54CA-4DCE-81F8-3851B544E22E}"/>
    <cellStyle name="20% - Accent6 4 2 3 3 2 2 2" xfId="36044" xr:uid="{7C1A9FFD-8CBB-4A46-8DC5-B63C535CAD9E}"/>
    <cellStyle name="20% - Accent6 4 2 3 3 2 3" xfId="28440" xr:uid="{68A0AD76-A85E-4851-BD51-0BEB104FDFB1}"/>
    <cellStyle name="20% - Accent6 4 2 3 3 3" xfId="21069" xr:uid="{4A8A0E30-183A-4132-9DF1-F5D13372ED86}"/>
    <cellStyle name="20% - Accent6 4 2 3 3 3 2" xfId="36045" xr:uid="{8668E2CC-AE34-4AF2-9E4B-F76AA54D1438}"/>
    <cellStyle name="20% - Accent6 4 2 3 3 4" xfId="28441" xr:uid="{87525A23-E6F2-4BC9-8F09-C378A0090F1D}"/>
    <cellStyle name="20% - Accent6 4 2 3 4" xfId="3116" xr:uid="{00000000-0005-0000-0000-0000F9080000}"/>
    <cellStyle name="20% - Accent6 4 2 3 4 2" xfId="21067" xr:uid="{46441D65-1249-4052-B194-57EE316178C9}"/>
    <cellStyle name="20% - Accent6 4 2 3 4 2 2" xfId="36043" xr:uid="{65D6EBC5-6D05-4468-9B5C-E7F74133D6A9}"/>
    <cellStyle name="20% - Accent6 4 2 3 4 3" xfId="28439" xr:uid="{A7640139-61E9-41E0-9D2D-7AD37FFA1362}"/>
    <cellStyle name="20% - Accent6 4 2 3 5" xfId="21073" xr:uid="{1315184A-83AC-4DB9-A7DC-A5F52C1B5265}"/>
    <cellStyle name="20% - Accent6 4 2 3 5 2" xfId="36049" xr:uid="{76014509-91DE-4E97-A5A7-23DD54CD13AD}"/>
    <cellStyle name="20% - Accent6 4 2 3 6" xfId="28445" xr:uid="{F8CC10A4-D2FE-44F0-8273-922EF552C042}"/>
    <cellStyle name="20% - Accent6 4 2 4" xfId="3115" xr:uid="{00000000-0005-0000-0000-0000FA080000}"/>
    <cellStyle name="20% - Accent6 4 2 5" xfId="3114" xr:uid="{00000000-0005-0000-0000-0000FB080000}"/>
    <cellStyle name="20% - Accent6 4 2 5 2" xfId="21066" xr:uid="{E95AFBF1-D87F-424E-952B-2D2DBDB870DC}"/>
    <cellStyle name="20% - Accent6 4 2 5 2 2" xfId="36042" xr:uid="{F968A41C-2D11-47B8-89A8-06ECD4BCCBDA}"/>
    <cellStyle name="20% - Accent6 4 2 5 3" xfId="28438" xr:uid="{F5066057-01F6-4A10-832A-6511430B0D7D}"/>
    <cellStyle name="20% - Accent6 4 3" xfId="3113" xr:uid="{00000000-0005-0000-0000-0000FC080000}"/>
    <cellStyle name="20% - Accent6 4 3 2" xfId="3112" xr:uid="{00000000-0005-0000-0000-0000FD080000}"/>
    <cellStyle name="20% - Accent6 4 3 2 2" xfId="3111" xr:uid="{00000000-0005-0000-0000-0000FE080000}"/>
    <cellStyle name="20% - Accent6 4 3 2 2 2" xfId="21063" xr:uid="{3C580462-6064-4501-AD81-49183786C651}"/>
    <cellStyle name="20% - Accent6 4 3 2 2 2 2" xfId="36039" xr:uid="{A140B845-C9F4-4F89-902B-EFBE39DA6987}"/>
    <cellStyle name="20% - Accent6 4 3 2 2 3" xfId="28435" xr:uid="{0D9D8F7D-0D0C-4696-811A-AECD635A43CA}"/>
    <cellStyle name="20% - Accent6 4 3 2 3" xfId="3110" xr:uid="{00000000-0005-0000-0000-0000FF080000}"/>
    <cellStyle name="20% - Accent6 4 3 2 3 2" xfId="21062" xr:uid="{7A7F2A9E-45C7-403B-81CA-8F2C51D29D24}"/>
    <cellStyle name="20% - Accent6 4 3 2 3 2 2" xfId="36038" xr:uid="{F636EC2A-0E05-4D30-A12A-A71403FE773A}"/>
    <cellStyle name="20% - Accent6 4 3 2 3 3" xfId="28434" xr:uid="{33F33F87-FFD9-42FC-9E01-A7767245A8D2}"/>
    <cellStyle name="20% - Accent6 4 3 2 4" xfId="21064" xr:uid="{44F0ACC3-7482-4FA1-AA6B-49FD6E31997A}"/>
    <cellStyle name="20% - Accent6 4 3 2 4 2" xfId="36040" xr:uid="{99D59DC9-A490-4E84-994F-7C6770B66203}"/>
    <cellStyle name="20% - Accent6 4 3 2 5" xfId="28436" xr:uid="{4AA8AE89-BA0F-4E5B-84EA-A1AB26D39972}"/>
    <cellStyle name="20% - Accent6 4 3 3" xfId="3109" xr:uid="{00000000-0005-0000-0000-000000090000}"/>
    <cellStyle name="20% - Accent6 4 3 3 2" xfId="21061" xr:uid="{64AFCAE1-5929-438F-A0CA-212C70AFD778}"/>
    <cellStyle name="20% - Accent6 4 3 3 2 2" xfId="36037" xr:uid="{0A0C68F7-A25B-4D11-B88D-ECB3475501B5}"/>
    <cellStyle name="20% - Accent6 4 3 3 3" xfId="28433" xr:uid="{4AD286F3-3276-4C92-889A-D69982C2CA3C}"/>
    <cellStyle name="20% - Accent6 4 3 4" xfId="3108" xr:uid="{00000000-0005-0000-0000-000001090000}"/>
    <cellStyle name="20% - Accent6 4 3 4 2" xfId="3107" xr:uid="{00000000-0005-0000-0000-000002090000}"/>
    <cellStyle name="20% - Accent6 4 3 4 2 2" xfId="21059" xr:uid="{8D3D8294-6ABF-4BCB-9C45-02887AC6C829}"/>
    <cellStyle name="20% - Accent6 4 3 4 2 2 2" xfId="36035" xr:uid="{20B3EC32-D8ED-46ED-8348-2A1698EA0C12}"/>
    <cellStyle name="20% - Accent6 4 3 4 2 3" xfId="28431" xr:uid="{01A6035B-C27F-46C6-97D2-13123236B9A6}"/>
    <cellStyle name="20% - Accent6 4 3 4 3" xfId="21060" xr:uid="{018E00A3-123F-40CF-924C-37466E690C07}"/>
    <cellStyle name="20% - Accent6 4 3 4 3 2" xfId="36036" xr:uid="{80DB5F5D-0709-430C-BCAE-4F4A48CED0D3}"/>
    <cellStyle name="20% - Accent6 4 3 4 4" xfId="28432" xr:uid="{7E761240-F355-46E9-90DB-AD1870BE9D94}"/>
    <cellStyle name="20% - Accent6 4 3 5" xfId="3106" xr:uid="{00000000-0005-0000-0000-000003090000}"/>
    <cellStyle name="20% - Accent6 4 3 5 2" xfId="21058" xr:uid="{97A6598B-F0DB-4215-90D8-1514A93BF15C}"/>
    <cellStyle name="20% - Accent6 4 3 5 2 2" xfId="36034" xr:uid="{4AFB6379-C054-438E-A2E3-218C903518EE}"/>
    <cellStyle name="20% - Accent6 4 3 5 3" xfId="28430" xr:uid="{863408E5-2F37-4AC7-BC7C-56CD1359F2E7}"/>
    <cellStyle name="20% - Accent6 4 3 6" xfId="21065" xr:uid="{780AFAFF-7198-4BDA-B8AC-98165FEA8C16}"/>
    <cellStyle name="20% - Accent6 4 3 6 2" xfId="36041" xr:uid="{1FEB6DFF-84DF-47B8-A56E-A91B0389E0D8}"/>
    <cellStyle name="20% - Accent6 4 3 7" xfId="28437" xr:uid="{E65F43A3-94E2-4075-89FA-4F67AA044659}"/>
    <cellStyle name="20% - Accent6 4 4" xfId="3105" xr:uid="{00000000-0005-0000-0000-000004090000}"/>
    <cellStyle name="20% - Accent6 4 4 2" xfId="3104" xr:uid="{00000000-0005-0000-0000-000005090000}"/>
    <cellStyle name="20% - Accent6 4 4 2 2" xfId="3103" xr:uid="{00000000-0005-0000-0000-000006090000}"/>
    <cellStyle name="20% - Accent6 4 4 2 2 2" xfId="21055" xr:uid="{4DF5F7BB-64C1-4B42-BA1F-536FDD5A63AD}"/>
    <cellStyle name="20% - Accent6 4 4 2 2 2 2" xfId="36031" xr:uid="{D438E22E-43A6-4522-BF44-55744ABB4413}"/>
    <cellStyle name="20% - Accent6 4 4 2 2 3" xfId="28427" xr:uid="{ACB7E2A5-6345-4327-944A-8EF946266A13}"/>
    <cellStyle name="20% - Accent6 4 4 2 3" xfId="3102" xr:uid="{00000000-0005-0000-0000-000007090000}"/>
    <cellStyle name="20% - Accent6 4 4 2 3 2" xfId="21054" xr:uid="{91E3181C-942C-440D-87D6-5B2C6AC05D36}"/>
    <cellStyle name="20% - Accent6 4 4 2 3 2 2" xfId="36030" xr:uid="{F89469B8-3E12-4BFF-9EA0-0287D74709FF}"/>
    <cellStyle name="20% - Accent6 4 4 2 3 3" xfId="28426" xr:uid="{CCBE09A0-5948-47C0-8422-4C2C221849FF}"/>
    <cellStyle name="20% - Accent6 4 4 2 4" xfId="21056" xr:uid="{82B04D00-5492-4C84-B6E8-628C23763946}"/>
    <cellStyle name="20% - Accent6 4 4 2 4 2" xfId="36032" xr:uid="{5520556F-1045-4D10-8D54-B4A3AC5FE3C2}"/>
    <cellStyle name="20% - Accent6 4 4 2 5" xfId="28428" xr:uid="{CCD81C3C-449F-4BA2-A855-69D65B957309}"/>
    <cellStyle name="20% - Accent6 4 4 3" xfId="3101" xr:uid="{00000000-0005-0000-0000-000008090000}"/>
    <cellStyle name="20% - Accent6 4 4 3 2" xfId="3100" xr:uid="{00000000-0005-0000-0000-000009090000}"/>
    <cellStyle name="20% - Accent6 4 4 3 2 2" xfId="21052" xr:uid="{14891253-3B60-45D5-A647-1BE9E8733D42}"/>
    <cellStyle name="20% - Accent6 4 4 3 2 2 2" xfId="36028" xr:uid="{B6907C30-436A-41A5-8D62-97901D0F5E92}"/>
    <cellStyle name="20% - Accent6 4 4 3 2 3" xfId="28424" xr:uid="{E7D2FAD8-ED9E-4FFF-A725-11D4B3D86B43}"/>
    <cellStyle name="20% - Accent6 4 4 3 3" xfId="21053" xr:uid="{66D4B70D-C216-4129-8FE4-678F046D583B}"/>
    <cellStyle name="20% - Accent6 4 4 3 3 2" xfId="36029" xr:uid="{068A31E4-8C40-4653-B54E-05B3C484F523}"/>
    <cellStyle name="20% - Accent6 4 4 3 4" xfId="28425" xr:uid="{6FF446D7-932D-4399-853E-811858D27F42}"/>
    <cellStyle name="20% - Accent6 4 4 4" xfId="3099" xr:uid="{00000000-0005-0000-0000-00000A090000}"/>
    <cellStyle name="20% - Accent6 4 4 4 2" xfId="21051" xr:uid="{641980CE-25AE-471C-B3D0-490C9BCC93AB}"/>
    <cellStyle name="20% - Accent6 4 4 4 2 2" xfId="36027" xr:uid="{A0920BE9-8CB9-4B9A-9F29-487CF47B1255}"/>
    <cellStyle name="20% - Accent6 4 4 4 3" xfId="28423" xr:uid="{7D1E436E-FA29-4A3F-BBED-0862BC3B26CC}"/>
    <cellStyle name="20% - Accent6 4 4 5" xfId="21057" xr:uid="{CCCA2901-20CB-4505-A397-CFB6A39EC06A}"/>
    <cellStyle name="20% - Accent6 4 4 5 2" xfId="36033" xr:uid="{3B919C16-3601-4048-98B5-3A847999C780}"/>
    <cellStyle name="20% - Accent6 4 4 6" xfId="28429" xr:uid="{1A6AE687-A8EE-44A3-835F-EE46845BB31A}"/>
    <cellStyle name="20% - Accent6 4 5" xfId="3098" xr:uid="{00000000-0005-0000-0000-00000B090000}"/>
    <cellStyle name="20% - Accent6 4 5 2" xfId="3097" xr:uid="{00000000-0005-0000-0000-00000C090000}"/>
    <cellStyle name="20% - Accent6 4 5 2 2" xfId="3096" xr:uid="{00000000-0005-0000-0000-00000D090000}"/>
    <cellStyle name="20% - Accent6 4 5 2 2 2" xfId="21048" xr:uid="{1466F97F-EC47-4EA5-98EE-BDFF3A66D7B7}"/>
    <cellStyle name="20% - Accent6 4 5 2 2 2 2" xfId="36024" xr:uid="{FBC7E5A2-9D69-4206-8874-97DAD8809444}"/>
    <cellStyle name="20% - Accent6 4 5 2 2 3" xfId="28420" xr:uid="{E0490020-CDE8-45B2-ABE8-31D6FE1DA68B}"/>
    <cellStyle name="20% - Accent6 4 5 2 3" xfId="3095" xr:uid="{00000000-0005-0000-0000-00000E090000}"/>
    <cellStyle name="20% - Accent6 4 5 2 3 2" xfId="21047" xr:uid="{BF873DA6-B998-4643-A493-64DFAF6F7272}"/>
    <cellStyle name="20% - Accent6 4 5 2 3 2 2" xfId="36023" xr:uid="{707A3986-F03F-43F1-A108-FF07C3424CBF}"/>
    <cellStyle name="20% - Accent6 4 5 2 3 3" xfId="28419" xr:uid="{45C63656-ED8D-4774-81B0-67C12EF23B8F}"/>
    <cellStyle name="20% - Accent6 4 5 2 4" xfId="21049" xr:uid="{FC898E23-CB9F-4683-902B-B92CEA5922DC}"/>
    <cellStyle name="20% - Accent6 4 5 2 4 2" xfId="36025" xr:uid="{7BC7671F-EF35-481C-817F-06D04F2ECA5E}"/>
    <cellStyle name="20% - Accent6 4 5 2 5" xfId="28421" xr:uid="{1FBFF800-44B0-44A8-875A-53558D91CD15}"/>
    <cellStyle name="20% - Accent6 4 5 3" xfId="3094" xr:uid="{00000000-0005-0000-0000-00000F090000}"/>
    <cellStyle name="20% - Accent6 4 5 3 2" xfId="3093" xr:uid="{00000000-0005-0000-0000-000010090000}"/>
    <cellStyle name="20% - Accent6 4 5 3 2 2" xfId="21045" xr:uid="{C784FB19-31DA-4499-9161-2465438067E9}"/>
    <cellStyle name="20% - Accent6 4 5 3 2 2 2" xfId="36021" xr:uid="{1A06FC3D-0639-4638-A53A-EC3BEAC2F4D1}"/>
    <cellStyle name="20% - Accent6 4 5 3 2 3" xfId="28417" xr:uid="{0BE3E2C9-AA90-43BC-97B6-9E25C6CD1AB6}"/>
    <cellStyle name="20% - Accent6 4 5 3 3" xfId="21046" xr:uid="{DAEF0089-194F-401F-9D45-A4DD183B1128}"/>
    <cellStyle name="20% - Accent6 4 5 3 3 2" xfId="36022" xr:uid="{167244ED-D68A-459E-B3DE-17779D46C954}"/>
    <cellStyle name="20% - Accent6 4 5 3 4" xfId="28418" xr:uid="{5A3C0A2C-C54C-4AB9-9CCC-6827698875E4}"/>
    <cellStyle name="20% - Accent6 4 5 4" xfId="3092" xr:uid="{00000000-0005-0000-0000-000011090000}"/>
    <cellStyle name="20% - Accent6 4 5 4 2" xfId="21044" xr:uid="{0CF7C714-F854-4EA2-B222-D75AFD020E85}"/>
    <cellStyle name="20% - Accent6 4 5 4 2 2" xfId="36020" xr:uid="{64AF3571-9745-4BEC-B3E5-C310B45662C6}"/>
    <cellStyle name="20% - Accent6 4 5 4 3" xfId="28416" xr:uid="{EF0C204B-5951-4E63-90CC-14F2BFFB65B5}"/>
    <cellStyle name="20% - Accent6 4 5 5" xfId="21050" xr:uid="{D7BA652F-537F-4B9F-A166-02C4290C49A2}"/>
    <cellStyle name="20% - Accent6 4 5 5 2" xfId="36026" xr:uid="{234FB827-C1D0-4338-92C6-A11404DE3608}"/>
    <cellStyle name="20% - Accent6 4 5 6" xfId="28422" xr:uid="{7B23FA59-B591-418B-A2B6-A951BCD122A3}"/>
    <cellStyle name="20% - Accent6 4 6" xfId="3091" xr:uid="{00000000-0005-0000-0000-000012090000}"/>
    <cellStyle name="20% - Accent6 4 6 2" xfId="3090" xr:uid="{00000000-0005-0000-0000-000013090000}"/>
    <cellStyle name="20% - Accent6 4 6 2 2" xfId="21042" xr:uid="{12DA9E27-C3EC-4288-837D-D5C63E7EA9BD}"/>
    <cellStyle name="20% - Accent6 4 6 2 2 2" xfId="36018" xr:uid="{E432DEC4-B50E-45D2-9B2F-11F0CEF8A5D3}"/>
    <cellStyle name="20% - Accent6 4 6 2 3" xfId="28414" xr:uid="{30F5A750-A3EA-4FCA-B6DF-2102390D562C}"/>
    <cellStyle name="20% - Accent6 4 6 3" xfId="3089" xr:uid="{00000000-0005-0000-0000-000014090000}"/>
    <cellStyle name="20% - Accent6 4 6 3 2" xfId="21041" xr:uid="{1B28ED13-B05B-4D56-93D7-2181439D81E5}"/>
    <cellStyle name="20% - Accent6 4 6 3 2 2" xfId="36017" xr:uid="{ADF24437-5931-45B1-AC2C-7F73C4F3D3FA}"/>
    <cellStyle name="20% - Accent6 4 6 3 3" xfId="28413" xr:uid="{8A4AAFFA-5709-4B68-BE9A-92698FB118FA}"/>
    <cellStyle name="20% - Accent6 4 6 4" xfId="21043" xr:uid="{2F5AB537-711D-4BDD-B7CC-BF75E3E05C88}"/>
    <cellStyle name="20% - Accent6 4 6 4 2" xfId="36019" xr:uid="{35ADDF82-408F-4292-952E-86662F4688F4}"/>
    <cellStyle name="20% - Accent6 4 6 5" xfId="28415" xr:uid="{8BEE2788-AC51-44E6-9763-823A21B76960}"/>
    <cellStyle name="20% - Accent6 4 7" xfId="3088" xr:uid="{00000000-0005-0000-0000-000015090000}"/>
    <cellStyle name="20% - Accent6 4 7 2" xfId="21040" xr:uid="{05DE8979-343B-41A3-932D-2931447B739E}"/>
    <cellStyle name="20% - Accent6 4 7 2 2" xfId="36016" xr:uid="{6FBF650B-61FA-40E9-96DD-91E0FAF4D700}"/>
    <cellStyle name="20% - Accent6 4 7 3" xfId="28412" xr:uid="{FFDF263E-B02E-4909-AD80-0C1667A15892}"/>
    <cellStyle name="20% - Accent6 4 8" xfId="3087" xr:uid="{00000000-0005-0000-0000-000016090000}"/>
    <cellStyle name="20% - Accent6 4 8 2" xfId="3086" xr:uid="{00000000-0005-0000-0000-000017090000}"/>
    <cellStyle name="20% - Accent6 4 8 2 2" xfId="21038" xr:uid="{F09BA105-FE07-4767-AF28-7417BD0FF027}"/>
    <cellStyle name="20% - Accent6 4 8 2 2 2" xfId="36014" xr:uid="{36DDDA9A-953E-4FC1-BFBF-8A6539FF8AD5}"/>
    <cellStyle name="20% - Accent6 4 8 2 3" xfId="28410" xr:uid="{DB960C48-8ACC-4BD4-9170-461C169AA909}"/>
    <cellStyle name="20% - Accent6 4 8 3" xfId="21039" xr:uid="{1AB828A7-9E4E-4B5C-ADBE-83E22536981E}"/>
    <cellStyle name="20% - Accent6 4 8 3 2" xfId="36015" xr:uid="{348F100A-A8BC-448A-A774-F04728178880}"/>
    <cellStyle name="20% - Accent6 4 8 4" xfId="28411" xr:uid="{1A70E5E1-E771-4548-93E6-9C0E33A3D7D7}"/>
    <cellStyle name="20% - Accent6 4 9" xfId="3085" xr:uid="{00000000-0005-0000-0000-000018090000}"/>
    <cellStyle name="20% - Accent6 4 9 2" xfId="21037" xr:uid="{E291E923-2225-4EC6-89AC-47548596E1CB}"/>
    <cellStyle name="20% - Accent6 4 9 2 2" xfId="36013" xr:uid="{70298A9C-04ED-4FC1-BA95-9D46A6114A07}"/>
    <cellStyle name="20% - Accent6 4 9 3" xfId="28409" xr:uid="{BFE658F6-0CF2-4F87-9223-DDA5ECF55215}"/>
    <cellStyle name="20% - Accent6 5" xfId="217" xr:uid="{00000000-0005-0000-0000-000038000000}"/>
    <cellStyle name="20% - Accent6 5 2" xfId="3083" xr:uid="{00000000-0005-0000-0000-00001A090000}"/>
    <cellStyle name="20% - Accent6 5 2 2" xfId="3082" xr:uid="{00000000-0005-0000-0000-00001B090000}"/>
    <cellStyle name="20% - Accent6 5 2 2 2" xfId="3081" xr:uid="{00000000-0005-0000-0000-00001C090000}"/>
    <cellStyle name="20% - Accent6 5 2 2 2 2" xfId="3080" xr:uid="{00000000-0005-0000-0000-00001D090000}"/>
    <cellStyle name="20% - Accent6 5 2 2 2 2 2" xfId="3079" xr:uid="{00000000-0005-0000-0000-00001E090000}"/>
    <cellStyle name="20% - Accent6 5 2 2 2 2 2 2" xfId="21032" xr:uid="{2C932390-A572-4763-81FB-EC9BFD3729FB}"/>
    <cellStyle name="20% - Accent6 5 2 2 2 2 2 2 2" xfId="36008" xr:uid="{CFE52D34-9AAC-4E60-AC7A-D96077999DCC}"/>
    <cellStyle name="20% - Accent6 5 2 2 2 2 2 3" xfId="28404" xr:uid="{BFB03416-AE0E-425F-9992-8B6060373E7C}"/>
    <cellStyle name="20% - Accent6 5 2 2 2 2 3" xfId="3078" xr:uid="{00000000-0005-0000-0000-00001F090000}"/>
    <cellStyle name="20% - Accent6 5 2 2 2 2 3 2" xfId="21031" xr:uid="{FE08EB57-E12E-4859-8363-48B3AE3254EF}"/>
    <cellStyle name="20% - Accent6 5 2 2 2 2 3 2 2" xfId="36007" xr:uid="{5E5189C2-F568-491C-9D27-EB062B08941D}"/>
    <cellStyle name="20% - Accent6 5 2 2 2 2 3 3" xfId="28403" xr:uid="{C32EF95B-8D70-4EE4-9627-6C4E780BFC6D}"/>
    <cellStyle name="20% - Accent6 5 2 2 2 2 4" xfId="21033" xr:uid="{A09E9DF7-AD33-4C43-899D-599566F36F49}"/>
    <cellStyle name="20% - Accent6 5 2 2 2 2 4 2" xfId="36009" xr:uid="{B4B40574-8A5C-48D3-92D2-800B81751B5F}"/>
    <cellStyle name="20% - Accent6 5 2 2 2 2 5" xfId="28405" xr:uid="{05937F57-8992-4FAF-8C4D-C580DC05BF42}"/>
    <cellStyle name="20% - Accent6 5 2 2 2 3" xfId="3077" xr:uid="{00000000-0005-0000-0000-000020090000}"/>
    <cellStyle name="20% - Accent6 5 2 2 2 3 2" xfId="3076" xr:uid="{00000000-0005-0000-0000-000021090000}"/>
    <cellStyle name="20% - Accent6 5 2 2 2 3 2 2" xfId="21029" xr:uid="{8A1D7407-488D-47A6-8F02-F71089F61C62}"/>
    <cellStyle name="20% - Accent6 5 2 2 2 3 2 2 2" xfId="36005" xr:uid="{7BAAC348-6B6A-4F4D-9AC9-6936CEDF08B9}"/>
    <cellStyle name="20% - Accent6 5 2 2 2 3 2 3" xfId="28401" xr:uid="{7531F5A5-D626-4B2F-A711-EA684F8D87C5}"/>
    <cellStyle name="20% - Accent6 5 2 2 2 3 3" xfId="21030" xr:uid="{B1FE88F9-CE1F-480A-9829-35512D1F181A}"/>
    <cellStyle name="20% - Accent6 5 2 2 2 3 3 2" xfId="36006" xr:uid="{385D246C-C7AC-4203-B128-87F9E79E4426}"/>
    <cellStyle name="20% - Accent6 5 2 2 2 3 4" xfId="28402" xr:uid="{1B5745C0-2F47-474D-94B2-120FB586DB6C}"/>
    <cellStyle name="20% - Accent6 5 2 2 2 4" xfId="3075" xr:uid="{00000000-0005-0000-0000-000022090000}"/>
    <cellStyle name="20% - Accent6 5 2 2 2 4 2" xfId="21028" xr:uid="{33D36770-4C39-493C-A8ED-327996746C89}"/>
    <cellStyle name="20% - Accent6 5 2 2 2 4 2 2" xfId="36004" xr:uid="{D514F4A5-1076-493B-8D13-C9B4B1938DF6}"/>
    <cellStyle name="20% - Accent6 5 2 2 2 4 3" xfId="28400" xr:uid="{3D3C2C59-E0AB-49C5-AF56-44D75917C59F}"/>
    <cellStyle name="20% - Accent6 5 2 2 2 5" xfId="21034" xr:uid="{A0510BD3-02A7-46E4-901B-3F75D8079981}"/>
    <cellStyle name="20% - Accent6 5 2 2 2 5 2" xfId="36010" xr:uid="{3344BF5B-B7F7-4296-84CE-D3E0FEE26481}"/>
    <cellStyle name="20% - Accent6 5 2 2 2 6" xfId="28406" xr:uid="{C76A2121-76B6-4C45-ADF8-EE3B1D8B3F33}"/>
    <cellStyle name="20% - Accent6 5 2 2 3" xfId="3074" xr:uid="{00000000-0005-0000-0000-000023090000}"/>
    <cellStyle name="20% - Accent6 5 2 2 3 2" xfId="3073" xr:uid="{00000000-0005-0000-0000-000024090000}"/>
    <cellStyle name="20% - Accent6 5 2 2 3 2 2" xfId="21026" xr:uid="{0190F6B8-608D-4962-9746-457F1D3F92ED}"/>
    <cellStyle name="20% - Accent6 5 2 2 3 2 2 2" xfId="36002" xr:uid="{BFDE840F-9276-4879-98D9-0F48C68C68CD}"/>
    <cellStyle name="20% - Accent6 5 2 2 3 2 3" xfId="28398" xr:uid="{C74D73A3-28C4-4DF8-BAB3-C7C3FA09550A}"/>
    <cellStyle name="20% - Accent6 5 2 2 3 3" xfId="3072" xr:uid="{00000000-0005-0000-0000-000025090000}"/>
    <cellStyle name="20% - Accent6 5 2 2 3 3 2" xfId="21025" xr:uid="{D106470F-146D-4030-A903-2D9EF54D9E39}"/>
    <cellStyle name="20% - Accent6 5 2 2 3 3 2 2" xfId="36001" xr:uid="{F394F11A-38B9-4959-B1E1-FBA768EF1C0D}"/>
    <cellStyle name="20% - Accent6 5 2 2 3 3 3" xfId="28397" xr:uid="{7995D73D-ED36-4E7E-B2EB-98E1240A3E5D}"/>
    <cellStyle name="20% - Accent6 5 2 2 3 4" xfId="21027" xr:uid="{FDFBF014-48AB-4DF7-983D-F3A7FDB44A88}"/>
    <cellStyle name="20% - Accent6 5 2 2 3 4 2" xfId="36003" xr:uid="{560EC566-350E-4D35-9341-A4D2ECF0AEC4}"/>
    <cellStyle name="20% - Accent6 5 2 2 3 5" xfId="28399" xr:uid="{75A309CB-E942-4911-B02B-EB71830BB98F}"/>
    <cellStyle name="20% - Accent6 5 2 2 4" xfId="3071" xr:uid="{00000000-0005-0000-0000-000026090000}"/>
    <cellStyle name="20% - Accent6 5 2 2 4 2" xfId="21024" xr:uid="{D5E1E08E-BFFD-42EA-B4B0-4C172D16C484}"/>
    <cellStyle name="20% - Accent6 5 2 2 4 2 2" xfId="36000" xr:uid="{0A51D823-2238-4029-AC49-76EAF1A5B302}"/>
    <cellStyle name="20% - Accent6 5 2 2 4 3" xfId="28396" xr:uid="{D4587097-4469-4CDF-989E-EA180582675E}"/>
    <cellStyle name="20% - Accent6 5 2 2 5" xfId="3070" xr:uid="{00000000-0005-0000-0000-000027090000}"/>
    <cellStyle name="20% - Accent6 5 2 2 5 2" xfId="3069" xr:uid="{00000000-0005-0000-0000-000028090000}"/>
    <cellStyle name="20% - Accent6 5 2 2 5 2 2" xfId="21022" xr:uid="{8A393292-D583-4EBC-ACA1-9A0EFEC75197}"/>
    <cellStyle name="20% - Accent6 5 2 2 5 2 2 2" xfId="35998" xr:uid="{E323F9EE-A7F8-4597-8F1B-0FE84F9A7E0F}"/>
    <cellStyle name="20% - Accent6 5 2 2 5 2 3" xfId="28394" xr:uid="{95907ADD-C768-4089-BCA9-E7582B453467}"/>
    <cellStyle name="20% - Accent6 5 2 2 5 3" xfId="21023" xr:uid="{E96F21BF-A7D8-4987-B5A0-80CFC9CC5781}"/>
    <cellStyle name="20% - Accent6 5 2 2 5 3 2" xfId="35999" xr:uid="{7590F0BB-B9D7-4497-923C-A0DF674487AE}"/>
    <cellStyle name="20% - Accent6 5 2 2 5 4" xfId="28395" xr:uid="{68F61245-B3BD-4775-ADCB-DD1A64AB8021}"/>
    <cellStyle name="20% - Accent6 5 2 2 6" xfId="3068" xr:uid="{00000000-0005-0000-0000-000029090000}"/>
    <cellStyle name="20% - Accent6 5 2 2 6 2" xfId="21021" xr:uid="{0AA8ECEA-EA09-42B8-A92B-257003F43E10}"/>
    <cellStyle name="20% - Accent6 5 2 2 6 2 2" xfId="35997" xr:uid="{D0FE36E5-1C25-4114-A924-1C448D8A46CF}"/>
    <cellStyle name="20% - Accent6 5 2 2 6 3" xfId="28393" xr:uid="{6EF0EA79-3BBD-43F3-B38B-7FC32CDDD9C0}"/>
    <cellStyle name="20% - Accent6 5 2 2 7" xfId="21035" xr:uid="{85E66991-5D8B-488C-AE60-2912B6B3CB21}"/>
    <cellStyle name="20% - Accent6 5 2 2 7 2" xfId="36011" xr:uid="{0E51BB97-552D-42E0-BEE9-875DE2BDED3C}"/>
    <cellStyle name="20% - Accent6 5 2 2 8" xfId="28407" xr:uid="{0AAE4C61-8AE5-49C8-B736-2C1892374076}"/>
    <cellStyle name="20% - Accent6 5 2 3" xfId="3067" xr:uid="{00000000-0005-0000-0000-00002A090000}"/>
    <cellStyle name="20% - Accent6 5 2 3 2" xfId="3066" xr:uid="{00000000-0005-0000-0000-00002B090000}"/>
    <cellStyle name="20% - Accent6 5 2 3 2 2" xfId="3065" xr:uid="{00000000-0005-0000-0000-00002C090000}"/>
    <cellStyle name="20% - Accent6 5 2 3 2 2 2" xfId="21018" xr:uid="{B4F2E79B-4248-4D22-97EC-AC4D0ACF9DB2}"/>
    <cellStyle name="20% - Accent6 5 2 3 2 2 2 2" xfId="35994" xr:uid="{36FF3B13-1FB8-4DD9-963B-7762D3E2639E}"/>
    <cellStyle name="20% - Accent6 5 2 3 2 2 3" xfId="28390" xr:uid="{957947B6-CBAA-4EF4-898D-DF87C491F44F}"/>
    <cellStyle name="20% - Accent6 5 2 3 2 3" xfId="3064" xr:uid="{00000000-0005-0000-0000-00002D090000}"/>
    <cellStyle name="20% - Accent6 5 2 3 2 3 2" xfId="21017" xr:uid="{9B456398-E94E-45AD-B1A0-A7633A80306A}"/>
    <cellStyle name="20% - Accent6 5 2 3 2 3 2 2" xfId="35993" xr:uid="{9D1F7121-5ACD-41E9-8C3D-F505B13D6A1B}"/>
    <cellStyle name="20% - Accent6 5 2 3 2 3 3" xfId="28389" xr:uid="{961318CE-D12C-4A97-AC63-6F6CC59EB62F}"/>
    <cellStyle name="20% - Accent6 5 2 3 2 4" xfId="21019" xr:uid="{EE793709-F8C5-4C43-A9AF-CE4BA093C68D}"/>
    <cellStyle name="20% - Accent6 5 2 3 2 4 2" xfId="35995" xr:uid="{A71A9281-A704-4A9D-8705-E4EAC622A130}"/>
    <cellStyle name="20% - Accent6 5 2 3 2 5" xfId="28391" xr:uid="{50DD43B4-7C89-4A8C-AE78-57412B1FC36F}"/>
    <cellStyle name="20% - Accent6 5 2 3 3" xfId="3063" xr:uid="{00000000-0005-0000-0000-00002E090000}"/>
    <cellStyle name="20% - Accent6 5 2 3 3 2" xfId="3062" xr:uid="{00000000-0005-0000-0000-00002F090000}"/>
    <cellStyle name="20% - Accent6 5 2 3 3 2 2" xfId="21015" xr:uid="{1C20733E-2787-47EB-9AED-AD8202746124}"/>
    <cellStyle name="20% - Accent6 5 2 3 3 2 2 2" xfId="35991" xr:uid="{A2C8FA88-A2A6-407B-8E6E-C930826D9402}"/>
    <cellStyle name="20% - Accent6 5 2 3 3 2 3" xfId="28387" xr:uid="{AF85B15F-6122-467C-B1D2-2F4AEA5C5AE3}"/>
    <cellStyle name="20% - Accent6 5 2 3 3 3" xfId="21016" xr:uid="{92803217-A425-4198-A734-4D7A98A11FAC}"/>
    <cellStyle name="20% - Accent6 5 2 3 3 3 2" xfId="35992" xr:uid="{C99F9BCA-DA3E-4050-B0EC-42A9B3A2C4C0}"/>
    <cellStyle name="20% - Accent6 5 2 3 3 4" xfId="28388" xr:uid="{20ADC661-31B9-4211-A83E-FD10E5609E2B}"/>
    <cellStyle name="20% - Accent6 5 2 3 4" xfId="3061" xr:uid="{00000000-0005-0000-0000-000030090000}"/>
    <cellStyle name="20% - Accent6 5 2 3 4 2" xfId="21014" xr:uid="{9E7B719B-9CA6-42E3-801C-5C4075B975AB}"/>
    <cellStyle name="20% - Accent6 5 2 3 4 2 2" xfId="35990" xr:uid="{2B6F606C-2CA2-44C8-AB01-086B1B89FC1D}"/>
    <cellStyle name="20% - Accent6 5 2 3 4 3" xfId="28386" xr:uid="{7F45ECA4-05B3-4EEF-A078-24625CADEEA2}"/>
    <cellStyle name="20% - Accent6 5 2 3 5" xfId="21020" xr:uid="{EA374B40-8BB3-4B13-968C-F03A69EC881B}"/>
    <cellStyle name="20% - Accent6 5 2 3 5 2" xfId="35996" xr:uid="{A986C49E-84F3-4726-8C22-C5FD26AADBAB}"/>
    <cellStyle name="20% - Accent6 5 2 3 6" xfId="28392" xr:uid="{B2F316E1-3C0D-425C-A0DC-AE6D04A4E132}"/>
    <cellStyle name="20% - Accent6 5 2 4" xfId="3060" xr:uid="{00000000-0005-0000-0000-000031090000}"/>
    <cellStyle name="20% - Accent6 5 2 5" xfId="3059" xr:uid="{00000000-0005-0000-0000-000032090000}"/>
    <cellStyle name="20% - Accent6 5 2 5 2" xfId="21013" xr:uid="{5EF7E082-CFF5-48B6-826D-8E7E2B33F0C4}"/>
    <cellStyle name="20% - Accent6 5 2 5 2 2" xfId="35989" xr:uid="{791F5B3B-9308-4E06-BC99-6EB8FACD1291}"/>
    <cellStyle name="20% - Accent6 5 2 5 3" xfId="28385" xr:uid="{BCDA29F6-5B36-4AE0-9EA7-E168FD304B6B}"/>
    <cellStyle name="20% - Accent6 5 3" xfId="3058" xr:uid="{00000000-0005-0000-0000-000033090000}"/>
    <cellStyle name="20% - Accent6 5 3 2" xfId="3057" xr:uid="{00000000-0005-0000-0000-000034090000}"/>
    <cellStyle name="20% - Accent6 5 3 2 2" xfId="3056" xr:uid="{00000000-0005-0000-0000-000035090000}"/>
    <cellStyle name="20% - Accent6 5 3 2 2 2" xfId="21010" xr:uid="{36E2A8A6-47A5-4DD0-BCB6-9677BE39C79A}"/>
    <cellStyle name="20% - Accent6 5 3 2 2 2 2" xfId="35986" xr:uid="{94127C8B-C269-434C-B635-4FB9DF935E3C}"/>
    <cellStyle name="20% - Accent6 5 3 2 2 3" xfId="28382" xr:uid="{EC44514A-EEAE-4F5C-9D79-799D7682595B}"/>
    <cellStyle name="20% - Accent6 5 3 2 3" xfId="3055" xr:uid="{00000000-0005-0000-0000-000036090000}"/>
    <cellStyle name="20% - Accent6 5 3 2 3 2" xfId="21009" xr:uid="{FB7E7413-47A8-43D8-B62E-D8423D20FE71}"/>
    <cellStyle name="20% - Accent6 5 3 2 3 2 2" xfId="35985" xr:uid="{2D529DC4-4094-4090-8DB4-2A6401711539}"/>
    <cellStyle name="20% - Accent6 5 3 2 3 3" xfId="28381" xr:uid="{1948C1FF-F7B2-4F35-8D37-8C58CCB97C08}"/>
    <cellStyle name="20% - Accent6 5 3 2 4" xfId="21011" xr:uid="{0E574868-45F5-4E6E-AB18-1884D7D34B69}"/>
    <cellStyle name="20% - Accent6 5 3 2 4 2" xfId="35987" xr:uid="{ACD6D1B8-836B-475D-AB4C-9DD73F524D36}"/>
    <cellStyle name="20% - Accent6 5 3 2 5" xfId="28383" xr:uid="{43497E24-6526-4901-B427-BEDDE0B370E0}"/>
    <cellStyle name="20% - Accent6 5 3 3" xfId="3054" xr:uid="{00000000-0005-0000-0000-000037090000}"/>
    <cellStyle name="20% - Accent6 5 3 3 2" xfId="21008" xr:uid="{A8FB0DA9-BD5C-4EC6-A38A-905B13609BDA}"/>
    <cellStyle name="20% - Accent6 5 3 3 2 2" xfId="35984" xr:uid="{786055AC-E3DF-409C-8020-B13C619C7A4F}"/>
    <cellStyle name="20% - Accent6 5 3 3 3" xfId="28380" xr:uid="{62A8091E-BC10-4F90-B19E-24E38D25C3CD}"/>
    <cellStyle name="20% - Accent6 5 3 4" xfId="3053" xr:uid="{00000000-0005-0000-0000-000038090000}"/>
    <cellStyle name="20% - Accent6 5 3 4 2" xfId="3052" xr:uid="{00000000-0005-0000-0000-000039090000}"/>
    <cellStyle name="20% - Accent6 5 3 4 2 2" xfId="21006" xr:uid="{AAC8CF6B-214F-4030-A31D-A45E3E1C2E0F}"/>
    <cellStyle name="20% - Accent6 5 3 4 2 2 2" xfId="35982" xr:uid="{034421C8-1AC3-457C-95AC-C3C9BDDA5B72}"/>
    <cellStyle name="20% - Accent6 5 3 4 2 3" xfId="28378" xr:uid="{CB4E18F8-F214-44D5-B665-8A94F776A906}"/>
    <cellStyle name="20% - Accent6 5 3 4 3" xfId="21007" xr:uid="{BDDFE318-3438-4BC0-AFFC-EFF7F4387106}"/>
    <cellStyle name="20% - Accent6 5 3 4 3 2" xfId="35983" xr:uid="{A169C88D-FAD1-4D29-A482-A447F504FB21}"/>
    <cellStyle name="20% - Accent6 5 3 4 4" xfId="28379" xr:uid="{1C8F403C-2BE6-4875-A435-9B39A9531524}"/>
    <cellStyle name="20% - Accent6 5 3 5" xfId="3051" xr:uid="{00000000-0005-0000-0000-00003A090000}"/>
    <cellStyle name="20% - Accent6 5 3 5 2" xfId="21005" xr:uid="{C3EE04C6-72A7-4AEA-815B-9690AD7006DD}"/>
    <cellStyle name="20% - Accent6 5 3 5 2 2" xfId="35981" xr:uid="{70EE642E-D6CB-4233-9180-D1CC741F9A66}"/>
    <cellStyle name="20% - Accent6 5 3 5 3" xfId="28377" xr:uid="{6D77504C-630F-4F35-876D-346F3C035189}"/>
    <cellStyle name="20% - Accent6 5 3 6" xfId="21012" xr:uid="{DE592CA9-920D-429E-96FF-1F09509C7FCE}"/>
    <cellStyle name="20% - Accent6 5 3 6 2" xfId="35988" xr:uid="{FB163FE1-794A-4DD0-B893-CDC6DF305F9B}"/>
    <cellStyle name="20% - Accent6 5 3 7" xfId="28384" xr:uid="{769B815A-D13C-4999-8788-57CA94574B35}"/>
    <cellStyle name="20% - Accent6 5 4" xfId="3050" xr:uid="{00000000-0005-0000-0000-00003B090000}"/>
    <cellStyle name="20% - Accent6 5 4 2" xfId="3049" xr:uid="{00000000-0005-0000-0000-00003C090000}"/>
    <cellStyle name="20% - Accent6 5 4 2 2" xfId="3048" xr:uid="{00000000-0005-0000-0000-00003D090000}"/>
    <cellStyle name="20% - Accent6 5 4 2 2 2" xfId="21002" xr:uid="{4E435A14-3A98-45A2-9E79-EB1B0982BFF6}"/>
    <cellStyle name="20% - Accent6 5 4 2 2 2 2" xfId="35978" xr:uid="{C062D032-C175-4EC4-B96A-60E2B72BA821}"/>
    <cellStyle name="20% - Accent6 5 4 2 2 3" xfId="28374" xr:uid="{A9239DF9-BCDE-4C39-98A2-B41EAB5D9BA4}"/>
    <cellStyle name="20% - Accent6 5 4 2 3" xfId="3047" xr:uid="{00000000-0005-0000-0000-00003E090000}"/>
    <cellStyle name="20% - Accent6 5 4 2 3 2" xfId="21001" xr:uid="{1E6D6799-AE22-456F-9992-B664D7A9E17A}"/>
    <cellStyle name="20% - Accent6 5 4 2 3 2 2" xfId="35977" xr:uid="{29F0F5D2-0757-434A-B0A1-D103667B373E}"/>
    <cellStyle name="20% - Accent6 5 4 2 3 3" xfId="28373" xr:uid="{4B8BD0C4-0E09-469F-90DB-9C0FA541D638}"/>
    <cellStyle name="20% - Accent6 5 4 2 4" xfId="21003" xr:uid="{35515155-D128-47AB-BD9D-871606C9E748}"/>
    <cellStyle name="20% - Accent6 5 4 2 4 2" xfId="35979" xr:uid="{AB4CCBF2-4CE5-4DBE-98FA-0A2A9DE3E450}"/>
    <cellStyle name="20% - Accent6 5 4 2 5" xfId="28375" xr:uid="{E17D6D4D-7208-46DF-990D-CD90B40D250B}"/>
    <cellStyle name="20% - Accent6 5 4 3" xfId="3046" xr:uid="{00000000-0005-0000-0000-00003F090000}"/>
    <cellStyle name="20% - Accent6 5 4 3 2" xfId="3045" xr:uid="{00000000-0005-0000-0000-000040090000}"/>
    <cellStyle name="20% - Accent6 5 4 3 2 2" xfId="20999" xr:uid="{2645BB93-57DE-4588-81E4-AB02920C95BE}"/>
    <cellStyle name="20% - Accent6 5 4 3 2 2 2" xfId="35975" xr:uid="{050703A6-AED1-47BC-A608-A397485428E3}"/>
    <cellStyle name="20% - Accent6 5 4 3 2 3" xfId="28371" xr:uid="{F4704FD9-2246-4BF2-88F1-294113FA355C}"/>
    <cellStyle name="20% - Accent6 5 4 3 3" xfId="21000" xr:uid="{887AA934-2D0F-4A98-8821-7278B1FDB3DC}"/>
    <cellStyle name="20% - Accent6 5 4 3 3 2" xfId="35976" xr:uid="{3869EA6C-263D-4EC7-9048-090BA46423E8}"/>
    <cellStyle name="20% - Accent6 5 4 3 4" xfId="28372" xr:uid="{70AFC897-0308-4C9D-A6FA-742DEBFA0F0F}"/>
    <cellStyle name="20% - Accent6 5 4 4" xfId="3044" xr:uid="{00000000-0005-0000-0000-000041090000}"/>
    <cellStyle name="20% - Accent6 5 4 4 2" xfId="20998" xr:uid="{AB6D549B-D4F9-4C46-B37A-D301C0BCDBAF}"/>
    <cellStyle name="20% - Accent6 5 4 4 2 2" xfId="35974" xr:uid="{32CFE155-08FC-4A17-B59D-F54A973B13DD}"/>
    <cellStyle name="20% - Accent6 5 4 4 3" xfId="28370" xr:uid="{14A0C89E-2276-4EA6-A855-CCDD82E6EC97}"/>
    <cellStyle name="20% - Accent6 5 4 5" xfId="21004" xr:uid="{68141F12-970D-4172-8E56-BFE5EC10CD54}"/>
    <cellStyle name="20% - Accent6 5 4 5 2" xfId="35980" xr:uid="{8B0F5E4B-49E2-4921-9A03-E7A14390FC43}"/>
    <cellStyle name="20% - Accent6 5 4 6" xfId="28376" xr:uid="{FEEBFADA-E779-4B13-8026-18786719A587}"/>
    <cellStyle name="20% - Accent6 5 5" xfId="3043" xr:uid="{00000000-0005-0000-0000-000042090000}"/>
    <cellStyle name="20% - Accent6 5 5 2" xfId="3042" xr:uid="{00000000-0005-0000-0000-000043090000}"/>
    <cellStyle name="20% - Accent6 5 5 2 2" xfId="20996" xr:uid="{50EBED5C-1048-47BA-9388-29DB140549AC}"/>
    <cellStyle name="20% - Accent6 5 5 2 2 2" xfId="35972" xr:uid="{6DF295D1-370A-4DA5-BB9F-AEAE764FA53C}"/>
    <cellStyle name="20% - Accent6 5 5 2 3" xfId="28368" xr:uid="{87164BBB-6177-4959-AC34-B7F6F9E5BEFF}"/>
    <cellStyle name="20% - Accent6 5 5 3" xfId="3041" xr:uid="{00000000-0005-0000-0000-000044090000}"/>
    <cellStyle name="20% - Accent6 5 5 3 2" xfId="20995" xr:uid="{C6128C71-7111-43A7-98A8-B92B3E10C654}"/>
    <cellStyle name="20% - Accent6 5 5 3 2 2" xfId="35971" xr:uid="{C0D2C428-9758-447C-8EC6-AEA0F82E345F}"/>
    <cellStyle name="20% - Accent6 5 5 3 3" xfId="28367" xr:uid="{6197689E-313D-4CFD-B0D1-23107A8D5DA5}"/>
    <cellStyle name="20% - Accent6 5 5 4" xfId="20997" xr:uid="{ED5C0004-2B72-4D8A-9283-82FE597C0086}"/>
    <cellStyle name="20% - Accent6 5 5 4 2" xfId="35973" xr:uid="{3024CCF8-82F2-4CFD-A051-4DAD94A01EBA}"/>
    <cellStyle name="20% - Accent6 5 5 5" xfId="28369" xr:uid="{6329F426-6DDC-4275-B821-5669FC4BB6E6}"/>
    <cellStyle name="20% - Accent6 5 6" xfId="3040" xr:uid="{00000000-0005-0000-0000-000045090000}"/>
    <cellStyle name="20% - Accent6 5 6 2" xfId="20994" xr:uid="{2AD92547-69AC-4CBC-9651-8BA9F0B13B98}"/>
    <cellStyle name="20% - Accent6 5 6 2 2" xfId="35970" xr:uid="{7BBF6CB7-BAD7-48B8-AC2F-231A96BBCA96}"/>
    <cellStyle name="20% - Accent6 5 6 3" xfId="28366" xr:uid="{84BDCAC8-5819-4D9C-BF84-8D1BABAFB639}"/>
    <cellStyle name="20% - Accent6 5 7" xfId="3039" xr:uid="{00000000-0005-0000-0000-000046090000}"/>
    <cellStyle name="20% - Accent6 5 7 2" xfId="3038" xr:uid="{00000000-0005-0000-0000-000047090000}"/>
    <cellStyle name="20% - Accent6 5 7 2 2" xfId="20992" xr:uid="{566427B3-F07B-43CA-9A8A-8ECB1E2C634A}"/>
    <cellStyle name="20% - Accent6 5 7 2 2 2" xfId="35968" xr:uid="{8D4CEA40-852C-4A2F-8EFE-DC7C16CC6C7B}"/>
    <cellStyle name="20% - Accent6 5 7 2 3" xfId="28364" xr:uid="{49DB0ED6-FDB0-4437-B0DE-12335733BF12}"/>
    <cellStyle name="20% - Accent6 5 7 3" xfId="20993" xr:uid="{76669B5D-CB9B-4DFA-8538-645A8B4B8EEB}"/>
    <cellStyle name="20% - Accent6 5 7 3 2" xfId="35969" xr:uid="{0E7D3AD7-F85C-4FED-ADA4-6163D684E9B7}"/>
    <cellStyle name="20% - Accent6 5 7 4" xfId="28365" xr:uid="{03B2CBEF-5503-43B6-92DC-CB2C03216E14}"/>
    <cellStyle name="20% - Accent6 5 8" xfId="3037" xr:uid="{00000000-0005-0000-0000-000048090000}"/>
    <cellStyle name="20% - Accent6 5 8 2" xfId="20991" xr:uid="{3A997FC3-2313-468F-939C-8453DD8FAFBF}"/>
    <cellStyle name="20% - Accent6 5 8 2 2" xfId="35967" xr:uid="{C414333B-1F57-4DFD-A15B-D52CF4DFBA8F}"/>
    <cellStyle name="20% - Accent6 5 8 3" xfId="28363" xr:uid="{D34137E5-F01C-4CB7-A256-7A34C8790BE5}"/>
    <cellStyle name="20% - Accent6 5 9" xfId="3084" xr:uid="{00000000-0005-0000-0000-000019090000}"/>
    <cellStyle name="20% - Accent6 5 9 2" xfId="21036" xr:uid="{C2974C59-49CD-4078-A381-8BB26047742D}"/>
    <cellStyle name="20% - Accent6 5 9 2 2" xfId="36012" xr:uid="{B4B6B0E2-FBA9-463E-BE2B-6461353CA724}"/>
    <cellStyle name="20% - Accent6 5 9 3" xfId="28408" xr:uid="{D1EB1816-5243-420B-9D28-0495F672F44D}"/>
    <cellStyle name="20% - Accent6 6" xfId="218" xr:uid="{00000000-0005-0000-0000-000039000000}"/>
    <cellStyle name="20% - Accent6 6 2" xfId="3036" xr:uid="{00000000-0005-0000-0000-00004A090000}"/>
    <cellStyle name="20% - Accent6 6 2 2" xfId="3035" xr:uid="{00000000-0005-0000-0000-00004B090000}"/>
    <cellStyle name="20% - Accent6 6 2 2 2" xfId="3034" xr:uid="{00000000-0005-0000-0000-00004C090000}"/>
    <cellStyle name="20% - Accent6 6 2 2 2 2" xfId="3033" xr:uid="{00000000-0005-0000-0000-00004D090000}"/>
    <cellStyle name="20% - Accent6 6 2 2 2 2 2" xfId="20987" xr:uid="{4DB1EB80-0870-4D11-8146-E5FBDDC9D1EE}"/>
    <cellStyle name="20% - Accent6 6 2 2 2 2 2 2" xfId="35963" xr:uid="{18CE82ED-F136-4F8B-842B-4EF8D1219D73}"/>
    <cellStyle name="20% - Accent6 6 2 2 2 2 3" xfId="28359" xr:uid="{5FDB63BD-E9A0-4EF5-BD5A-E39E9AB8CF7B}"/>
    <cellStyle name="20% - Accent6 6 2 2 2 3" xfId="3032" xr:uid="{00000000-0005-0000-0000-00004E090000}"/>
    <cellStyle name="20% - Accent6 6 2 2 2 3 2" xfId="20986" xr:uid="{79943055-E27A-40C9-ABCB-C5CCDB719165}"/>
    <cellStyle name="20% - Accent6 6 2 2 2 3 2 2" xfId="35962" xr:uid="{B648655E-2CC3-4145-8A47-E10E18AD2507}"/>
    <cellStyle name="20% - Accent6 6 2 2 2 3 3" xfId="28358" xr:uid="{FD53C5DB-5AF1-477E-8601-4E23D67E1B89}"/>
    <cellStyle name="20% - Accent6 6 2 2 2 4" xfId="20988" xr:uid="{CCAFC510-D41A-4126-9EA4-D2542487ABA8}"/>
    <cellStyle name="20% - Accent6 6 2 2 2 4 2" xfId="35964" xr:uid="{27372220-C985-43D9-93CA-4D2F47997804}"/>
    <cellStyle name="20% - Accent6 6 2 2 2 5" xfId="28360" xr:uid="{983E69C1-5ABA-4947-B0BB-A31D5D8D8330}"/>
    <cellStyle name="20% - Accent6 6 2 2 3" xfId="3031" xr:uid="{00000000-0005-0000-0000-00004F090000}"/>
    <cellStyle name="20% - Accent6 6 2 2 3 2" xfId="3030" xr:uid="{00000000-0005-0000-0000-000050090000}"/>
    <cellStyle name="20% - Accent6 6 2 2 3 2 2" xfId="20984" xr:uid="{E4FAF9E2-1622-46E9-8746-CB0D48D41D73}"/>
    <cellStyle name="20% - Accent6 6 2 2 3 2 2 2" xfId="35960" xr:uid="{33EC213D-0D2E-47BF-88E6-DE1CB43C7DF7}"/>
    <cellStyle name="20% - Accent6 6 2 2 3 2 3" xfId="28356" xr:uid="{1C54A1A6-A231-4DE5-88B6-23D2183B3604}"/>
    <cellStyle name="20% - Accent6 6 2 2 3 3" xfId="20985" xr:uid="{70D2C986-D6D2-4022-86FE-E5CA0E587A6B}"/>
    <cellStyle name="20% - Accent6 6 2 2 3 3 2" xfId="35961" xr:uid="{6FCCB426-13AE-44B4-979A-A0394DC45937}"/>
    <cellStyle name="20% - Accent6 6 2 2 3 4" xfId="28357" xr:uid="{52CF7717-99D8-404A-B683-7DFBCEDE037A}"/>
    <cellStyle name="20% - Accent6 6 2 2 4" xfId="3029" xr:uid="{00000000-0005-0000-0000-000051090000}"/>
    <cellStyle name="20% - Accent6 6 2 2 4 2" xfId="20983" xr:uid="{2C66B422-F24D-4CA0-AB7A-25264C930E57}"/>
    <cellStyle name="20% - Accent6 6 2 2 4 2 2" xfId="35959" xr:uid="{8001FD4E-5025-4DE5-95ED-046617A2AF45}"/>
    <cellStyle name="20% - Accent6 6 2 2 4 3" xfId="28355" xr:uid="{2AD8A3F7-BC0C-463D-BC11-1220BC025A0B}"/>
    <cellStyle name="20% - Accent6 6 2 2 5" xfId="20989" xr:uid="{D0A0E0DF-D9A4-43E5-82AA-BFC401CA998F}"/>
    <cellStyle name="20% - Accent6 6 2 2 5 2" xfId="35965" xr:uid="{8ED20491-3609-4276-9944-E3D87C72CE6D}"/>
    <cellStyle name="20% - Accent6 6 2 2 6" xfId="28361" xr:uid="{43865A43-FF5C-43CA-BBA1-7C003EBD59FB}"/>
    <cellStyle name="20% - Accent6 6 2 3" xfId="3028" xr:uid="{00000000-0005-0000-0000-000052090000}"/>
    <cellStyle name="20% - Accent6 6 2 3 2" xfId="3027" xr:uid="{00000000-0005-0000-0000-000053090000}"/>
    <cellStyle name="20% - Accent6 6 2 3 2 2" xfId="20981" xr:uid="{15D6714C-1559-421B-9BD7-D0D24EFFB58D}"/>
    <cellStyle name="20% - Accent6 6 2 3 2 2 2" xfId="35957" xr:uid="{0649D9AC-C473-42EA-812C-D90021426452}"/>
    <cellStyle name="20% - Accent6 6 2 3 2 3" xfId="28353" xr:uid="{5BD01108-375D-4C7C-AE9C-559D95A1FB53}"/>
    <cellStyle name="20% - Accent6 6 2 3 3" xfId="3026" xr:uid="{00000000-0005-0000-0000-000054090000}"/>
    <cellStyle name="20% - Accent6 6 2 3 3 2" xfId="20980" xr:uid="{CBD7138D-A0B3-41D4-9CFE-FAE6F564395E}"/>
    <cellStyle name="20% - Accent6 6 2 3 3 2 2" xfId="35956" xr:uid="{F36E5242-0203-4D5E-842B-91451B548143}"/>
    <cellStyle name="20% - Accent6 6 2 3 3 3" xfId="28352" xr:uid="{FEB0108D-25B8-49D1-8F11-7E4EC0E32017}"/>
    <cellStyle name="20% - Accent6 6 2 3 4" xfId="20982" xr:uid="{1CA537C0-0B09-485D-9C56-B894D15A72FF}"/>
    <cellStyle name="20% - Accent6 6 2 3 4 2" xfId="35958" xr:uid="{CBE1059F-B37F-4EAD-B88A-6068545EE54D}"/>
    <cellStyle name="20% - Accent6 6 2 3 5" xfId="28354" xr:uid="{46A292C0-2960-4131-BB54-EE134AA40E06}"/>
    <cellStyle name="20% - Accent6 6 2 4" xfId="3025" xr:uid="{00000000-0005-0000-0000-000055090000}"/>
    <cellStyle name="20% - Accent6 6 2 4 2" xfId="20979" xr:uid="{84C3215F-7DE2-4F27-AC83-633529481C35}"/>
    <cellStyle name="20% - Accent6 6 2 4 2 2" xfId="35955" xr:uid="{8CA71D62-61EF-4494-9516-716D42E898CA}"/>
    <cellStyle name="20% - Accent6 6 2 4 3" xfId="28351" xr:uid="{E27D79D0-BA10-4441-B9B3-F4210A77B495}"/>
    <cellStyle name="20% - Accent6 6 2 5" xfId="3024" xr:uid="{00000000-0005-0000-0000-000056090000}"/>
    <cellStyle name="20% - Accent6 6 2 5 2" xfId="3023" xr:uid="{00000000-0005-0000-0000-000057090000}"/>
    <cellStyle name="20% - Accent6 6 2 5 2 2" xfId="20977" xr:uid="{22CEE0E7-C2A7-4EB9-BC54-5BACAECDE438}"/>
    <cellStyle name="20% - Accent6 6 2 5 2 2 2" xfId="35953" xr:uid="{DC1035C4-104C-4389-B7BA-C5B3E25CDC22}"/>
    <cellStyle name="20% - Accent6 6 2 5 2 3" xfId="28349" xr:uid="{E6735593-1062-48AF-B71E-405F765AE2AD}"/>
    <cellStyle name="20% - Accent6 6 2 5 3" xfId="20978" xr:uid="{F8C36776-DFA7-4E38-97F9-22253A720AB1}"/>
    <cellStyle name="20% - Accent6 6 2 5 3 2" xfId="35954" xr:uid="{6BB884DD-9FD5-4A62-AE1E-24A725ACAB2D}"/>
    <cellStyle name="20% - Accent6 6 2 5 4" xfId="28350" xr:uid="{FA2D1771-6895-4FB9-A4A5-A7BE915E29A4}"/>
    <cellStyle name="20% - Accent6 6 2 6" xfId="3022" xr:uid="{00000000-0005-0000-0000-000058090000}"/>
    <cellStyle name="20% - Accent6 6 2 6 2" xfId="20976" xr:uid="{5177999B-F632-4714-82B3-0D1E06BEA29E}"/>
    <cellStyle name="20% - Accent6 6 2 6 2 2" xfId="35952" xr:uid="{65BFA7C7-306A-479F-9D43-0F6AE04340BC}"/>
    <cellStyle name="20% - Accent6 6 2 6 3" xfId="28348" xr:uid="{F893197E-9C97-48BD-B297-FE8A692BCCA2}"/>
    <cellStyle name="20% - Accent6 6 2 7" xfId="20990" xr:uid="{843DDAE9-2FFC-4285-9678-16603CEC3DC0}"/>
    <cellStyle name="20% - Accent6 6 2 7 2" xfId="35966" xr:uid="{35D9E6F5-C73C-4497-92D7-8C71622ED4DD}"/>
    <cellStyle name="20% - Accent6 6 2 8" xfId="28362" xr:uid="{E57409A7-CFE6-4877-B4E9-FA5F0A106D88}"/>
    <cellStyle name="20% - Accent6 6 3" xfId="3021" xr:uid="{00000000-0005-0000-0000-000059090000}"/>
    <cellStyle name="20% - Accent6 6 3 2" xfId="3020" xr:uid="{00000000-0005-0000-0000-00005A090000}"/>
    <cellStyle name="20% - Accent6 6 3 2 2" xfId="3019" xr:uid="{00000000-0005-0000-0000-00005B090000}"/>
    <cellStyle name="20% - Accent6 6 3 2 2 2" xfId="20973" xr:uid="{5472F7B8-408A-4101-B925-34ACF8819CF6}"/>
    <cellStyle name="20% - Accent6 6 3 2 2 2 2" xfId="35949" xr:uid="{E13C0C9F-B0C7-460F-BB53-751B100FF622}"/>
    <cellStyle name="20% - Accent6 6 3 2 2 3" xfId="28345" xr:uid="{D9661A11-8FD8-44F6-874A-B116CF7454C8}"/>
    <cellStyle name="20% - Accent6 6 3 2 3" xfId="3018" xr:uid="{00000000-0005-0000-0000-00005C090000}"/>
    <cellStyle name="20% - Accent6 6 3 2 3 2" xfId="20972" xr:uid="{4170A7E5-5F3E-435F-8420-64F917AD9891}"/>
    <cellStyle name="20% - Accent6 6 3 2 3 2 2" xfId="35948" xr:uid="{EE7407DD-24B8-44B7-86A6-A0CEA5C49C25}"/>
    <cellStyle name="20% - Accent6 6 3 2 3 3" xfId="28344" xr:uid="{0003AFD5-C21F-411A-80A8-9203294FB96D}"/>
    <cellStyle name="20% - Accent6 6 3 2 4" xfId="20974" xr:uid="{91D60956-1F65-4816-8150-81C7C7CEB49E}"/>
    <cellStyle name="20% - Accent6 6 3 2 4 2" xfId="35950" xr:uid="{C3EC1CF5-C73A-4127-B66A-796B7A34A109}"/>
    <cellStyle name="20% - Accent6 6 3 2 5" xfId="28346" xr:uid="{8808C000-9EE9-4858-AF64-C5C96CD09EBD}"/>
    <cellStyle name="20% - Accent6 6 3 3" xfId="3017" xr:uid="{00000000-0005-0000-0000-00005D090000}"/>
    <cellStyle name="20% - Accent6 6 3 3 2" xfId="3016" xr:uid="{00000000-0005-0000-0000-00005E090000}"/>
    <cellStyle name="20% - Accent6 6 3 3 2 2" xfId="20970" xr:uid="{15B48FEA-D3AF-4686-81EC-DF706D33FD56}"/>
    <cellStyle name="20% - Accent6 6 3 3 2 2 2" xfId="35946" xr:uid="{303A79C4-D2DD-40F8-BFB1-A18F10E99FF7}"/>
    <cellStyle name="20% - Accent6 6 3 3 2 3" xfId="28342" xr:uid="{4E7F86E0-F8DC-4A0A-B44B-755E83EF3B6C}"/>
    <cellStyle name="20% - Accent6 6 3 3 3" xfId="20971" xr:uid="{BFFD4A1C-1C24-4122-B1BE-0C521DBB2D2E}"/>
    <cellStyle name="20% - Accent6 6 3 3 3 2" xfId="35947" xr:uid="{E984F965-7555-4662-9C8F-F93274AEF50D}"/>
    <cellStyle name="20% - Accent6 6 3 3 4" xfId="28343" xr:uid="{CE03013A-D4D6-46C9-AFCC-DB4E2CBE67D5}"/>
    <cellStyle name="20% - Accent6 6 3 4" xfId="3015" xr:uid="{00000000-0005-0000-0000-00005F090000}"/>
    <cellStyle name="20% - Accent6 6 3 4 2" xfId="20969" xr:uid="{67F98DCC-78A8-4506-9F47-349805DE75C5}"/>
    <cellStyle name="20% - Accent6 6 3 4 2 2" xfId="35945" xr:uid="{CFDF784A-92DA-45BE-B00F-C4B0A62D9983}"/>
    <cellStyle name="20% - Accent6 6 3 4 3" xfId="28341" xr:uid="{785B293D-B929-45E5-B671-18AE89D8AFF8}"/>
    <cellStyle name="20% - Accent6 6 3 5" xfId="20975" xr:uid="{6171C7DC-A84A-4DBA-8A29-C24C0AF78EAD}"/>
    <cellStyle name="20% - Accent6 6 3 5 2" xfId="35951" xr:uid="{D973774A-75FF-4C9B-8CD4-F6BD205C5E97}"/>
    <cellStyle name="20% - Accent6 6 3 6" xfId="28347" xr:uid="{218FDC3B-A171-4210-BFAA-EE62D2B0BA4B}"/>
    <cellStyle name="20% - Accent6 6 4" xfId="3014" xr:uid="{00000000-0005-0000-0000-000060090000}"/>
    <cellStyle name="20% - Accent6 6 5" xfId="3013" xr:uid="{00000000-0005-0000-0000-000061090000}"/>
    <cellStyle name="20% - Accent6 6 5 2" xfId="20968" xr:uid="{DF8FC760-986F-4196-980C-F7EC143664E7}"/>
    <cellStyle name="20% - Accent6 6 5 2 2" xfId="35944" xr:uid="{D97C4DCD-6E67-4241-8BD6-0C7926772442}"/>
    <cellStyle name="20% - Accent6 6 5 3" xfId="28340" xr:uid="{0BBB2D5D-79E7-4AF7-AF82-40A8FA48F8FF}"/>
    <cellStyle name="20% - Accent6 7" xfId="219" xr:uid="{00000000-0005-0000-0000-00003A000000}"/>
    <cellStyle name="20% - Accent6 7 2" xfId="3012" xr:uid="{00000000-0005-0000-0000-000063090000}"/>
    <cellStyle name="20% - Accent6 7 2 2" xfId="20967" xr:uid="{E7A69C65-705C-4F44-A511-F52860F7695D}"/>
    <cellStyle name="20% - Accent6 7 2 2 2" xfId="35943" xr:uid="{6C4BCDA9-B78D-4B2E-AF19-E3551CAF4293}"/>
    <cellStyle name="20% - Accent6 7 2 3" xfId="28339" xr:uid="{49C64DE0-B875-48D1-B164-7AEDB220170A}"/>
    <cellStyle name="20% - Accent6 7 3" xfId="3011" xr:uid="{00000000-0005-0000-0000-000064090000}"/>
    <cellStyle name="20% - Accent6 7 4" xfId="3010" xr:uid="{00000000-0005-0000-0000-000065090000}"/>
    <cellStyle name="20% - Accent6 7 4 2" xfId="20966" xr:uid="{242EFA88-6E9A-4CB8-A75C-63AEEA404DA6}"/>
    <cellStyle name="20% - Accent6 7 4 2 2" xfId="35942" xr:uid="{C3980A73-694B-44A0-9B13-E1F8CFA2202C}"/>
    <cellStyle name="20% - Accent6 7 4 3" xfId="28338" xr:uid="{13DFFAC3-52F6-4609-8C91-198688B4763B}"/>
    <cellStyle name="20% - Accent6 8" xfId="3009" xr:uid="{00000000-0005-0000-0000-000066090000}"/>
    <cellStyle name="20% - Accent6 8 2" xfId="3008" xr:uid="{00000000-0005-0000-0000-000067090000}"/>
    <cellStyle name="20% - Accent6 8 2 2" xfId="3007" xr:uid="{00000000-0005-0000-0000-000068090000}"/>
    <cellStyle name="20% - Accent6 8 2 2 2" xfId="20963" xr:uid="{C0C49666-E66B-4F9E-AE43-5A5E77D3FBA8}"/>
    <cellStyle name="20% - Accent6 8 2 2 2 2" xfId="35939" xr:uid="{A892D6BC-C93F-4F16-94A9-4C986F3B8EDB}"/>
    <cellStyle name="20% - Accent6 8 2 2 3" xfId="28335" xr:uid="{C230B53A-C689-479E-9EEA-6D2396D2014E}"/>
    <cellStyle name="20% - Accent6 8 2 3" xfId="3006" xr:uid="{00000000-0005-0000-0000-000069090000}"/>
    <cellStyle name="20% - Accent6 8 2 3 2" xfId="3005" xr:uid="{00000000-0005-0000-0000-00006A090000}"/>
    <cellStyle name="20% - Accent6 8 2 3 2 2" xfId="20961" xr:uid="{0F6BF002-D05A-42D2-98CC-33AEF8703769}"/>
    <cellStyle name="20% - Accent6 8 2 3 2 2 2" xfId="35937" xr:uid="{AD1B0FBB-C73C-48CB-A7F8-2C0D4E5838DC}"/>
    <cellStyle name="20% - Accent6 8 2 3 2 3" xfId="28333" xr:uid="{376C4FCA-27C8-40AD-9D99-B66074AFE094}"/>
    <cellStyle name="20% - Accent6 8 2 3 3" xfId="20962" xr:uid="{989585ED-2027-4CF2-BC52-1CD44B40C864}"/>
    <cellStyle name="20% - Accent6 8 2 3 3 2" xfId="35938" xr:uid="{571DB026-2FAD-4493-8B6B-43419CB867AA}"/>
    <cellStyle name="20% - Accent6 8 2 3 4" xfId="28334" xr:uid="{02C02355-F844-46BF-A786-0DDF35F07D8F}"/>
    <cellStyle name="20% - Accent6 8 2 4" xfId="20964" xr:uid="{E89846C1-0175-484E-8B76-F3344E8F6EA7}"/>
    <cellStyle name="20% - Accent6 8 2 4 2" xfId="35940" xr:uid="{C045151C-49F9-49F5-943D-E81BF8FF6438}"/>
    <cellStyle name="20% - Accent6 8 2 5" xfId="28336" xr:uid="{4DFE3ABE-666A-43A8-8147-DD0017BDE6B4}"/>
    <cellStyle name="20% - Accent6 8 3" xfId="3004" xr:uid="{00000000-0005-0000-0000-00006B090000}"/>
    <cellStyle name="20% - Accent6 8 3 2" xfId="20960" xr:uid="{8605B96D-5451-46A1-9C70-629207058312}"/>
    <cellStyle name="20% - Accent6 8 3 2 2" xfId="35936" xr:uid="{5888B56E-86EE-4151-A96C-485F47064B58}"/>
    <cellStyle name="20% - Accent6 8 3 3" xfId="28332" xr:uid="{62EC54D3-12E0-4BEC-9EEC-1AA46D857156}"/>
    <cellStyle name="20% - Accent6 8 4" xfId="3003" xr:uid="{00000000-0005-0000-0000-00006C090000}"/>
    <cellStyle name="20% - Accent6 8 4 2" xfId="2868" xr:uid="{00000000-0005-0000-0000-00006D090000}"/>
    <cellStyle name="20% - Accent6 8 4 2 2" xfId="20825" xr:uid="{4DF8A80D-A270-476F-8A7A-4D9BDA9CC215}"/>
    <cellStyle name="20% - Accent6 8 4 2 2 2" xfId="35801" xr:uid="{EAD987E1-9EEA-4AF7-8BFE-A821DDA2A07C}"/>
    <cellStyle name="20% - Accent6 8 4 2 3" xfId="28197" xr:uid="{14A76F2A-5DB6-4BF6-B19F-BA049B258F8A}"/>
    <cellStyle name="20% - Accent6 8 4 3" xfId="20959" xr:uid="{D391586E-7FF5-41E8-A5BE-03B516C208BD}"/>
    <cellStyle name="20% - Accent6 8 4 3 2" xfId="35935" xr:uid="{A5BE45C3-7974-4FE1-9E75-2BB804DF5E85}"/>
    <cellStyle name="20% - Accent6 8 4 4" xfId="28331" xr:uid="{6C1E9E06-9F49-47CF-ACE9-676EB21C17D0}"/>
    <cellStyle name="20% - Accent6 8 5" xfId="2932" xr:uid="{00000000-0005-0000-0000-00006E090000}"/>
    <cellStyle name="20% - Accent6 8 5 2" xfId="20888" xr:uid="{1B4810E3-817A-4D1C-90C3-64317850BCF9}"/>
    <cellStyle name="20% - Accent6 8 5 2 2" xfId="35864" xr:uid="{662D4B67-D083-48B3-BC77-1483352E098D}"/>
    <cellStyle name="20% - Accent6 8 5 3" xfId="28260" xr:uid="{7F4AE43B-39E0-421C-A162-07202F4AA05C}"/>
    <cellStyle name="20% - Accent6 8 6" xfId="20965" xr:uid="{BD815103-3F77-4967-9568-185D54404B45}"/>
    <cellStyle name="20% - Accent6 8 6 2" xfId="35941" xr:uid="{5AA12CB6-B5C7-4E23-B044-617142721827}"/>
    <cellStyle name="20% - Accent6 8 7" xfId="28337" xr:uid="{70B028E0-F404-46AC-A501-834020F704CC}"/>
    <cellStyle name="20% - Accent6 9" xfId="2929" xr:uid="{00000000-0005-0000-0000-00006F090000}"/>
    <cellStyle name="20% - Accent6 9 2" xfId="2997" xr:uid="{00000000-0005-0000-0000-000070090000}"/>
    <cellStyle name="20% - Accent6 9 2 2" xfId="172" xr:uid="{00000000-0005-0000-0000-000071090000}"/>
    <cellStyle name="20% - Accent6 9 2 2 2" xfId="20713" xr:uid="{FE8EB411-CD02-487F-A48B-4C3426294303}"/>
    <cellStyle name="20% - Accent6 9 2 2 2 2" xfId="35714" xr:uid="{B0E739CE-0F16-41CB-AACD-B153E878B098}"/>
    <cellStyle name="20% - Accent6 9 2 2 3" xfId="28017" xr:uid="{18180460-0732-40E8-B7BA-6222CCDF3C82}"/>
    <cellStyle name="20% - Accent6 9 2 3" xfId="435" xr:uid="{00000000-0005-0000-0000-000072090000}"/>
    <cellStyle name="20% - Accent6 9 2 3 2" xfId="20721" xr:uid="{E446E008-D23B-4B76-9CEB-CD2CA921B496}"/>
    <cellStyle name="20% - Accent6 9 2 3 2 2" xfId="35722" xr:uid="{60CE666F-C206-4583-90FB-DE04594E4E25}"/>
    <cellStyle name="20% - Accent6 9 2 3 3" xfId="28033" xr:uid="{27E78504-D5D4-485D-9E49-33846236B889}"/>
    <cellStyle name="20% - Accent6 9 2 4" xfId="20953" xr:uid="{43F7A460-EA52-4B3A-9136-5C8937822232}"/>
    <cellStyle name="20% - Accent6 9 2 4 2" xfId="35929" xr:uid="{92FEFE0B-C0FA-402E-A3BA-758F7FE877B7}"/>
    <cellStyle name="20% - Accent6 9 2 5" xfId="28325" xr:uid="{5E033856-B6CC-4825-9EA5-9C7B5DA87DC6}"/>
    <cellStyle name="20% - Accent6 9 3" xfId="593" xr:uid="{00000000-0005-0000-0000-000073090000}"/>
    <cellStyle name="20% - Accent6 9 3 2" xfId="20734" xr:uid="{CECBC660-A4B3-49B3-8F46-CED5E163C447}"/>
    <cellStyle name="20% - Accent6 9 3 2 2" xfId="35727" xr:uid="{83EDB8E0-AC9E-4DF5-B1D4-7850DDAF5DB0}"/>
    <cellStyle name="20% - Accent6 9 3 3" xfId="28051" xr:uid="{451E816A-1CB2-4B5D-BB33-D10AEF2CBC9D}"/>
    <cellStyle name="20% - Accent6 9 4" xfId="171" xr:uid="{00000000-0005-0000-0000-000074090000}"/>
    <cellStyle name="20% - Accent6 9 4 2" xfId="625" xr:uid="{00000000-0005-0000-0000-000075090000}"/>
    <cellStyle name="20% - Accent6 9 4 2 2" xfId="20735" xr:uid="{B5A3708D-CF13-48FA-AAA9-706F212FD7AC}"/>
    <cellStyle name="20% - Accent6 9 4 2 2 2" xfId="35728" xr:uid="{00655CEF-5A24-4D3A-AB57-45B64D856D32}"/>
    <cellStyle name="20% - Accent6 9 4 2 3" xfId="28052" xr:uid="{64FAA060-A74E-46FE-BF75-D1ACF0C6ACBD}"/>
    <cellStyle name="20% - Accent6 9 4 3" xfId="20712" xr:uid="{C8555BCD-24FA-4FF3-A1A5-AFA4EE0370C7}"/>
    <cellStyle name="20% - Accent6 9 4 3 2" xfId="35713" xr:uid="{A7447BF9-D72B-4770-AA37-6E96783EE3C6}"/>
    <cellStyle name="20% - Accent6 9 4 4" xfId="28016" xr:uid="{85A86828-9B2E-4CAC-AA7D-5E26299F3AD9}"/>
    <cellStyle name="20% - Accent6 9 5" xfId="2941" xr:uid="{00000000-0005-0000-0000-000076090000}"/>
    <cellStyle name="20% - Accent6 9 5 2" xfId="20897" xr:uid="{D6E7377B-16CD-45DB-94A7-38418027E628}"/>
    <cellStyle name="20% - Accent6 9 5 2 2" xfId="35873" xr:uid="{0F3C283A-1EBE-4ECE-945F-510D742E4E59}"/>
    <cellStyle name="20% - Accent6 9 5 3" xfId="28269" xr:uid="{DF2A0FF9-C0D7-42D8-B2D7-6C75ADA7D054}"/>
    <cellStyle name="20% - Accent6 9 6" xfId="20885" xr:uid="{0BA1BE1D-BD30-4589-B80F-8D5E964F9374}"/>
    <cellStyle name="20% - Accent6 9 6 2" xfId="35861" xr:uid="{DD9D0176-7D4B-4BC1-9B8D-397DC06D99AC}"/>
    <cellStyle name="20% - Accent6 9 7" xfId="28257" xr:uid="{96D8ABDB-35A7-48B7-A846-2B2A8D226E3A}"/>
    <cellStyle name="2decimal" xfId="220" xr:uid="{00000000-0005-0000-0000-00003B000000}"/>
    <cellStyle name="40% - Accent1" xfId="83" builtinId="31" customBuiltin="1"/>
    <cellStyle name="40% - Accent1 10" xfId="2942" xr:uid="{00000000-0005-0000-0000-000078090000}"/>
    <cellStyle name="40% - Accent1 10 2" xfId="2866" xr:uid="{00000000-0005-0000-0000-000079090000}"/>
    <cellStyle name="40% - Accent1 10 2 2" xfId="173" xr:uid="{00000000-0005-0000-0000-00007A090000}"/>
    <cellStyle name="40% - Accent1 10 2 2 2" xfId="20714" xr:uid="{36B1527E-1E89-4C9F-9748-811F9DC3685D}"/>
    <cellStyle name="40% - Accent1 10 2 2 2 2" xfId="35715" xr:uid="{F2483777-0EB8-42D6-A235-2441B2B93BE9}"/>
    <cellStyle name="40% - Accent1 10 2 2 3" xfId="28018" xr:uid="{3E907572-6740-4234-ABF1-3368B2E1D9C5}"/>
    <cellStyle name="40% - Accent1 10 2 3" xfId="429" xr:uid="{00000000-0005-0000-0000-00007B090000}"/>
    <cellStyle name="40% - Accent1 10 2 3 2" xfId="20720" xr:uid="{39A856A7-2F99-4F93-9A54-964803D62A31}"/>
    <cellStyle name="40% - Accent1 10 2 3 2 2" xfId="35721" xr:uid="{2191FEC1-C573-4603-9E34-2F0E517E9EC8}"/>
    <cellStyle name="40% - Accent1 10 2 3 3" xfId="28032" xr:uid="{E1A8ED97-D319-4E98-A60A-7A5993570E20}"/>
    <cellStyle name="40% - Accent1 10 2 4" xfId="20823" xr:uid="{6FD2C0B1-A026-4D48-948B-B8AA71B88795}"/>
    <cellStyle name="40% - Accent1 10 2 4 2" xfId="35799" xr:uid="{B43AE7A2-8555-4C40-B0FC-79791A15CCD4}"/>
    <cellStyle name="40% - Accent1 10 2 5" xfId="28195" xr:uid="{3EE31B48-430E-46C5-93F7-DCB5D26018CD}"/>
    <cellStyle name="40% - Accent1 10 3" xfId="2865" xr:uid="{00000000-0005-0000-0000-00007C090000}"/>
    <cellStyle name="40% - Accent1 10 3 2" xfId="20822" xr:uid="{8A97AD54-6B59-4ECF-A8DC-292B731D615A}"/>
    <cellStyle name="40% - Accent1 10 3 2 2" xfId="35798" xr:uid="{F1F00F39-3781-43BB-9CA9-DEA8C0896925}"/>
    <cellStyle name="40% - Accent1 10 3 3" xfId="28194" xr:uid="{057EC59B-E1DE-4F38-9C4F-E6E2673B3847}"/>
    <cellStyle name="40% - Accent1 10 4" xfId="2872" xr:uid="{00000000-0005-0000-0000-00007D090000}"/>
    <cellStyle name="40% - Accent1 10 4 2" xfId="3001" xr:uid="{00000000-0005-0000-0000-00007E090000}"/>
    <cellStyle name="40% - Accent1 10 4 2 2" xfId="20957" xr:uid="{C212D89D-0F28-4D3A-A2FE-9D693E7047A4}"/>
    <cellStyle name="40% - Accent1 10 4 2 2 2" xfId="35933" xr:uid="{9E0EC958-85FC-4CCD-991B-12F25111B7AB}"/>
    <cellStyle name="40% - Accent1 10 4 2 3" xfId="28329" xr:uid="{A6E3A085-AD97-4814-A110-8F23728306AD}"/>
    <cellStyle name="40% - Accent1 10 4 3" xfId="20828" xr:uid="{D1AEBAAB-E292-4576-82D1-A9B441B89922}"/>
    <cellStyle name="40% - Accent1 10 4 3 2" xfId="35804" xr:uid="{AABFB905-72D1-4238-9AC3-EA66F9D975E4}"/>
    <cellStyle name="40% - Accent1 10 4 4" xfId="28200" xr:uid="{39CA5026-1B0F-4385-934C-B107E311ABBD}"/>
    <cellStyle name="40% - Accent1 10 5" xfId="3000" xr:uid="{00000000-0005-0000-0000-00007F090000}"/>
    <cellStyle name="40% - Accent1 10 5 2" xfId="20956" xr:uid="{B93AC5F8-5813-438E-8FDA-B74733D6DD25}"/>
    <cellStyle name="40% - Accent1 10 5 2 2" xfId="35932" xr:uid="{A71891D1-115E-4484-814B-D07F167E06B0}"/>
    <cellStyle name="40% - Accent1 10 5 3" xfId="28328" xr:uid="{6BA46C8B-179A-4557-BB08-72EC83F53522}"/>
    <cellStyle name="40% - Accent1 10 6" xfId="20898" xr:uid="{979FA0FB-ACF6-4F00-B045-E281E8F146D9}"/>
    <cellStyle name="40% - Accent1 10 6 2" xfId="35874" xr:uid="{CCDAA9E5-DDFD-491C-A19B-45F5AA85B646}"/>
    <cellStyle name="40% - Accent1 10 7" xfId="28270" xr:uid="{E188ED82-23AE-4AF1-95B1-BC873B01BA6F}"/>
    <cellStyle name="40% - Accent1 11" xfId="2999" xr:uid="{00000000-0005-0000-0000-000080090000}"/>
    <cellStyle name="40% - Accent1 11 2" xfId="2998" xr:uid="{00000000-0005-0000-0000-000081090000}"/>
    <cellStyle name="40% - Accent1 11 2 2" xfId="20954" xr:uid="{D81547AB-BBAD-4CC7-90C1-D8AE1E3AD7B8}"/>
    <cellStyle name="40% - Accent1 11 2 2 2" xfId="35930" xr:uid="{20103597-6DB0-4574-8254-6AFA3654E460}"/>
    <cellStyle name="40% - Accent1 11 2 3" xfId="28326" xr:uid="{1FBC5B6B-EADF-442D-8C22-858284228077}"/>
    <cellStyle name="40% - Accent1 11 3" xfId="3002" xr:uid="{00000000-0005-0000-0000-000082090000}"/>
    <cellStyle name="40% - Accent1 11 3 2" xfId="5632" xr:uid="{00000000-0005-0000-0000-000083090000}"/>
    <cellStyle name="40% - Accent1 11 3 2 2" xfId="23284" xr:uid="{526B90C8-4121-42E6-851A-B733E0E0E1D0}"/>
    <cellStyle name="40% - Accent1 11 3 2 2 2" xfId="38255" xr:uid="{348165EC-40BD-47B6-8167-5537FB4B894A}"/>
    <cellStyle name="40% - Accent1 11 3 2 3" xfId="30652" xr:uid="{35E591CD-71B4-4884-A1EA-6DB86A74AEF6}"/>
    <cellStyle name="40% - Accent1 11 3 3" xfId="20958" xr:uid="{9697D60A-89B0-4194-A9E8-FA53734A6EB0}"/>
    <cellStyle name="40% - Accent1 11 3 3 2" xfId="35934" xr:uid="{214B9B9E-8AED-400B-842B-417006AA6B61}"/>
    <cellStyle name="40% - Accent1 11 3 4" xfId="28330" xr:uid="{C0FE2A8D-5098-4EE7-BEFE-67C3F31FF373}"/>
    <cellStyle name="40% - Accent1 11 4" xfId="20955" xr:uid="{EE418698-A760-48D6-BFBE-88A87FC0C8E8}"/>
    <cellStyle name="40% - Accent1 11 4 2" xfId="35931" xr:uid="{F44121DE-76AD-4D7F-8522-B6274D566D4D}"/>
    <cellStyle name="40% - Accent1 11 5" xfId="28327" xr:uid="{7DF695CC-139C-40C6-AC3C-F392EE206249}"/>
    <cellStyle name="40% - Accent1 12" xfId="5633" xr:uid="{00000000-0005-0000-0000-000084090000}"/>
    <cellStyle name="40% - Accent1 12 2" xfId="5634" xr:uid="{00000000-0005-0000-0000-000085090000}"/>
    <cellStyle name="40% - Accent1 12 2 2" xfId="23286" xr:uid="{2DFFAA7F-FC58-4614-B7E7-2CBE4805C261}"/>
    <cellStyle name="40% - Accent1 12 2 2 2" xfId="38257" xr:uid="{02EE65E6-DA31-4E59-8C1E-7009984D2931}"/>
    <cellStyle name="40% - Accent1 12 2 3" xfId="30654" xr:uid="{17BD9445-4A34-4198-A6B9-1ADF77AF1F4E}"/>
    <cellStyle name="40% - Accent1 12 3" xfId="5635" xr:uid="{00000000-0005-0000-0000-000086090000}"/>
    <cellStyle name="40% - Accent1 12 3 2" xfId="23287" xr:uid="{A6AD0871-B8AF-484B-A6C0-E90B3579FA91}"/>
    <cellStyle name="40% - Accent1 12 3 2 2" xfId="38258" xr:uid="{326F2981-07BB-4362-87FF-FD490A3DE12A}"/>
    <cellStyle name="40% - Accent1 12 3 3" xfId="30655" xr:uid="{F75B7AF1-43B9-48E5-A3AD-A87C971CD5FA}"/>
    <cellStyle name="40% - Accent1 12 4" xfId="23285" xr:uid="{5324DA6F-38D4-45C4-BA12-F966CE29DE09}"/>
    <cellStyle name="40% - Accent1 12 4 2" xfId="38256" xr:uid="{98B54F97-6371-472D-82F7-F378CF3DB8AE}"/>
    <cellStyle name="40% - Accent1 12 5" xfId="30653" xr:uid="{7E370777-9B65-4C2D-AD84-22FCE61C2170}"/>
    <cellStyle name="40% - Accent1 13" xfId="5636" xr:uid="{00000000-0005-0000-0000-000087090000}"/>
    <cellStyle name="40% - Accent1 13 2" xfId="5637" xr:uid="{00000000-0005-0000-0000-000088090000}"/>
    <cellStyle name="40% - Accent1 13 2 2" xfId="23289" xr:uid="{7DBB31D2-B6B5-4582-BAC4-D82531927C49}"/>
    <cellStyle name="40% - Accent1 13 2 2 2" xfId="38260" xr:uid="{19ED6A39-A19D-492A-A098-587426FD9134}"/>
    <cellStyle name="40% - Accent1 13 2 3" xfId="30657" xr:uid="{5A1B2395-9B27-4506-8AEE-02A0EBF74AE4}"/>
    <cellStyle name="40% - Accent1 13 3" xfId="5638" xr:uid="{00000000-0005-0000-0000-000089090000}"/>
    <cellStyle name="40% - Accent1 13 3 2" xfId="23290" xr:uid="{8FD10CB1-4862-4CCE-8636-C46D88286327}"/>
    <cellStyle name="40% - Accent1 13 3 2 2" xfId="38261" xr:uid="{48A42DFD-3D98-45C7-9760-1BCCADEAB25A}"/>
    <cellStyle name="40% - Accent1 13 3 3" xfId="30658" xr:uid="{BBDE1167-FF49-4FDF-BBF5-35C92EFE07A6}"/>
    <cellStyle name="40% - Accent1 13 4" xfId="23288" xr:uid="{DA2656E9-22A2-4905-A83D-4745912A4AD5}"/>
    <cellStyle name="40% - Accent1 13 4 2" xfId="38259" xr:uid="{137A0AE8-3D31-488E-AFE1-1FEB51969BCF}"/>
    <cellStyle name="40% - Accent1 13 5" xfId="30656" xr:uid="{B2D1BC15-4F53-4688-8F1C-A7D72279DEF7}"/>
    <cellStyle name="40% - Accent1 14" xfId="5639" xr:uid="{00000000-0005-0000-0000-00008A090000}"/>
    <cellStyle name="40% - Accent1 14 2" xfId="5640" xr:uid="{00000000-0005-0000-0000-00008B090000}"/>
    <cellStyle name="40% - Accent1 14 2 2" xfId="23291" xr:uid="{1A0FCC89-0DE3-4DE7-8F5B-E573992C6419}"/>
    <cellStyle name="40% - Accent1 14 2 2 2" xfId="38262" xr:uid="{152CE49B-25BB-4D54-B3BB-57FF6A415BE7}"/>
    <cellStyle name="40% - Accent1 14 2 3" xfId="30659" xr:uid="{01206A5E-6252-4C04-A069-E2BE3E0ACBA8}"/>
    <cellStyle name="40% - Accent1 15" xfId="5641" xr:uid="{00000000-0005-0000-0000-00008C090000}"/>
    <cellStyle name="40% - Accent1 15 2" xfId="23292" xr:uid="{B2ED9CF4-3C65-465F-9BE9-9AC8034F8C16}"/>
    <cellStyle name="40% - Accent1 15 2 2" xfId="38263" xr:uid="{AE635F49-00B2-416B-AD5F-B96C2FA627BA}"/>
    <cellStyle name="40% - Accent1 15 3" xfId="30660" xr:uid="{8D41338A-3CA8-4CAF-B028-C2AD72C752FC}"/>
    <cellStyle name="40% - Accent1 16" xfId="5642" xr:uid="{00000000-0005-0000-0000-00008D090000}"/>
    <cellStyle name="40% - Accent1 17" xfId="20643" xr:uid="{90EA6224-001C-44E6-B2D7-A814E3004A0A}"/>
    <cellStyle name="40% - Accent1 17 2" xfId="35644" xr:uid="{99B376E9-DCEC-4321-841D-781CA20B0903}"/>
    <cellStyle name="40% - Accent1 18" xfId="27947" xr:uid="{818F6881-BBFB-456C-81EB-41941096101D}"/>
    <cellStyle name="40% - Accent1 2" xfId="221" xr:uid="{00000000-0005-0000-0000-00003C000000}"/>
    <cellStyle name="40% - Accent1 2 2" xfId="5643" xr:uid="{00000000-0005-0000-0000-00008F090000}"/>
    <cellStyle name="40% - Accent1 2 3" xfId="5644" xr:uid="{00000000-0005-0000-0000-000090090000}"/>
    <cellStyle name="40% - Accent1 2 3 10" xfId="30661" xr:uid="{29B5A259-E646-4A24-BCFF-AF37F9DFDEDF}"/>
    <cellStyle name="40% - Accent1 2 3 2" xfId="5645" xr:uid="{00000000-0005-0000-0000-000091090000}"/>
    <cellStyle name="40% - Accent1 2 3 2 2" xfId="5646" xr:uid="{00000000-0005-0000-0000-000092090000}"/>
    <cellStyle name="40% - Accent1 2 3 2 2 2" xfId="5647" xr:uid="{00000000-0005-0000-0000-000093090000}"/>
    <cellStyle name="40% - Accent1 2 3 2 2 2 2" xfId="5648" xr:uid="{00000000-0005-0000-0000-000094090000}"/>
    <cellStyle name="40% - Accent1 2 3 2 2 2 2 2" xfId="23297" xr:uid="{33B83A72-9292-463C-8266-CDB4DC683AC7}"/>
    <cellStyle name="40% - Accent1 2 3 2 2 2 2 2 2" xfId="38268" xr:uid="{C380EF47-0D1D-42CB-B460-5948FD458BB2}"/>
    <cellStyle name="40% - Accent1 2 3 2 2 2 2 3" xfId="30665" xr:uid="{E984ABB7-83AD-42D1-9133-D69ADAF462A4}"/>
    <cellStyle name="40% - Accent1 2 3 2 2 2 3" xfId="5649" xr:uid="{00000000-0005-0000-0000-000095090000}"/>
    <cellStyle name="40% - Accent1 2 3 2 2 2 3 2" xfId="23298" xr:uid="{12D2F832-70A3-44A2-850D-74A1069CD2FA}"/>
    <cellStyle name="40% - Accent1 2 3 2 2 2 3 2 2" xfId="38269" xr:uid="{99FA3807-148A-4B7C-BEF8-A79323CF277A}"/>
    <cellStyle name="40% - Accent1 2 3 2 2 2 3 3" xfId="30666" xr:uid="{D991B025-26FB-4504-8002-9C7037C25378}"/>
    <cellStyle name="40% - Accent1 2 3 2 2 2 4" xfId="23296" xr:uid="{7DF425B3-BA69-4E43-8532-D17D2DCB8B29}"/>
    <cellStyle name="40% - Accent1 2 3 2 2 2 4 2" xfId="38267" xr:uid="{3638493A-7FFE-47F2-80D4-3CFE16FC6A04}"/>
    <cellStyle name="40% - Accent1 2 3 2 2 2 5" xfId="30664" xr:uid="{47809F2A-B38F-46EF-B3BB-6ED9B9D632DB}"/>
    <cellStyle name="40% - Accent1 2 3 2 2 3" xfId="5650" xr:uid="{00000000-0005-0000-0000-000096090000}"/>
    <cellStyle name="40% - Accent1 2 3 2 2 3 2" xfId="5651" xr:uid="{00000000-0005-0000-0000-000097090000}"/>
    <cellStyle name="40% - Accent1 2 3 2 2 3 2 2" xfId="23300" xr:uid="{51A9C152-F5F2-4C63-A9C3-ADD559952CE6}"/>
    <cellStyle name="40% - Accent1 2 3 2 2 3 2 2 2" xfId="38271" xr:uid="{588E98B1-0FFD-45AC-91E3-0F6979771ED2}"/>
    <cellStyle name="40% - Accent1 2 3 2 2 3 2 3" xfId="30668" xr:uid="{3C70F7BE-1101-4D40-9F50-3C6F9F4206CF}"/>
    <cellStyle name="40% - Accent1 2 3 2 2 3 3" xfId="23299" xr:uid="{A56B6F06-BA2B-4C53-B469-E8C20B880DC2}"/>
    <cellStyle name="40% - Accent1 2 3 2 2 3 3 2" xfId="38270" xr:uid="{2A3CAE19-2284-4FEB-8236-EAB1FD38E50E}"/>
    <cellStyle name="40% - Accent1 2 3 2 2 3 4" xfId="30667" xr:uid="{6ADE5E90-5512-4989-B00F-92D92BD40237}"/>
    <cellStyle name="40% - Accent1 2 3 2 2 4" xfId="5652" xr:uid="{00000000-0005-0000-0000-000098090000}"/>
    <cellStyle name="40% - Accent1 2 3 2 2 4 2" xfId="23301" xr:uid="{8577E61A-F90F-4E44-8617-E7D857E54933}"/>
    <cellStyle name="40% - Accent1 2 3 2 2 4 2 2" xfId="38272" xr:uid="{B6158CBD-9681-41B3-8DE1-3B7021584B42}"/>
    <cellStyle name="40% - Accent1 2 3 2 2 4 3" xfId="30669" xr:uid="{8A23B55C-4B5D-4E0A-B9ED-0094A5265296}"/>
    <cellStyle name="40% - Accent1 2 3 2 2 5" xfId="23295" xr:uid="{B4A8824D-D591-455F-A0A2-09BEC2FFDCA5}"/>
    <cellStyle name="40% - Accent1 2 3 2 2 5 2" xfId="38266" xr:uid="{FC072D76-2A47-4F5E-B0AF-0560D77FF19E}"/>
    <cellStyle name="40% - Accent1 2 3 2 2 6" xfId="30663" xr:uid="{8FB9BD41-49C9-4202-B19B-2A643DDB75AA}"/>
    <cellStyle name="40% - Accent1 2 3 2 3" xfId="5653" xr:uid="{00000000-0005-0000-0000-000099090000}"/>
    <cellStyle name="40% - Accent1 2 3 2 3 2" xfId="5654" xr:uid="{00000000-0005-0000-0000-00009A090000}"/>
    <cellStyle name="40% - Accent1 2 3 2 3 2 2" xfId="5655" xr:uid="{00000000-0005-0000-0000-00009B090000}"/>
    <cellStyle name="40% - Accent1 2 3 2 3 2 2 2" xfId="23304" xr:uid="{D97298AF-2E8F-4BC9-82D3-5DB09E47E839}"/>
    <cellStyle name="40% - Accent1 2 3 2 3 2 2 2 2" xfId="38275" xr:uid="{1CEC356C-D992-46F6-86B6-0D761F63C5A8}"/>
    <cellStyle name="40% - Accent1 2 3 2 3 2 2 3" xfId="30672" xr:uid="{07AEFC90-572B-491E-BDDF-C9760E1FCB98}"/>
    <cellStyle name="40% - Accent1 2 3 2 3 2 3" xfId="5656" xr:uid="{00000000-0005-0000-0000-00009C090000}"/>
    <cellStyle name="40% - Accent1 2 3 2 3 2 3 2" xfId="23305" xr:uid="{DFBE1D9E-79E1-4992-ABA2-78C1915F6C18}"/>
    <cellStyle name="40% - Accent1 2 3 2 3 2 3 2 2" xfId="38276" xr:uid="{E49FDCAA-A6A5-431F-8952-BEC396AED338}"/>
    <cellStyle name="40% - Accent1 2 3 2 3 2 3 3" xfId="30673" xr:uid="{637D7D35-F781-4990-BACC-109DBDEA39D7}"/>
    <cellStyle name="40% - Accent1 2 3 2 3 2 4" xfId="23303" xr:uid="{4BC6B503-3450-40A5-8846-EF62D9506DD1}"/>
    <cellStyle name="40% - Accent1 2 3 2 3 2 4 2" xfId="38274" xr:uid="{CD0A96EC-7FBC-4D47-93D9-7675C2903571}"/>
    <cellStyle name="40% - Accent1 2 3 2 3 2 5" xfId="30671" xr:uid="{A4D57BDE-669C-4CBB-B1FF-5D744A09BC1D}"/>
    <cellStyle name="40% - Accent1 2 3 2 3 3" xfId="5657" xr:uid="{00000000-0005-0000-0000-00009D090000}"/>
    <cellStyle name="40% - Accent1 2 3 2 3 3 2" xfId="5658" xr:uid="{00000000-0005-0000-0000-00009E090000}"/>
    <cellStyle name="40% - Accent1 2 3 2 3 3 2 2" xfId="23307" xr:uid="{E2707EC5-C13E-4734-B2FB-1EAF32FE2CB1}"/>
    <cellStyle name="40% - Accent1 2 3 2 3 3 2 2 2" xfId="38278" xr:uid="{95CD36F7-46F9-4D6E-8DED-4DCD9F7DD2E3}"/>
    <cellStyle name="40% - Accent1 2 3 2 3 3 2 3" xfId="30675" xr:uid="{4F80E384-CA86-499F-B1F4-7A6775DD8C48}"/>
    <cellStyle name="40% - Accent1 2 3 2 3 3 3" xfId="23306" xr:uid="{1A05D9B0-74A6-4159-9CDD-DB989ACA86ED}"/>
    <cellStyle name="40% - Accent1 2 3 2 3 3 3 2" xfId="38277" xr:uid="{DA3C4CFA-5354-4071-8954-13BAD6C4A82E}"/>
    <cellStyle name="40% - Accent1 2 3 2 3 3 4" xfId="30674" xr:uid="{029DA8BE-1CBA-4257-B2FD-5F47082B1F9C}"/>
    <cellStyle name="40% - Accent1 2 3 2 3 4" xfId="5659" xr:uid="{00000000-0005-0000-0000-00009F090000}"/>
    <cellStyle name="40% - Accent1 2 3 2 3 4 2" xfId="23308" xr:uid="{CA488E8B-FCFA-489A-84DD-8C8BC4DD2BA3}"/>
    <cellStyle name="40% - Accent1 2 3 2 3 4 2 2" xfId="38279" xr:uid="{4247CC58-499C-437C-9009-7753CE5C24B6}"/>
    <cellStyle name="40% - Accent1 2 3 2 3 4 3" xfId="30676" xr:uid="{449B8D29-E2E3-413E-8CE6-9455EB525748}"/>
    <cellStyle name="40% - Accent1 2 3 2 3 5" xfId="23302" xr:uid="{01E5BAC9-C383-4063-86AD-DF8025B089BA}"/>
    <cellStyle name="40% - Accent1 2 3 2 3 5 2" xfId="38273" xr:uid="{E110BF97-2EF3-49FF-9014-1690B7454FE2}"/>
    <cellStyle name="40% - Accent1 2 3 2 3 6" xfId="30670" xr:uid="{68013289-1963-4561-ACCD-D9C8E2EF4250}"/>
    <cellStyle name="40% - Accent1 2 3 2 4" xfId="5660" xr:uid="{00000000-0005-0000-0000-0000A0090000}"/>
    <cellStyle name="40% - Accent1 2 3 2 4 2" xfId="5661" xr:uid="{00000000-0005-0000-0000-0000A1090000}"/>
    <cellStyle name="40% - Accent1 2 3 2 4 2 2" xfId="23310" xr:uid="{706E1B7B-7E23-4269-BB0B-4B4A2A922BD5}"/>
    <cellStyle name="40% - Accent1 2 3 2 4 2 2 2" xfId="38281" xr:uid="{1E5785B0-D528-4C26-94C2-D8DF53000CF3}"/>
    <cellStyle name="40% - Accent1 2 3 2 4 2 3" xfId="30678" xr:uid="{BBA4FA71-B174-44F3-95CA-E921FB081749}"/>
    <cellStyle name="40% - Accent1 2 3 2 4 3" xfId="5662" xr:uid="{00000000-0005-0000-0000-0000A2090000}"/>
    <cellStyle name="40% - Accent1 2 3 2 4 3 2" xfId="23311" xr:uid="{97355336-14B4-4361-AA6D-B642F4A6A403}"/>
    <cellStyle name="40% - Accent1 2 3 2 4 3 2 2" xfId="38282" xr:uid="{763FDC29-2D30-49D1-9D58-6EAC907B2999}"/>
    <cellStyle name="40% - Accent1 2 3 2 4 3 3" xfId="30679" xr:uid="{DF53FBF2-ED0E-4263-95DD-BFF0989F743F}"/>
    <cellStyle name="40% - Accent1 2 3 2 4 4" xfId="23309" xr:uid="{D9EFB923-42CB-4F91-9AF9-ECF3AB42E2EC}"/>
    <cellStyle name="40% - Accent1 2 3 2 4 4 2" xfId="38280" xr:uid="{463CAE4A-6DCA-4F7D-BC25-E0C93BF59144}"/>
    <cellStyle name="40% - Accent1 2 3 2 4 5" xfId="30677" xr:uid="{6E9CE83F-946B-45E0-8AC0-92F2A9B8EB68}"/>
    <cellStyle name="40% - Accent1 2 3 2 5" xfId="5663" xr:uid="{00000000-0005-0000-0000-0000A3090000}"/>
    <cellStyle name="40% - Accent1 2 3 2 5 2" xfId="23312" xr:uid="{BBAD53BD-A38E-48CC-9330-BE6869AF7C62}"/>
    <cellStyle name="40% - Accent1 2 3 2 5 2 2" xfId="38283" xr:uid="{11EB1D29-E437-428C-9FFD-796B63B7C02A}"/>
    <cellStyle name="40% - Accent1 2 3 2 5 3" xfId="30680" xr:uid="{DBAE7EBF-FB67-44E8-BA07-361963E91CAE}"/>
    <cellStyle name="40% - Accent1 2 3 2 6" xfId="5664" xr:uid="{00000000-0005-0000-0000-0000A4090000}"/>
    <cellStyle name="40% - Accent1 2 3 2 6 2" xfId="5665" xr:uid="{00000000-0005-0000-0000-0000A5090000}"/>
    <cellStyle name="40% - Accent1 2 3 2 6 2 2" xfId="23314" xr:uid="{1FBEC66F-0AFA-4F00-A7CB-FA3D760929F8}"/>
    <cellStyle name="40% - Accent1 2 3 2 6 2 2 2" xfId="38285" xr:uid="{9740565C-FE2C-4F6C-A59D-3752488E0F59}"/>
    <cellStyle name="40% - Accent1 2 3 2 6 2 3" xfId="30682" xr:uid="{4745BCAE-A189-4872-B511-FB1436BCECE5}"/>
    <cellStyle name="40% - Accent1 2 3 2 6 3" xfId="23313" xr:uid="{041B35EC-7F99-4CAC-B65F-394417E55503}"/>
    <cellStyle name="40% - Accent1 2 3 2 6 3 2" xfId="38284" xr:uid="{A048B844-14E5-4BAF-877A-1FA22BF1D890}"/>
    <cellStyle name="40% - Accent1 2 3 2 6 4" xfId="30681" xr:uid="{5864380F-5FCE-432A-A80D-DBEC455F5309}"/>
    <cellStyle name="40% - Accent1 2 3 2 7" xfId="5666" xr:uid="{00000000-0005-0000-0000-0000A6090000}"/>
    <cellStyle name="40% - Accent1 2 3 2 7 2" xfId="23315" xr:uid="{03B27916-6EFB-4D98-9D01-BD0A12890536}"/>
    <cellStyle name="40% - Accent1 2 3 2 7 2 2" xfId="38286" xr:uid="{020F1724-3276-4E1B-8B25-3A074771D2CD}"/>
    <cellStyle name="40% - Accent1 2 3 2 7 3" xfId="30683" xr:uid="{D62B6E60-71F4-4FE0-AE77-AF13F6209E6C}"/>
    <cellStyle name="40% - Accent1 2 3 2 8" xfId="23294" xr:uid="{225A1C95-1445-4141-9637-AEAB25CD3284}"/>
    <cellStyle name="40% - Accent1 2 3 2 8 2" xfId="38265" xr:uid="{9C9C56C4-9F2D-4AEF-B471-22479CD54934}"/>
    <cellStyle name="40% - Accent1 2 3 2 9" xfId="30662" xr:uid="{2F65BE01-03A3-4A60-B375-8C987754008C}"/>
    <cellStyle name="40% - Accent1 2 3 3" xfId="5667" xr:uid="{00000000-0005-0000-0000-0000A7090000}"/>
    <cellStyle name="40% - Accent1 2 3 3 2" xfId="5668" xr:uid="{00000000-0005-0000-0000-0000A8090000}"/>
    <cellStyle name="40% - Accent1 2 3 3 2 2" xfId="5669" xr:uid="{00000000-0005-0000-0000-0000A9090000}"/>
    <cellStyle name="40% - Accent1 2 3 3 2 2 2" xfId="23318" xr:uid="{C446C5F9-844D-4ECC-A7F8-41BC96A43D37}"/>
    <cellStyle name="40% - Accent1 2 3 3 2 2 2 2" xfId="38289" xr:uid="{8FC26A87-7BAB-442F-9905-3E672942DC97}"/>
    <cellStyle name="40% - Accent1 2 3 3 2 2 3" xfId="30686" xr:uid="{EA5245A4-B580-4D3F-AD84-34CC60B89F03}"/>
    <cellStyle name="40% - Accent1 2 3 3 2 3" xfId="5670" xr:uid="{00000000-0005-0000-0000-0000AA090000}"/>
    <cellStyle name="40% - Accent1 2 3 3 2 3 2" xfId="23319" xr:uid="{445CE916-0FA8-4C0E-8443-28B13F9F4536}"/>
    <cellStyle name="40% - Accent1 2 3 3 2 3 2 2" xfId="38290" xr:uid="{9887AC1E-1357-4CC1-BB13-8C695D4A94A1}"/>
    <cellStyle name="40% - Accent1 2 3 3 2 3 3" xfId="30687" xr:uid="{362BE40B-D0B8-4369-83A6-C400E7E0801D}"/>
    <cellStyle name="40% - Accent1 2 3 3 2 4" xfId="23317" xr:uid="{0343D0D3-DA8F-43F7-BF29-C57147E5C096}"/>
    <cellStyle name="40% - Accent1 2 3 3 2 4 2" xfId="38288" xr:uid="{1346B064-638D-4AB1-A2EA-182BADA33988}"/>
    <cellStyle name="40% - Accent1 2 3 3 2 5" xfId="30685" xr:uid="{32966F95-2C10-46AE-945E-75FAA963A137}"/>
    <cellStyle name="40% - Accent1 2 3 3 3" xfId="5671" xr:uid="{00000000-0005-0000-0000-0000AB090000}"/>
    <cellStyle name="40% - Accent1 2 3 3 3 2" xfId="5672" xr:uid="{00000000-0005-0000-0000-0000AC090000}"/>
    <cellStyle name="40% - Accent1 2 3 3 3 2 2" xfId="23321" xr:uid="{EE571BC7-11B7-4AFC-9D0F-EEAA5867B4EC}"/>
    <cellStyle name="40% - Accent1 2 3 3 3 2 2 2" xfId="38292" xr:uid="{77CBF5CA-875A-4EBC-BD81-209C17D51AE9}"/>
    <cellStyle name="40% - Accent1 2 3 3 3 2 3" xfId="30689" xr:uid="{D831C545-C443-40A4-942A-18080183ED91}"/>
    <cellStyle name="40% - Accent1 2 3 3 3 3" xfId="23320" xr:uid="{087958BE-C6EB-47D2-BA03-A71BC45D890F}"/>
    <cellStyle name="40% - Accent1 2 3 3 3 3 2" xfId="38291" xr:uid="{6B53BB5B-6859-423C-8EDD-CA16C62BF761}"/>
    <cellStyle name="40% - Accent1 2 3 3 3 4" xfId="30688" xr:uid="{44F3C5B1-A13C-4254-BE67-BC61D65ED3D6}"/>
    <cellStyle name="40% - Accent1 2 3 3 4" xfId="5673" xr:uid="{00000000-0005-0000-0000-0000AD090000}"/>
    <cellStyle name="40% - Accent1 2 3 3 4 2" xfId="23322" xr:uid="{95E7DEE3-F6B0-4203-8C1A-3FE7C0B878E7}"/>
    <cellStyle name="40% - Accent1 2 3 3 4 2 2" xfId="38293" xr:uid="{8BD08E8C-9CC6-4218-950B-8B7630069009}"/>
    <cellStyle name="40% - Accent1 2 3 3 4 3" xfId="30690" xr:uid="{24138363-604B-4D03-9FC2-D482E4C95DC7}"/>
    <cellStyle name="40% - Accent1 2 3 3 5" xfId="23316" xr:uid="{DFD212A0-640D-43C2-857C-F89D11BC6E01}"/>
    <cellStyle name="40% - Accent1 2 3 3 5 2" xfId="38287" xr:uid="{A9AB9C09-1F68-4920-BEA4-39F4967A8B98}"/>
    <cellStyle name="40% - Accent1 2 3 3 6" xfId="30684" xr:uid="{FC27B0F6-18B8-4777-B2AD-F5393AB78A62}"/>
    <cellStyle name="40% - Accent1 2 3 4" xfId="5674" xr:uid="{00000000-0005-0000-0000-0000AE090000}"/>
    <cellStyle name="40% - Accent1 2 3 4 2" xfId="5675" xr:uid="{00000000-0005-0000-0000-0000AF090000}"/>
    <cellStyle name="40% - Accent1 2 3 4 2 2" xfId="5676" xr:uid="{00000000-0005-0000-0000-0000B0090000}"/>
    <cellStyle name="40% - Accent1 2 3 4 2 2 2" xfId="23325" xr:uid="{2F027B34-F01F-4F90-BA71-3CBBC0CB337F}"/>
    <cellStyle name="40% - Accent1 2 3 4 2 2 2 2" xfId="38296" xr:uid="{3656C6A5-B430-4F78-8F6B-7AA880BCEBDB}"/>
    <cellStyle name="40% - Accent1 2 3 4 2 2 3" xfId="30693" xr:uid="{06490A2A-9C7A-4F71-B9FC-67B554141DB8}"/>
    <cellStyle name="40% - Accent1 2 3 4 2 3" xfId="5677" xr:uid="{00000000-0005-0000-0000-0000B1090000}"/>
    <cellStyle name="40% - Accent1 2 3 4 2 3 2" xfId="23326" xr:uid="{FFC8D3B6-2813-40B5-88F2-DA9E314E23B7}"/>
    <cellStyle name="40% - Accent1 2 3 4 2 3 2 2" xfId="38297" xr:uid="{796099DE-56B5-40CD-BD2B-035E64F9DD15}"/>
    <cellStyle name="40% - Accent1 2 3 4 2 3 3" xfId="30694" xr:uid="{F20D9B15-B3C8-4C46-AA03-0A76B18A1831}"/>
    <cellStyle name="40% - Accent1 2 3 4 2 4" xfId="23324" xr:uid="{21BCFAEF-BBB1-46A3-B9FA-24F670C9D85B}"/>
    <cellStyle name="40% - Accent1 2 3 4 2 4 2" xfId="38295" xr:uid="{EEED2A4E-DB44-4415-9D9B-09BBF5C40BDC}"/>
    <cellStyle name="40% - Accent1 2 3 4 2 5" xfId="30692" xr:uid="{E6841B23-A3D9-462A-9563-FEBFCAC1FF2D}"/>
    <cellStyle name="40% - Accent1 2 3 4 3" xfId="5678" xr:uid="{00000000-0005-0000-0000-0000B2090000}"/>
    <cellStyle name="40% - Accent1 2 3 4 3 2" xfId="5679" xr:uid="{00000000-0005-0000-0000-0000B3090000}"/>
    <cellStyle name="40% - Accent1 2 3 4 3 2 2" xfId="23328" xr:uid="{E4DE8D6D-856A-48F3-824F-9B4EEB60A336}"/>
    <cellStyle name="40% - Accent1 2 3 4 3 2 2 2" xfId="38299" xr:uid="{0FFC26F7-604E-455D-ABB0-FF7E99701CA4}"/>
    <cellStyle name="40% - Accent1 2 3 4 3 2 3" xfId="30696" xr:uid="{A9A19249-112C-4227-BB7E-8E87C997517A}"/>
    <cellStyle name="40% - Accent1 2 3 4 3 3" xfId="23327" xr:uid="{DF6C11E4-D169-44F8-8632-5EA8A23CF8BD}"/>
    <cellStyle name="40% - Accent1 2 3 4 3 3 2" xfId="38298" xr:uid="{736A194A-6964-493A-96DE-8B2A52764882}"/>
    <cellStyle name="40% - Accent1 2 3 4 3 4" xfId="30695" xr:uid="{4A7B4179-2ADC-43C6-A6F3-B94B3932CFA1}"/>
    <cellStyle name="40% - Accent1 2 3 4 4" xfId="5680" xr:uid="{00000000-0005-0000-0000-0000B4090000}"/>
    <cellStyle name="40% - Accent1 2 3 4 4 2" xfId="23329" xr:uid="{90E4C1A8-8287-4355-A77D-8219D54F8FAA}"/>
    <cellStyle name="40% - Accent1 2 3 4 4 2 2" xfId="38300" xr:uid="{B4322BB2-EB5F-4E81-8181-4F6C65E3B880}"/>
    <cellStyle name="40% - Accent1 2 3 4 4 3" xfId="30697" xr:uid="{73DDE33F-EEC0-4DB9-861C-2FDFB992F26B}"/>
    <cellStyle name="40% - Accent1 2 3 4 5" xfId="23323" xr:uid="{68B20142-7338-4BF2-9383-E996B5D6EFB4}"/>
    <cellStyle name="40% - Accent1 2 3 4 5 2" xfId="38294" xr:uid="{76CF9E7A-529A-404F-BC8D-AA018F163742}"/>
    <cellStyle name="40% - Accent1 2 3 4 6" xfId="30691" xr:uid="{C6830FF3-80EB-4632-AC13-D61E2FAF75EE}"/>
    <cellStyle name="40% - Accent1 2 3 5" xfId="5681" xr:uid="{00000000-0005-0000-0000-0000B5090000}"/>
    <cellStyle name="40% - Accent1 2 3 5 2" xfId="5682" xr:uid="{00000000-0005-0000-0000-0000B6090000}"/>
    <cellStyle name="40% - Accent1 2 3 5 2 2" xfId="23331" xr:uid="{F2558C00-0677-487E-A9C8-4BBF59BCC21E}"/>
    <cellStyle name="40% - Accent1 2 3 5 2 2 2" xfId="38302" xr:uid="{843EF645-D51B-4141-94C7-B06CBFE6C461}"/>
    <cellStyle name="40% - Accent1 2 3 5 2 3" xfId="30699" xr:uid="{030A608B-4796-44E5-BE45-72FC45B29319}"/>
    <cellStyle name="40% - Accent1 2 3 5 3" xfId="5683" xr:uid="{00000000-0005-0000-0000-0000B7090000}"/>
    <cellStyle name="40% - Accent1 2 3 5 3 2" xfId="23332" xr:uid="{868DE22A-97B3-46E3-AD25-F70C5D908E31}"/>
    <cellStyle name="40% - Accent1 2 3 5 3 2 2" xfId="38303" xr:uid="{7B5420F2-F3DF-43D6-B3B5-4A361D3EC89D}"/>
    <cellStyle name="40% - Accent1 2 3 5 3 3" xfId="30700" xr:uid="{9B0EA784-112B-4C1D-99B1-0F3350B61FED}"/>
    <cellStyle name="40% - Accent1 2 3 5 4" xfId="23330" xr:uid="{FDD9A944-51D4-471C-8AE1-D5A9DCCB26A5}"/>
    <cellStyle name="40% - Accent1 2 3 5 4 2" xfId="38301" xr:uid="{F768F653-53BC-4DA4-B412-3AA035D55D2C}"/>
    <cellStyle name="40% - Accent1 2 3 5 5" xfId="30698" xr:uid="{05A2BBC5-A935-4E80-BE51-E16660F53D49}"/>
    <cellStyle name="40% - Accent1 2 3 6" xfId="5684" xr:uid="{00000000-0005-0000-0000-0000B8090000}"/>
    <cellStyle name="40% - Accent1 2 3 6 2" xfId="23333" xr:uid="{E8F49006-A973-4593-8C25-9D2D703D6080}"/>
    <cellStyle name="40% - Accent1 2 3 6 2 2" xfId="38304" xr:uid="{D341C44F-FB59-4E14-8D47-7F35B9E5C54D}"/>
    <cellStyle name="40% - Accent1 2 3 6 3" xfId="30701" xr:uid="{E0BD8877-5664-44A1-9A21-93F4F753E975}"/>
    <cellStyle name="40% - Accent1 2 3 7" xfId="5685" xr:uid="{00000000-0005-0000-0000-0000B9090000}"/>
    <cellStyle name="40% - Accent1 2 3 7 2" xfId="5686" xr:uid="{00000000-0005-0000-0000-0000BA090000}"/>
    <cellStyle name="40% - Accent1 2 3 7 2 2" xfId="23335" xr:uid="{1D49ABDD-7D88-40EA-8E7A-DCE46971397F}"/>
    <cellStyle name="40% - Accent1 2 3 7 2 2 2" xfId="38306" xr:uid="{B8951A70-C0B3-40D1-8A89-66BD7B30ECA3}"/>
    <cellStyle name="40% - Accent1 2 3 7 2 3" xfId="30703" xr:uid="{78EB2BCC-1704-488E-A034-AEDB92F3A4E5}"/>
    <cellStyle name="40% - Accent1 2 3 7 3" xfId="23334" xr:uid="{C5A50BC5-09B2-4D8D-8C68-4B38B2CDFC17}"/>
    <cellStyle name="40% - Accent1 2 3 7 3 2" xfId="38305" xr:uid="{56195CB4-E54F-443E-B7AC-5F4C4DE97949}"/>
    <cellStyle name="40% - Accent1 2 3 7 4" xfId="30702" xr:uid="{9B2DAABF-6D3B-4065-8F9E-418E6F963A7D}"/>
    <cellStyle name="40% - Accent1 2 3 8" xfId="5687" xr:uid="{00000000-0005-0000-0000-0000BB090000}"/>
    <cellStyle name="40% - Accent1 2 3 8 2" xfId="23336" xr:uid="{D12F05BA-A0F3-46ED-88B7-A3268134B408}"/>
    <cellStyle name="40% - Accent1 2 3 8 2 2" xfId="38307" xr:uid="{F857CA27-98F4-469B-99BC-BF589CA8059F}"/>
    <cellStyle name="40% - Accent1 2 3 8 3" xfId="30704" xr:uid="{94435AEA-B2D6-4CED-9D58-E98E3397B94F}"/>
    <cellStyle name="40% - Accent1 2 3 9" xfId="23293" xr:uid="{FE32A183-6DA0-44CA-92E1-8A4C8302DD56}"/>
    <cellStyle name="40% - Accent1 2 3 9 2" xfId="38264" xr:uid="{9D35A9AA-47A5-4988-B4F6-23E5BFA00662}"/>
    <cellStyle name="40% - Accent1 2 4" xfId="5688" xr:uid="{00000000-0005-0000-0000-0000BC090000}"/>
    <cellStyle name="40% - Accent1 2 4 10" xfId="30705" xr:uid="{469A5ED9-70B5-4BE5-BF57-29E19818D441}"/>
    <cellStyle name="40% - Accent1 2 4 2" xfId="5689" xr:uid="{00000000-0005-0000-0000-0000BD090000}"/>
    <cellStyle name="40% - Accent1 2 4 2 2" xfId="5690" xr:uid="{00000000-0005-0000-0000-0000BE090000}"/>
    <cellStyle name="40% - Accent1 2 4 2 2 2" xfId="5691" xr:uid="{00000000-0005-0000-0000-0000BF090000}"/>
    <cellStyle name="40% - Accent1 2 4 2 2 2 2" xfId="5692" xr:uid="{00000000-0005-0000-0000-0000C0090000}"/>
    <cellStyle name="40% - Accent1 2 4 2 2 2 2 2" xfId="23341" xr:uid="{4AFA3FA3-E357-4A92-AE8B-EE3DF50F959B}"/>
    <cellStyle name="40% - Accent1 2 4 2 2 2 2 2 2" xfId="38312" xr:uid="{C09A9F82-8712-4577-A7AA-C2081495D94E}"/>
    <cellStyle name="40% - Accent1 2 4 2 2 2 2 3" xfId="30709" xr:uid="{B39D8829-61DA-4F80-9B65-F9BE2FBC7BA6}"/>
    <cellStyle name="40% - Accent1 2 4 2 2 2 3" xfId="5693" xr:uid="{00000000-0005-0000-0000-0000C1090000}"/>
    <cellStyle name="40% - Accent1 2 4 2 2 2 3 2" xfId="23342" xr:uid="{01DA9514-FA5D-43AA-8D96-9B4017596714}"/>
    <cellStyle name="40% - Accent1 2 4 2 2 2 3 2 2" xfId="38313" xr:uid="{4273A1BC-352D-48F1-A816-A0A435E0329F}"/>
    <cellStyle name="40% - Accent1 2 4 2 2 2 3 3" xfId="30710" xr:uid="{1F286C73-8B85-4B4F-BD12-9E083F8BF83A}"/>
    <cellStyle name="40% - Accent1 2 4 2 2 2 4" xfId="23340" xr:uid="{BD0FE337-328B-49E8-A80A-A76ACC488AE6}"/>
    <cellStyle name="40% - Accent1 2 4 2 2 2 4 2" xfId="38311" xr:uid="{5EAFA815-D35C-466A-A982-176CF216FBC6}"/>
    <cellStyle name="40% - Accent1 2 4 2 2 2 5" xfId="30708" xr:uid="{97F91952-D43A-4571-B8FB-466C1810D346}"/>
    <cellStyle name="40% - Accent1 2 4 2 2 3" xfId="5694" xr:uid="{00000000-0005-0000-0000-0000C2090000}"/>
    <cellStyle name="40% - Accent1 2 4 2 2 3 2" xfId="5695" xr:uid="{00000000-0005-0000-0000-0000C3090000}"/>
    <cellStyle name="40% - Accent1 2 4 2 2 3 2 2" xfId="23344" xr:uid="{07650921-754F-4577-94D8-E914ABB01C25}"/>
    <cellStyle name="40% - Accent1 2 4 2 2 3 2 2 2" xfId="38315" xr:uid="{A1601B06-9E5B-42B5-9521-3240907DC4FF}"/>
    <cellStyle name="40% - Accent1 2 4 2 2 3 2 3" xfId="30712" xr:uid="{CC4F933C-FB81-4E2E-B631-8D93F0B9C795}"/>
    <cellStyle name="40% - Accent1 2 4 2 2 3 3" xfId="23343" xr:uid="{A9FC90F7-DED9-4E18-9E0B-D801520200BC}"/>
    <cellStyle name="40% - Accent1 2 4 2 2 3 3 2" xfId="38314" xr:uid="{E07EA369-5DAD-48B3-A327-F547DBFA019B}"/>
    <cellStyle name="40% - Accent1 2 4 2 2 3 4" xfId="30711" xr:uid="{3D89F116-CD2C-44C3-93EA-8C575C2763FE}"/>
    <cellStyle name="40% - Accent1 2 4 2 2 4" xfId="5696" xr:uid="{00000000-0005-0000-0000-0000C4090000}"/>
    <cellStyle name="40% - Accent1 2 4 2 2 4 2" xfId="23345" xr:uid="{49D85A92-4E60-4CFE-AE04-0A64801B4F2D}"/>
    <cellStyle name="40% - Accent1 2 4 2 2 4 2 2" xfId="38316" xr:uid="{A5026F48-CDFA-4893-A9EE-96F747FA705F}"/>
    <cellStyle name="40% - Accent1 2 4 2 2 4 3" xfId="30713" xr:uid="{8119F7AF-C987-4636-8A50-A7FBC401BE88}"/>
    <cellStyle name="40% - Accent1 2 4 2 2 5" xfId="23339" xr:uid="{68CAC857-11E5-4AA3-9DEE-AA601AE02FB0}"/>
    <cellStyle name="40% - Accent1 2 4 2 2 5 2" xfId="38310" xr:uid="{3264C58F-C994-4858-883E-2984E77FF54A}"/>
    <cellStyle name="40% - Accent1 2 4 2 2 6" xfId="30707" xr:uid="{25061573-97A5-43EC-B6D5-3377550D61C7}"/>
    <cellStyle name="40% - Accent1 2 4 2 3" xfId="5697" xr:uid="{00000000-0005-0000-0000-0000C5090000}"/>
    <cellStyle name="40% - Accent1 2 4 2 3 2" xfId="5698" xr:uid="{00000000-0005-0000-0000-0000C6090000}"/>
    <cellStyle name="40% - Accent1 2 4 2 3 2 2" xfId="5699" xr:uid="{00000000-0005-0000-0000-0000C7090000}"/>
    <cellStyle name="40% - Accent1 2 4 2 3 2 2 2" xfId="23348" xr:uid="{918EEFDE-C35E-41CD-9C80-0C0204A102B9}"/>
    <cellStyle name="40% - Accent1 2 4 2 3 2 2 2 2" xfId="38319" xr:uid="{BE1F627F-D65C-466B-8F00-F3B4204FE5A5}"/>
    <cellStyle name="40% - Accent1 2 4 2 3 2 2 3" xfId="30716" xr:uid="{75A5E270-D258-4454-96CC-E72B87481CD0}"/>
    <cellStyle name="40% - Accent1 2 4 2 3 2 3" xfId="5700" xr:uid="{00000000-0005-0000-0000-0000C8090000}"/>
    <cellStyle name="40% - Accent1 2 4 2 3 2 3 2" xfId="23349" xr:uid="{8E2A4ED4-B69A-4B31-B8DF-48BE647A4DF4}"/>
    <cellStyle name="40% - Accent1 2 4 2 3 2 3 2 2" xfId="38320" xr:uid="{5BBEB9C5-9CF7-47DF-ACDB-78C966DFA312}"/>
    <cellStyle name="40% - Accent1 2 4 2 3 2 3 3" xfId="30717" xr:uid="{7572D340-358A-4CD2-911D-BDC2F0AFF7F5}"/>
    <cellStyle name="40% - Accent1 2 4 2 3 2 4" xfId="23347" xr:uid="{5853E0ED-E7BD-4FB9-A664-2BAD8ADDCFEB}"/>
    <cellStyle name="40% - Accent1 2 4 2 3 2 4 2" xfId="38318" xr:uid="{516C4F4A-EBCA-4BE3-951E-611B25208936}"/>
    <cellStyle name="40% - Accent1 2 4 2 3 2 5" xfId="30715" xr:uid="{3801D3DE-E484-483E-A7CE-44446038AC54}"/>
    <cellStyle name="40% - Accent1 2 4 2 3 3" xfId="5701" xr:uid="{00000000-0005-0000-0000-0000C9090000}"/>
    <cellStyle name="40% - Accent1 2 4 2 3 3 2" xfId="5702" xr:uid="{00000000-0005-0000-0000-0000CA090000}"/>
    <cellStyle name="40% - Accent1 2 4 2 3 3 2 2" xfId="23351" xr:uid="{EB91F713-B2BF-4912-B1D1-48E8E6C3DCCF}"/>
    <cellStyle name="40% - Accent1 2 4 2 3 3 2 2 2" xfId="38322" xr:uid="{FBEB15E0-A4DC-4979-9917-480F39AE019E}"/>
    <cellStyle name="40% - Accent1 2 4 2 3 3 2 3" xfId="30719" xr:uid="{2524BEDF-C77A-4045-B5C8-0E357C882975}"/>
    <cellStyle name="40% - Accent1 2 4 2 3 3 3" xfId="23350" xr:uid="{F12FCA09-FEAD-4047-8814-2E4E498F0C9F}"/>
    <cellStyle name="40% - Accent1 2 4 2 3 3 3 2" xfId="38321" xr:uid="{319DE0DC-FC24-410E-BEE2-9C8CD2BE1E1A}"/>
    <cellStyle name="40% - Accent1 2 4 2 3 3 4" xfId="30718" xr:uid="{C6D77F6A-7464-4B46-9C21-19C007D3DD63}"/>
    <cellStyle name="40% - Accent1 2 4 2 3 4" xfId="5703" xr:uid="{00000000-0005-0000-0000-0000CB090000}"/>
    <cellStyle name="40% - Accent1 2 4 2 3 4 2" xfId="23352" xr:uid="{C7EA33AE-4B4C-4F91-BDFC-40BF3906A469}"/>
    <cellStyle name="40% - Accent1 2 4 2 3 4 2 2" xfId="38323" xr:uid="{B199D7DF-4C0A-444D-B206-15D4356A56DB}"/>
    <cellStyle name="40% - Accent1 2 4 2 3 4 3" xfId="30720" xr:uid="{9E50C342-9B08-4254-814A-D8318F6CA5AF}"/>
    <cellStyle name="40% - Accent1 2 4 2 3 5" xfId="23346" xr:uid="{91524F1F-DAAA-46B9-B842-A096D0845D83}"/>
    <cellStyle name="40% - Accent1 2 4 2 3 5 2" xfId="38317" xr:uid="{156EF7AD-0FCA-4F43-9931-CAE0769FCFF4}"/>
    <cellStyle name="40% - Accent1 2 4 2 3 6" xfId="30714" xr:uid="{B7736A12-1115-4BF1-A90A-8073E6AA3739}"/>
    <cellStyle name="40% - Accent1 2 4 2 4" xfId="5704" xr:uid="{00000000-0005-0000-0000-0000CC090000}"/>
    <cellStyle name="40% - Accent1 2 4 2 4 2" xfId="5705" xr:uid="{00000000-0005-0000-0000-0000CD090000}"/>
    <cellStyle name="40% - Accent1 2 4 2 4 2 2" xfId="23354" xr:uid="{79B01143-D951-4401-9692-91350E680E0D}"/>
    <cellStyle name="40% - Accent1 2 4 2 4 2 2 2" xfId="38325" xr:uid="{6846F9F2-82DA-4386-A785-6268CD959A4A}"/>
    <cellStyle name="40% - Accent1 2 4 2 4 2 3" xfId="30722" xr:uid="{BD3F305F-9537-4785-95AE-2B52167835F1}"/>
    <cellStyle name="40% - Accent1 2 4 2 4 3" xfId="5706" xr:uid="{00000000-0005-0000-0000-0000CE090000}"/>
    <cellStyle name="40% - Accent1 2 4 2 4 3 2" xfId="23355" xr:uid="{449149FA-5154-464C-81F3-5872AC6AF940}"/>
    <cellStyle name="40% - Accent1 2 4 2 4 3 2 2" xfId="38326" xr:uid="{5A525B5A-BC41-487C-B598-659BE42E4266}"/>
    <cellStyle name="40% - Accent1 2 4 2 4 3 3" xfId="30723" xr:uid="{409099B7-D8B4-49AB-8688-A8974989DB1C}"/>
    <cellStyle name="40% - Accent1 2 4 2 4 4" xfId="23353" xr:uid="{CF4EE763-BF9E-4DBF-BE44-0E57F67B5CFE}"/>
    <cellStyle name="40% - Accent1 2 4 2 4 4 2" xfId="38324" xr:uid="{A902E94B-3DA1-4AB1-BD8C-E046C08C728A}"/>
    <cellStyle name="40% - Accent1 2 4 2 4 5" xfId="30721" xr:uid="{6FC8E830-6866-487E-8A23-E145015B084B}"/>
    <cellStyle name="40% - Accent1 2 4 2 5" xfId="5707" xr:uid="{00000000-0005-0000-0000-0000CF090000}"/>
    <cellStyle name="40% - Accent1 2 4 2 5 2" xfId="23356" xr:uid="{83DDEE39-0510-49AB-94E2-D0ECA9CC1904}"/>
    <cellStyle name="40% - Accent1 2 4 2 5 2 2" xfId="38327" xr:uid="{BFE515F7-0660-4627-91D6-613F0AA02480}"/>
    <cellStyle name="40% - Accent1 2 4 2 5 3" xfId="30724" xr:uid="{E7E192B4-F22F-4B1D-87F1-3CE45FBF44B4}"/>
    <cellStyle name="40% - Accent1 2 4 2 6" xfId="5708" xr:uid="{00000000-0005-0000-0000-0000D0090000}"/>
    <cellStyle name="40% - Accent1 2 4 2 6 2" xfId="5709" xr:uid="{00000000-0005-0000-0000-0000D1090000}"/>
    <cellStyle name="40% - Accent1 2 4 2 6 2 2" xfId="23358" xr:uid="{D297583D-A77C-48C8-9690-BA00578366ED}"/>
    <cellStyle name="40% - Accent1 2 4 2 6 2 2 2" xfId="38329" xr:uid="{B01F7AC9-2A5C-4163-92F0-EF5ECD1B60B2}"/>
    <cellStyle name="40% - Accent1 2 4 2 6 2 3" xfId="30726" xr:uid="{23AD4D59-6347-49A5-96D2-B93D878ACB12}"/>
    <cellStyle name="40% - Accent1 2 4 2 6 3" xfId="23357" xr:uid="{4CAC0B76-E0D1-4EC1-B7A2-55A03F1E025B}"/>
    <cellStyle name="40% - Accent1 2 4 2 6 3 2" xfId="38328" xr:uid="{A1BA5AF9-56A8-4CCD-9959-905FFAE9B053}"/>
    <cellStyle name="40% - Accent1 2 4 2 6 4" xfId="30725" xr:uid="{508C808F-11B1-4443-B741-2AB0110549AF}"/>
    <cellStyle name="40% - Accent1 2 4 2 7" xfId="5710" xr:uid="{00000000-0005-0000-0000-0000D2090000}"/>
    <cellStyle name="40% - Accent1 2 4 2 7 2" xfId="23359" xr:uid="{B17046D5-7599-4AD4-86F9-A211C4491088}"/>
    <cellStyle name="40% - Accent1 2 4 2 7 2 2" xfId="38330" xr:uid="{1A7EDBD2-BCB0-49B6-86E3-B31C9DDF6A1E}"/>
    <cellStyle name="40% - Accent1 2 4 2 7 3" xfId="30727" xr:uid="{928E98B6-5D2E-45EC-81B3-25F60ABF2C42}"/>
    <cellStyle name="40% - Accent1 2 4 2 8" xfId="23338" xr:uid="{2D39C76F-4542-45DF-9907-6A2983683633}"/>
    <cellStyle name="40% - Accent1 2 4 2 8 2" xfId="38309" xr:uid="{B58D1753-DEB9-4FF7-BFA1-515A83177092}"/>
    <cellStyle name="40% - Accent1 2 4 2 9" xfId="30706" xr:uid="{FE9D993F-53DA-40F9-9228-1F28F0FCCFD6}"/>
    <cellStyle name="40% - Accent1 2 4 3" xfId="5711" xr:uid="{00000000-0005-0000-0000-0000D3090000}"/>
    <cellStyle name="40% - Accent1 2 4 3 2" xfId="5712" xr:uid="{00000000-0005-0000-0000-0000D4090000}"/>
    <cellStyle name="40% - Accent1 2 4 3 2 2" xfId="5713" xr:uid="{00000000-0005-0000-0000-0000D5090000}"/>
    <cellStyle name="40% - Accent1 2 4 3 2 2 2" xfId="23362" xr:uid="{E73CFC03-4ABB-4702-8C48-76408749D908}"/>
    <cellStyle name="40% - Accent1 2 4 3 2 2 2 2" xfId="38333" xr:uid="{B40AAB84-80BC-4407-9A91-2A229057DAEE}"/>
    <cellStyle name="40% - Accent1 2 4 3 2 2 3" xfId="30730" xr:uid="{422E219B-6755-4DAE-9666-881F70927A47}"/>
    <cellStyle name="40% - Accent1 2 4 3 2 3" xfId="5714" xr:uid="{00000000-0005-0000-0000-0000D6090000}"/>
    <cellStyle name="40% - Accent1 2 4 3 2 3 2" xfId="23363" xr:uid="{B9147424-3DA9-454D-8207-9E39EE42FB67}"/>
    <cellStyle name="40% - Accent1 2 4 3 2 3 2 2" xfId="38334" xr:uid="{F2D512AF-3185-4142-9C7F-3F29D8B29A6B}"/>
    <cellStyle name="40% - Accent1 2 4 3 2 3 3" xfId="30731" xr:uid="{382E4C2A-7651-4F94-A00A-1C3F7A9FD330}"/>
    <cellStyle name="40% - Accent1 2 4 3 2 4" xfId="23361" xr:uid="{F2388778-E39E-49DF-9AE6-20E3546E1FFC}"/>
    <cellStyle name="40% - Accent1 2 4 3 2 4 2" xfId="38332" xr:uid="{C928B3F6-F094-4648-9826-6A652A214DC3}"/>
    <cellStyle name="40% - Accent1 2 4 3 2 5" xfId="30729" xr:uid="{8BB9FC91-DABD-4DEF-8312-AD4BA42CAFCA}"/>
    <cellStyle name="40% - Accent1 2 4 3 3" xfId="5715" xr:uid="{00000000-0005-0000-0000-0000D7090000}"/>
    <cellStyle name="40% - Accent1 2 4 3 3 2" xfId="5716" xr:uid="{00000000-0005-0000-0000-0000D8090000}"/>
    <cellStyle name="40% - Accent1 2 4 3 3 2 2" xfId="23365" xr:uid="{EDE8A6B1-7BFF-4468-92F0-614666B822B7}"/>
    <cellStyle name="40% - Accent1 2 4 3 3 2 2 2" xfId="38336" xr:uid="{E37BB183-ED69-4489-8A89-8502DB96820E}"/>
    <cellStyle name="40% - Accent1 2 4 3 3 2 3" xfId="30733" xr:uid="{470B2C07-AAAD-4606-8FF0-20E53C7059BC}"/>
    <cellStyle name="40% - Accent1 2 4 3 3 3" xfId="23364" xr:uid="{BBCC96FB-41F4-4438-8C5A-6C0D8502F064}"/>
    <cellStyle name="40% - Accent1 2 4 3 3 3 2" xfId="38335" xr:uid="{819DCA35-B540-4619-9312-E865CD09DAB6}"/>
    <cellStyle name="40% - Accent1 2 4 3 3 4" xfId="30732" xr:uid="{BB0B1F9A-8567-476E-8FC5-1948839C0628}"/>
    <cellStyle name="40% - Accent1 2 4 3 4" xfId="5717" xr:uid="{00000000-0005-0000-0000-0000D9090000}"/>
    <cellStyle name="40% - Accent1 2 4 3 4 2" xfId="23366" xr:uid="{FF244D60-5C95-41F8-8E43-F641B64559A3}"/>
    <cellStyle name="40% - Accent1 2 4 3 4 2 2" xfId="38337" xr:uid="{4707D58A-0CBE-40B5-9147-67D6622091AB}"/>
    <cellStyle name="40% - Accent1 2 4 3 4 3" xfId="30734" xr:uid="{245072EE-B0C5-482E-91CD-4547F9661905}"/>
    <cellStyle name="40% - Accent1 2 4 3 5" xfId="23360" xr:uid="{494AB385-1F32-4A3D-88A1-D984DC3A52EC}"/>
    <cellStyle name="40% - Accent1 2 4 3 5 2" xfId="38331" xr:uid="{17715D67-F0C7-4C79-92DF-E3FA1A7A39A4}"/>
    <cellStyle name="40% - Accent1 2 4 3 6" xfId="30728" xr:uid="{68ADF2E5-B7C4-4146-B6D9-D3C32E2D420E}"/>
    <cellStyle name="40% - Accent1 2 4 4" xfId="5718" xr:uid="{00000000-0005-0000-0000-0000DA090000}"/>
    <cellStyle name="40% - Accent1 2 4 4 2" xfId="5719" xr:uid="{00000000-0005-0000-0000-0000DB090000}"/>
    <cellStyle name="40% - Accent1 2 4 4 2 2" xfId="5720" xr:uid="{00000000-0005-0000-0000-0000DC090000}"/>
    <cellStyle name="40% - Accent1 2 4 4 2 2 2" xfId="23369" xr:uid="{665EFA0F-04D4-4671-A28A-FD0115BC6295}"/>
    <cellStyle name="40% - Accent1 2 4 4 2 2 2 2" xfId="38340" xr:uid="{DEAFDA41-6351-431A-B1FB-9A42CCAED112}"/>
    <cellStyle name="40% - Accent1 2 4 4 2 2 3" xfId="30737" xr:uid="{EA892134-7AC9-45E3-A1FE-F67A748DB95A}"/>
    <cellStyle name="40% - Accent1 2 4 4 2 3" xfId="5721" xr:uid="{00000000-0005-0000-0000-0000DD090000}"/>
    <cellStyle name="40% - Accent1 2 4 4 2 3 2" xfId="23370" xr:uid="{D40992FD-9DA5-4525-9BF8-21DAC2017834}"/>
    <cellStyle name="40% - Accent1 2 4 4 2 3 2 2" xfId="38341" xr:uid="{2AD772F2-F10B-4177-AB57-CA4DFC4E0B54}"/>
    <cellStyle name="40% - Accent1 2 4 4 2 3 3" xfId="30738" xr:uid="{7DAD2C9B-5829-4208-8CFB-C1DC9C942902}"/>
    <cellStyle name="40% - Accent1 2 4 4 2 4" xfId="23368" xr:uid="{B7A4B742-37E4-4134-9934-455964C29FB0}"/>
    <cellStyle name="40% - Accent1 2 4 4 2 4 2" xfId="38339" xr:uid="{E2A7101A-FF7D-4D7D-8D6C-7DC4A5858A39}"/>
    <cellStyle name="40% - Accent1 2 4 4 2 5" xfId="30736" xr:uid="{8C394C11-6382-4404-A5D3-B5FB22EB0CC1}"/>
    <cellStyle name="40% - Accent1 2 4 4 3" xfId="5722" xr:uid="{00000000-0005-0000-0000-0000DE090000}"/>
    <cellStyle name="40% - Accent1 2 4 4 3 2" xfId="5723" xr:uid="{00000000-0005-0000-0000-0000DF090000}"/>
    <cellStyle name="40% - Accent1 2 4 4 3 2 2" xfId="23372" xr:uid="{D2A3D199-552A-4067-957C-CF88A5D7C6A7}"/>
    <cellStyle name="40% - Accent1 2 4 4 3 2 2 2" xfId="38343" xr:uid="{926F6671-BE25-4EAF-9A4D-2E6001B9705D}"/>
    <cellStyle name="40% - Accent1 2 4 4 3 2 3" xfId="30740" xr:uid="{028F7B00-E5FC-4845-9AA1-BF9FBF277DB7}"/>
    <cellStyle name="40% - Accent1 2 4 4 3 3" xfId="23371" xr:uid="{416215C0-B78C-43B4-A929-BB369373B24A}"/>
    <cellStyle name="40% - Accent1 2 4 4 3 3 2" xfId="38342" xr:uid="{137AF9F5-B08D-415E-8BD3-28A5AAA35320}"/>
    <cellStyle name="40% - Accent1 2 4 4 3 4" xfId="30739" xr:uid="{C765F2F7-CFC0-4512-A3BD-B09D120BEC62}"/>
    <cellStyle name="40% - Accent1 2 4 4 4" xfId="5724" xr:uid="{00000000-0005-0000-0000-0000E0090000}"/>
    <cellStyle name="40% - Accent1 2 4 4 4 2" xfId="23373" xr:uid="{830A4D6C-E57E-4FC5-B0F2-2624D77F916D}"/>
    <cellStyle name="40% - Accent1 2 4 4 4 2 2" xfId="38344" xr:uid="{5A29D2B5-F5FE-421C-84B8-CA22AB585128}"/>
    <cellStyle name="40% - Accent1 2 4 4 4 3" xfId="30741" xr:uid="{1A6D045D-0E5D-402E-BDA1-C5C8F255F091}"/>
    <cellStyle name="40% - Accent1 2 4 4 5" xfId="23367" xr:uid="{974B86D7-22F5-4E0B-8EE5-51295831EA81}"/>
    <cellStyle name="40% - Accent1 2 4 4 5 2" xfId="38338" xr:uid="{B292A0BA-8C1F-4D74-A01A-D9ECE965C7A7}"/>
    <cellStyle name="40% - Accent1 2 4 4 6" xfId="30735" xr:uid="{101AE89D-2360-4CE2-ADAE-4FA2E505B455}"/>
    <cellStyle name="40% - Accent1 2 4 5" xfId="5725" xr:uid="{00000000-0005-0000-0000-0000E1090000}"/>
    <cellStyle name="40% - Accent1 2 4 5 2" xfId="5726" xr:uid="{00000000-0005-0000-0000-0000E2090000}"/>
    <cellStyle name="40% - Accent1 2 4 5 2 2" xfId="23375" xr:uid="{BD7E29B1-EE6B-4890-873F-128FCD7DC8B1}"/>
    <cellStyle name="40% - Accent1 2 4 5 2 2 2" xfId="38346" xr:uid="{8E45BF12-F168-4AF5-A5B3-9EC374F22C71}"/>
    <cellStyle name="40% - Accent1 2 4 5 2 3" xfId="30743" xr:uid="{23295831-ECB9-4DB9-8B71-0D86688F851D}"/>
    <cellStyle name="40% - Accent1 2 4 5 3" xfId="5727" xr:uid="{00000000-0005-0000-0000-0000E3090000}"/>
    <cellStyle name="40% - Accent1 2 4 5 3 2" xfId="23376" xr:uid="{D9748B74-0D01-47EC-AA73-95DBE9EB8CD8}"/>
    <cellStyle name="40% - Accent1 2 4 5 3 2 2" xfId="38347" xr:uid="{C3301267-1E0E-4924-8B31-A22261F24ABE}"/>
    <cellStyle name="40% - Accent1 2 4 5 3 3" xfId="30744" xr:uid="{F51A893F-9F07-4C3E-824D-EE887CA9E487}"/>
    <cellStyle name="40% - Accent1 2 4 5 4" xfId="23374" xr:uid="{42C76F45-EBF7-4048-AE79-4E1F1CCCB29B}"/>
    <cellStyle name="40% - Accent1 2 4 5 4 2" xfId="38345" xr:uid="{03BF4B08-537B-4527-8C4B-9B0CF7B5B79C}"/>
    <cellStyle name="40% - Accent1 2 4 5 5" xfId="30742" xr:uid="{BAC38182-12BB-4647-989D-4B956D3DECB0}"/>
    <cellStyle name="40% - Accent1 2 4 6" xfId="5728" xr:uid="{00000000-0005-0000-0000-0000E4090000}"/>
    <cellStyle name="40% - Accent1 2 4 6 2" xfId="23377" xr:uid="{8D6B4839-F75F-4D2A-834F-47A0D313BA59}"/>
    <cellStyle name="40% - Accent1 2 4 6 2 2" xfId="38348" xr:uid="{F25F3639-CBB3-4B17-8AFD-6AD07C80E84A}"/>
    <cellStyle name="40% - Accent1 2 4 6 3" xfId="30745" xr:uid="{9E703892-01E4-46EE-9976-DFDBB2CBD3D6}"/>
    <cellStyle name="40% - Accent1 2 4 7" xfId="5729" xr:uid="{00000000-0005-0000-0000-0000E5090000}"/>
    <cellStyle name="40% - Accent1 2 4 7 2" xfId="5730" xr:uid="{00000000-0005-0000-0000-0000E6090000}"/>
    <cellStyle name="40% - Accent1 2 4 7 2 2" xfId="23379" xr:uid="{188B4F55-0AC4-4FD5-BFA5-0E15209DE4C7}"/>
    <cellStyle name="40% - Accent1 2 4 7 2 2 2" xfId="38350" xr:uid="{9C90D248-A9B7-4EA4-8A4B-B7102CCD56FE}"/>
    <cellStyle name="40% - Accent1 2 4 7 2 3" xfId="30747" xr:uid="{62AC9758-9FAA-4B91-AA61-6B6A7C02D980}"/>
    <cellStyle name="40% - Accent1 2 4 7 3" xfId="23378" xr:uid="{1D185BB1-60BA-4954-8247-587080909C04}"/>
    <cellStyle name="40% - Accent1 2 4 7 3 2" xfId="38349" xr:uid="{71DA46BD-1973-4824-8EAC-069545A1D58B}"/>
    <cellStyle name="40% - Accent1 2 4 7 4" xfId="30746" xr:uid="{E1EAA201-B0FB-4EA8-9CDA-871715644381}"/>
    <cellStyle name="40% - Accent1 2 4 8" xfId="5731" xr:uid="{00000000-0005-0000-0000-0000E7090000}"/>
    <cellStyle name="40% - Accent1 2 4 8 2" xfId="23380" xr:uid="{285C3D61-F634-432E-BE24-0CAD4D6D757A}"/>
    <cellStyle name="40% - Accent1 2 4 8 2 2" xfId="38351" xr:uid="{3333484A-97E3-40BF-9F46-D6F71DDE1C61}"/>
    <cellStyle name="40% - Accent1 2 4 8 3" xfId="30748" xr:uid="{F7B9C7EC-2A13-4BD6-BE15-1DE9589414AB}"/>
    <cellStyle name="40% - Accent1 2 4 9" xfId="23337" xr:uid="{4DFBE3C4-F7CF-46C0-9111-A1E723119C03}"/>
    <cellStyle name="40% - Accent1 2 4 9 2" xfId="38308" xr:uid="{30E6234D-E0F0-452D-9E71-842D0CED8490}"/>
    <cellStyle name="40% - Accent1 2 5" xfId="5732" xr:uid="{00000000-0005-0000-0000-0000E8090000}"/>
    <cellStyle name="40% - Accent1 2 5 10" xfId="30749" xr:uid="{8A126CAA-EB62-49D3-8759-29643C62BF86}"/>
    <cellStyle name="40% - Accent1 2 5 2" xfId="5733" xr:uid="{00000000-0005-0000-0000-0000E9090000}"/>
    <cellStyle name="40% - Accent1 2 5 2 2" xfId="5734" xr:uid="{00000000-0005-0000-0000-0000EA090000}"/>
    <cellStyle name="40% - Accent1 2 5 2 2 2" xfId="5735" xr:uid="{00000000-0005-0000-0000-0000EB090000}"/>
    <cellStyle name="40% - Accent1 2 5 2 2 2 2" xfId="5736" xr:uid="{00000000-0005-0000-0000-0000EC090000}"/>
    <cellStyle name="40% - Accent1 2 5 2 2 2 2 2" xfId="23385" xr:uid="{159A307E-2E71-4FEE-8ABC-716255CCA437}"/>
    <cellStyle name="40% - Accent1 2 5 2 2 2 2 2 2" xfId="38356" xr:uid="{E0F6111A-AB83-41E0-8644-CB6A3275B569}"/>
    <cellStyle name="40% - Accent1 2 5 2 2 2 2 3" xfId="30753" xr:uid="{F9A44924-5FCF-4C24-96BC-0A0D933A53D4}"/>
    <cellStyle name="40% - Accent1 2 5 2 2 2 3" xfId="5737" xr:uid="{00000000-0005-0000-0000-0000ED090000}"/>
    <cellStyle name="40% - Accent1 2 5 2 2 2 3 2" xfId="23386" xr:uid="{F3209F7F-1496-4970-AB7C-21D20F41DDC5}"/>
    <cellStyle name="40% - Accent1 2 5 2 2 2 3 2 2" xfId="38357" xr:uid="{9DCDFF65-C008-4D1B-8602-C2C1363F6B41}"/>
    <cellStyle name="40% - Accent1 2 5 2 2 2 3 3" xfId="30754" xr:uid="{6F30EC70-C7F2-414D-8F91-E4994E83ABA0}"/>
    <cellStyle name="40% - Accent1 2 5 2 2 2 4" xfId="23384" xr:uid="{C3BBBDF0-132D-47C2-83D7-3F756B5C0C56}"/>
    <cellStyle name="40% - Accent1 2 5 2 2 2 4 2" xfId="38355" xr:uid="{C8F2A60A-F425-454D-8ECB-721E4792C4AC}"/>
    <cellStyle name="40% - Accent1 2 5 2 2 2 5" xfId="30752" xr:uid="{36C4AB47-383C-4F65-B82E-54FDA6F1327B}"/>
    <cellStyle name="40% - Accent1 2 5 2 2 3" xfId="5738" xr:uid="{00000000-0005-0000-0000-0000EE090000}"/>
    <cellStyle name="40% - Accent1 2 5 2 2 3 2" xfId="5739" xr:uid="{00000000-0005-0000-0000-0000EF090000}"/>
    <cellStyle name="40% - Accent1 2 5 2 2 3 2 2" xfId="23388" xr:uid="{34EBC20B-0EC7-4F19-91DD-5BEBEFD467FD}"/>
    <cellStyle name="40% - Accent1 2 5 2 2 3 2 2 2" xfId="38359" xr:uid="{DCE30521-0822-40A5-9087-450DCFFAB2E3}"/>
    <cellStyle name="40% - Accent1 2 5 2 2 3 2 3" xfId="30756" xr:uid="{D5E10791-BD72-4447-8237-7C4A1D6F4B35}"/>
    <cellStyle name="40% - Accent1 2 5 2 2 3 3" xfId="23387" xr:uid="{6EDEB7BD-D209-405B-8E7F-C508611125A5}"/>
    <cellStyle name="40% - Accent1 2 5 2 2 3 3 2" xfId="38358" xr:uid="{186FE909-84E2-48CF-9AF3-0F75DBD33D35}"/>
    <cellStyle name="40% - Accent1 2 5 2 2 3 4" xfId="30755" xr:uid="{7535493E-E5BA-4FA2-BA99-271CDFAB687B}"/>
    <cellStyle name="40% - Accent1 2 5 2 2 4" xfId="5740" xr:uid="{00000000-0005-0000-0000-0000F0090000}"/>
    <cellStyle name="40% - Accent1 2 5 2 2 4 2" xfId="23389" xr:uid="{4C11D0FA-03A9-4FB3-9120-C6F76EC3F396}"/>
    <cellStyle name="40% - Accent1 2 5 2 2 4 2 2" xfId="38360" xr:uid="{280AFAC0-97C5-4AD3-A124-B7D337104A79}"/>
    <cellStyle name="40% - Accent1 2 5 2 2 4 3" xfId="30757" xr:uid="{4BFEC2B7-45A6-45A6-B5AC-813C60CF6E9E}"/>
    <cellStyle name="40% - Accent1 2 5 2 2 5" xfId="23383" xr:uid="{6555A7F9-9EFE-4ACD-B691-4B867C8E0CDD}"/>
    <cellStyle name="40% - Accent1 2 5 2 2 5 2" xfId="38354" xr:uid="{2E32AE54-4192-4778-B1DF-C7CAF4C445F8}"/>
    <cellStyle name="40% - Accent1 2 5 2 2 6" xfId="30751" xr:uid="{2BBA0344-C4F4-4423-832E-3D8FB872A959}"/>
    <cellStyle name="40% - Accent1 2 5 2 3" xfId="5741" xr:uid="{00000000-0005-0000-0000-0000F1090000}"/>
    <cellStyle name="40% - Accent1 2 5 2 3 2" xfId="5742" xr:uid="{00000000-0005-0000-0000-0000F2090000}"/>
    <cellStyle name="40% - Accent1 2 5 2 3 2 2" xfId="5743" xr:uid="{00000000-0005-0000-0000-0000F3090000}"/>
    <cellStyle name="40% - Accent1 2 5 2 3 2 2 2" xfId="23392" xr:uid="{D9C5F7D9-81B1-4D25-BCB7-783659FDFF06}"/>
    <cellStyle name="40% - Accent1 2 5 2 3 2 2 2 2" xfId="38363" xr:uid="{63403D52-16FC-4BA4-B529-28FBE2396B43}"/>
    <cellStyle name="40% - Accent1 2 5 2 3 2 2 3" xfId="30760" xr:uid="{97953435-5D54-4028-94C6-2E735314D63F}"/>
    <cellStyle name="40% - Accent1 2 5 2 3 2 3" xfId="5744" xr:uid="{00000000-0005-0000-0000-0000F4090000}"/>
    <cellStyle name="40% - Accent1 2 5 2 3 2 3 2" xfId="23393" xr:uid="{ACBF27D6-5F98-46E8-9DF9-86C19898657A}"/>
    <cellStyle name="40% - Accent1 2 5 2 3 2 3 2 2" xfId="38364" xr:uid="{9F67322F-3B1E-4E29-9E6D-1B14CE45C3E5}"/>
    <cellStyle name="40% - Accent1 2 5 2 3 2 3 3" xfId="30761" xr:uid="{4E489C59-5AFB-4FB9-9204-08E333F4EDFE}"/>
    <cellStyle name="40% - Accent1 2 5 2 3 2 4" xfId="23391" xr:uid="{BAFDCD86-F90A-4001-853F-C33124342E5C}"/>
    <cellStyle name="40% - Accent1 2 5 2 3 2 4 2" xfId="38362" xr:uid="{FDB2FA72-DFFF-426A-87C9-11FA966B9BA0}"/>
    <cellStyle name="40% - Accent1 2 5 2 3 2 5" xfId="30759" xr:uid="{B2587144-EB2D-45E5-80E7-96DC5E8A763E}"/>
    <cellStyle name="40% - Accent1 2 5 2 3 3" xfId="5745" xr:uid="{00000000-0005-0000-0000-0000F5090000}"/>
    <cellStyle name="40% - Accent1 2 5 2 3 3 2" xfId="5746" xr:uid="{00000000-0005-0000-0000-0000F6090000}"/>
    <cellStyle name="40% - Accent1 2 5 2 3 3 2 2" xfId="23395" xr:uid="{0AC2DE00-7AF7-473A-931B-C7302A2CC576}"/>
    <cellStyle name="40% - Accent1 2 5 2 3 3 2 2 2" xfId="38366" xr:uid="{6FE385D5-52A6-4071-8925-9EECD6824822}"/>
    <cellStyle name="40% - Accent1 2 5 2 3 3 2 3" xfId="30763" xr:uid="{4A227B74-BBEA-4134-B002-C5FB62231EC3}"/>
    <cellStyle name="40% - Accent1 2 5 2 3 3 3" xfId="23394" xr:uid="{A810F260-0A46-49E7-BE19-9B5F90A3C7D2}"/>
    <cellStyle name="40% - Accent1 2 5 2 3 3 3 2" xfId="38365" xr:uid="{7AB17403-AE3D-41FB-912D-D976058CE80C}"/>
    <cellStyle name="40% - Accent1 2 5 2 3 3 4" xfId="30762" xr:uid="{3B3DBC38-6936-4869-AD47-DE2136EB4194}"/>
    <cellStyle name="40% - Accent1 2 5 2 3 4" xfId="5747" xr:uid="{00000000-0005-0000-0000-0000F7090000}"/>
    <cellStyle name="40% - Accent1 2 5 2 3 4 2" xfId="23396" xr:uid="{761C3834-C0F8-464D-8592-63DE6584A858}"/>
    <cellStyle name="40% - Accent1 2 5 2 3 4 2 2" xfId="38367" xr:uid="{9904B356-7669-40B7-A189-C70B23A032A0}"/>
    <cellStyle name="40% - Accent1 2 5 2 3 4 3" xfId="30764" xr:uid="{937681EC-067A-4D92-903D-18604D980F39}"/>
    <cellStyle name="40% - Accent1 2 5 2 3 5" xfId="23390" xr:uid="{A090426B-695C-46D7-B499-4D82DF2A08A4}"/>
    <cellStyle name="40% - Accent1 2 5 2 3 5 2" xfId="38361" xr:uid="{74059BC4-DD83-4734-BB3C-1283BA79FBA6}"/>
    <cellStyle name="40% - Accent1 2 5 2 3 6" xfId="30758" xr:uid="{4E7BFE97-9D34-4064-9699-2C8D6EF5510B}"/>
    <cellStyle name="40% - Accent1 2 5 2 4" xfId="5748" xr:uid="{00000000-0005-0000-0000-0000F8090000}"/>
    <cellStyle name="40% - Accent1 2 5 2 4 2" xfId="5749" xr:uid="{00000000-0005-0000-0000-0000F9090000}"/>
    <cellStyle name="40% - Accent1 2 5 2 4 2 2" xfId="23398" xr:uid="{187FFBE4-75DA-43A5-9923-702F127D0B7A}"/>
    <cellStyle name="40% - Accent1 2 5 2 4 2 2 2" xfId="38369" xr:uid="{05D09E07-0153-40DA-9100-2184A54B2972}"/>
    <cellStyle name="40% - Accent1 2 5 2 4 2 3" xfId="30766" xr:uid="{BA849F5E-02E6-4B4D-AFDB-86440A139451}"/>
    <cellStyle name="40% - Accent1 2 5 2 4 3" xfId="5750" xr:uid="{00000000-0005-0000-0000-0000FA090000}"/>
    <cellStyle name="40% - Accent1 2 5 2 4 3 2" xfId="23399" xr:uid="{AEC3E167-EB3B-40BE-883D-EF19CC297776}"/>
    <cellStyle name="40% - Accent1 2 5 2 4 3 2 2" xfId="38370" xr:uid="{8BE1AEA6-5B8F-49F6-99FE-4E7A06A10C62}"/>
    <cellStyle name="40% - Accent1 2 5 2 4 3 3" xfId="30767" xr:uid="{71CBABAB-1D20-433E-BD6E-5322AEACDB22}"/>
    <cellStyle name="40% - Accent1 2 5 2 4 4" xfId="23397" xr:uid="{BAF65D64-5E36-4D42-9A0E-35B05C3C162D}"/>
    <cellStyle name="40% - Accent1 2 5 2 4 4 2" xfId="38368" xr:uid="{89EA2515-26D1-4379-801A-EE5AD612DF76}"/>
    <cellStyle name="40% - Accent1 2 5 2 4 5" xfId="30765" xr:uid="{349C8264-25C5-4402-A404-A464CED14962}"/>
    <cellStyle name="40% - Accent1 2 5 2 5" xfId="5751" xr:uid="{00000000-0005-0000-0000-0000FB090000}"/>
    <cellStyle name="40% - Accent1 2 5 2 5 2" xfId="23400" xr:uid="{8B2DC130-81DD-4D4E-B586-C4FB046CB684}"/>
    <cellStyle name="40% - Accent1 2 5 2 5 2 2" xfId="38371" xr:uid="{EE358E48-9B09-4852-BC41-A4868623BF8B}"/>
    <cellStyle name="40% - Accent1 2 5 2 5 3" xfId="30768" xr:uid="{4E5ABE43-72A7-4195-B0C4-4E68461F87E3}"/>
    <cellStyle name="40% - Accent1 2 5 2 6" xfId="5752" xr:uid="{00000000-0005-0000-0000-0000FC090000}"/>
    <cellStyle name="40% - Accent1 2 5 2 6 2" xfId="5753" xr:uid="{00000000-0005-0000-0000-0000FD090000}"/>
    <cellStyle name="40% - Accent1 2 5 2 6 2 2" xfId="23402" xr:uid="{F7746197-7C97-4EF3-97C9-BEA25117A18D}"/>
    <cellStyle name="40% - Accent1 2 5 2 6 2 2 2" xfId="38373" xr:uid="{CFFA565B-0C96-46CD-894F-CC7663400C93}"/>
    <cellStyle name="40% - Accent1 2 5 2 6 2 3" xfId="30770" xr:uid="{55D1CDF4-0A70-4FFC-834F-565FBB128302}"/>
    <cellStyle name="40% - Accent1 2 5 2 6 3" xfId="23401" xr:uid="{269ECD4C-1405-468A-B0B4-6399F4A8F1A4}"/>
    <cellStyle name="40% - Accent1 2 5 2 6 3 2" xfId="38372" xr:uid="{D3C39055-B086-4A02-A886-417F9AC78F9B}"/>
    <cellStyle name="40% - Accent1 2 5 2 6 4" xfId="30769" xr:uid="{538CA93D-D10A-450F-BF68-23D16A9BC486}"/>
    <cellStyle name="40% - Accent1 2 5 2 7" xfId="5754" xr:uid="{00000000-0005-0000-0000-0000FE090000}"/>
    <cellStyle name="40% - Accent1 2 5 2 7 2" xfId="23403" xr:uid="{700BFB8C-6AAD-4E93-B66E-8F15E9FA2F91}"/>
    <cellStyle name="40% - Accent1 2 5 2 7 2 2" xfId="38374" xr:uid="{6AB9F144-B48B-46CC-975F-BDDCE68E0425}"/>
    <cellStyle name="40% - Accent1 2 5 2 7 3" xfId="30771" xr:uid="{A5E9FD90-78AB-4127-A9E9-102A3B134ECB}"/>
    <cellStyle name="40% - Accent1 2 5 2 8" xfId="23382" xr:uid="{793EC967-2C44-46F2-94EC-036778965557}"/>
    <cellStyle name="40% - Accent1 2 5 2 8 2" xfId="38353" xr:uid="{4578195E-F35A-4230-AE43-57988C655071}"/>
    <cellStyle name="40% - Accent1 2 5 2 9" xfId="30750" xr:uid="{52D0B53F-AEBA-43B1-BFD2-9151C302C272}"/>
    <cellStyle name="40% - Accent1 2 5 3" xfId="5755" xr:uid="{00000000-0005-0000-0000-0000FF090000}"/>
    <cellStyle name="40% - Accent1 2 5 3 2" xfId="5756" xr:uid="{00000000-0005-0000-0000-0000000A0000}"/>
    <cellStyle name="40% - Accent1 2 5 3 2 2" xfId="5757" xr:uid="{00000000-0005-0000-0000-0000010A0000}"/>
    <cellStyle name="40% - Accent1 2 5 3 2 2 2" xfId="23406" xr:uid="{0A4B81AC-BC33-4F54-A54E-0A34D90BFE88}"/>
    <cellStyle name="40% - Accent1 2 5 3 2 2 2 2" xfId="38377" xr:uid="{A03C6EEF-E857-4059-9329-E208AA284FB2}"/>
    <cellStyle name="40% - Accent1 2 5 3 2 2 3" xfId="30774" xr:uid="{194CBE6D-92B5-4932-A703-82B22E385160}"/>
    <cellStyle name="40% - Accent1 2 5 3 2 3" xfId="5758" xr:uid="{00000000-0005-0000-0000-0000020A0000}"/>
    <cellStyle name="40% - Accent1 2 5 3 2 3 2" xfId="23407" xr:uid="{EF4DC8DB-60DF-4B1E-9D00-3498806E9E07}"/>
    <cellStyle name="40% - Accent1 2 5 3 2 3 2 2" xfId="38378" xr:uid="{16FAE6FC-A1E1-4E7E-A7DE-FDF02C6511FF}"/>
    <cellStyle name="40% - Accent1 2 5 3 2 3 3" xfId="30775" xr:uid="{2339929B-460C-4396-BB97-DB74C229B101}"/>
    <cellStyle name="40% - Accent1 2 5 3 2 4" xfId="23405" xr:uid="{864A6E5A-D02F-4C1B-BB20-9B8B495218F2}"/>
    <cellStyle name="40% - Accent1 2 5 3 2 4 2" xfId="38376" xr:uid="{31D329F3-36FD-419B-98EB-EA1C845F748F}"/>
    <cellStyle name="40% - Accent1 2 5 3 2 5" xfId="30773" xr:uid="{CF2333D4-EE00-4730-8D41-A76776FC7C79}"/>
    <cellStyle name="40% - Accent1 2 5 3 3" xfId="5759" xr:uid="{00000000-0005-0000-0000-0000030A0000}"/>
    <cellStyle name="40% - Accent1 2 5 3 3 2" xfId="5760" xr:uid="{00000000-0005-0000-0000-0000040A0000}"/>
    <cellStyle name="40% - Accent1 2 5 3 3 2 2" xfId="23409" xr:uid="{97C9EBBA-10E2-449F-A7DE-C73480EFAD17}"/>
    <cellStyle name="40% - Accent1 2 5 3 3 2 2 2" xfId="38380" xr:uid="{FC041ED5-7A2D-4DED-B6EE-DDE9BA2B8926}"/>
    <cellStyle name="40% - Accent1 2 5 3 3 2 3" xfId="30777" xr:uid="{C742302D-419F-4124-80D4-5FCBB340B910}"/>
    <cellStyle name="40% - Accent1 2 5 3 3 3" xfId="23408" xr:uid="{0047D133-F88B-4A43-9879-AC6345BF2DC2}"/>
    <cellStyle name="40% - Accent1 2 5 3 3 3 2" xfId="38379" xr:uid="{3448D993-FFDC-400A-8E8B-003BD3C6B1EF}"/>
    <cellStyle name="40% - Accent1 2 5 3 3 4" xfId="30776" xr:uid="{B0DFF814-CE06-476D-A963-3A9C9BE105DE}"/>
    <cellStyle name="40% - Accent1 2 5 3 4" xfId="5761" xr:uid="{00000000-0005-0000-0000-0000050A0000}"/>
    <cellStyle name="40% - Accent1 2 5 3 4 2" xfId="23410" xr:uid="{A41CC1E5-98D6-494C-9258-1E25F4FF78AB}"/>
    <cellStyle name="40% - Accent1 2 5 3 4 2 2" xfId="38381" xr:uid="{C79E18EF-97ED-4769-A36A-386E3C01354B}"/>
    <cellStyle name="40% - Accent1 2 5 3 4 3" xfId="30778" xr:uid="{D6B2C9AC-F19D-45F5-8222-16250062B69C}"/>
    <cellStyle name="40% - Accent1 2 5 3 5" xfId="23404" xr:uid="{D8325F11-288C-4D65-876A-4F4E29CA81DF}"/>
    <cellStyle name="40% - Accent1 2 5 3 5 2" xfId="38375" xr:uid="{1F22FA62-CDFE-4AC5-B804-78CA1C8D62A3}"/>
    <cellStyle name="40% - Accent1 2 5 3 6" xfId="30772" xr:uid="{CBE4D942-ED2C-4994-B6F9-BFE085254854}"/>
    <cellStyle name="40% - Accent1 2 5 4" xfId="5762" xr:uid="{00000000-0005-0000-0000-0000060A0000}"/>
    <cellStyle name="40% - Accent1 2 5 4 2" xfId="5763" xr:uid="{00000000-0005-0000-0000-0000070A0000}"/>
    <cellStyle name="40% - Accent1 2 5 4 2 2" xfId="5764" xr:uid="{00000000-0005-0000-0000-0000080A0000}"/>
    <cellStyle name="40% - Accent1 2 5 4 2 2 2" xfId="23413" xr:uid="{546D3D9C-7EBE-4D23-A593-EA61CFFC9884}"/>
    <cellStyle name="40% - Accent1 2 5 4 2 2 2 2" xfId="38384" xr:uid="{C0C5F1A9-590A-4050-A9A5-B7256CB0B533}"/>
    <cellStyle name="40% - Accent1 2 5 4 2 2 3" xfId="30781" xr:uid="{96A620AD-354C-46EA-823C-5F1E59BE62E2}"/>
    <cellStyle name="40% - Accent1 2 5 4 2 3" xfId="5765" xr:uid="{00000000-0005-0000-0000-0000090A0000}"/>
    <cellStyle name="40% - Accent1 2 5 4 2 3 2" xfId="23414" xr:uid="{0EB82CE4-A493-4607-89CE-73965CA55B95}"/>
    <cellStyle name="40% - Accent1 2 5 4 2 3 2 2" xfId="38385" xr:uid="{DB915D9A-D618-4E07-9C9D-535434802FB0}"/>
    <cellStyle name="40% - Accent1 2 5 4 2 3 3" xfId="30782" xr:uid="{40B9A1DE-A0A5-4B30-AE23-1D8FE5F99C63}"/>
    <cellStyle name="40% - Accent1 2 5 4 2 4" xfId="23412" xr:uid="{83E35501-A0A9-42CB-BC6E-48D5BFBEBCF2}"/>
    <cellStyle name="40% - Accent1 2 5 4 2 4 2" xfId="38383" xr:uid="{B1267533-4312-4C46-9B77-5429D0049EE8}"/>
    <cellStyle name="40% - Accent1 2 5 4 2 5" xfId="30780" xr:uid="{C5D26F32-B804-4371-A7B8-87B10C3AF1C5}"/>
    <cellStyle name="40% - Accent1 2 5 4 3" xfId="5766" xr:uid="{00000000-0005-0000-0000-00000A0A0000}"/>
    <cellStyle name="40% - Accent1 2 5 4 3 2" xfId="5767" xr:uid="{00000000-0005-0000-0000-00000B0A0000}"/>
    <cellStyle name="40% - Accent1 2 5 4 3 2 2" xfId="23416" xr:uid="{F2566213-3C41-4CB0-B3BE-7DCDD1CFB411}"/>
    <cellStyle name="40% - Accent1 2 5 4 3 2 2 2" xfId="38387" xr:uid="{F4C16B1B-71DD-4DE8-82BB-B8688CB67335}"/>
    <cellStyle name="40% - Accent1 2 5 4 3 2 3" xfId="30784" xr:uid="{2FDD7AD3-3FA6-4B89-AA8C-4093F6163FC9}"/>
    <cellStyle name="40% - Accent1 2 5 4 3 3" xfId="23415" xr:uid="{DDE33E61-31C6-4EA0-B618-156C3D3DC8ED}"/>
    <cellStyle name="40% - Accent1 2 5 4 3 3 2" xfId="38386" xr:uid="{990941C9-8FEA-4B5F-A42B-A44FC4CCCE9A}"/>
    <cellStyle name="40% - Accent1 2 5 4 3 4" xfId="30783" xr:uid="{B05C4D7A-70FD-4B31-88AD-2FF38BB5C140}"/>
    <cellStyle name="40% - Accent1 2 5 4 4" xfId="5768" xr:uid="{00000000-0005-0000-0000-00000C0A0000}"/>
    <cellStyle name="40% - Accent1 2 5 4 4 2" xfId="23417" xr:uid="{1FD9DC25-0BFF-4FA1-9666-26115F171ABA}"/>
    <cellStyle name="40% - Accent1 2 5 4 4 2 2" xfId="38388" xr:uid="{C7468DEE-47A8-4ECA-B246-0351F42C1086}"/>
    <cellStyle name="40% - Accent1 2 5 4 4 3" xfId="30785" xr:uid="{7CDA808C-9695-4BC6-A9D0-7DAB9FB6DFEB}"/>
    <cellStyle name="40% - Accent1 2 5 4 5" xfId="23411" xr:uid="{D1D6A822-D184-4E65-AE6D-62B0B4DB050E}"/>
    <cellStyle name="40% - Accent1 2 5 4 5 2" xfId="38382" xr:uid="{3B20B21F-3196-45F9-961C-28D7B7CF0DEA}"/>
    <cellStyle name="40% - Accent1 2 5 4 6" xfId="30779" xr:uid="{2650D0DB-31FD-4E36-87CF-827BA2CB77AC}"/>
    <cellStyle name="40% - Accent1 2 5 5" xfId="5769" xr:uid="{00000000-0005-0000-0000-00000D0A0000}"/>
    <cellStyle name="40% - Accent1 2 5 5 2" xfId="5770" xr:uid="{00000000-0005-0000-0000-00000E0A0000}"/>
    <cellStyle name="40% - Accent1 2 5 5 2 2" xfId="23419" xr:uid="{3242AAEA-E154-458E-A1BA-40CC5C165C17}"/>
    <cellStyle name="40% - Accent1 2 5 5 2 2 2" xfId="38390" xr:uid="{F22BEB73-8CE8-4C81-A519-6E46E6FB6DFE}"/>
    <cellStyle name="40% - Accent1 2 5 5 2 3" xfId="30787" xr:uid="{E567FA5C-5CFD-49F0-9968-A1E99B76B130}"/>
    <cellStyle name="40% - Accent1 2 5 5 3" xfId="5771" xr:uid="{00000000-0005-0000-0000-00000F0A0000}"/>
    <cellStyle name="40% - Accent1 2 5 5 3 2" xfId="23420" xr:uid="{D44982F1-FE73-4FB9-87DA-5EBE09BC5779}"/>
    <cellStyle name="40% - Accent1 2 5 5 3 2 2" xfId="38391" xr:uid="{0985D2C5-711E-4D1D-9C97-2CCB10BC0D6D}"/>
    <cellStyle name="40% - Accent1 2 5 5 3 3" xfId="30788" xr:uid="{27ADEB46-2833-4204-AD77-AF1EBB7E57A0}"/>
    <cellStyle name="40% - Accent1 2 5 5 4" xfId="23418" xr:uid="{131EE2D2-A900-4303-A45C-3CAE7FA9CB0E}"/>
    <cellStyle name="40% - Accent1 2 5 5 4 2" xfId="38389" xr:uid="{5956D31B-AAAD-4D83-A144-938F015A1677}"/>
    <cellStyle name="40% - Accent1 2 5 5 5" xfId="30786" xr:uid="{8F8B79CC-90DF-4757-B830-E8C8E30A31AB}"/>
    <cellStyle name="40% - Accent1 2 5 6" xfId="5772" xr:uid="{00000000-0005-0000-0000-0000100A0000}"/>
    <cellStyle name="40% - Accent1 2 5 6 2" xfId="23421" xr:uid="{7DC11BEB-8E83-498B-AECF-B92875676319}"/>
    <cellStyle name="40% - Accent1 2 5 6 2 2" xfId="38392" xr:uid="{CB130D64-1825-4BB5-92EB-115695F65438}"/>
    <cellStyle name="40% - Accent1 2 5 6 3" xfId="30789" xr:uid="{B98C4746-0049-49E6-9CDA-696E1F106A3D}"/>
    <cellStyle name="40% - Accent1 2 5 7" xfId="5773" xr:uid="{00000000-0005-0000-0000-0000110A0000}"/>
    <cellStyle name="40% - Accent1 2 5 7 2" xfId="5774" xr:uid="{00000000-0005-0000-0000-0000120A0000}"/>
    <cellStyle name="40% - Accent1 2 5 7 2 2" xfId="23423" xr:uid="{BA6F046D-6DB0-418D-82F3-78D91A5A3522}"/>
    <cellStyle name="40% - Accent1 2 5 7 2 2 2" xfId="38394" xr:uid="{7F45C380-7F60-4198-BE6F-E72159C83E11}"/>
    <cellStyle name="40% - Accent1 2 5 7 2 3" xfId="30791" xr:uid="{550F248B-2D9A-4464-BC4B-D447D0BC3DE2}"/>
    <cellStyle name="40% - Accent1 2 5 7 3" xfId="23422" xr:uid="{6AEC7CB5-1FD3-4C6B-83DE-A3CE8C654311}"/>
    <cellStyle name="40% - Accent1 2 5 7 3 2" xfId="38393" xr:uid="{FB2558AA-DF3B-483E-BF81-C9514148B92B}"/>
    <cellStyle name="40% - Accent1 2 5 7 4" xfId="30790" xr:uid="{B1091E9E-233D-4D84-823A-743F26DC8E21}"/>
    <cellStyle name="40% - Accent1 2 5 8" xfId="5775" xr:uid="{00000000-0005-0000-0000-0000130A0000}"/>
    <cellStyle name="40% - Accent1 2 5 8 2" xfId="23424" xr:uid="{8D25D00E-B89C-4E34-8AC0-B7FA6212EF31}"/>
    <cellStyle name="40% - Accent1 2 5 8 2 2" xfId="38395" xr:uid="{33625226-007A-41E9-9EED-05DEB1E4D62A}"/>
    <cellStyle name="40% - Accent1 2 5 8 3" xfId="30792" xr:uid="{76719AE9-F075-412C-892D-BDB103ADC1A1}"/>
    <cellStyle name="40% - Accent1 2 5 9" xfId="23381" xr:uid="{836BA854-3387-4BB3-9F74-F80948F78438}"/>
    <cellStyle name="40% - Accent1 2 5 9 2" xfId="38352" xr:uid="{DD0A75FB-CA93-4A44-B92A-20304C3F58BF}"/>
    <cellStyle name="40% - Accent1 2 6" xfId="5776" xr:uid="{00000000-0005-0000-0000-0000140A0000}"/>
    <cellStyle name="40% - Accent1 2 6 10" xfId="30793" xr:uid="{1A9371BF-9F4E-44CF-B07A-3EF5A02252ED}"/>
    <cellStyle name="40% - Accent1 2 6 2" xfId="5777" xr:uid="{00000000-0005-0000-0000-0000150A0000}"/>
    <cellStyle name="40% - Accent1 2 6 2 2" xfId="5778" xr:uid="{00000000-0005-0000-0000-0000160A0000}"/>
    <cellStyle name="40% - Accent1 2 6 2 2 2" xfId="5779" xr:uid="{00000000-0005-0000-0000-0000170A0000}"/>
    <cellStyle name="40% - Accent1 2 6 2 2 2 2" xfId="5780" xr:uid="{00000000-0005-0000-0000-0000180A0000}"/>
    <cellStyle name="40% - Accent1 2 6 2 2 2 2 2" xfId="23429" xr:uid="{8326E73F-693A-4B40-A637-4F332BA930BE}"/>
    <cellStyle name="40% - Accent1 2 6 2 2 2 2 2 2" xfId="38400" xr:uid="{AABEE73D-09BC-4FA7-BCC7-EEA185FB3B8B}"/>
    <cellStyle name="40% - Accent1 2 6 2 2 2 2 3" xfId="30797" xr:uid="{143D4A8C-CDA7-45D0-B49D-7851679C2CF9}"/>
    <cellStyle name="40% - Accent1 2 6 2 2 2 3" xfId="5781" xr:uid="{00000000-0005-0000-0000-0000190A0000}"/>
    <cellStyle name="40% - Accent1 2 6 2 2 2 3 2" xfId="23430" xr:uid="{81AE08D5-AF8E-4718-95FD-C35B97B75FDB}"/>
    <cellStyle name="40% - Accent1 2 6 2 2 2 3 2 2" xfId="38401" xr:uid="{45B7394F-43F7-4A15-A500-513F04BF4B18}"/>
    <cellStyle name="40% - Accent1 2 6 2 2 2 3 3" xfId="30798" xr:uid="{10E07C9D-BBF7-41C4-982A-0DE7442107E2}"/>
    <cellStyle name="40% - Accent1 2 6 2 2 2 4" xfId="23428" xr:uid="{0C461251-1C6A-43CC-A70D-1D0B7264212A}"/>
    <cellStyle name="40% - Accent1 2 6 2 2 2 4 2" xfId="38399" xr:uid="{4036F578-9303-4572-9D63-6EA6388BA07B}"/>
    <cellStyle name="40% - Accent1 2 6 2 2 2 5" xfId="30796" xr:uid="{38DA02B6-77C5-4F12-AB84-A0D10396DA32}"/>
    <cellStyle name="40% - Accent1 2 6 2 2 3" xfId="5782" xr:uid="{00000000-0005-0000-0000-00001A0A0000}"/>
    <cellStyle name="40% - Accent1 2 6 2 2 3 2" xfId="5783" xr:uid="{00000000-0005-0000-0000-00001B0A0000}"/>
    <cellStyle name="40% - Accent1 2 6 2 2 3 2 2" xfId="23432" xr:uid="{1A024349-4D2D-4147-94C4-D186D1ADD9F1}"/>
    <cellStyle name="40% - Accent1 2 6 2 2 3 2 2 2" xfId="38403" xr:uid="{C723F0D6-FF3A-49FF-B73A-1E90F3423C58}"/>
    <cellStyle name="40% - Accent1 2 6 2 2 3 2 3" xfId="30800" xr:uid="{9A0FFD76-A14C-4216-9D15-98F25F0FE3A4}"/>
    <cellStyle name="40% - Accent1 2 6 2 2 3 3" xfId="23431" xr:uid="{A9C4F84E-487E-40D4-98A5-B99D84CFCBF3}"/>
    <cellStyle name="40% - Accent1 2 6 2 2 3 3 2" xfId="38402" xr:uid="{022906FF-6F7E-41EA-A33A-BE2F9A365668}"/>
    <cellStyle name="40% - Accent1 2 6 2 2 3 4" xfId="30799" xr:uid="{AB4744E5-9655-4EEE-B988-ABF7AE6DAFF8}"/>
    <cellStyle name="40% - Accent1 2 6 2 2 4" xfId="5784" xr:uid="{00000000-0005-0000-0000-00001C0A0000}"/>
    <cellStyle name="40% - Accent1 2 6 2 2 4 2" xfId="23433" xr:uid="{82C79168-5F5A-4853-86EC-9C40493BEAEB}"/>
    <cellStyle name="40% - Accent1 2 6 2 2 4 2 2" xfId="38404" xr:uid="{F96E3EF6-553B-4133-927B-F35E23CFA0FC}"/>
    <cellStyle name="40% - Accent1 2 6 2 2 4 3" xfId="30801" xr:uid="{86E6C0C1-314D-4874-9988-BC87CF9A9ED6}"/>
    <cellStyle name="40% - Accent1 2 6 2 2 5" xfId="23427" xr:uid="{52A0D831-9981-4BFE-A562-DAB3701BE9E9}"/>
    <cellStyle name="40% - Accent1 2 6 2 2 5 2" xfId="38398" xr:uid="{73E7DCC6-C6EE-43BB-A714-C56D3332CF31}"/>
    <cellStyle name="40% - Accent1 2 6 2 2 6" xfId="30795" xr:uid="{044445C9-3CDF-4CD3-83AA-E5E7DC0CB50F}"/>
    <cellStyle name="40% - Accent1 2 6 2 3" xfId="5785" xr:uid="{00000000-0005-0000-0000-00001D0A0000}"/>
    <cellStyle name="40% - Accent1 2 6 2 3 2" xfId="5786" xr:uid="{00000000-0005-0000-0000-00001E0A0000}"/>
    <cellStyle name="40% - Accent1 2 6 2 3 2 2" xfId="5787" xr:uid="{00000000-0005-0000-0000-00001F0A0000}"/>
    <cellStyle name="40% - Accent1 2 6 2 3 2 2 2" xfId="23436" xr:uid="{2D0E8C4E-699C-4497-A358-45E6CEA44719}"/>
    <cellStyle name="40% - Accent1 2 6 2 3 2 2 2 2" xfId="38407" xr:uid="{827F1BD7-F337-4056-88E8-DA9F8AC36FFE}"/>
    <cellStyle name="40% - Accent1 2 6 2 3 2 2 3" xfId="30804" xr:uid="{D4A9EB4F-226D-483D-9838-406C0247DFCA}"/>
    <cellStyle name="40% - Accent1 2 6 2 3 2 3" xfId="5788" xr:uid="{00000000-0005-0000-0000-0000200A0000}"/>
    <cellStyle name="40% - Accent1 2 6 2 3 2 3 2" xfId="23437" xr:uid="{E5811726-C15A-41A2-8DB6-D6CECA85696F}"/>
    <cellStyle name="40% - Accent1 2 6 2 3 2 3 2 2" xfId="38408" xr:uid="{E85C5657-46A0-40C4-9278-9EF6B894A0D6}"/>
    <cellStyle name="40% - Accent1 2 6 2 3 2 3 3" xfId="30805" xr:uid="{84608B19-BFEE-4D39-8E3D-D9686C3DE401}"/>
    <cellStyle name="40% - Accent1 2 6 2 3 2 4" xfId="23435" xr:uid="{BF282D53-92FB-449F-A678-5F4C19ADF1AA}"/>
    <cellStyle name="40% - Accent1 2 6 2 3 2 4 2" xfId="38406" xr:uid="{E41254D5-AB42-4E1F-89D1-48F4A6220813}"/>
    <cellStyle name="40% - Accent1 2 6 2 3 2 5" xfId="30803" xr:uid="{41B6498A-D3E7-42DC-8A06-F9EDCAEE5A66}"/>
    <cellStyle name="40% - Accent1 2 6 2 3 3" xfId="5789" xr:uid="{00000000-0005-0000-0000-0000210A0000}"/>
    <cellStyle name="40% - Accent1 2 6 2 3 3 2" xfId="5790" xr:uid="{00000000-0005-0000-0000-0000220A0000}"/>
    <cellStyle name="40% - Accent1 2 6 2 3 3 2 2" xfId="23439" xr:uid="{61773768-A9C5-41AC-82FF-93A85FA89D41}"/>
    <cellStyle name="40% - Accent1 2 6 2 3 3 2 2 2" xfId="38410" xr:uid="{01C6C5BB-2E0C-4C8C-82D8-BF3709AFBB6D}"/>
    <cellStyle name="40% - Accent1 2 6 2 3 3 2 3" xfId="30807" xr:uid="{CE1B9870-43FA-471B-AB89-23B2ABF8D9CE}"/>
    <cellStyle name="40% - Accent1 2 6 2 3 3 3" xfId="23438" xr:uid="{5ADB0CD0-9FDC-424C-82FB-7DFDC1E56A5F}"/>
    <cellStyle name="40% - Accent1 2 6 2 3 3 3 2" xfId="38409" xr:uid="{4EF143B2-0F33-456D-86A2-D0B962ECB649}"/>
    <cellStyle name="40% - Accent1 2 6 2 3 3 4" xfId="30806" xr:uid="{078F74BC-721C-4266-B99D-62A852AA3A80}"/>
    <cellStyle name="40% - Accent1 2 6 2 3 4" xfId="5791" xr:uid="{00000000-0005-0000-0000-0000230A0000}"/>
    <cellStyle name="40% - Accent1 2 6 2 3 4 2" xfId="23440" xr:uid="{6A59E41A-8FAC-428B-B18D-CC23E810301E}"/>
    <cellStyle name="40% - Accent1 2 6 2 3 4 2 2" xfId="38411" xr:uid="{E2BE5555-C5FD-486E-9CDA-9B68F4006232}"/>
    <cellStyle name="40% - Accent1 2 6 2 3 4 3" xfId="30808" xr:uid="{15883A5B-5E4F-4EFB-89D7-A7B5C6742894}"/>
    <cellStyle name="40% - Accent1 2 6 2 3 5" xfId="23434" xr:uid="{1F694412-EA9E-4B6A-9524-60EAA90EAED4}"/>
    <cellStyle name="40% - Accent1 2 6 2 3 5 2" xfId="38405" xr:uid="{D8D2695E-C4E1-4189-83E1-07DE200C66FA}"/>
    <cellStyle name="40% - Accent1 2 6 2 3 6" xfId="30802" xr:uid="{9A7F18B3-88E1-4242-9CF3-904812976F79}"/>
    <cellStyle name="40% - Accent1 2 6 2 4" xfId="5792" xr:uid="{00000000-0005-0000-0000-0000240A0000}"/>
    <cellStyle name="40% - Accent1 2 6 2 4 2" xfId="5793" xr:uid="{00000000-0005-0000-0000-0000250A0000}"/>
    <cellStyle name="40% - Accent1 2 6 2 4 2 2" xfId="23442" xr:uid="{296ACBA2-5B94-4C94-9687-1448BF20EBCF}"/>
    <cellStyle name="40% - Accent1 2 6 2 4 2 2 2" xfId="38413" xr:uid="{BA8AD298-A156-472C-845D-A706BED890AF}"/>
    <cellStyle name="40% - Accent1 2 6 2 4 2 3" xfId="30810" xr:uid="{46BFDC26-9560-4BA6-9236-2E88322A578B}"/>
    <cellStyle name="40% - Accent1 2 6 2 4 3" xfId="5794" xr:uid="{00000000-0005-0000-0000-0000260A0000}"/>
    <cellStyle name="40% - Accent1 2 6 2 4 3 2" xfId="23443" xr:uid="{C608FBA3-7FCA-4709-A34B-6FD0C53DFC1C}"/>
    <cellStyle name="40% - Accent1 2 6 2 4 3 2 2" xfId="38414" xr:uid="{332DE95A-6077-455B-84DD-A8E1ABB24228}"/>
    <cellStyle name="40% - Accent1 2 6 2 4 3 3" xfId="30811" xr:uid="{E8B95D42-BB58-4BB6-8D65-452D5EBADA9D}"/>
    <cellStyle name="40% - Accent1 2 6 2 4 4" xfId="23441" xr:uid="{90D62711-39D8-424B-889E-EA577291303A}"/>
    <cellStyle name="40% - Accent1 2 6 2 4 4 2" xfId="38412" xr:uid="{2B6C9BC4-D6CB-4CA9-9BA1-F6CBE1BBD8F1}"/>
    <cellStyle name="40% - Accent1 2 6 2 4 5" xfId="30809" xr:uid="{E62D41E3-1210-40D2-98C6-2ECF18718B03}"/>
    <cellStyle name="40% - Accent1 2 6 2 5" xfId="5795" xr:uid="{00000000-0005-0000-0000-0000270A0000}"/>
    <cellStyle name="40% - Accent1 2 6 2 5 2" xfId="23444" xr:uid="{56989C84-4BA9-451F-9EE9-F6197AA0E74C}"/>
    <cellStyle name="40% - Accent1 2 6 2 5 2 2" xfId="38415" xr:uid="{53E90E5C-2E24-46D2-B40E-143A50D15E79}"/>
    <cellStyle name="40% - Accent1 2 6 2 5 3" xfId="30812" xr:uid="{FA73ABD7-F180-47D8-A812-4A1A192A432B}"/>
    <cellStyle name="40% - Accent1 2 6 2 6" xfId="5796" xr:uid="{00000000-0005-0000-0000-0000280A0000}"/>
    <cellStyle name="40% - Accent1 2 6 2 6 2" xfId="5797" xr:uid="{00000000-0005-0000-0000-0000290A0000}"/>
    <cellStyle name="40% - Accent1 2 6 2 6 2 2" xfId="23446" xr:uid="{55169C21-53CD-4139-9579-16F140EFB118}"/>
    <cellStyle name="40% - Accent1 2 6 2 6 2 2 2" xfId="38417" xr:uid="{BC558369-A6B2-4860-BDDE-2BDE0491932A}"/>
    <cellStyle name="40% - Accent1 2 6 2 6 2 3" xfId="30814" xr:uid="{056A441F-A3BB-4D58-8B3C-9ED008AAA568}"/>
    <cellStyle name="40% - Accent1 2 6 2 6 3" xfId="23445" xr:uid="{E349E766-A1D6-4CE5-BC3B-4CD910E535EF}"/>
    <cellStyle name="40% - Accent1 2 6 2 6 3 2" xfId="38416" xr:uid="{41EBCCDA-2495-4236-9999-6B4544F61BDE}"/>
    <cellStyle name="40% - Accent1 2 6 2 6 4" xfId="30813" xr:uid="{62C44343-BE83-4911-B012-F6FEBDA31290}"/>
    <cellStyle name="40% - Accent1 2 6 2 7" xfId="5798" xr:uid="{00000000-0005-0000-0000-00002A0A0000}"/>
    <cellStyle name="40% - Accent1 2 6 2 7 2" xfId="23447" xr:uid="{1B3675AD-4150-4E53-8413-72FDD6AE9CD6}"/>
    <cellStyle name="40% - Accent1 2 6 2 7 2 2" xfId="38418" xr:uid="{ED3F0CF7-A2DB-4278-B4C7-BFD22B05BD3C}"/>
    <cellStyle name="40% - Accent1 2 6 2 7 3" xfId="30815" xr:uid="{9882339D-51B8-44E9-87B2-92E1D3E8EEE4}"/>
    <cellStyle name="40% - Accent1 2 6 2 8" xfId="23426" xr:uid="{D5F9BF78-2BD2-42CE-9C63-0A185ED769B7}"/>
    <cellStyle name="40% - Accent1 2 6 2 8 2" xfId="38397" xr:uid="{7D2E04DE-B5C6-41DF-9A61-8745EEBC3011}"/>
    <cellStyle name="40% - Accent1 2 6 2 9" xfId="30794" xr:uid="{C4A5D384-AB75-4C96-92ED-ABE3B393955F}"/>
    <cellStyle name="40% - Accent1 2 6 3" xfId="5799" xr:uid="{00000000-0005-0000-0000-00002B0A0000}"/>
    <cellStyle name="40% - Accent1 2 6 3 2" xfId="5800" xr:uid="{00000000-0005-0000-0000-00002C0A0000}"/>
    <cellStyle name="40% - Accent1 2 6 3 2 2" xfId="5801" xr:uid="{00000000-0005-0000-0000-00002D0A0000}"/>
    <cellStyle name="40% - Accent1 2 6 3 2 2 2" xfId="23450" xr:uid="{314FFFBA-50C1-4EC4-8967-C93252F120B6}"/>
    <cellStyle name="40% - Accent1 2 6 3 2 2 2 2" xfId="38421" xr:uid="{A18C2219-B060-4059-9B37-2941233AE9DB}"/>
    <cellStyle name="40% - Accent1 2 6 3 2 2 3" xfId="30818" xr:uid="{4B1C2033-517E-4E1E-843F-8F177B9CAA9A}"/>
    <cellStyle name="40% - Accent1 2 6 3 2 3" xfId="5802" xr:uid="{00000000-0005-0000-0000-00002E0A0000}"/>
    <cellStyle name="40% - Accent1 2 6 3 2 3 2" xfId="23451" xr:uid="{726F03EB-4C73-4DF6-9233-0C48B0D89C25}"/>
    <cellStyle name="40% - Accent1 2 6 3 2 3 2 2" xfId="38422" xr:uid="{D1ED1EF5-ED49-46C1-9D08-16F97F294371}"/>
    <cellStyle name="40% - Accent1 2 6 3 2 3 3" xfId="30819" xr:uid="{0BAE63A9-89F1-430E-9D09-ED868E015922}"/>
    <cellStyle name="40% - Accent1 2 6 3 2 4" xfId="23449" xr:uid="{422F1659-DF90-4C1D-B184-3B38C2A447E2}"/>
    <cellStyle name="40% - Accent1 2 6 3 2 4 2" xfId="38420" xr:uid="{A72FB9DD-3A8A-456C-929E-7A82C6D8F76E}"/>
    <cellStyle name="40% - Accent1 2 6 3 2 5" xfId="30817" xr:uid="{C9AAD250-3AEC-4F33-8FF6-051C988E10CC}"/>
    <cellStyle name="40% - Accent1 2 6 3 3" xfId="5803" xr:uid="{00000000-0005-0000-0000-00002F0A0000}"/>
    <cellStyle name="40% - Accent1 2 6 3 3 2" xfId="5804" xr:uid="{00000000-0005-0000-0000-0000300A0000}"/>
    <cellStyle name="40% - Accent1 2 6 3 3 2 2" xfId="23453" xr:uid="{A243CE05-C7A5-4C3C-888A-62A82B15FAD3}"/>
    <cellStyle name="40% - Accent1 2 6 3 3 2 2 2" xfId="38424" xr:uid="{895D7E72-161D-4F24-A1B7-9D02CDACC676}"/>
    <cellStyle name="40% - Accent1 2 6 3 3 2 3" xfId="30821" xr:uid="{A7F5BD0E-9308-4728-BD05-A4BDC82FC38C}"/>
    <cellStyle name="40% - Accent1 2 6 3 3 3" xfId="23452" xr:uid="{06309D5D-5DA3-49CC-905D-2FDC6EA45ED4}"/>
    <cellStyle name="40% - Accent1 2 6 3 3 3 2" xfId="38423" xr:uid="{5E6646A8-54AE-4C28-B2CB-059C5534C914}"/>
    <cellStyle name="40% - Accent1 2 6 3 3 4" xfId="30820" xr:uid="{4AE4D659-06C6-475F-B891-06C5E190C513}"/>
    <cellStyle name="40% - Accent1 2 6 3 4" xfId="5805" xr:uid="{00000000-0005-0000-0000-0000310A0000}"/>
    <cellStyle name="40% - Accent1 2 6 3 4 2" xfId="23454" xr:uid="{DDB33D59-34D4-413A-A4E5-874C866D6DC1}"/>
    <cellStyle name="40% - Accent1 2 6 3 4 2 2" xfId="38425" xr:uid="{1DE62EEF-9E97-44F7-8A8A-13BC6952DA7F}"/>
    <cellStyle name="40% - Accent1 2 6 3 4 3" xfId="30822" xr:uid="{BE9004BF-DDA2-4204-BFC5-75C4FDC8ACD1}"/>
    <cellStyle name="40% - Accent1 2 6 3 5" xfId="23448" xr:uid="{CDB6A363-7DE9-4C1F-AFB1-CE9269D50C31}"/>
    <cellStyle name="40% - Accent1 2 6 3 5 2" xfId="38419" xr:uid="{E04640F6-36FC-45E3-881D-C0A43CB5E165}"/>
    <cellStyle name="40% - Accent1 2 6 3 6" xfId="30816" xr:uid="{A9F8C5E8-95F0-4234-880F-20BA48D3AED2}"/>
    <cellStyle name="40% - Accent1 2 6 4" xfId="5806" xr:uid="{00000000-0005-0000-0000-0000320A0000}"/>
    <cellStyle name="40% - Accent1 2 6 4 2" xfId="5807" xr:uid="{00000000-0005-0000-0000-0000330A0000}"/>
    <cellStyle name="40% - Accent1 2 6 4 2 2" xfId="5808" xr:uid="{00000000-0005-0000-0000-0000340A0000}"/>
    <cellStyle name="40% - Accent1 2 6 4 2 2 2" xfId="23457" xr:uid="{55673A1A-9AC8-436E-8877-A7A4D3A79CF4}"/>
    <cellStyle name="40% - Accent1 2 6 4 2 2 2 2" xfId="38428" xr:uid="{5D43CF18-4BDD-4F21-BDC3-103B80129737}"/>
    <cellStyle name="40% - Accent1 2 6 4 2 2 3" xfId="30825" xr:uid="{04783731-C6EB-46E4-82A8-943DEC9C255B}"/>
    <cellStyle name="40% - Accent1 2 6 4 2 3" xfId="5809" xr:uid="{00000000-0005-0000-0000-0000350A0000}"/>
    <cellStyle name="40% - Accent1 2 6 4 2 3 2" xfId="23458" xr:uid="{0EE8FB07-BABE-4931-B5A3-F6A13EA390F7}"/>
    <cellStyle name="40% - Accent1 2 6 4 2 3 2 2" xfId="38429" xr:uid="{FAD5B2E5-1E74-464F-ADFE-6BD584EDE4A3}"/>
    <cellStyle name="40% - Accent1 2 6 4 2 3 3" xfId="30826" xr:uid="{12EAE509-CADC-48B0-B832-E56EF69DC1E7}"/>
    <cellStyle name="40% - Accent1 2 6 4 2 4" xfId="23456" xr:uid="{1842AF87-D2B8-4B27-9D1A-5A0C5672073C}"/>
    <cellStyle name="40% - Accent1 2 6 4 2 4 2" xfId="38427" xr:uid="{C98A4CEB-4CAD-4708-80AF-EAD990EF18D9}"/>
    <cellStyle name="40% - Accent1 2 6 4 2 5" xfId="30824" xr:uid="{CF847787-C739-4164-BA00-8DF530FE1C2A}"/>
    <cellStyle name="40% - Accent1 2 6 4 3" xfId="5810" xr:uid="{00000000-0005-0000-0000-0000360A0000}"/>
    <cellStyle name="40% - Accent1 2 6 4 3 2" xfId="5811" xr:uid="{00000000-0005-0000-0000-0000370A0000}"/>
    <cellStyle name="40% - Accent1 2 6 4 3 2 2" xfId="23460" xr:uid="{09B81D4C-4D74-4A80-99C3-AD1E84098D0A}"/>
    <cellStyle name="40% - Accent1 2 6 4 3 2 2 2" xfId="38431" xr:uid="{6EE90338-7E9F-4ECE-8124-B0DB5C9E6C97}"/>
    <cellStyle name="40% - Accent1 2 6 4 3 2 3" xfId="30828" xr:uid="{9D758572-9E86-40A7-89D6-5F7C2B4F361F}"/>
    <cellStyle name="40% - Accent1 2 6 4 3 3" xfId="23459" xr:uid="{CCC8A2AD-3DA1-4CFE-A11C-1B85B2B1EF58}"/>
    <cellStyle name="40% - Accent1 2 6 4 3 3 2" xfId="38430" xr:uid="{5CFD2315-190F-46CB-A282-F03E7E7488DF}"/>
    <cellStyle name="40% - Accent1 2 6 4 3 4" xfId="30827" xr:uid="{FF0DA45F-915B-49AD-BE12-AAF028F58428}"/>
    <cellStyle name="40% - Accent1 2 6 4 4" xfId="5812" xr:uid="{00000000-0005-0000-0000-0000380A0000}"/>
    <cellStyle name="40% - Accent1 2 6 4 4 2" xfId="23461" xr:uid="{41B37811-14B0-4B76-ACF0-2BD466F84EE1}"/>
    <cellStyle name="40% - Accent1 2 6 4 4 2 2" xfId="38432" xr:uid="{AD764FC6-B74F-43B9-92DA-FDC340AC867F}"/>
    <cellStyle name="40% - Accent1 2 6 4 4 3" xfId="30829" xr:uid="{DA53E827-21B2-479A-8841-7E93A75B3680}"/>
    <cellStyle name="40% - Accent1 2 6 4 5" xfId="23455" xr:uid="{A37F53AA-539B-4E22-AA97-ACA406C36AA3}"/>
    <cellStyle name="40% - Accent1 2 6 4 5 2" xfId="38426" xr:uid="{47EEEFC8-57EA-44F8-9419-016705E19252}"/>
    <cellStyle name="40% - Accent1 2 6 4 6" xfId="30823" xr:uid="{6ECD4329-5498-45FC-B21E-2667B7E0F358}"/>
    <cellStyle name="40% - Accent1 2 6 5" xfId="5813" xr:uid="{00000000-0005-0000-0000-0000390A0000}"/>
    <cellStyle name="40% - Accent1 2 6 5 2" xfId="5814" xr:uid="{00000000-0005-0000-0000-00003A0A0000}"/>
    <cellStyle name="40% - Accent1 2 6 5 2 2" xfId="23463" xr:uid="{1F254F56-1804-439C-9553-54A8B4ED1C45}"/>
    <cellStyle name="40% - Accent1 2 6 5 2 2 2" xfId="38434" xr:uid="{5E0224BE-AE75-4E72-9ABD-9A0B8D91AA77}"/>
    <cellStyle name="40% - Accent1 2 6 5 2 3" xfId="30831" xr:uid="{76611DBB-FAA5-4C21-97A9-E508B98C207E}"/>
    <cellStyle name="40% - Accent1 2 6 5 3" xfId="5815" xr:uid="{00000000-0005-0000-0000-00003B0A0000}"/>
    <cellStyle name="40% - Accent1 2 6 5 3 2" xfId="23464" xr:uid="{FAD851FB-EB00-43C9-81EA-8609FC2311A7}"/>
    <cellStyle name="40% - Accent1 2 6 5 3 2 2" xfId="38435" xr:uid="{9F1F5B8E-1922-491C-B70A-00010F2AE869}"/>
    <cellStyle name="40% - Accent1 2 6 5 3 3" xfId="30832" xr:uid="{D971AFE9-6D87-4F38-B4A2-D9FACE125608}"/>
    <cellStyle name="40% - Accent1 2 6 5 4" xfId="23462" xr:uid="{AD6EB48A-47DE-4B97-8844-DE31E76AE3B4}"/>
    <cellStyle name="40% - Accent1 2 6 5 4 2" xfId="38433" xr:uid="{F30AB485-969D-48CD-921D-46941C527E23}"/>
    <cellStyle name="40% - Accent1 2 6 5 5" xfId="30830" xr:uid="{8396208B-7BB4-4756-9721-2FD1A1B6A901}"/>
    <cellStyle name="40% - Accent1 2 6 6" xfId="5816" xr:uid="{00000000-0005-0000-0000-00003C0A0000}"/>
    <cellStyle name="40% - Accent1 2 6 6 2" xfId="23465" xr:uid="{716DB99A-A93F-4760-BDC6-95D79CDFCF8D}"/>
    <cellStyle name="40% - Accent1 2 6 6 2 2" xfId="38436" xr:uid="{FD09B557-1D99-4CEB-9727-831F78A9A5A4}"/>
    <cellStyle name="40% - Accent1 2 6 6 3" xfId="30833" xr:uid="{A958D448-078A-4097-BEF3-668C8BE4E13F}"/>
    <cellStyle name="40% - Accent1 2 6 7" xfId="5817" xr:uid="{00000000-0005-0000-0000-00003D0A0000}"/>
    <cellStyle name="40% - Accent1 2 6 7 2" xfId="5818" xr:uid="{00000000-0005-0000-0000-00003E0A0000}"/>
    <cellStyle name="40% - Accent1 2 6 7 2 2" xfId="23467" xr:uid="{A44EA1AA-4C8D-49A1-AEA7-FB81618D01C0}"/>
    <cellStyle name="40% - Accent1 2 6 7 2 2 2" xfId="38438" xr:uid="{6B262E57-C533-4719-9581-3000A355B7E3}"/>
    <cellStyle name="40% - Accent1 2 6 7 2 3" xfId="30835" xr:uid="{B20FFC1E-057A-4B2E-AB02-B0C7482C0579}"/>
    <cellStyle name="40% - Accent1 2 6 7 3" xfId="23466" xr:uid="{E69AB89E-1233-45DA-9535-3A11A00CCA51}"/>
    <cellStyle name="40% - Accent1 2 6 7 3 2" xfId="38437" xr:uid="{DA2D26DB-5264-4C5E-9D40-266C39CFBA1C}"/>
    <cellStyle name="40% - Accent1 2 6 7 4" xfId="30834" xr:uid="{EC561462-2125-43C8-90EA-51319E7563BB}"/>
    <cellStyle name="40% - Accent1 2 6 8" xfId="5819" xr:uid="{00000000-0005-0000-0000-00003F0A0000}"/>
    <cellStyle name="40% - Accent1 2 6 8 2" xfId="23468" xr:uid="{552B9C05-9FF1-4549-B852-72AC3C0F2095}"/>
    <cellStyle name="40% - Accent1 2 6 8 2 2" xfId="38439" xr:uid="{32B1E974-FA55-485E-86A1-66C1D0A3F983}"/>
    <cellStyle name="40% - Accent1 2 6 8 3" xfId="30836" xr:uid="{EBC435A9-F788-4456-87E3-BD78DAC43C1A}"/>
    <cellStyle name="40% - Accent1 2 6 9" xfId="23425" xr:uid="{F3BF7AA6-E0C7-45B1-BE77-564CCD1354EA}"/>
    <cellStyle name="40% - Accent1 2 6 9 2" xfId="38396" xr:uid="{F2953B6B-8FAA-4B8E-A782-E49FE03BE282}"/>
    <cellStyle name="40% - Accent1 2 7" xfId="5820" xr:uid="{00000000-0005-0000-0000-0000400A0000}"/>
    <cellStyle name="40% - Accent1 2 7 2" xfId="5821" xr:uid="{00000000-0005-0000-0000-0000410A0000}"/>
    <cellStyle name="40% - Accent1 2 7 2 2" xfId="5822" xr:uid="{00000000-0005-0000-0000-0000420A0000}"/>
    <cellStyle name="40% - Accent1 2 7 2 2 2" xfId="23471" xr:uid="{C1D6D331-57BE-4F2B-8E96-C80D01836BC6}"/>
    <cellStyle name="40% - Accent1 2 7 2 2 2 2" xfId="38442" xr:uid="{4B75130A-0CA7-47C3-AA06-26D4467119F6}"/>
    <cellStyle name="40% - Accent1 2 7 2 2 3" xfId="30839" xr:uid="{35B220DC-A70C-4F66-8ECE-43DB195D3255}"/>
    <cellStyle name="40% - Accent1 2 7 2 3" xfId="5823" xr:uid="{00000000-0005-0000-0000-0000430A0000}"/>
    <cellStyle name="40% - Accent1 2 7 2 3 2" xfId="23472" xr:uid="{6B0BD0C5-E509-4A30-BFCA-2CE22A600ABC}"/>
    <cellStyle name="40% - Accent1 2 7 2 3 2 2" xfId="38443" xr:uid="{01F2F1A5-838F-42B8-B732-B53B9140555C}"/>
    <cellStyle name="40% - Accent1 2 7 2 3 3" xfId="30840" xr:uid="{6B86584A-7E97-4DF3-9732-C55EBB41D211}"/>
    <cellStyle name="40% - Accent1 2 7 2 4" xfId="23470" xr:uid="{EDA8C0F5-6A08-4FA2-8C5D-738EA6197DF5}"/>
    <cellStyle name="40% - Accent1 2 7 2 4 2" xfId="38441" xr:uid="{ED97D4F2-BAD3-473A-8CBB-C7D85426AC3B}"/>
    <cellStyle name="40% - Accent1 2 7 2 5" xfId="30838" xr:uid="{78E2C89C-FE8A-4F16-B629-D6528C9C9ABF}"/>
    <cellStyle name="40% - Accent1 2 7 3" xfId="5824" xr:uid="{00000000-0005-0000-0000-0000440A0000}"/>
    <cellStyle name="40% - Accent1 2 7 3 2" xfId="5825" xr:uid="{00000000-0005-0000-0000-0000450A0000}"/>
    <cellStyle name="40% - Accent1 2 7 3 2 2" xfId="23474" xr:uid="{E00E9F65-67FD-4AAC-976C-05EF3E727C68}"/>
    <cellStyle name="40% - Accent1 2 7 3 2 2 2" xfId="38445" xr:uid="{E3B33676-AB12-4A0E-BCF8-59CDABD65B01}"/>
    <cellStyle name="40% - Accent1 2 7 3 2 3" xfId="30842" xr:uid="{21CCEDAE-3503-4E78-9556-6BCEFECF1DE3}"/>
    <cellStyle name="40% - Accent1 2 7 3 3" xfId="23473" xr:uid="{82435961-BB62-40FB-B760-A458F8984A4C}"/>
    <cellStyle name="40% - Accent1 2 7 3 3 2" xfId="38444" xr:uid="{0A6EAE4F-9CEC-49F3-9AC6-7521C90A2E36}"/>
    <cellStyle name="40% - Accent1 2 7 3 4" xfId="30841" xr:uid="{12974D7B-09D0-437E-86E1-2E5DA6F542C1}"/>
    <cellStyle name="40% - Accent1 2 7 4" xfId="5826" xr:uid="{00000000-0005-0000-0000-0000460A0000}"/>
    <cellStyle name="40% - Accent1 2 7 4 2" xfId="23475" xr:uid="{87B88286-5D24-404A-9342-819989C0878D}"/>
    <cellStyle name="40% - Accent1 2 7 4 2 2" xfId="38446" xr:uid="{9AC58EF8-3425-43A0-9025-E4A0CB247D03}"/>
    <cellStyle name="40% - Accent1 2 7 4 3" xfId="30843" xr:uid="{6C382D4F-30CE-4C2D-B3E3-61EED10BC557}"/>
    <cellStyle name="40% - Accent1 2 7 5" xfId="23469" xr:uid="{A94C4A26-D9FD-48A1-8755-F0E69B9A746F}"/>
    <cellStyle name="40% - Accent1 2 7 5 2" xfId="38440" xr:uid="{173EBBD4-D787-4AA7-A216-CA237609F5B5}"/>
    <cellStyle name="40% - Accent1 2 7 6" xfId="30837" xr:uid="{ECC6635B-4AF1-40DD-9197-A355404353FA}"/>
    <cellStyle name="40% - Accent1 3" xfId="222" xr:uid="{00000000-0005-0000-0000-00003D000000}"/>
    <cellStyle name="40% - Accent1 3 10" xfId="5827" xr:uid="{00000000-0005-0000-0000-0000470A0000}"/>
    <cellStyle name="40% - Accent1 3 10 2" xfId="23476" xr:uid="{6B37A499-1264-466D-8029-9CA6C9CACE21}"/>
    <cellStyle name="40% - Accent1 3 10 2 2" xfId="38447" xr:uid="{388AA6E2-7E33-4896-A99C-57E5B7379D41}"/>
    <cellStyle name="40% - Accent1 3 10 3" xfId="30844" xr:uid="{D455FD6D-4F23-4816-B37E-3874529260B8}"/>
    <cellStyle name="40% - Accent1 3 2" xfId="5828" xr:uid="{00000000-0005-0000-0000-0000480A0000}"/>
    <cellStyle name="40% - Accent1 3 2 2" xfId="5829" xr:uid="{00000000-0005-0000-0000-0000490A0000}"/>
    <cellStyle name="40% - Accent1 3 2 2 2" xfId="5830" xr:uid="{00000000-0005-0000-0000-00004A0A0000}"/>
    <cellStyle name="40% - Accent1 3 2 2 2 2" xfId="5831" xr:uid="{00000000-0005-0000-0000-00004B0A0000}"/>
    <cellStyle name="40% - Accent1 3 2 2 2 2 2" xfId="5832" xr:uid="{00000000-0005-0000-0000-00004C0A0000}"/>
    <cellStyle name="40% - Accent1 3 2 2 2 2 2 2" xfId="23480" xr:uid="{1184FB32-F1FD-4250-8D3C-C900C713171C}"/>
    <cellStyle name="40% - Accent1 3 2 2 2 2 2 2 2" xfId="38451" xr:uid="{26B15E23-221D-4C48-AD80-D1DE9E1980B0}"/>
    <cellStyle name="40% - Accent1 3 2 2 2 2 2 3" xfId="30848" xr:uid="{067221C4-D0E1-4A84-A466-0541FBF397D4}"/>
    <cellStyle name="40% - Accent1 3 2 2 2 2 3" xfId="5833" xr:uid="{00000000-0005-0000-0000-00004D0A0000}"/>
    <cellStyle name="40% - Accent1 3 2 2 2 2 3 2" xfId="23481" xr:uid="{5FAA65B2-7660-4C0B-9F08-858DB132D256}"/>
    <cellStyle name="40% - Accent1 3 2 2 2 2 3 2 2" xfId="38452" xr:uid="{B6E278E8-F6F2-4494-AAAF-8E66658FEB60}"/>
    <cellStyle name="40% - Accent1 3 2 2 2 2 3 3" xfId="30849" xr:uid="{7307285E-31AE-4322-9057-2C941B51EED2}"/>
    <cellStyle name="40% - Accent1 3 2 2 2 2 4" xfId="23479" xr:uid="{7535CC9C-612B-4C30-9514-D563A8814CDD}"/>
    <cellStyle name="40% - Accent1 3 2 2 2 2 4 2" xfId="38450" xr:uid="{2A926EE3-E825-4C89-B93B-65B26C245C1E}"/>
    <cellStyle name="40% - Accent1 3 2 2 2 2 5" xfId="30847" xr:uid="{A5987275-8BEE-488A-8140-A260E4BF2A9F}"/>
    <cellStyle name="40% - Accent1 3 2 2 2 3" xfId="5834" xr:uid="{00000000-0005-0000-0000-00004E0A0000}"/>
    <cellStyle name="40% - Accent1 3 2 2 2 3 2" xfId="5835" xr:uid="{00000000-0005-0000-0000-00004F0A0000}"/>
    <cellStyle name="40% - Accent1 3 2 2 2 3 2 2" xfId="23483" xr:uid="{2DAAFB17-D5FB-444A-AF53-D62744340F37}"/>
    <cellStyle name="40% - Accent1 3 2 2 2 3 2 2 2" xfId="38454" xr:uid="{5286A2CE-6D86-485F-B586-44F81FBF2901}"/>
    <cellStyle name="40% - Accent1 3 2 2 2 3 2 3" xfId="30851" xr:uid="{6E9F4566-6CF7-4EE9-8ECB-E794E61C3006}"/>
    <cellStyle name="40% - Accent1 3 2 2 2 3 3" xfId="23482" xr:uid="{D00B5931-27D2-46E7-9714-52BE9E6A469F}"/>
    <cellStyle name="40% - Accent1 3 2 2 2 3 3 2" xfId="38453" xr:uid="{22EA6A29-BF60-4EE4-94C5-C2707184001D}"/>
    <cellStyle name="40% - Accent1 3 2 2 2 3 4" xfId="30850" xr:uid="{C4252222-D6F1-44CB-B554-B59E78F21336}"/>
    <cellStyle name="40% - Accent1 3 2 2 2 4" xfId="5836" xr:uid="{00000000-0005-0000-0000-0000500A0000}"/>
    <cellStyle name="40% - Accent1 3 2 2 2 4 2" xfId="23484" xr:uid="{427E75AC-0774-4A51-8446-DAFA94F2BAB3}"/>
    <cellStyle name="40% - Accent1 3 2 2 2 4 2 2" xfId="38455" xr:uid="{64BFDE33-24F4-415A-9F7C-A44DE66DD968}"/>
    <cellStyle name="40% - Accent1 3 2 2 2 4 3" xfId="30852" xr:uid="{8386050B-EBF3-499B-A598-FC0E386E24DC}"/>
    <cellStyle name="40% - Accent1 3 2 2 2 5" xfId="23478" xr:uid="{47123208-0AED-40DB-AC63-0A37AABDC98A}"/>
    <cellStyle name="40% - Accent1 3 2 2 2 5 2" xfId="38449" xr:uid="{AB167F81-0DF0-4842-91D3-C28A94F9E339}"/>
    <cellStyle name="40% - Accent1 3 2 2 2 6" xfId="30846" xr:uid="{3463AF17-73C4-4CBB-B310-2BEE368CC060}"/>
    <cellStyle name="40% - Accent1 3 2 2 3" xfId="5837" xr:uid="{00000000-0005-0000-0000-0000510A0000}"/>
    <cellStyle name="40% - Accent1 3 2 2 3 2" xfId="5838" xr:uid="{00000000-0005-0000-0000-0000520A0000}"/>
    <cellStyle name="40% - Accent1 3 2 2 3 2 2" xfId="23486" xr:uid="{69D87798-B3AE-4182-AE79-45457617CF88}"/>
    <cellStyle name="40% - Accent1 3 2 2 3 2 2 2" xfId="38457" xr:uid="{D5062BD0-7D29-463B-905A-EFB8EC0C5B63}"/>
    <cellStyle name="40% - Accent1 3 2 2 3 2 3" xfId="30854" xr:uid="{6B542735-2242-468B-93A0-5B6795798494}"/>
    <cellStyle name="40% - Accent1 3 2 2 3 3" xfId="5839" xr:uid="{00000000-0005-0000-0000-0000530A0000}"/>
    <cellStyle name="40% - Accent1 3 2 2 3 3 2" xfId="23487" xr:uid="{71B0F98D-5224-455B-965C-EC9A2711DA14}"/>
    <cellStyle name="40% - Accent1 3 2 2 3 3 2 2" xfId="38458" xr:uid="{5FD802B1-7C72-445F-8A1E-FD783D00CDCB}"/>
    <cellStyle name="40% - Accent1 3 2 2 3 3 3" xfId="30855" xr:uid="{4B718580-2779-4071-83C0-71D30EE47713}"/>
    <cellStyle name="40% - Accent1 3 2 2 3 4" xfId="23485" xr:uid="{EA33183B-097B-4083-9CAF-B953889FBE58}"/>
    <cellStyle name="40% - Accent1 3 2 2 3 4 2" xfId="38456" xr:uid="{8B2C3105-38D6-4F01-87C1-16DB9533A4CE}"/>
    <cellStyle name="40% - Accent1 3 2 2 3 5" xfId="30853" xr:uid="{8D8E4CC7-5E25-4E00-A60D-100558C1A3A8}"/>
    <cellStyle name="40% - Accent1 3 2 2 4" xfId="5840" xr:uid="{00000000-0005-0000-0000-0000540A0000}"/>
    <cellStyle name="40% - Accent1 3 2 2 4 2" xfId="23488" xr:uid="{B72D934A-9B9A-4987-9F3F-6834078726E1}"/>
    <cellStyle name="40% - Accent1 3 2 2 4 2 2" xfId="38459" xr:uid="{C50C6086-8852-4284-872A-525F29DC12F4}"/>
    <cellStyle name="40% - Accent1 3 2 2 4 3" xfId="30856" xr:uid="{B01CEB16-A4CD-4FF5-BE9A-A5D0630AFB28}"/>
    <cellStyle name="40% - Accent1 3 2 2 5" xfId="5841" xr:uid="{00000000-0005-0000-0000-0000550A0000}"/>
    <cellStyle name="40% - Accent1 3 2 2 5 2" xfId="5842" xr:uid="{00000000-0005-0000-0000-0000560A0000}"/>
    <cellStyle name="40% - Accent1 3 2 2 5 2 2" xfId="23490" xr:uid="{2D4EE71C-22C8-4688-A63E-7670251EE293}"/>
    <cellStyle name="40% - Accent1 3 2 2 5 2 2 2" xfId="38461" xr:uid="{B4949304-4EF6-49D7-89E8-09A9AD2D2796}"/>
    <cellStyle name="40% - Accent1 3 2 2 5 2 3" xfId="30858" xr:uid="{A910B033-7D42-4F68-93C0-FBE8B3728D79}"/>
    <cellStyle name="40% - Accent1 3 2 2 5 3" xfId="23489" xr:uid="{9DC95810-4610-4817-914F-7B4C4EA18926}"/>
    <cellStyle name="40% - Accent1 3 2 2 5 3 2" xfId="38460" xr:uid="{6AF56D9F-2320-4B3B-BEEB-005454CA4E1B}"/>
    <cellStyle name="40% - Accent1 3 2 2 5 4" xfId="30857" xr:uid="{1DD1BAED-CE51-4C67-BA9A-D81F1A26075E}"/>
    <cellStyle name="40% - Accent1 3 2 2 6" xfId="5843" xr:uid="{00000000-0005-0000-0000-0000570A0000}"/>
    <cellStyle name="40% - Accent1 3 2 2 6 2" xfId="23491" xr:uid="{B9203765-33F8-4E28-8997-53D49AA1FBB6}"/>
    <cellStyle name="40% - Accent1 3 2 2 6 2 2" xfId="38462" xr:uid="{7FF75F21-B85E-4E2E-A38A-0C1B2C8D9530}"/>
    <cellStyle name="40% - Accent1 3 2 2 6 3" xfId="30859" xr:uid="{4618F58E-312D-4536-8289-48F1EA861B82}"/>
    <cellStyle name="40% - Accent1 3 2 2 7" xfId="23477" xr:uid="{8640AA02-67E4-4E23-8AF4-066515390FC7}"/>
    <cellStyle name="40% - Accent1 3 2 2 7 2" xfId="38448" xr:uid="{452C9314-0AD6-4E5F-B96F-4363BD1818C3}"/>
    <cellStyle name="40% - Accent1 3 2 2 8" xfId="30845" xr:uid="{0B894D37-D2E2-4DEB-A4AD-B9F186694761}"/>
    <cellStyle name="40% - Accent1 3 2 3" xfId="5844" xr:uid="{00000000-0005-0000-0000-0000580A0000}"/>
    <cellStyle name="40% - Accent1 3 2 3 2" xfId="5845" xr:uid="{00000000-0005-0000-0000-0000590A0000}"/>
    <cellStyle name="40% - Accent1 3 2 3 2 2" xfId="5846" xr:uid="{00000000-0005-0000-0000-00005A0A0000}"/>
    <cellStyle name="40% - Accent1 3 2 3 2 2 2" xfId="23494" xr:uid="{582C16E7-AA65-41AC-94C3-716D5833F25A}"/>
    <cellStyle name="40% - Accent1 3 2 3 2 2 2 2" xfId="38465" xr:uid="{38CE22A8-4942-4EE8-B914-46AB491A7D79}"/>
    <cellStyle name="40% - Accent1 3 2 3 2 2 3" xfId="30862" xr:uid="{67BC9648-C8E9-410D-A9CA-C7A1DE34859B}"/>
    <cellStyle name="40% - Accent1 3 2 3 2 3" xfId="5847" xr:uid="{00000000-0005-0000-0000-00005B0A0000}"/>
    <cellStyle name="40% - Accent1 3 2 3 2 3 2" xfId="23495" xr:uid="{0EDF6CAE-88AA-4155-A803-92E9C5601EE7}"/>
    <cellStyle name="40% - Accent1 3 2 3 2 3 2 2" xfId="38466" xr:uid="{76AF3E6B-47C6-4303-9CD6-D78DB19AF736}"/>
    <cellStyle name="40% - Accent1 3 2 3 2 3 3" xfId="30863" xr:uid="{ABC0CED4-05C5-4B1A-92D3-C997A1D9B735}"/>
    <cellStyle name="40% - Accent1 3 2 3 2 4" xfId="23493" xr:uid="{7FCADAD7-B015-450E-B348-6ADD4CC4DD70}"/>
    <cellStyle name="40% - Accent1 3 2 3 2 4 2" xfId="38464" xr:uid="{F933DFC5-5399-45CD-919B-6A80B02826DE}"/>
    <cellStyle name="40% - Accent1 3 2 3 2 5" xfId="30861" xr:uid="{F80B1846-18E1-4638-8681-38756B887FC4}"/>
    <cellStyle name="40% - Accent1 3 2 3 3" xfId="5848" xr:uid="{00000000-0005-0000-0000-00005C0A0000}"/>
    <cellStyle name="40% - Accent1 3 2 3 3 2" xfId="5849" xr:uid="{00000000-0005-0000-0000-00005D0A0000}"/>
    <cellStyle name="40% - Accent1 3 2 3 3 2 2" xfId="23497" xr:uid="{D974F0CA-CE28-4DE1-A83E-7BCF4DB499F4}"/>
    <cellStyle name="40% - Accent1 3 2 3 3 2 2 2" xfId="38468" xr:uid="{1DE6E4C4-FBCD-4EC9-A261-756B4ADAEA8E}"/>
    <cellStyle name="40% - Accent1 3 2 3 3 2 3" xfId="30865" xr:uid="{992EA6D9-75C1-4012-9166-929F70918BAD}"/>
    <cellStyle name="40% - Accent1 3 2 3 3 3" xfId="23496" xr:uid="{353AB098-AE46-4411-A0FC-8BF9EE73C8CF}"/>
    <cellStyle name="40% - Accent1 3 2 3 3 3 2" xfId="38467" xr:uid="{61C4CACD-7B50-4428-AE7E-5B7CF8377307}"/>
    <cellStyle name="40% - Accent1 3 2 3 3 4" xfId="30864" xr:uid="{AC40076B-B7CA-4764-9683-4AF48C40FAB6}"/>
    <cellStyle name="40% - Accent1 3 2 3 4" xfId="5850" xr:uid="{00000000-0005-0000-0000-00005E0A0000}"/>
    <cellStyle name="40% - Accent1 3 2 3 4 2" xfId="23498" xr:uid="{C5C8F3FE-31A6-4277-BF2F-CD4A747E8736}"/>
    <cellStyle name="40% - Accent1 3 2 3 4 2 2" xfId="38469" xr:uid="{43830D8C-2D9C-45A3-BE89-B0125BC212E4}"/>
    <cellStyle name="40% - Accent1 3 2 3 4 3" xfId="30866" xr:uid="{A7BD5EE6-43F9-4AA5-9254-ACB362B176DC}"/>
    <cellStyle name="40% - Accent1 3 2 3 5" xfId="23492" xr:uid="{16CFA668-5CB8-4005-8FB5-B61638E34895}"/>
    <cellStyle name="40% - Accent1 3 2 3 5 2" xfId="38463" xr:uid="{BC70AEA4-6D68-4796-9773-72E2BC0CC940}"/>
    <cellStyle name="40% - Accent1 3 2 3 6" xfId="30860" xr:uid="{478C4705-5FEB-4989-BBA2-A8045C71F2C3}"/>
    <cellStyle name="40% - Accent1 3 2 4" xfId="5851" xr:uid="{00000000-0005-0000-0000-00005F0A0000}"/>
    <cellStyle name="40% - Accent1 3 2 5" xfId="5852" xr:uid="{00000000-0005-0000-0000-0000600A0000}"/>
    <cellStyle name="40% - Accent1 3 2 5 2" xfId="23499" xr:uid="{A5ED8C32-B9BF-47CA-83BF-05A6042B2B29}"/>
    <cellStyle name="40% - Accent1 3 2 5 2 2" xfId="38470" xr:uid="{1FA314EC-E684-42CB-8397-EB978A27CC81}"/>
    <cellStyle name="40% - Accent1 3 2 5 3" xfId="30867" xr:uid="{429FF40D-A78D-417E-BF92-8FE46572F12A}"/>
    <cellStyle name="40% - Accent1 3 3" xfId="5853" xr:uid="{00000000-0005-0000-0000-0000610A0000}"/>
    <cellStyle name="40% - Accent1 3 3 2" xfId="5854" xr:uid="{00000000-0005-0000-0000-0000620A0000}"/>
    <cellStyle name="40% - Accent1 3 3 2 2" xfId="5855" xr:uid="{00000000-0005-0000-0000-0000630A0000}"/>
    <cellStyle name="40% - Accent1 3 3 2 2 2" xfId="23502" xr:uid="{049B3B09-EDE6-4F24-8669-F6FD98D11FA2}"/>
    <cellStyle name="40% - Accent1 3 3 2 2 2 2" xfId="38473" xr:uid="{4EC3517B-ACD5-462F-ACFF-E09A03393450}"/>
    <cellStyle name="40% - Accent1 3 3 2 2 3" xfId="30870" xr:uid="{D5EA77C0-AFC2-4B17-8E13-E7607CF80B04}"/>
    <cellStyle name="40% - Accent1 3 3 2 3" xfId="5856" xr:uid="{00000000-0005-0000-0000-0000640A0000}"/>
    <cellStyle name="40% - Accent1 3 3 2 3 2" xfId="5857" xr:uid="{00000000-0005-0000-0000-0000650A0000}"/>
    <cellStyle name="40% - Accent1 3 3 2 3 2 2" xfId="23504" xr:uid="{3B9B3321-C88F-42A4-B86C-DF9B292532AB}"/>
    <cellStyle name="40% - Accent1 3 3 2 3 2 2 2" xfId="38475" xr:uid="{DB9067CC-879C-4E98-A02B-0261280319FF}"/>
    <cellStyle name="40% - Accent1 3 3 2 3 2 3" xfId="30872" xr:uid="{0FB4F4D6-21B1-4179-BE9B-8B15C3262823}"/>
    <cellStyle name="40% - Accent1 3 3 2 3 3" xfId="23503" xr:uid="{DACA387B-A48B-49F3-80D2-33610346D054}"/>
    <cellStyle name="40% - Accent1 3 3 2 3 3 2" xfId="38474" xr:uid="{1F72E7E8-5C63-4777-B165-BA5A5750DA9B}"/>
    <cellStyle name="40% - Accent1 3 3 2 3 4" xfId="30871" xr:uid="{1CB4186C-C245-48FD-A7C4-3D79A3758E95}"/>
    <cellStyle name="40% - Accent1 3 3 2 4" xfId="23501" xr:uid="{21949277-F1C6-497D-8330-4B94EDCAD621}"/>
    <cellStyle name="40% - Accent1 3 3 2 4 2" xfId="38472" xr:uid="{D6CC2278-9ABE-420C-AEC4-65C26486B8BE}"/>
    <cellStyle name="40% - Accent1 3 3 2 5" xfId="30869" xr:uid="{DC89630D-36C2-427E-A63C-64A51F0E0E98}"/>
    <cellStyle name="40% - Accent1 3 3 3" xfId="5858" xr:uid="{00000000-0005-0000-0000-0000660A0000}"/>
    <cellStyle name="40% - Accent1 3 3 3 2" xfId="23505" xr:uid="{ED00E527-AE79-46B9-A7AE-4DED3071FB5E}"/>
    <cellStyle name="40% - Accent1 3 3 3 2 2" xfId="38476" xr:uid="{73F20916-38FF-4FAA-82B9-922776458F9D}"/>
    <cellStyle name="40% - Accent1 3 3 3 3" xfId="30873" xr:uid="{8BED113D-4BD1-492D-A157-26215F2003D5}"/>
    <cellStyle name="40% - Accent1 3 3 4" xfId="5859" xr:uid="{00000000-0005-0000-0000-0000670A0000}"/>
    <cellStyle name="40% - Accent1 3 3 4 2" xfId="5860" xr:uid="{00000000-0005-0000-0000-0000680A0000}"/>
    <cellStyle name="40% - Accent1 3 3 4 2 2" xfId="23507" xr:uid="{FD02F519-2935-42B6-A499-36B2F9AB3C08}"/>
    <cellStyle name="40% - Accent1 3 3 4 2 2 2" xfId="38478" xr:uid="{C65D072B-D93A-40D7-A901-A1E05960E1C8}"/>
    <cellStyle name="40% - Accent1 3 3 4 2 3" xfId="30875" xr:uid="{4B093C0D-EF13-44F9-89CA-1217871ED4C9}"/>
    <cellStyle name="40% - Accent1 3 3 4 3" xfId="23506" xr:uid="{6D18EB64-338E-4E78-A659-1119C6CC404F}"/>
    <cellStyle name="40% - Accent1 3 3 4 3 2" xfId="38477" xr:uid="{824E9B4B-B6F1-465C-9B53-A26295E0B3A7}"/>
    <cellStyle name="40% - Accent1 3 3 4 4" xfId="30874" xr:uid="{0C2B2A15-B775-4487-9DF2-763EDBED9B50}"/>
    <cellStyle name="40% - Accent1 3 3 5" xfId="5861" xr:uid="{00000000-0005-0000-0000-0000690A0000}"/>
    <cellStyle name="40% - Accent1 3 3 5 2" xfId="23508" xr:uid="{890FCD79-C348-4800-BB68-A584E9D266EA}"/>
    <cellStyle name="40% - Accent1 3 3 5 2 2" xfId="38479" xr:uid="{3B690F7E-017A-4536-8D7B-4426CFC680C9}"/>
    <cellStyle name="40% - Accent1 3 3 5 3" xfId="30876" xr:uid="{F574EFCB-516B-4FA2-AB9A-8E9E729F2680}"/>
    <cellStyle name="40% - Accent1 3 3 6" xfId="23500" xr:uid="{0B83F023-6D35-43AB-9B82-E8ADF495F27E}"/>
    <cellStyle name="40% - Accent1 3 3 6 2" xfId="38471" xr:uid="{44B0CD3E-4E2F-4AED-B58D-F6A4B6417BDE}"/>
    <cellStyle name="40% - Accent1 3 3 7" xfId="30868" xr:uid="{AAB8D404-FE02-4384-8784-A7AC33EC4289}"/>
    <cellStyle name="40% - Accent1 3 4" xfId="5862" xr:uid="{00000000-0005-0000-0000-00006A0A0000}"/>
    <cellStyle name="40% - Accent1 3 4 2" xfId="5863" xr:uid="{00000000-0005-0000-0000-00006B0A0000}"/>
    <cellStyle name="40% - Accent1 3 4 2 2" xfId="5864" xr:uid="{00000000-0005-0000-0000-00006C0A0000}"/>
    <cellStyle name="40% - Accent1 3 4 2 2 2" xfId="23511" xr:uid="{90F2C215-0CDB-4834-816B-E4478E616357}"/>
    <cellStyle name="40% - Accent1 3 4 2 2 2 2" xfId="38482" xr:uid="{8EFE6DE0-2D73-484B-A1E9-418B93D73CE7}"/>
    <cellStyle name="40% - Accent1 3 4 2 2 3" xfId="30879" xr:uid="{37B89D7A-4398-41B4-A247-72BB63C24D32}"/>
    <cellStyle name="40% - Accent1 3 4 2 3" xfId="5865" xr:uid="{00000000-0005-0000-0000-00006D0A0000}"/>
    <cellStyle name="40% - Accent1 3 4 2 3 2" xfId="23512" xr:uid="{7018F232-D01F-46C7-B401-81EAFC155951}"/>
    <cellStyle name="40% - Accent1 3 4 2 3 2 2" xfId="38483" xr:uid="{49B56535-C313-4DB5-9475-5ED012700F19}"/>
    <cellStyle name="40% - Accent1 3 4 2 3 3" xfId="30880" xr:uid="{DE7D77AD-1013-4537-8468-0C619EC3CB21}"/>
    <cellStyle name="40% - Accent1 3 4 2 4" xfId="23510" xr:uid="{6F721F5F-BDCE-4A82-869A-F40B1E1CF2B1}"/>
    <cellStyle name="40% - Accent1 3 4 2 4 2" xfId="38481" xr:uid="{092389EE-8D06-4EB8-976F-CF2FFFCF2071}"/>
    <cellStyle name="40% - Accent1 3 4 2 5" xfId="30878" xr:uid="{374253A5-F70A-482A-A45C-B2E644938DCE}"/>
    <cellStyle name="40% - Accent1 3 4 3" xfId="5866" xr:uid="{00000000-0005-0000-0000-00006E0A0000}"/>
    <cellStyle name="40% - Accent1 3 4 3 2" xfId="23513" xr:uid="{88CF5622-6D6C-4921-95A5-C9CC4BC5761C}"/>
    <cellStyle name="40% - Accent1 3 4 3 2 2" xfId="38484" xr:uid="{00270DBA-99CC-4135-946E-CD4062AA7E82}"/>
    <cellStyle name="40% - Accent1 3 4 3 3" xfId="30881" xr:uid="{2D40E2B6-41CB-4ACC-ADBA-A13AC68E6BE7}"/>
    <cellStyle name="40% - Accent1 3 4 4" xfId="5867" xr:uid="{00000000-0005-0000-0000-00006F0A0000}"/>
    <cellStyle name="40% - Accent1 3 4 4 2" xfId="5868" xr:uid="{00000000-0005-0000-0000-0000700A0000}"/>
    <cellStyle name="40% - Accent1 3 4 4 2 2" xfId="23515" xr:uid="{483C6923-89E2-4755-A241-8F474024B191}"/>
    <cellStyle name="40% - Accent1 3 4 4 2 2 2" xfId="38486" xr:uid="{975DAE8E-D982-4623-A0C7-C17A3DBCE3EA}"/>
    <cellStyle name="40% - Accent1 3 4 4 2 3" xfId="30883" xr:uid="{B3DA13C2-CE3E-4B22-8959-71227B244F5D}"/>
    <cellStyle name="40% - Accent1 3 4 4 3" xfId="23514" xr:uid="{71FB328E-26EE-4389-8C18-FF96E0A2D764}"/>
    <cellStyle name="40% - Accent1 3 4 4 3 2" xfId="38485" xr:uid="{B2C3900C-61B8-44FA-A21B-BA1418921AB2}"/>
    <cellStyle name="40% - Accent1 3 4 4 4" xfId="30882" xr:uid="{015A26D0-09A2-4EB2-975A-2B278AD55FDC}"/>
    <cellStyle name="40% - Accent1 3 4 5" xfId="5869" xr:uid="{00000000-0005-0000-0000-0000710A0000}"/>
    <cellStyle name="40% - Accent1 3 4 5 2" xfId="23516" xr:uid="{D35AB48D-3A48-4D16-A400-BA54A2B48D47}"/>
    <cellStyle name="40% - Accent1 3 4 5 2 2" xfId="38487" xr:uid="{B069DC74-6DFD-4F59-8E44-022300E34FC0}"/>
    <cellStyle name="40% - Accent1 3 4 5 3" xfId="30884" xr:uid="{3689364C-A028-450D-8211-83F2F40D90AC}"/>
    <cellStyle name="40% - Accent1 3 4 6" xfId="23509" xr:uid="{BD78A073-8893-4C11-8578-E4B41551EB20}"/>
    <cellStyle name="40% - Accent1 3 4 6 2" xfId="38480" xr:uid="{4BD1169E-6770-44BA-B873-75186982E542}"/>
    <cellStyle name="40% - Accent1 3 4 7" xfId="30877" xr:uid="{B09AB54D-BE0D-47C3-8D7B-ABA3087C9511}"/>
    <cellStyle name="40% - Accent1 3 5" xfId="5870" xr:uid="{00000000-0005-0000-0000-0000720A0000}"/>
    <cellStyle name="40% - Accent1 3 5 2" xfId="5871" xr:uid="{00000000-0005-0000-0000-0000730A0000}"/>
    <cellStyle name="40% - Accent1 3 5 2 2" xfId="5872" xr:uid="{00000000-0005-0000-0000-0000740A0000}"/>
    <cellStyle name="40% - Accent1 3 5 2 2 2" xfId="23519" xr:uid="{4178FD42-9AA0-41E9-B9EE-8F24C248CCA3}"/>
    <cellStyle name="40% - Accent1 3 5 2 2 2 2" xfId="38490" xr:uid="{DFBBC2F0-D11A-45C7-9890-875BDD44598F}"/>
    <cellStyle name="40% - Accent1 3 5 2 2 3" xfId="30887" xr:uid="{8535A511-BD42-43FB-A825-86807354ED99}"/>
    <cellStyle name="40% - Accent1 3 5 2 3" xfId="5873" xr:uid="{00000000-0005-0000-0000-0000750A0000}"/>
    <cellStyle name="40% - Accent1 3 5 2 3 2" xfId="23520" xr:uid="{5FAA18DB-CD35-4E16-8DB3-1EFF30B425DC}"/>
    <cellStyle name="40% - Accent1 3 5 2 3 2 2" xfId="38491" xr:uid="{EAA5B6EA-A54D-41EC-B742-16E0C7F83CDC}"/>
    <cellStyle name="40% - Accent1 3 5 2 3 3" xfId="30888" xr:uid="{68D8D7A8-F53C-44E2-AB11-4735DF0AC16E}"/>
    <cellStyle name="40% - Accent1 3 5 2 4" xfId="23518" xr:uid="{076677BB-F3F8-463A-B48E-FA6FA3B536AD}"/>
    <cellStyle name="40% - Accent1 3 5 2 4 2" xfId="38489" xr:uid="{BE617F27-7BBF-4C8D-A908-EDCE599113CB}"/>
    <cellStyle name="40% - Accent1 3 5 2 5" xfId="30886" xr:uid="{A61CA844-6522-4333-8557-55D4A444162D}"/>
    <cellStyle name="40% - Accent1 3 5 3" xfId="5874" xr:uid="{00000000-0005-0000-0000-0000760A0000}"/>
    <cellStyle name="40% - Accent1 3 5 3 2" xfId="5875" xr:uid="{00000000-0005-0000-0000-0000770A0000}"/>
    <cellStyle name="40% - Accent1 3 5 3 2 2" xfId="23522" xr:uid="{A511BE12-90D5-4D24-A595-ADE791E44621}"/>
    <cellStyle name="40% - Accent1 3 5 3 2 2 2" xfId="38493" xr:uid="{66E88027-F8EF-46FD-A41A-933BFDCC2AF3}"/>
    <cellStyle name="40% - Accent1 3 5 3 2 3" xfId="30890" xr:uid="{7BBB4E4A-4CDE-4FF7-AD60-1E3D7F03F21C}"/>
    <cellStyle name="40% - Accent1 3 5 3 3" xfId="23521" xr:uid="{E7B5F54D-B8D5-43A0-BE5B-F3F5D46163F6}"/>
    <cellStyle name="40% - Accent1 3 5 3 3 2" xfId="38492" xr:uid="{A28D15EE-714E-4EAE-9D20-FEF72063185E}"/>
    <cellStyle name="40% - Accent1 3 5 3 4" xfId="30889" xr:uid="{06A9EE7C-9F0F-4F52-909B-2C3C183F0B76}"/>
    <cellStyle name="40% - Accent1 3 5 4" xfId="5876" xr:uid="{00000000-0005-0000-0000-0000780A0000}"/>
    <cellStyle name="40% - Accent1 3 5 4 2" xfId="23523" xr:uid="{68744CB0-FE3F-4EDA-8940-269FCD18B45B}"/>
    <cellStyle name="40% - Accent1 3 5 4 2 2" xfId="38494" xr:uid="{B6F63C95-B571-425F-AE62-CD42B84FFBEA}"/>
    <cellStyle name="40% - Accent1 3 5 4 3" xfId="30891" xr:uid="{F4847623-E36B-4696-9358-25AC8D10621A}"/>
    <cellStyle name="40% - Accent1 3 5 5" xfId="23517" xr:uid="{274E6565-64E8-4090-AFD4-6F7142950748}"/>
    <cellStyle name="40% - Accent1 3 5 5 2" xfId="38488" xr:uid="{5E961F3E-92AC-4062-A1EB-7FCDE1F8E032}"/>
    <cellStyle name="40% - Accent1 3 5 6" xfId="30885" xr:uid="{3B4B3D25-F775-4BBD-B044-DB069A80784B}"/>
    <cellStyle name="40% - Accent1 3 6" xfId="5877" xr:uid="{00000000-0005-0000-0000-0000790A0000}"/>
    <cellStyle name="40% - Accent1 3 6 2" xfId="5878" xr:uid="{00000000-0005-0000-0000-00007A0A0000}"/>
    <cellStyle name="40% - Accent1 3 6 2 2" xfId="23525" xr:uid="{225D279E-95F0-4359-8EE4-F7672AB8BBCB}"/>
    <cellStyle name="40% - Accent1 3 6 2 2 2" xfId="38496" xr:uid="{40F8CC28-49B4-4697-8BAD-5FE4425302E0}"/>
    <cellStyle name="40% - Accent1 3 6 2 3" xfId="30893" xr:uid="{DB6108C2-3A08-4855-AE4C-F588F005B008}"/>
    <cellStyle name="40% - Accent1 3 6 3" xfId="5879" xr:uid="{00000000-0005-0000-0000-00007B0A0000}"/>
    <cellStyle name="40% - Accent1 3 6 3 2" xfId="23526" xr:uid="{F025B8FE-A5D9-4171-94C7-91BFE0A19CDB}"/>
    <cellStyle name="40% - Accent1 3 6 3 2 2" xfId="38497" xr:uid="{9DF9A91E-8BF9-4D7F-97CF-D2C793D58442}"/>
    <cellStyle name="40% - Accent1 3 6 3 3" xfId="30894" xr:uid="{BBF80CF9-8676-454E-8112-01BB684C78A3}"/>
    <cellStyle name="40% - Accent1 3 6 4" xfId="23524" xr:uid="{B29A9909-8B04-46B5-8B89-84B3C635A4B8}"/>
    <cellStyle name="40% - Accent1 3 6 4 2" xfId="38495" xr:uid="{7A71DA49-4751-4992-A625-3229ADB60D64}"/>
    <cellStyle name="40% - Accent1 3 6 5" xfId="30892" xr:uid="{0512E404-F77A-4615-8F71-9C58F28AF448}"/>
    <cellStyle name="40% - Accent1 3 7" xfId="5880" xr:uid="{00000000-0005-0000-0000-00007C0A0000}"/>
    <cellStyle name="40% - Accent1 3 7 2" xfId="23527" xr:uid="{11050760-5C44-4B52-9DCD-1A15590825D4}"/>
    <cellStyle name="40% - Accent1 3 7 2 2" xfId="38498" xr:uid="{00AB863D-5F2E-4D40-9BEA-782EB6D92C0B}"/>
    <cellStyle name="40% - Accent1 3 7 3" xfId="30895" xr:uid="{2A9705E4-8E66-4C1A-AA75-4D2CFDD449C2}"/>
    <cellStyle name="40% - Accent1 3 8" xfId="5881" xr:uid="{00000000-0005-0000-0000-00007D0A0000}"/>
    <cellStyle name="40% - Accent1 3 8 2" xfId="5882" xr:uid="{00000000-0005-0000-0000-00007E0A0000}"/>
    <cellStyle name="40% - Accent1 3 8 2 2" xfId="23529" xr:uid="{40CE3D29-A1CE-4803-8A90-E4B85CC01354}"/>
    <cellStyle name="40% - Accent1 3 8 2 2 2" xfId="38500" xr:uid="{03022BE2-9D26-42B1-B3B1-859DBF0BDBAC}"/>
    <cellStyle name="40% - Accent1 3 8 2 3" xfId="30897" xr:uid="{4B08734B-D03B-4C72-9197-5E87A0FA3B4A}"/>
    <cellStyle name="40% - Accent1 3 8 3" xfId="23528" xr:uid="{2A89AF70-65A1-4BDF-A668-F92E0C1130F0}"/>
    <cellStyle name="40% - Accent1 3 8 3 2" xfId="38499" xr:uid="{B8C0CBBA-21D3-4B3E-86EC-BACAA73A6C75}"/>
    <cellStyle name="40% - Accent1 3 8 4" xfId="30896" xr:uid="{D6D59C20-5F9D-4C98-B403-F23F82DBC497}"/>
    <cellStyle name="40% - Accent1 3 9" xfId="5883" xr:uid="{00000000-0005-0000-0000-00007F0A0000}"/>
    <cellStyle name="40% - Accent1 3 9 2" xfId="23530" xr:uid="{B99186B2-EC08-46C6-AC88-F557479B19B8}"/>
    <cellStyle name="40% - Accent1 3 9 2 2" xfId="38501" xr:uid="{F0EBBD70-A57B-4588-B2E5-72307E69AB4B}"/>
    <cellStyle name="40% - Accent1 3 9 3" xfId="30898" xr:uid="{C3A074F2-8AB6-40DF-AC41-61CB3504DB36}"/>
    <cellStyle name="40% - Accent1 4" xfId="223" xr:uid="{00000000-0005-0000-0000-00003E000000}"/>
    <cellStyle name="40% - Accent1 4 10" xfId="5884" xr:uid="{00000000-0005-0000-0000-0000800A0000}"/>
    <cellStyle name="40% - Accent1 4 10 2" xfId="23531" xr:uid="{7E74EAD1-B0A4-48E8-A0A0-6ADA8FE5FCF1}"/>
    <cellStyle name="40% - Accent1 4 10 2 2" xfId="38502" xr:uid="{F47FC9F8-C369-4F0F-997B-4035C0171C23}"/>
    <cellStyle name="40% - Accent1 4 10 3" xfId="30899" xr:uid="{044810AB-A650-4295-80B4-74ABEC7972FA}"/>
    <cellStyle name="40% - Accent1 4 2" xfId="5885" xr:uid="{00000000-0005-0000-0000-0000810A0000}"/>
    <cellStyle name="40% - Accent1 4 2 2" xfId="5886" xr:uid="{00000000-0005-0000-0000-0000820A0000}"/>
    <cellStyle name="40% - Accent1 4 2 2 2" xfId="5887" xr:uid="{00000000-0005-0000-0000-0000830A0000}"/>
    <cellStyle name="40% - Accent1 4 2 2 2 2" xfId="5888" xr:uid="{00000000-0005-0000-0000-0000840A0000}"/>
    <cellStyle name="40% - Accent1 4 2 2 2 2 2" xfId="5889" xr:uid="{00000000-0005-0000-0000-0000850A0000}"/>
    <cellStyle name="40% - Accent1 4 2 2 2 2 2 2" xfId="23535" xr:uid="{9BDDF1E7-B6E5-4480-BC29-906AA82645B3}"/>
    <cellStyle name="40% - Accent1 4 2 2 2 2 2 2 2" xfId="38506" xr:uid="{1CDD7C44-637A-4BD7-83FF-346769AD3FC8}"/>
    <cellStyle name="40% - Accent1 4 2 2 2 2 2 3" xfId="30903" xr:uid="{252FA6EC-3718-4ACD-98AE-F6B267D9B929}"/>
    <cellStyle name="40% - Accent1 4 2 2 2 2 3" xfId="5890" xr:uid="{00000000-0005-0000-0000-0000860A0000}"/>
    <cellStyle name="40% - Accent1 4 2 2 2 2 3 2" xfId="23536" xr:uid="{E4588312-3B88-4363-8A27-92DB12EAEE5A}"/>
    <cellStyle name="40% - Accent1 4 2 2 2 2 3 2 2" xfId="38507" xr:uid="{7D02C2F8-3400-42D4-98AC-4F2229F87ABB}"/>
    <cellStyle name="40% - Accent1 4 2 2 2 2 3 3" xfId="30904" xr:uid="{21ECFD9D-002B-480E-A581-1F1B0A3207B2}"/>
    <cellStyle name="40% - Accent1 4 2 2 2 2 4" xfId="23534" xr:uid="{A2D4958A-6C96-4434-B52C-72996CD558CD}"/>
    <cellStyle name="40% - Accent1 4 2 2 2 2 4 2" xfId="38505" xr:uid="{8777AB71-500E-4527-AB40-8C8D1DA87FB1}"/>
    <cellStyle name="40% - Accent1 4 2 2 2 2 5" xfId="30902" xr:uid="{C16C0A16-01C0-4D71-83F9-75DBD37FDD7A}"/>
    <cellStyle name="40% - Accent1 4 2 2 2 3" xfId="5891" xr:uid="{00000000-0005-0000-0000-0000870A0000}"/>
    <cellStyle name="40% - Accent1 4 2 2 2 3 2" xfId="5892" xr:uid="{00000000-0005-0000-0000-0000880A0000}"/>
    <cellStyle name="40% - Accent1 4 2 2 2 3 2 2" xfId="23538" xr:uid="{05FB51A7-1FA9-47B4-98AD-55DD48A303AF}"/>
    <cellStyle name="40% - Accent1 4 2 2 2 3 2 2 2" xfId="38509" xr:uid="{D30CB40B-249A-47A4-B358-337F8D073931}"/>
    <cellStyle name="40% - Accent1 4 2 2 2 3 2 3" xfId="30906" xr:uid="{311EDFA2-F363-4884-A01B-A63324261721}"/>
    <cellStyle name="40% - Accent1 4 2 2 2 3 3" xfId="23537" xr:uid="{DC1663E2-D5C8-4350-B8BE-49A088600403}"/>
    <cellStyle name="40% - Accent1 4 2 2 2 3 3 2" xfId="38508" xr:uid="{ABF28C2E-43E1-4E03-8D3F-F484F18F13D0}"/>
    <cellStyle name="40% - Accent1 4 2 2 2 3 4" xfId="30905" xr:uid="{D045304F-4A07-418A-9803-1842CBEE681C}"/>
    <cellStyle name="40% - Accent1 4 2 2 2 4" xfId="5893" xr:uid="{00000000-0005-0000-0000-0000890A0000}"/>
    <cellStyle name="40% - Accent1 4 2 2 2 4 2" xfId="23539" xr:uid="{9A692ECD-478F-4F9F-B90B-634C8FB90518}"/>
    <cellStyle name="40% - Accent1 4 2 2 2 4 2 2" xfId="38510" xr:uid="{814879A9-8E54-473A-8CB8-A2ABA680BF6E}"/>
    <cellStyle name="40% - Accent1 4 2 2 2 4 3" xfId="30907" xr:uid="{8A6A9AE5-90DB-409B-9E24-8296B1CC67B9}"/>
    <cellStyle name="40% - Accent1 4 2 2 2 5" xfId="23533" xr:uid="{F2555480-0556-4324-A83D-91DAD3AB1F00}"/>
    <cellStyle name="40% - Accent1 4 2 2 2 5 2" xfId="38504" xr:uid="{B202EB6B-5766-40E0-A7F1-95FD55900D86}"/>
    <cellStyle name="40% - Accent1 4 2 2 2 6" xfId="30901" xr:uid="{50491B88-2387-40AC-BACA-53F0A20810A7}"/>
    <cellStyle name="40% - Accent1 4 2 2 3" xfId="5894" xr:uid="{00000000-0005-0000-0000-00008A0A0000}"/>
    <cellStyle name="40% - Accent1 4 2 2 3 2" xfId="5895" xr:uid="{00000000-0005-0000-0000-00008B0A0000}"/>
    <cellStyle name="40% - Accent1 4 2 2 3 2 2" xfId="23541" xr:uid="{2EF5BC6E-6637-452E-BE60-FB9B60320400}"/>
    <cellStyle name="40% - Accent1 4 2 2 3 2 2 2" xfId="38512" xr:uid="{0155C881-14C4-42C6-AECE-8E99E93C93CC}"/>
    <cellStyle name="40% - Accent1 4 2 2 3 2 3" xfId="30909" xr:uid="{F21272E0-8F65-472D-8CE3-F8860AA1AC37}"/>
    <cellStyle name="40% - Accent1 4 2 2 3 3" xfId="5896" xr:uid="{00000000-0005-0000-0000-00008C0A0000}"/>
    <cellStyle name="40% - Accent1 4 2 2 3 3 2" xfId="23542" xr:uid="{DD5A5D85-29BD-451D-9AF5-9E04A424817A}"/>
    <cellStyle name="40% - Accent1 4 2 2 3 3 2 2" xfId="38513" xr:uid="{AA967AD3-4885-43FE-BB2E-4BB5DFE1E3A0}"/>
    <cellStyle name="40% - Accent1 4 2 2 3 3 3" xfId="30910" xr:uid="{A4047CF8-6FAE-4771-ADA5-B7B231F3F8F8}"/>
    <cellStyle name="40% - Accent1 4 2 2 3 4" xfId="23540" xr:uid="{230CC89F-55C4-4480-AC17-E2C86D5A6A7F}"/>
    <cellStyle name="40% - Accent1 4 2 2 3 4 2" xfId="38511" xr:uid="{BD79E128-457B-4D46-B7D2-AE9B083D3410}"/>
    <cellStyle name="40% - Accent1 4 2 2 3 5" xfId="30908" xr:uid="{11C58B59-1684-4158-9577-414DCC90643F}"/>
    <cellStyle name="40% - Accent1 4 2 2 4" xfId="5897" xr:uid="{00000000-0005-0000-0000-00008D0A0000}"/>
    <cellStyle name="40% - Accent1 4 2 2 4 2" xfId="23543" xr:uid="{23605800-8E83-45DD-B143-ED8D93407E0C}"/>
    <cellStyle name="40% - Accent1 4 2 2 4 2 2" xfId="38514" xr:uid="{60976493-4F2E-4DA7-9170-12E4AE8F8F0C}"/>
    <cellStyle name="40% - Accent1 4 2 2 4 3" xfId="30911" xr:uid="{00980B6E-46D5-4A9E-88DF-D61CE74602FB}"/>
    <cellStyle name="40% - Accent1 4 2 2 5" xfId="5898" xr:uid="{00000000-0005-0000-0000-00008E0A0000}"/>
    <cellStyle name="40% - Accent1 4 2 2 5 2" xfId="5899" xr:uid="{00000000-0005-0000-0000-00008F0A0000}"/>
    <cellStyle name="40% - Accent1 4 2 2 5 2 2" xfId="23545" xr:uid="{B0B5D8B0-31B8-4CFC-A57C-A992777EC117}"/>
    <cellStyle name="40% - Accent1 4 2 2 5 2 2 2" xfId="38516" xr:uid="{3B37BEF4-159C-4C8E-A19C-9BFAF08776CD}"/>
    <cellStyle name="40% - Accent1 4 2 2 5 2 3" xfId="30913" xr:uid="{5CF61658-BC62-416E-888E-3C9A59C7A803}"/>
    <cellStyle name="40% - Accent1 4 2 2 5 3" xfId="23544" xr:uid="{26B9A3B5-682F-472B-A22E-B4E54282B6C6}"/>
    <cellStyle name="40% - Accent1 4 2 2 5 3 2" xfId="38515" xr:uid="{321AF4C4-D1DB-461E-ABAF-B57BF1E7A938}"/>
    <cellStyle name="40% - Accent1 4 2 2 5 4" xfId="30912" xr:uid="{40A68275-36F5-447D-908E-51FAA3214FFA}"/>
    <cellStyle name="40% - Accent1 4 2 2 6" xfId="5900" xr:uid="{00000000-0005-0000-0000-0000900A0000}"/>
    <cellStyle name="40% - Accent1 4 2 2 6 2" xfId="23546" xr:uid="{BEA0A8A1-3F5C-42C5-B320-57E1D1791094}"/>
    <cellStyle name="40% - Accent1 4 2 2 6 2 2" xfId="38517" xr:uid="{38F8011D-57E2-40D2-88D6-C9E2F32375F1}"/>
    <cellStyle name="40% - Accent1 4 2 2 6 3" xfId="30914" xr:uid="{497683EC-EF0F-457A-9162-6BC68587E6E2}"/>
    <cellStyle name="40% - Accent1 4 2 2 7" xfId="23532" xr:uid="{E30E19E4-01A1-4004-8F10-513BC84D8ED9}"/>
    <cellStyle name="40% - Accent1 4 2 2 7 2" xfId="38503" xr:uid="{47A0AB9C-12E8-4438-AF86-F5882130E69B}"/>
    <cellStyle name="40% - Accent1 4 2 2 8" xfId="30900" xr:uid="{7B95B261-E1E3-4651-BC3B-9A81403E29A6}"/>
    <cellStyle name="40% - Accent1 4 2 3" xfId="5901" xr:uid="{00000000-0005-0000-0000-0000910A0000}"/>
    <cellStyle name="40% - Accent1 4 2 3 2" xfId="5902" xr:uid="{00000000-0005-0000-0000-0000920A0000}"/>
    <cellStyle name="40% - Accent1 4 2 3 2 2" xfId="5903" xr:uid="{00000000-0005-0000-0000-0000930A0000}"/>
    <cellStyle name="40% - Accent1 4 2 3 2 2 2" xfId="23549" xr:uid="{44C407D3-0417-403B-9549-B84CE0CF196B}"/>
    <cellStyle name="40% - Accent1 4 2 3 2 2 2 2" xfId="38520" xr:uid="{B6844076-7948-4574-B1FA-6F1707B40B7F}"/>
    <cellStyle name="40% - Accent1 4 2 3 2 2 3" xfId="30917" xr:uid="{BE73AC81-A424-413A-B087-DB7189D63E13}"/>
    <cellStyle name="40% - Accent1 4 2 3 2 3" xfId="5904" xr:uid="{00000000-0005-0000-0000-0000940A0000}"/>
    <cellStyle name="40% - Accent1 4 2 3 2 3 2" xfId="23550" xr:uid="{0D91E936-C0C6-416E-885C-61A40D2862E5}"/>
    <cellStyle name="40% - Accent1 4 2 3 2 3 2 2" xfId="38521" xr:uid="{95E8612E-2FFA-412F-8A65-C7BCE81C68D5}"/>
    <cellStyle name="40% - Accent1 4 2 3 2 3 3" xfId="30918" xr:uid="{0995AD77-867C-410C-A8F4-D2A7AFA6D187}"/>
    <cellStyle name="40% - Accent1 4 2 3 2 4" xfId="23548" xr:uid="{C7164A74-30B9-4E24-A917-BDC1FCBFC062}"/>
    <cellStyle name="40% - Accent1 4 2 3 2 4 2" xfId="38519" xr:uid="{AEFC92C0-AE97-4537-AE83-B5449CF89E5B}"/>
    <cellStyle name="40% - Accent1 4 2 3 2 5" xfId="30916" xr:uid="{57134008-0266-41D0-B5A8-49D211358F4A}"/>
    <cellStyle name="40% - Accent1 4 2 3 3" xfId="5905" xr:uid="{00000000-0005-0000-0000-0000950A0000}"/>
    <cellStyle name="40% - Accent1 4 2 3 3 2" xfId="5906" xr:uid="{00000000-0005-0000-0000-0000960A0000}"/>
    <cellStyle name="40% - Accent1 4 2 3 3 2 2" xfId="23552" xr:uid="{A00774CC-4159-4BED-A3E9-8D3043CAD447}"/>
    <cellStyle name="40% - Accent1 4 2 3 3 2 2 2" xfId="38523" xr:uid="{30F9F41E-13BD-41B9-B6E9-6A7D187B8980}"/>
    <cellStyle name="40% - Accent1 4 2 3 3 2 3" xfId="30920" xr:uid="{7F97666D-4007-4AAA-869A-A6E5A33F6A14}"/>
    <cellStyle name="40% - Accent1 4 2 3 3 3" xfId="23551" xr:uid="{D9755FF7-F559-44C5-B119-FF3592ED1251}"/>
    <cellStyle name="40% - Accent1 4 2 3 3 3 2" xfId="38522" xr:uid="{280046E6-EA9F-4B49-99E1-F155F93FD551}"/>
    <cellStyle name="40% - Accent1 4 2 3 3 4" xfId="30919" xr:uid="{3C600497-CB10-489D-92D7-6359E6E8871B}"/>
    <cellStyle name="40% - Accent1 4 2 3 4" xfId="5907" xr:uid="{00000000-0005-0000-0000-0000970A0000}"/>
    <cellStyle name="40% - Accent1 4 2 3 4 2" xfId="23553" xr:uid="{A61AAF9B-6EDF-47D5-AC9B-1C221BE64611}"/>
    <cellStyle name="40% - Accent1 4 2 3 4 2 2" xfId="38524" xr:uid="{76D532D6-D792-49CA-8484-E86058FE4DA4}"/>
    <cellStyle name="40% - Accent1 4 2 3 4 3" xfId="30921" xr:uid="{7E7B6B7C-8835-4D13-90F8-FFBFF5CC7A09}"/>
    <cellStyle name="40% - Accent1 4 2 3 5" xfId="23547" xr:uid="{FA8FBE13-9265-47A0-999F-D8314B8182FC}"/>
    <cellStyle name="40% - Accent1 4 2 3 5 2" xfId="38518" xr:uid="{01A06976-C92D-4CAB-B33B-3EAE5B901A69}"/>
    <cellStyle name="40% - Accent1 4 2 3 6" xfId="30915" xr:uid="{C1B5C60B-56FC-4A8C-A3DF-C90EC1EFB501}"/>
    <cellStyle name="40% - Accent1 4 2 4" xfId="5908" xr:uid="{00000000-0005-0000-0000-0000980A0000}"/>
    <cellStyle name="40% - Accent1 4 2 5" xfId="5909" xr:uid="{00000000-0005-0000-0000-0000990A0000}"/>
    <cellStyle name="40% - Accent1 4 2 5 2" xfId="23554" xr:uid="{5D302258-8C50-45F8-82C3-0D2F2052FCD5}"/>
    <cellStyle name="40% - Accent1 4 2 5 2 2" xfId="38525" xr:uid="{77EC8302-C0F4-4023-A24B-A67C5524794C}"/>
    <cellStyle name="40% - Accent1 4 2 5 3" xfId="30922" xr:uid="{B8BD66F9-1775-4556-8D57-2801F8F87B55}"/>
    <cellStyle name="40% - Accent1 4 3" xfId="5910" xr:uid="{00000000-0005-0000-0000-00009A0A0000}"/>
    <cellStyle name="40% - Accent1 4 3 2" xfId="5911" xr:uid="{00000000-0005-0000-0000-00009B0A0000}"/>
    <cellStyle name="40% - Accent1 4 3 2 2" xfId="5912" xr:uid="{00000000-0005-0000-0000-00009C0A0000}"/>
    <cellStyle name="40% - Accent1 4 3 2 2 2" xfId="23557" xr:uid="{4E2541A8-C066-4473-9665-AB96302706E9}"/>
    <cellStyle name="40% - Accent1 4 3 2 2 2 2" xfId="38528" xr:uid="{7FD62D3B-F698-4C56-B0C2-88A16CF81D6F}"/>
    <cellStyle name="40% - Accent1 4 3 2 2 3" xfId="30925" xr:uid="{61AB57AD-3C4D-4A3F-AF64-4F4783277FAB}"/>
    <cellStyle name="40% - Accent1 4 3 2 3" xfId="5913" xr:uid="{00000000-0005-0000-0000-00009D0A0000}"/>
    <cellStyle name="40% - Accent1 4 3 2 3 2" xfId="23558" xr:uid="{32DC207F-2323-44C2-BA94-083A410F8214}"/>
    <cellStyle name="40% - Accent1 4 3 2 3 2 2" xfId="38529" xr:uid="{9910C3C2-3FB1-4D03-B9FA-B5D55E9EBD26}"/>
    <cellStyle name="40% - Accent1 4 3 2 3 3" xfId="30926" xr:uid="{1C559DAF-D305-44FE-9085-39CBFBAE382A}"/>
    <cellStyle name="40% - Accent1 4 3 2 4" xfId="23556" xr:uid="{717AC373-E172-442C-ABF4-F109D3974AC9}"/>
    <cellStyle name="40% - Accent1 4 3 2 4 2" xfId="38527" xr:uid="{6C39EA17-61C1-4ED6-A01B-02B76B778844}"/>
    <cellStyle name="40% - Accent1 4 3 2 5" xfId="30924" xr:uid="{CC16ADC6-5C62-4420-A106-CFFD6AF4ED05}"/>
    <cellStyle name="40% - Accent1 4 3 3" xfId="5914" xr:uid="{00000000-0005-0000-0000-00009E0A0000}"/>
    <cellStyle name="40% - Accent1 4 3 3 2" xfId="23559" xr:uid="{A5979B82-AE00-4949-A5E9-A96FC5FAA7DB}"/>
    <cellStyle name="40% - Accent1 4 3 3 2 2" xfId="38530" xr:uid="{4A174AEC-9611-488F-88A0-DACC6C5DCC1D}"/>
    <cellStyle name="40% - Accent1 4 3 3 3" xfId="30927" xr:uid="{2117A03C-BD74-4564-A448-FB69B5AA768F}"/>
    <cellStyle name="40% - Accent1 4 3 4" xfId="5915" xr:uid="{00000000-0005-0000-0000-00009F0A0000}"/>
    <cellStyle name="40% - Accent1 4 3 4 2" xfId="5916" xr:uid="{00000000-0005-0000-0000-0000A00A0000}"/>
    <cellStyle name="40% - Accent1 4 3 4 2 2" xfId="23561" xr:uid="{CFED9EA8-1296-484F-866C-73F027933FE3}"/>
    <cellStyle name="40% - Accent1 4 3 4 2 2 2" xfId="38532" xr:uid="{01C16465-6A69-400D-96E3-F75D31BEDD08}"/>
    <cellStyle name="40% - Accent1 4 3 4 2 3" xfId="30929" xr:uid="{D83E82AD-A55E-4909-829D-333CBE6A5FA2}"/>
    <cellStyle name="40% - Accent1 4 3 4 3" xfId="23560" xr:uid="{7EA20853-322F-4BEB-9485-C4EEDDBBDDC1}"/>
    <cellStyle name="40% - Accent1 4 3 4 3 2" xfId="38531" xr:uid="{DFEAFC16-0D80-476E-9718-D9630BBB0EEA}"/>
    <cellStyle name="40% - Accent1 4 3 4 4" xfId="30928" xr:uid="{AC21A67B-8D91-444B-A4B1-BE5D2EEBDB54}"/>
    <cellStyle name="40% - Accent1 4 3 5" xfId="5917" xr:uid="{00000000-0005-0000-0000-0000A10A0000}"/>
    <cellStyle name="40% - Accent1 4 3 5 2" xfId="23562" xr:uid="{75569A9A-FBF7-4E3B-866E-318643DE30E8}"/>
    <cellStyle name="40% - Accent1 4 3 5 2 2" xfId="38533" xr:uid="{248C94D9-2751-4979-B97F-6A5D8A653C5B}"/>
    <cellStyle name="40% - Accent1 4 3 5 3" xfId="30930" xr:uid="{81559D21-0938-4D36-B7A7-E5D6737EE292}"/>
    <cellStyle name="40% - Accent1 4 3 6" xfId="23555" xr:uid="{20D8A03D-E7F9-4D04-9621-92C5A73BECD2}"/>
    <cellStyle name="40% - Accent1 4 3 6 2" xfId="38526" xr:uid="{45D2D673-4651-4C32-A5A6-4E0897ED234A}"/>
    <cellStyle name="40% - Accent1 4 3 7" xfId="30923" xr:uid="{94EBA1DF-BE79-41BA-8D23-AD7154E7BFEE}"/>
    <cellStyle name="40% - Accent1 4 4" xfId="5918" xr:uid="{00000000-0005-0000-0000-0000A20A0000}"/>
    <cellStyle name="40% - Accent1 4 4 2" xfId="5919" xr:uid="{00000000-0005-0000-0000-0000A30A0000}"/>
    <cellStyle name="40% - Accent1 4 4 2 2" xfId="5920" xr:uid="{00000000-0005-0000-0000-0000A40A0000}"/>
    <cellStyle name="40% - Accent1 4 4 2 2 2" xfId="23565" xr:uid="{B896BC0E-EFEF-4833-A3A9-9AEC7FEDCCD0}"/>
    <cellStyle name="40% - Accent1 4 4 2 2 2 2" xfId="38536" xr:uid="{63B2775F-CBA4-414D-8222-EE583853A3B5}"/>
    <cellStyle name="40% - Accent1 4 4 2 2 3" xfId="30933" xr:uid="{593B9E20-DACE-40CE-A858-1B9A7A3FBCA3}"/>
    <cellStyle name="40% - Accent1 4 4 2 3" xfId="5921" xr:uid="{00000000-0005-0000-0000-0000A50A0000}"/>
    <cellStyle name="40% - Accent1 4 4 2 3 2" xfId="23566" xr:uid="{6481859B-F325-4BAE-BD8F-9983925B434D}"/>
    <cellStyle name="40% - Accent1 4 4 2 3 2 2" xfId="38537" xr:uid="{1BA9A4CE-9FAC-4384-9C60-CD366E219B2F}"/>
    <cellStyle name="40% - Accent1 4 4 2 3 3" xfId="30934" xr:uid="{27B8A88C-CE3E-4CA1-A02A-CF2B6ED24A0E}"/>
    <cellStyle name="40% - Accent1 4 4 2 4" xfId="23564" xr:uid="{69C26916-21D0-48ED-8B88-A309E39131E5}"/>
    <cellStyle name="40% - Accent1 4 4 2 4 2" xfId="38535" xr:uid="{FE066606-D53D-47E1-A1B6-628835EB4688}"/>
    <cellStyle name="40% - Accent1 4 4 2 5" xfId="30932" xr:uid="{A1EC21EB-6376-41E2-8940-D0F00EDFF7D0}"/>
    <cellStyle name="40% - Accent1 4 4 3" xfId="5922" xr:uid="{00000000-0005-0000-0000-0000A60A0000}"/>
    <cellStyle name="40% - Accent1 4 4 3 2" xfId="5923" xr:uid="{00000000-0005-0000-0000-0000A70A0000}"/>
    <cellStyle name="40% - Accent1 4 4 3 2 2" xfId="23568" xr:uid="{17DBC8D1-C781-4220-AFFB-5F49C409395E}"/>
    <cellStyle name="40% - Accent1 4 4 3 2 2 2" xfId="38539" xr:uid="{561A3925-A91D-4CB6-98D5-A0EA6757B3D6}"/>
    <cellStyle name="40% - Accent1 4 4 3 2 3" xfId="30936" xr:uid="{6DAE3245-18E9-4823-8C64-4B6BBEDBB7E4}"/>
    <cellStyle name="40% - Accent1 4 4 3 3" xfId="23567" xr:uid="{EDCD7B28-A4EB-473B-A6A9-2ED96E09B0B5}"/>
    <cellStyle name="40% - Accent1 4 4 3 3 2" xfId="38538" xr:uid="{26857F77-332D-47A9-8466-9852C07795FC}"/>
    <cellStyle name="40% - Accent1 4 4 3 4" xfId="30935" xr:uid="{657C4BBC-DFC9-4692-ADD2-833F776B9344}"/>
    <cellStyle name="40% - Accent1 4 4 4" xfId="5924" xr:uid="{00000000-0005-0000-0000-0000A80A0000}"/>
    <cellStyle name="40% - Accent1 4 4 4 2" xfId="23569" xr:uid="{66B062EE-5CF5-4629-B8D7-A9638C49747B}"/>
    <cellStyle name="40% - Accent1 4 4 4 2 2" xfId="38540" xr:uid="{6039F596-E990-4310-94B8-C94566FD9D51}"/>
    <cellStyle name="40% - Accent1 4 4 4 3" xfId="30937" xr:uid="{997EC516-D15F-4777-A183-B3401CE2EE50}"/>
    <cellStyle name="40% - Accent1 4 4 5" xfId="23563" xr:uid="{8DE24822-7396-4D1F-A88E-8BA07EBE239D}"/>
    <cellStyle name="40% - Accent1 4 4 5 2" xfId="38534" xr:uid="{A987A27C-18C9-4ED4-8E93-F177BD4F0B50}"/>
    <cellStyle name="40% - Accent1 4 4 6" xfId="30931" xr:uid="{C1A03A3A-3AD4-4CC8-943A-5E27CB2C76D5}"/>
    <cellStyle name="40% - Accent1 4 5" xfId="5925" xr:uid="{00000000-0005-0000-0000-0000A90A0000}"/>
    <cellStyle name="40% - Accent1 4 5 2" xfId="5926" xr:uid="{00000000-0005-0000-0000-0000AA0A0000}"/>
    <cellStyle name="40% - Accent1 4 5 2 2" xfId="5927" xr:uid="{00000000-0005-0000-0000-0000AB0A0000}"/>
    <cellStyle name="40% - Accent1 4 5 2 2 2" xfId="23572" xr:uid="{76E35424-DCA9-446A-93BE-69D28EB18F62}"/>
    <cellStyle name="40% - Accent1 4 5 2 2 2 2" xfId="38543" xr:uid="{6E1FF517-F786-44CC-A35A-A14EE758C5D1}"/>
    <cellStyle name="40% - Accent1 4 5 2 2 3" xfId="30940" xr:uid="{393313D2-30E7-47C4-89A5-346465FCC950}"/>
    <cellStyle name="40% - Accent1 4 5 2 3" xfId="5928" xr:uid="{00000000-0005-0000-0000-0000AC0A0000}"/>
    <cellStyle name="40% - Accent1 4 5 2 3 2" xfId="23573" xr:uid="{2AF4CD57-932C-46E4-B961-6907A153F6BD}"/>
    <cellStyle name="40% - Accent1 4 5 2 3 2 2" xfId="38544" xr:uid="{3CC42CEB-34A3-437A-82F2-354438A80D51}"/>
    <cellStyle name="40% - Accent1 4 5 2 3 3" xfId="30941" xr:uid="{B26F5ED0-E84D-4615-8E11-607EEEEEAE44}"/>
    <cellStyle name="40% - Accent1 4 5 2 4" xfId="23571" xr:uid="{DBE58BDE-F2A6-47F5-957B-23923C435331}"/>
    <cellStyle name="40% - Accent1 4 5 2 4 2" xfId="38542" xr:uid="{27E70152-A983-45A1-8F42-8EB0E3F7948E}"/>
    <cellStyle name="40% - Accent1 4 5 2 5" xfId="30939" xr:uid="{781DCF38-3E64-4E4F-A69F-D53551CFB303}"/>
    <cellStyle name="40% - Accent1 4 5 3" xfId="5929" xr:uid="{00000000-0005-0000-0000-0000AD0A0000}"/>
    <cellStyle name="40% - Accent1 4 5 3 2" xfId="5930" xr:uid="{00000000-0005-0000-0000-0000AE0A0000}"/>
    <cellStyle name="40% - Accent1 4 5 3 2 2" xfId="23575" xr:uid="{421A4913-398A-4DD4-98F0-E9873FC4DFEA}"/>
    <cellStyle name="40% - Accent1 4 5 3 2 2 2" xfId="38546" xr:uid="{648F9D6E-E2B4-4A92-8D1C-0C27DD96A310}"/>
    <cellStyle name="40% - Accent1 4 5 3 2 3" xfId="30943" xr:uid="{5E7521CC-E851-4ED6-A3CB-BA0CC832CA91}"/>
    <cellStyle name="40% - Accent1 4 5 3 3" xfId="23574" xr:uid="{8D6B8109-FC52-45E5-B5BE-2D5935AAF9C5}"/>
    <cellStyle name="40% - Accent1 4 5 3 3 2" xfId="38545" xr:uid="{2F79B6CA-04EE-4D55-8838-850CC288FAE2}"/>
    <cellStyle name="40% - Accent1 4 5 3 4" xfId="30942" xr:uid="{B2B31091-D7CF-4DB5-8449-EEBDB7A351E7}"/>
    <cellStyle name="40% - Accent1 4 5 4" xfId="5931" xr:uid="{00000000-0005-0000-0000-0000AF0A0000}"/>
    <cellStyle name="40% - Accent1 4 5 4 2" xfId="23576" xr:uid="{64E67534-0E0E-4877-8849-ED74F46F497C}"/>
    <cellStyle name="40% - Accent1 4 5 4 2 2" xfId="38547" xr:uid="{86409201-2294-40A2-81E9-DF4E53542436}"/>
    <cellStyle name="40% - Accent1 4 5 4 3" xfId="30944" xr:uid="{DE806CDE-584A-43E0-926A-29FD6C3B49A7}"/>
    <cellStyle name="40% - Accent1 4 5 5" xfId="23570" xr:uid="{50869B8D-E7D9-40A0-A12A-1B1551707034}"/>
    <cellStyle name="40% - Accent1 4 5 5 2" xfId="38541" xr:uid="{84B9DB47-7953-4CAB-A727-EE0693E833AE}"/>
    <cellStyle name="40% - Accent1 4 5 6" xfId="30938" xr:uid="{CA301A65-EA25-493F-A73A-D977550B5775}"/>
    <cellStyle name="40% - Accent1 4 6" xfId="5932" xr:uid="{00000000-0005-0000-0000-0000B00A0000}"/>
    <cellStyle name="40% - Accent1 4 6 2" xfId="5933" xr:uid="{00000000-0005-0000-0000-0000B10A0000}"/>
    <cellStyle name="40% - Accent1 4 6 2 2" xfId="23578" xr:uid="{DC1E3B51-0EE9-4D1E-AAE6-8962B52064F2}"/>
    <cellStyle name="40% - Accent1 4 6 2 2 2" xfId="38549" xr:uid="{40689024-DB0B-415A-A138-CAEDEF92C6F7}"/>
    <cellStyle name="40% - Accent1 4 6 2 3" xfId="30946" xr:uid="{DD55B06C-C99A-4696-8721-20A8671E6378}"/>
    <cellStyle name="40% - Accent1 4 6 3" xfId="5934" xr:uid="{00000000-0005-0000-0000-0000B20A0000}"/>
    <cellStyle name="40% - Accent1 4 6 3 2" xfId="23579" xr:uid="{87B27F97-1F74-406F-A130-1EEB7B6CB27F}"/>
    <cellStyle name="40% - Accent1 4 6 3 2 2" xfId="38550" xr:uid="{7FC570EF-D11E-4529-8D92-0F6C4860BD46}"/>
    <cellStyle name="40% - Accent1 4 6 3 3" xfId="30947" xr:uid="{BD5A2435-9D18-49A6-ADD6-D9249DE556B6}"/>
    <cellStyle name="40% - Accent1 4 6 4" xfId="23577" xr:uid="{78C1EE22-DD10-488E-97FA-93AE9CA483C8}"/>
    <cellStyle name="40% - Accent1 4 6 4 2" xfId="38548" xr:uid="{5BDF01BD-D3AC-45B1-8D8B-346AF8006845}"/>
    <cellStyle name="40% - Accent1 4 6 5" xfId="30945" xr:uid="{70866D92-C2ED-4F88-AE3D-68F009A389C7}"/>
    <cellStyle name="40% - Accent1 4 7" xfId="5935" xr:uid="{00000000-0005-0000-0000-0000B30A0000}"/>
    <cellStyle name="40% - Accent1 4 7 2" xfId="23580" xr:uid="{3251F471-ACBC-4BAC-9FBC-FFE11E094D09}"/>
    <cellStyle name="40% - Accent1 4 7 2 2" xfId="38551" xr:uid="{C7F7FBAA-1CA3-4471-B70B-87DF30843735}"/>
    <cellStyle name="40% - Accent1 4 7 3" xfId="30948" xr:uid="{E7FA2814-75E3-4BF3-A613-ED4EECDF101A}"/>
    <cellStyle name="40% - Accent1 4 8" xfId="5936" xr:uid="{00000000-0005-0000-0000-0000B40A0000}"/>
    <cellStyle name="40% - Accent1 4 8 2" xfId="5937" xr:uid="{00000000-0005-0000-0000-0000B50A0000}"/>
    <cellStyle name="40% - Accent1 4 8 2 2" xfId="23582" xr:uid="{D8120AAC-F2DD-4AA7-B730-2369E7EFDEFF}"/>
    <cellStyle name="40% - Accent1 4 8 2 2 2" xfId="38553" xr:uid="{2D704E49-79CD-41A9-9F54-23BE22582789}"/>
    <cellStyle name="40% - Accent1 4 8 2 3" xfId="30950" xr:uid="{0689DD15-EDE7-4EDE-B73B-F18B3B90A26C}"/>
    <cellStyle name="40% - Accent1 4 8 3" xfId="23581" xr:uid="{17519691-5278-4E40-8F66-B7F8AF3F9AAD}"/>
    <cellStyle name="40% - Accent1 4 8 3 2" xfId="38552" xr:uid="{D2D6F0A9-2D5E-4B97-8A7D-820604E13513}"/>
    <cellStyle name="40% - Accent1 4 8 4" xfId="30949" xr:uid="{1BF90144-3E58-43F8-B1A0-614583B234B4}"/>
    <cellStyle name="40% - Accent1 4 9" xfId="5938" xr:uid="{00000000-0005-0000-0000-0000B60A0000}"/>
    <cellStyle name="40% - Accent1 4 9 2" xfId="23583" xr:uid="{9419E976-E96E-4E88-A3A7-F01F2020508E}"/>
    <cellStyle name="40% - Accent1 4 9 2 2" xfId="38554" xr:uid="{1F6C7914-74E3-4B44-80F8-9E2F1CFAEF66}"/>
    <cellStyle name="40% - Accent1 4 9 3" xfId="30951" xr:uid="{6379D5CD-C0B5-4072-A053-65D656491335}"/>
    <cellStyle name="40% - Accent1 5" xfId="224" xr:uid="{00000000-0005-0000-0000-00003F000000}"/>
    <cellStyle name="40% - Accent1 5 2" xfId="5940" xr:uid="{00000000-0005-0000-0000-0000B80A0000}"/>
    <cellStyle name="40% - Accent1 5 2 2" xfId="5941" xr:uid="{00000000-0005-0000-0000-0000B90A0000}"/>
    <cellStyle name="40% - Accent1 5 2 2 2" xfId="5942" xr:uid="{00000000-0005-0000-0000-0000BA0A0000}"/>
    <cellStyle name="40% - Accent1 5 2 2 2 2" xfId="5943" xr:uid="{00000000-0005-0000-0000-0000BB0A0000}"/>
    <cellStyle name="40% - Accent1 5 2 2 2 2 2" xfId="5944" xr:uid="{00000000-0005-0000-0000-0000BC0A0000}"/>
    <cellStyle name="40% - Accent1 5 2 2 2 2 2 2" xfId="23588" xr:uid="{50095EBF-4549-44EF-A716-7709D78EDCDC}"/>
    <cellStyle name="40% - Accent1 5 2 2 2 2 2 2 2" xfId="38559" xr:uid="{E3CCB308-7F81-45EB-97F8-0A215D9259ED}"/>
    <cellStyle name="40% - Accent1 5 2 2 2 2 2 3" xfId="30956" xr:uid="{C0539F0E-8650-49E8-BC49-2FA8B516878A}"/>
    <cellStyle name="40% - Accent1 5 2 2 2 2 3" xfId="5945" xr:uid="{00000000-0005-0000-0000-0000BD0A0000}"/>
    <cellStyle name="40% - Accent1 5 2 2 2 2 3 2" xfId="23589" xr:uid="{B15D165E-D115-40B2-9E46-96478421A770}"/>
    <cellStyle name="40% - Accent1 5 2 2 2 2 3 2 2" xfId="38560" xr:uid="{64CD646B-5D10-4140-941F-C664A53DA829}"/>
    <cellStyle name="40% - Accent1 5 2 2 2 2 3 3" xfId="30957" xr:uid="{150659FE-345F-49B1-953D-25300EAAF6E0}"/>
    <cellStyle name="40% - Accent1 5 2 2 2 2 4" xfId="23587" xr:uid="{ADAF4677-92FD-44EB-8460-9953F42928A0}"/>
    <cellStyle name="40% - Accent1 5 2 2 2 2 4 2" xfId="38558" xr:uid="{C1A23506-9B9F-48A7-BFEE-2C5405991C41}"/>
    <cellStyle name="40% - Accent1 5 2 2 2 2 5" xfId="30955" xr:uid="{D546E9F6-7B8F-406F-BB9F-93060808E008}"/>
    <cellStyle name="40% - Accent1 5 2 2 2 3" xfId="5946" xr:uid="{00000000-0005-0000-0000-0000BE0A0000}"/>
    <cellStyle name="40% - Accent1 5 2 2 2 3 2" xfId="5947" xr:uid="{00000000-0005-0000-0000-0000BF0A0000}"/>
    <cellStyle name="40% - Accent1 5 2 2 2 3 2 2" xfId="23591" xr:uid="{0044CB0F-6FEE-4560-AC19-17D22B810A84}"/>
    <cellStyle name="40% - Accent1 5 2 2 2 3 2 2 2" xfId="38562" xr:uid="{B8CABC06-3BB8-4131-A6A1-58CC971C09D7}"/>
    <cellStyle name="40% - Accent1 5 2 2 2 3 2 3" xfId="30959" xr:uid="{493980F9-06AC-4F9B-BBF4-EFDFD70D3EC7}"/>
    <cellStyle name="40% - Accent1 5 2 2 2 3 3" xfId="23590" xr:uid="{69FA7443-3037-47E7-B1AB-570CAA7EDC02}"/>
    <cellStyle name="40% - Accent1 5 2 2 2 3 3 2" xfId="38561" xr:uid="{FE6180A7-0B57-4052-A228-66798A433938}"/>
    <cellStyle name="40% - Accent1 5 2 2 2 3 4" xfId="30958" xr:uid="{1CEE9158-EB0E-4029-9F4E-D0BD309D43F7}"/>
    <cellStyle name="40% - Accent1 5 2 2 2 4" xfId="5948" xr:uid="{00000000-0005-0000-0000-0000C00A0000}"/>
    <cellStyle name="40% - Accent1 5 2 2 2 4 2" xfId="23592" xr:uid="{0B1020D3-77A2-46DF-BF46-BA13621A465B}"/>
    <cellStyle name="40% - Accent1 5 2 2 2 4 2 2" xfId="38563" xr:uid="{CF199484-5EE0-4627-A0AF-2F545FC80FAB}"/>
    <cellStyle name="40% - Accent1 5 2 2 2 4 3" xfId="30960" xr:uid="{B9DDDDBE-0844-4AB6-BFAA-6B731D40FFC6}"/>
    <cellStyle name="40% - Accent1 5 2 2 2 5" xfId="23586" xr:uid="{EB2C9B98-4C8E-4F2D-8B22-A5324133A2DB}"/>
    <cellStyle name="40% - Accent1 5 2 2 2 5 2" xfId="38557" xr:uid="{FD021949-2794-4D4C-A5E2-E50FF965DD09}"/>
    <cellStyle name="40% - Accent1 5 2 2 2 6" xfId="30954" xr:uid="{A1A89255-2BC2-4EF5-A283-0F07C287B6AC}"/>
    <cellStyle name="40% - Accent1 5 2 2 3" xfId="5949" xr:uid="{00000000-0005-0000-0000-0000C10A0000}"/>
    <cellStyle name="40% - Accent1 5 2 2 3 2" xfId="5950" xr:uid="{00000000-0005-0000-0000-0000C20A0000}"/>
    <cellStyle name="40% - Accent1 5 2 2 3 2 2" xfId="23594" xr:uid="{E25A9717-E18F-4330-9A26-FAF2FC2F3E73}"/>
    <cellStyle name="40% - Accent1 5 2 2 3 2 2 2" xfId="38565" xr:uid="{08E85F91-E1F0-468C-A8A7-60DCA264537E}"/>
    <cellStyle name="40% - Accent1 5 2 2 3 2 3" xfId="30962" xr:uid="{BF91009B-F6D3-4A15-B39E-F01CDA8F1C40}"/>
    <cellStyle name="40% - Accent1 5 2 2 3 3" xfId="5951" xr:uid="{00000000-0005-0000-0000-0000C30A0000}"/>
    <cellStyle name="40% - Accent1 5 2 2 3 3 2" xfId="23595" xr:uid="{C4EBCA26-D385-4CC2-98F8-67F6560C28A4}"/>
    <cellStyle name="40% - Accent1 5 2 2 3 3 2 2" xfId="38566" xr:uid="{8E037376-8829-40E5-B338-9D313BC912E9}"/>
    <cellStyle name="40% - Accent1 5 2 2 3 3 3" xfId="30963" xr:uid="{AE579FC5-C7ED-4162-BB09-77EB6F5A97E8}"/>
    <cellStyle name="40% - Accent1 5 2 2 3 4" xfId="23593" xr:uid="{AA70614B-FF27-4C91-9554-9B77D9F58EE4}"/>
    <cellStyle name="40% - Accent1 5 2 2 3 4 2" xfId="38564" xr:uid="{7634A04A-5976-412F-9920-70C4861BFBA2}"/>
    <cellStyle name="40% - Accent1 5 2 2 3 5" xfId="30961" xr:uid="{3B0FAE2F-F165-4729-9840-FAAA129EC7FD}"/>
    <cellStyle name="40% - Accent1 5 2 2 4" xfId="5952" xr:uid="{00000000-0005-0000-0000-0000C40A0000}"/>
    <cellStyle name="40% - Accent1 5 2 2 4 2" xfId="23596" xr:uid="{F1DAC925-1A11-479A-8CEB-08977A1DCB76}"/>
    <cellStyle name="40% - Accent1 5 2 2 4 2 2" xfId="38567" xr:uid="{EB3ECBFA-6F51-4C13-B7BC-AF6198F30031}"/>
    <cellStyle name="40% - Accent1 5 2 2 4 3" xfId="30964" xr:uid="{5AF3FDDB-5742-4AD5-8FCF-602DBA3FE147}"/>
    <cellStyle name="40% - Accent1 5 2 2 5" xfId="5953" xr:uid="{00000000-0005-0000-0000-0000C50A0000}"/>
    <cellStyle name="40% - Accent1 5 2 2 5 2" xfId="5954" xr:uid="{00000000-0005-0000-0000-0000C60A0000}"/>
    <cellStyle name="40% - Accent1 5 2 2 5 2 2" xfId="23598" xr:uid="{EFAD5226-14A5-45E3-85A0-A98482DD8E1F}"/>
    <cellStyle name="40% - Accent1 5 2 2 5 2 2 2" xfId="38569" xr:uid="{7FED84F8-0273-485C-B0FD-C841D9CA125D}"/>
    <cellStyle name="40% - Accent1 5 2 2 5 2 3" xfId="30966" xr:uid="{150F029E-0C93-415A-811F-246E67995487}"/>
    <cellStyle name="40% - Accent1 5 2 2 5 3" xfId="23597" xr:uid="{A50A8FB9-BA48-43E2-BE19-8FB756D3185E}"/>
    <cellStyle name="40% - Accent1 5 2 2 5 3 2" xfId="38568" xr:uid="{2AFC59B0-F354-4D3C-9330-DED7CD95BE37}"/>
    <cellStyle name="40% - Accent1 5 2 2 5 4" xfId="30965" xr:uid="{D89E2064-0E92-46E2-91FA-5E52B73A8D1E}"/>
    <cellStyle name="40% - Accent1 5 2 2 6" xfId="5955" xr:uid="{00000000-0005-0000-0000-0000C70A0000}"/>
    <cellStyle name="40% - Accent1 5 2 2 6 2" xfId="23599" xr:uid="{3B79E8D9-EB31-489A-AB61-B981AEF11DD8}"/>
    <cellStyle name="40% - Accent1 5 2 2 6 2 2" xfId="38570" xr:uid="{8359A137-BF09-4767-9639-ACA2171CC812}"/>
    <cellStyle name="40% - Accent1 5 2 2 6 3" xfId="30967" xr:uid="{53A22B18-AA3E-4381-A17F-24743590A136}"/>
    <cellStyle name="40% - Accent1 5 2 2 7" xfId="23585" xr:uid="{EBAFB4C7-55F2-4910-9583-B75C7257EBA3}"/>
    <cellStyle name="40% - Accent1 5 2 2 7 2" xfId="38556" xr:uid="{9C20FA21-8A3D-49BA-AAF1-C52C460A52FE}"/>
    <cellStyle name="40% - Accent1 5 2 2 8" xfId="30953" xr:uid="{6897F9BF-89BD-42A0-AF26-99809C9C65A9}"/>
    <cellStyle name="40% - Accent1 5 2 3" xfId="5956" xr:uid="{00000000-0005-0000-0000-0000C80A0000}"/>
    <cellStyle name="40% - Accent1 5 2 3 2" xfId="5957" xr:uid="{00000000-0005-0000-0000-0000C90A0000}"/>
    <cellStyle name="40% - Accent1 5 2 3 2 2" xfId="5958" xr:uid="{00000000-0005-0000-0000-0000CA0A0000}"/>
    <cellStyle name="40% - Accent1 5 2 3 2 2 2" xfId="23602" xr:uid="{59DF9A81-22E6-4C55-B3D2-BF45A7EC823F}"/>
    <cellStyle name="40% - Accent1 5 2 3 2 2 2 2" xfId="38573" xr:uid="{2B37A1DA-C1FF-4997-A77F-DDD7A47D78EA}"/>
    <cellStyle name="40% - Accent1 5 2 3 2 2 3" xfId="30970" xr:uid="{F6CB95BF-7FB2-4C78-99FE-193063D8253E}"/>
    <cellStyle name="40% - Accent1 5 2 3 2 3" xfId="5959" xr:uid="{00000000-0005-0000-0000-0000CB0A0000}"/>
    <cellStyle name="40% - Accent1 5 2 3 2 3 2" xfId="23603" xr:uid="{C8DE93DD-1136-453C-A460-242DBC6E4B19}"/>
    <cellStyle name="40% - Accent1 5 2 3 2 3 2 2" xfId="38574" xr:uid="{10A584C8-0B94-4152-90CF-636B000DA106}"/>
    <cellStyle name="40% - Accent1 5 2 3 2 3 3" xfId="30971" xr:uid="{EA59A3F7-2AFD-4F7E-978C-7A3FA88345EA}"/>
    <cellStyle name="40% - Accent1 5 2 3 2 4" xfId="23601" xr:uid="{0B166909-1643-4F10-888C-584D59C54C3A}"/>
    <cellStyle name="40% - Accent1 5 2 3 2 4 2" xfId="38572" xr:uid="{39A6E887-028F-483C-BCAA-5A6A4BBB3920}"/>
    <cellStyle name="40% - Accent1 5 2 3 2 5" xfId="30969" xr:uid="{19E75CEF-A37C-4559-A4D1-1E36FE1EEDC5}"/>
    <cellStyle name="40% - Accent1 5 2 3 3" xfId="5960" xr:uid="{00000000-0005-0000-0000-0000CC0A0000}"/>
    <cellStyle name="40% - Accent1 5 2 3 3 2" xfId="5961" xr:uid="{00000000-0005-0000-0000-0000CD0A0000}"/>
    <cellStyle name="40% - Accent1 5 2 3 3 2 2" xfId="23605" xr:uid="{44032A72-9B8C-44C3-A311-1BDC6A3A53CA}"/>
    <cellStyle name="40% - Accent1 5 2 3 3 2 2 2" xfId="38576" xr:uid="{374A9377-5A95-4CD6-AC20-F9077FED3AD1}"/>
    <cellStyle name="40% - Accent1 5 2 3 3 2 3" xfId="30973" xr:uid="{4F29ACDE-024D-457C-AFA0-8397B9376AB5}"/>
    <cellStyle name="40% - Accent1 5 2 3 3 3" xfId="23604" xr:uid="{26E493B3-697B-46F8-9C22-1CE74B05A2C6}"/>
    <cellStyle name="40% - Accent1 5 2 3 3 3 2" xfId="38575" xr:uid="{90FAF5F8-0816-4925-A123-70BBAF91A920}"/>
    <cellStyle name="40% - Accent1 5 2 3 3 4" xfId="30972" xr:uid="{C14A7D9A-02A0-44BF-95FF-E2686165A51F}"/>
    <cellStyle name="40% - Accent1 5 2 3 4" xfId="5962" xr:uid="{00000000-0005-0000-0000-0000CE0A0000}"/>
    <cellStyle name="40% - Accent1 5 2 3 4 2" xfId="23606" xr:uid="{64704840-0FBB-41A8-AB55-A073C7503458}"/>
    <cellStyle name="40% - Accent1 5 2 3 4 2 2" xfId="38577" xr:uid="{5AA70C20-35E5-467A-A7E5-4F3CAB698208}"/>
    <cellStyle name="40% - Accent1 5 2 3 4 3" xfId="30974" xr:uid="{711E5D9D-9FEF-418D-B1C3-ADC93C05634D}"/>
    <cellStyle name="40% - Accent1 5 2 3 5" xfId="23600" xr:uid="{224C7686-E817-41C0-BA8D-699E9978599F}"/>
    <cellStyle name="40% - Accent1 5 2 3 5 2" xfId="38571" xr:uid="{8A53308C-3C3C-48D8-BFCD-1EC40ED4693F}"/>
    <cellStyle name="40% - Accent1 5 2 3 6" xfId="30968" xr:uid="{2EF0D8DE-EA8D-49A0-9C52-BE69EA17547B}"/>
    <cellStyle name="40% - Accent1 5 2 4" xfId="5963" xr:uid="{00000000-0005-0000-0000-0000CF0A0000}"/>
    <cellStyle name="40% - Accent1 5 2 5" xfId="5964" xr:uid="{00000000-0005-0000-0000-0000D00A0000}"/>
    <cellStyle name="40% - Accent1 5 2 5 2" xfId="23607" xr:uid="{115B28FF-FDF5-4BC2-9469-0935BD167376}"/>
    <cellStyle name="40% - Accent1 5 2 5 2 2" xfId="38578" xr:uid="{CAB88916-901D-4A63-B457-4B5BC0BA851B}"/>
    <cellStyle name="40% - Accent1 5 2 5 3" xfId="30975" xr:uid="{E7C343E7-F976-480C-BE6A-088C22E57A82}"/>
    <cellStyle name="40% - Accent1 5 3" xfId="5965" xr:uid="{00000000-0005-0000-0000-0000D10A0000}"/>
    <cellStyle name="40% - Accent1 5 3 2" xfId="5966" xr:uid="{00000000-0005-0000-0000-0000D20A0000}"/>
    <cellStyle name="40% - Accent1 5 3 2 2" xfId="5967" xr:uid="{00000000-0005-0000-0000-0000D30A0000}"/>
    <cellStyle name="40% - Accent1 5 3 2 2 2" xfId="23610" xr:uid="{55FAE1F1-CA00-4948-B028-0240D3288B3E}"/>
    <cellStyle name="40% - Accent1 5 3 2 2 2 2" xfId="38581" xr:uid="{0B4F2EBC-0C2A-466F-8722-C47DEC8D9C9C}"/>
    <cellStyle name="40% - Accent1 5 3 2 2 3" xfId="30978" xr:uid="{3F3A99F1-B26E-4D51-ADED-7743256F25A7}"/>
    <cellStyle name="40% - Accent1 5 3 2 3" xfId="5968" xr:uid="{00000000-0005-0000-0000-0000D40A0000}"/>
    <cellStyle name="40% - Accent1 5 3 2 3 2" xfId="23611" xr:uid="{EC2BFEA6-A710-4400-99AF-E424F0BA24CC}"/>
    <cellStyle name="40% - Accent1 5 3 2 3 2 2" xfId="38582" xr:uid="{39C6C5CE-E4D8-44F0-802D-7F05E9C480EE}"/>
    <cellStyle name="40% - Accent1 5 3 2 3 3" xfId="30979" xr:uid="{BCEF0BEC-9EEE-46BB-9476-4B2427BE1C22}"/>
    <cellStyle name="40% - Accent1 5 3 2 4" xfId="23609" xr:uid="{BC48E4E6-4599-45DA-9A32-5281EC9ADBAB}"/>
    <cellStyle name="40% - Accent1 5 3 2 4 2" xfId="38580" xr:uid="{43F845D2-0797-451D-BEC3-AFE762FE8D7D}"/>
    <cellStyle name="40% - Accent1 5 3 2 5" xfId="30977" xr:uid="{1C6227BE-9649-4339-B81F-B207B015678E}"/>
    <cellStyle name="40% - Accent1 5 3 3" xfId="5969" xr:uid="{00000000-0005-0000-0000-0000D50A0000}"/>
    <cellStyle name="40% - Accent1 5 3 3 2" xfId="23612" xr:uid="{6BDCF706-2AF3-49D3-9E76-81CBFE55605C}"/>
    <cellStyle name="40% - Accent1 5 3 3 2 2" xfId="38583" xr:uid="{22073816-C631-442D-A9F2-7D873DB1E16C}"/>
    <cellStyle name="40% - Accent1 5 3 3 3" xfId="30980" xr:uid="{D50E4785-8508-46F8-A575-84016936BC1E}"/>
    <cellStyle name="40% - Accent1 5 3 4" xfId="5970" xr:uid="{00000000-0005-0000-0000-0000D60A0000}"/>
    <cellStyle name="40% - Accent1 5 3 4 2" xfId="5971" xr:uid="{00000000-0005-0000-0000-0000D70A0000}"/>
    <cellStyle name="40% - Accent1 5 3 4 2 2" xfId="23614" xr:uid="{D53B1CC4-4754-45C6-98FB-DD08F4D615B0}"/>
    <cellStyle name="40% - Accent1 5 3 4 2 2 2" xfId="38585" xr:uid="{E03BAC99-AF79-449E-89AA-79B03B60D224}"/>
    <cellStyle name="40% - Accent1 5 3 4 2 3" xfId="30982" xr:uid="{85FECE54-78BF-4861-AF79-BCD599CDFD9E}"/>
    <cellStyle name="40% - Accent1 5 3 4 3" xfId="23613" xr:uid="{32A2D22E-A96E-420D-A19D-68E737F7B23C}"/>
    <cellStyle name="40% - Accent1 5 3 4 3 2" xfId="38584" xr:uid="{8C654BDC-8C68-4A90-A521-A64E404A2A0D}"/>
    <cellStyle name="40% - Accent1 5 3 4 4" xfId="30981" xr:uid="{AAEDF222-38FD-4ED5-BCAD-6ED4CFF4D38C}"/>
    <cellStyle name="40% - Accent1 5 3 5" xfId="5972" xr:uid="{00000000-0005-0000-0000-0000D80A0000}"/>
    <cellStyle name="40% - Accent1 5 3 5 2" xfId="23615" xr:uid="{62BA8624-54FC-4943-998E-1D985408C27C}"/>
    <cellStyle name="40% - Accent1 5 3 5 2 2" xfId="38586" xr:uid="{3984BB39-2D88-4C0E-A4DA-DB05471FF70C}"/>
    <cellStyle name="40% - Accent1 5 3 5 3" xfId="30983" xr:uid="{0826B57C-506F-47DF-BA3C-2D85E5892C59}"/>
    <cellStyle name="40% - Accent1 5 3 6" xfId="23608" xr:uid="{01996984-C3C2-4FFC-AE11-FFB7A5B8F3F4}"/>
    <cellStyle name="40% - Accent1 5 3 6 2" xfId="38579" xr:uid="{A0862639-89CC-441A-9B69-6431AC271C2E}"/>
    <cellStyle name="40% - Accent1 5 3 7" xfId="30976" xr:uid="{D2E6CA11-881C-4E8B-8A93-B7268EC9C77C}"/>
    <cellStyle name="40% - Accent1 5 4" xfId="5973" xr:uid="{00000000-0005-0000-0000-0000D90A0000}"/>
    <cellStyle name="40% - Accent1 5 4 2" xfId="5974" xr:uid="{00000000-0005-0000-0000-0000DA0A0000}"/>
    <cellStyle name="40% - Accent1 5 4 2 2" xfId="5975" xr:uid="{00000000-0005-0000-0000-0000DB0A0000}"/>
    <cellStyle name="40% - Accent1 5 4 2 2 2" xfId="23618" xr:uid="{0DEC7E32-FD33-4094-9412-9CC2D67B9992}"/>
    <cellStyle name="40% - Accent1 5 4 2 2 2 2" xfId="38589" xr:uid="{E1A7E8C0-9591-4E6C-95DB-FDFEAFB9AE3B}"/>
    <cellStyle name="40% - Accent1 5 4 2 2 3" xfId="30986" xr:uid="{20846723-5524-4608-9339-E0C3FC6EF440}"/>
    <cellStyle name="40% - Accent1 5 4 2 3" xfId="5976" xr:uid="{00000000-0005-0000-0000-0000DC0A0000}"/>
    <cellStyle name="40% - Accent1 5 4 2 3 2" xfId="23619" xr:uid="{157313A6-6AEC-4A92-BD54-382B6686A276}"/>
    <cellStyle name="40% - Accent1 5 4 2 3 2 2" xfId="38590" xr:uid="{07E3B0A9-BEFA-4CD0-88F2-828303C8B514}"/>
    <cellStyle name="40% - Accent1 5 4 2 3 3" xfId="30987" xr:uid="{6B086F87-B86A-4CEA-8786-424B1BF37C90}"/>
    <cellStyle name="40% - Accent1 5 4 2 4" xfId="23617" xr:uid="{ADEB9A9B-D3BB-495F-8859-9988E2A6E2EC}"/>
    <cellStyle name="40% - Accent1 5 4 2 4 2" xfId="38588" xr:uid="{55E9E440-2A9C-4E9F-A5F2-20DF7131EC9F}"/>
    <cellStyle name="40% - Accent1 5 4 2 5" xfId="30985" xr:uid="{99CDE819-185D-4E37-BABB-A9EB37B4CAFA}"/>
    <cellStyle name="40% - Accent1 5 4 3" xfId="5977" xr:uid="{00000000-0005-0000-0000-0000DD0A0000}"/>
    <cellStyle name="40% - Accent1 5 4 3 2" xfId="5978" xr:uid="{00000000-0005-0000-0000-0000DE0A0000}"/>
    <cellStyle name="40% - Accent1 5 4 3 2 2" xfId="23621" xr:uid="{FE1BFE11-6B33-4185-A223-34D24999A2B8}"/>
    <cellStyle name="40% - Accent1 5 4 3 2 2 2" xfId="38592" xr:uid="{2AF6D303-BEB2-4764-A304-95FF0DBFE635}"/>
    <cellStyle name="40% - Accent1 5 4 3 2 3" xfId="30989" xr:uid="{E62A7BA7-B9C6-4F07-9F3E-D4E62383D418}"/>
    <cellStyle name="40% - Accent1 5 4 3 3" xfId="23620" xr:uid="{49CBF39E-FD29-49D0-AD24-DA73176181F4}"/>
    <cellStyle name="40% - Accent1 5 4 3 3 2" xfId="38591" xr:uid="{11C4C253-897C-4438-8367-6AE055CB7261}"/>
    <cellStyle name="40% - Accent1 5 4 3 4" xfId="30988" xr:uid="{B2502334-546C-4245-A4B1-754E2F2893E2}"/>
    <cellStyle name="40% - Accent1 5 4 4" xfId="5979" xr:uid="{00000000-0005-0000-0000-0000DF0A0000}"/>
    <cellStyle name="40% - Accent1 5 4 4 2" xfId="23622" xr:uid="{A5B4A5AD-BAE2-4A39-A306-6C791E66ABEE}"/>
    <cellStyle name="40% - Accent1 5 4 4 2 2" xfId="38593" xr:uid="{20E0066E-D91E-43F6-BC08-F1E92058CC9E}"/>
    <cellStyle name="40% - Accent1 5 4 4 3" xfId="30990" xr:uid="{C6B1A383-0AEB-4AD9-A2F2-53C4993A3016}"/>
    <cellStyle name="40% - Accent1 5 4 5" xfId="23616" xr:uid="{FE1C5FC5-4280-4896-988F-8029CFB68FE0}"/>
    <cellStyle name="40% - Accent1 5 4 5 2" xfId="38587" xr:uid="{455791CB-5546-4C2E-A598-7314A3547315}"/>
    <cellStyle name="40% - Accent1 5 4 6" xfId="30984" xr:uid="{37FC4815-DEF4-45E6-9BFB-23D5EC6E6CC6}"/>
    <cellStyle name="40% - Accent1 5 5" xfId="5980" xr:uid="{00000000-0005-0000-0000-0000E00A0000}"/>
    <cellStyle name="40% - Accent1 5 5 2" xfId="5981" xr:uid="{00000000-0005-0000-0000-0000E10A0000}"/>
    <cellStyle name="40% - Accent1 5 5 2 2" xfId="23624" xr:uid="{8AD9EF08-75ED-4807-AF6D-9B966AAA9FCD}"/>
    <cellStyle name="40% - Accent1 5 5 2 2 2" xfId="38595" xr:uid="{628C2294-1C53-4214-9BF8-CAA39D5E4A7F}"/>
    <cellStyle name="40% - Accent1 5 5 2 3" xfId="30992" xr:uid="{CB8BBAD7-778A-4609-B34A-73AB83C8B2FF}"/>
    <cellStyle name="40% - Accent1 5 5 3" xfId="5982" xr:uid="{00000000-0005-0000-0000-0000E20A0000}"/>
    <cellStyle name="40% - Accent1 5 5 3 2" xfId="23625" xr:uid="{5E5AD8AD-47A0-474F-86A5-8952E7D37E76}"/>
    <cellStyle name="40% - Accent1 5 5 3 2 2" xfId="38596" xr:uid="{818147D9-A003-4937-9184-0377259AFEBD}"/>
    <cellStyle name="40% - Accent1 5 5 3 3" xfId="30993" xr:uid="{E4A85A2E-B79C-4958-BCAF-024F3D1CB347}"/>
    <cellStyle name="40% - Accent1 5 5 4" xfId="23623" xr:uid="{7C026805-DC07-4101-B71A-924F7C80696B}"/>
    <cellStyle name="40% - Accent1 5 5 4 2" xfId="38594" xr:uid="{918F69FF-9B43-48B3-88BD-6B08FC2AB86F}"/>
    <cellStyle name="40% - Accent1 5 5 5" xfId="30991" xr:uid="{B54828AD-35BB-4798-9A23-AD14B0F25451}"/>
    <cellStyle name="40% - Accent1 5 6" xfId="5983" xr:uid="{00000000-0005-0000-0000-0000E30A0000}"/>
    <cellStyle name="40% - Accent1 5 6 2" xfId="23626" xr:uid="{F6BB8A16-0CF3-4EFE-939B-9F97DDE3D840}"/>
    <cellStyle name="40% - Accent1 5 6 2 2" xfId="38597" xr:uid="{05F95746-BB79-4CC8-B5C1-B5644B6C7616}"/>
    <cellStyle name="40% - Accent1 5 6 3" xfId="30994" xr:uid="{B7525C24-EB64-4C44-87E6-5F27B44B94FF}"/>
    <cellStyle name="40% - Accent1 5 7" xfId="5984" xr:uid="{00000000-0005-0000-0000-0000E40A0000}"/>
    <cellStyle name="40% - Accent1 5 7 2" xfId="5985" xr:uid="{00000000-0005-0000-0000-0000E50A0000}"/>
    <cellStyle name="40% - Accent1 5 7 2 2" xfId="23628" xr:uid="{32451BCF-93AA-49E0-8198-988CBAC81226}"/>
    <cellStyle name="40% - Accent1 5 7 2 2 2" xfId="38599" xr:uid="{CC4771D8-FFBB-4195-9D5B-B652F21E5026}"/>
    <cellStyle name="40% - Accent1 5 7 2 3" xfId="30996" xr:uid="{2BC813D8-DF33-44DA-BE4D-22D8922EA6C4}"/>
    <cellStyle name="40% - Accent1 5 7 3" xfId="23627" xr:uid="{0B71D498-2619-4BAB-9EE9-E1B68D72E8FC}"/>
    <cellStyle name="40% - Accent1 5 7 3 2" xfId="38598" xr:uid="{44628844-BCF7-4E5E-B08F-3EE9EEB27443}"/>
    <cellStyle name="40% - Accent1 5 7 4" xfId="30995" xr:uid="{CCD7EC64-4E63-46E7-9F32-EDDE886587C4}"/>
    <cellStyle name="40% - Accent1 5 8" xfId="5986" xr:uid="{00000000-0005-0000-0000-0000E60A0000}"/>
    <cellStyle name="40% - Accent1 5 8 2" xfId="23629" xr:uid="{6265E112-8522-4DC0-8AD9-5978792355C4}"/>
    <cellStyle name="40% - Accent1 5 8 2 2" xfId="38600" xr:uid="{B5E7B7E8-A521-44CD-9710-580F3230B743}"/>
    <cellStyle name="40% - Accent1 5 8 3" xfId="30997" xr:uid="{43EAD700-5CC7-41F9-AE47-8AAA8AB1B70D}"/>
    <cellStyle name="40% - Accent1 5 9" xfId="5939" xr:uid="{00000000-0005-0000-0000-0000B70A0000}"/>
    <cellStyle name="40% - Accent1 5 9 2" xfId="23584" xr:uid="{16CB8D94-94C4-45DA-A460-FFD389679010}"/>
    <cellStyle name="40% - Accent1 5 9 2 2" xfId="38555" xr:uid="{9C8509C3-19A4-4E7B-80B7-BD1B94AB92E5}"/>
    <cellStyle name="40% - Accent1 5 9 3" xfId="30952" xr:uid="{A058D767-BA6A-43C7-A142-B4403D04EEAD}"/>
    <cellStyle name="40% - Accent1 6" xfId="225" xr:uid="{00000000-0005-0000-0000-000040000000}"/>
    <cellStyle name="40% - Accent1 6 2" xfId="5987" xr:uid="{00000000-0005-0000-0000-0000E80A0000}"/>
    <cellStyle name="40% - Accent1 6 2 2" xfId="5988" xr:uid="{00000000-0005-0000-0000-0000E90A0000}"/>
    <cellStyle name="40% - Accent1 6 2 2 2" xfId="5989" xr:uid="{00000000-0005-0000-0000-0000EA0A0000}"/>
    <cellStyle name="40% - Accent1 6 2 2 2 2" xfId="5990" xr:uid="{00000000-0005-0000-0000-0000EB0A0000}"/>
    <cellStyle name="40% - Accent1 6 2 2 2 2 2" xfId="23633" xr:uid="{25C01118-206B-4D75-A396-E22504C40412}"/>
    <cellStyle name="40% - Accent1 6 2 2 2 2 2 2" xfId="38604" xr:uid="{6A523416-56A8-4490-8E32-DF4DF21F5540}"/>
    <cellStyle name="40% - Accent1 6 2 2 2 2 3" xfId="31001" xr:uid="{AB4F0A59-0DBD-49ED-BD0C-9356B851E4D4}"/>
    <cellStyle name="40% - Accent1 6 2 2 2 3" xfId="5991" xr:uid="{00000000-0005-0000-0000-0000EC0A0000}"/>
    <cellStyle name="40% - Accent1 6 2 2 2 3 2" xfId="23634" xr:uid="{324E455B-A91C-4754-BBF8-C5E8F52B015A}"/>
    <cellStyle name="40% - Accent1 6 2 2 2 3 2 2" xfId="38605" xr:uid="{B732BD88-50BF-40E0-A6AB-00E25E108F1E}"/>
    <cellStyle name="40% - Accent1 6 2 2 2 3 3" xfId="31002" xr:uid="{BB6251A4-B831-4ABD-97E0-DD0F2EDD4597}"/>
    <cellStyle name="40% - Accent1 6 2 2 2 4" xfId="23632" xr:uid="{AA7AC2CE-C56A-4BAF-A765-3191F0722193}"/>
    <cellStyle name="40% - Accent1 6 2 2 2 4 2" xfId="38603" xr:uid="{B4F619A8-C46E-4C2F-BBC7-F88212EC97A5}"/>
    <cellStyle name="40% - Accent1 6 2 2 2 5" xfId="31000" xr:uid="{1182DE5C-E736-4314-9631-7D758EC1B18F}"/>
    <cellStyle name="40% - Accent1 6 2 2 3" xfId="5992" xr:uid="{00000000-0005-0000-0000-0000ED0A0000}"/>
    <cellStyle name="40% - Accent1 6 2 2 3 2" xfId="5993" xr:uid="{00000000-0005-0000-0000-0000EE0A0000}"/>
    <cellStyle name="40% - Accent1 6 2 2 3 2 2" xfId="23636" xr:uid="{939944C0-FABA-4A2F-8A59-6286239C96AB}"/>
    <cellStyle name="40% - Accent1 6 2 2 3 2 2 2" xfId="38607" xr:uid="{55B7BB02-2EAF-4D23-9202-D101B3AD9C0B}"/>
    <cellStyle name="40% - Accent1 6 2 2 3 2 3" xfId="31004" xr:uid="{8E142AC1-BE33-46CC-BA96-EA64E277DD58}"/>
    <cellStyle name="40% - Accent1 6 2 2 3 3" xfId="23635" xr:uid="{A0E14CCC-AF25-42E1-A3A3-0129AAC89122}"/>
    <cellStyle name="40% - Accent1 6 2 2 3 3 2" xfId="38606" xr:uid="{95D5CD40-7402-4459-89F1-94534369B2F4}"/>
    <cellStyle name="40% - Accent1 6 2 2 3 4" xfId="31003" xr:uid="{51F49AE9-BB10-4153-B4B4-9FB3FB07C7A6}"/>
    <cellStyle name="40% - Accent1 6 2 2 4" xfId="5994" xr:uid="{00000000-0005-0000-0000-0000EF0A0000}"/>
    <cellStyle name="40% - Accent1 6 2 2 4 2" xfId="23637" xr:uid="{6FC2895B-B0B7-4796-8981-A438456ECAFF}"/>
    <cellStyle name="40% - Accent1 6 2 2 4 2 2" xfId="38608" xr:uid="{6D566D8D-D91B-410C-B659-EA7736BF739D}"/>
    <cellStyle name="40% - Accent1 6 2 2 4 3" xfId="31005" xr:uid="{2BDC86B8-DE16-42AF-81B6-5E3DE28934EF}"/>
    <cellStyle name="40% - Accent1 6 2 2 5" xfId="23631" xr:uid="{2E296468-353D-4309-912D-8480232224C6}"/>
    <cellStyle name="40% - Accent1 6 2 2 5 2" xfId="38602" xr:uid="{6F68E237-3567-440C-A956-ED13F251015B}"/>
    <cellStyle name="40% - Accent1 6 2 2 6" xfId="30999" xr:uid="{8EB89B95-C388-436B-A47B-813E7FFBE08A}"/>
    <cellStyle name="40% - Accent1 6 2 3" xfId="5995" xr:uid="{00000000-0005-0000-0000-0000F00A0000}"/>
    <cellStyle name="40% - Accent1 6 2 3 2" xfId="5996" xr:uid="{00000000-0005-0000-0000-0000F10A0000}"/>
    <cellStyle name="40% - Accent1 6 2 3 2 2" xfId="23639" xr:uid="{7C6A8186-BEFE-4D1F-BD07-C818CBA9FFEE}"/>
    <cellStyle name="40% - Accent1 6 2 3 2 2 2" xfId="38610" xr:uid="{66FFA799-435C-446C-AD67-07CA134D4214}"/>
    <cellStyle name="40% - Accent1 6 2 3 2 3" xfId="31007" xr:uid="{294E0B37-48C5-45F3-A197-2AA728637D11}"/>
    <cellStyle name="40% - Accent1 6 2 3 3" xfId="5997" xr:uid="{00000000-0005-0000-0000-0000F20A0000}"/>
    <cellStyle name="40% - Accent1 6 2 3 3 2" xfId="23640" xr:uid="{D8F5ED00-047A-45DB-90F2-67D5EA802432}"/>
    <cellStyle name="40% - Accent1 6 2 3 3 2 2" xfId="38611" xr:uid="{AFCBD2D0-55A8-46E4-9C69-87F16AB93D00}"/>
    <cellStyle name="40% - Accent1 6 2 3 3 3" xfId="31008" xr:uid="{6DBD91CF-4382-4C8D-ACC4-5085F0AE464C}"/>
    <cellStyle name="40% - Accent1 6 2 3 4" xfId="23638" xr:uid="{561356FC-8F35-4279-B2E5-EC88B90E5898}"/>
    <cellStyle name="40% - Accent1 6 2 3 4 2" xfId="38609" xr:uid="{8FCD55AC-8809-4E0F-9367-0B7592E087A0}"/>
    <cellStyle name="40% - Accent1 6 2 3 5" xfId="31006" xr:uid="{4D935DC4-7E92-4EF6-8D38-7905B0033197}"/>
    <cellStyle name="40% - Accent1 6 2 4" xfId="5998" xr:uid="{00000000-0005-0000-0000-0000F30A0000}"/>
    <cellStyle name="40% - Accent1 6 2 4 2" xfId="23641" xr:uid="{2D7D740F-FC9E-4F06-82AE-405C0E644583}"/>
    <cellStyle name="40% - Accent1 6 2 4 2 2" xfId="38612" xr:uid="{EF2FB24A-6240-4F82-A762-1A6B2200F739}"/>
    <cellStyle name="40% - Accent1 6 2 4 3" xfId="31009" xr:uid="{7720DE7E-240F-4A45-BFD5-EAC72CC11B3D}"/>
    <cellStyle name="40% - Accent1 6 2 5" xfId="5999" xr:uid="{00000000-0005-0000-0000-0000F40A0000}"/>
    <cellStyle name="40% - Accent1 6 2 5 2" xfId="6000" xr:uid="{00000000-0005-0000-0000-0000F50A0000}"/>
    <cellStyle name="40% - Accent1 6 2 5 2 2" xfId="23643" xr:uid="{68C00B80-D395-480D-9C8D-CC84CA9CBE6E}"/>
    <cellStyle name="40% - Accent1 6 2 5 2 2 2" xfId="38614" xr:uid="{393F284D-7F93-4F55-878C-C6B80957E748}"/>
    <cellStyle name="40% - Accent1 6 2 5 2 3" xfId="31011" xr:uid="{347860A5-BE2F-4106-82EA-9A293F562013}"/>
    <cellStyle name="40% - Accent1 6 2 5 3" xfId="23642" xr:uid="{74C6E816-6AC6-42D6-A28E-1DD7ECD4AD80}"/>
    <cellStyle name="40% - Accent1 6 2 5 3 2" xfId="38613" xr:uid="{26E9AFDF-4AF3-4F6E-8FCF-61B0060418D3}"/>
    <cellStyle name="40% - Accent1 6 2 5 4" xfId="31010" xr:uid="{74721380-39EE-4DEE-BBE8-BDB0315B075F}"/>
    <cellStyle name="40% - Accent1 6 2 6" xfId="6001" xr:uid="{00000000-0005-0000-0000-0000F60A0000}"/>
    <cellStyle name="40% - Accent1 6 2 6 2" xfId="23644" xr:uid="{07C770FE-5300-4E59-B6CF-E3ECC11902FC}"/>
    <cellStyle name="40% - Accent1 6 2 6 2 2" xfId="38615" xr:uid="{AA0B1F17-299B-4872-A1DB-C3C52F827A07}"/>
    <cellStyle name="40% - Accent1 6 2 6 3" xfId="31012" xr:uid="{19C93FBB-5800-410F-9587-5A89FE57E3F9}"/>
    <cellStyle name="40% - Accent1 6 2 7" xfId="23630" xr:uid="{F4BAB53E-AFB5-437D-BD52-9DB269D5D2DE}"/>
    <cellStyle name="40% - Accent1 6 2 7 2" xfId="38601" xr:uid="{F7C31F45-F7AC-4E6E-834C-ED5B46BC8FE2}"/>
    <cellStyle name="40% - Accent1 6 2 8" xfId="30998" xr:uid="{78678635-C9E0-4B29-BD38-8B729252A802}"/>
    <cellStyle name="40% - Accent1 6 3" xfId="6002" xr:uid="{00000000-0005-0000-0000-0000F70A0000}"/>
    <cellStyle name="40% - Accent1 6 3 2" xfId="6003" xr:uid="{00000000-0005-0000-0000-0000F80A0000}"/>
    <cellStyle name="40% - Accent1 6 3 2 2" xfId="6004" xr:uid="{00000000-0005-0000-0000-0000F90A0000}"/>
    <cellStyle name="40% - Accent1 6 3 2 2 2" xfId="23647" xr:uid="{39FF1376-78FE-4B04-945B-CDC15F912134}"/>
    <cellStyle name="40% - Accent1 6 3 2 2 2 2" xfId="38618" xr:uid="{AC2E4B2D-189F-47AA-997A-6A8E30576F8B}"/>
    <cellStyle name="40% - Accent1 6 3 2 2 3" xfId="31015" xr:uid="{A67AD045-2414-41D0-B4DC-1CB3611FB02D}"/>
    <cellStyle name="40% - Accent1 6 3 2 3" xfId="6005" xr:uid="{00000000-0005-0000-0000-0000FA0A0000}"/>
    <cellStyle name="40% - Accent1 6 3 2 3 2" xfId="23648" xr:uid="{B410A14B-F878-49E8-9E3C-E40133F72BA6}"/>
    <cellStyle name="40% - Accent1 6 3 2 3 2 2" xfId="38619" xr:uid="{2CD6EF3F-BD13-4ED4-9B96-C67C80A697FE}"/>
    <cellStyle name="40% - Accent1 6 3 2 3 3" xfId="31016" xr:uid="{97E22EC4-156A-473F-86DE-6F7597FA2AF3}"/>
    <cellStyle name="40% - Accent1 6 3 2 4" xfId="23646" xr:uid="{6D284A5B-CBE0-4EEE-BE5F-58413EFD3132}"/>
    <cellStyle name="40% - Accent1 6 3 2 4 2" xfId="38617" xr:uid="{E6965189-88D8-4856-84A5-F299DA29D8E3}"/>
    <cellStyle name="40% - Accent1 6 3 2 5" xfId="31014" xr:uid="{08555551-F8E9-4E6B-B988-05D89A9FB514}"/>
    <cellStyle name="40% - Accent1 6 3 3" xfId="6006" xr:uid="{00000000-0005-0000-0000-0000FB0A0000}"/>
    <cellStyle name="40% - Accent1 6 3 3 2" xfId="6007" xr:uid="{00000000-0005-0000-0000-0000FC0A0000}"/>
    <cellStyle name="40% - Accent1 6 3 3 2 2" xfId="23650" xr:uid="{BAF2AB5F-6E2E-4200-BD93-7E57E13873E9}"/>
    <cellStyle name="40% - Accent1 6 3 3 2 2 2" xfId="38621" xr:uid="{8D0E8B57-E9A1-4DC8-85F2-6D459D949486}"/>
    <cellStyle name="40% - Accent1 6 3 3 2 3" xfId="31018" xr:uid="{177D04F8-DFBD-4001-8959-374FA7172A46}"/>
    <cellStyle name="40% - Accent1 6 3 3 3" xfId="23649" xr:uid="{FAA1841B-9895-4388-B3D2-5001FF08BE7C}"/>
    <cellStyle name="40% - Accent1 6 3 3 3 2" xfId="38620" xr:uid="{7A375D43-CC8C-4C5A-A82F-C9E12E0EB963}"/>
    <cellStyle name="40% - Accent1 6 3 3 4" xfId="31017" xr:uid="{CD7089AA-CB58-4016-849F-4B624327F5C3}"/>
    <cellStyle name="40% - Accent1 6 3 4" xfId="6008" xr:uid="{00000000-0005-0000-0000-0000FD0A0000}"/>
    <cellStyle name="40% - Accent1 6 3 4 2" xfId="23651" xr:uid="{02BF64C8-272C-46C3-91FC-C1806B591D07}"/>
    <cellStyle name="40% - Accent1 6 3 4 2 2" xfId="38622" xr:uid="{83C6C80A-8E3F-4B65-BBB9-4137AB2B7C5A}"/>
    <cellStyle name="40% - Accent1 6 3 4 3" xfId="31019" xr:uid="{57A52E4E-2196-4BD7-824A-75772EF57EDD}"/>
    <cellStyle name="40% - Accent1 6 3 5" xfId="23645" xr:uid="{1326BD3B-18C7-4858-8FB7-C7E719C8306B}"/>
    <cellStyle name="40% - Accent1 6 3 5 2" xfId="38616" xr:uid="{97565A17-803A-452B-885E-4BA38AF03D00}"/>
    <cellStyle name="40% - Accent1 6 3 6" xfId="31013" xr:uid="{F5C95420-98A6-4D9F-B9A9-7507CF032B2C}"/>
    <cellStyle name="40% - Accent1 6 4" xfId="6009" xr:uid="{00000000-0005-0000-0000-0000FE0A0000}"/>
    <cellStyle name="40% - Accent1 6 5" xfId="6010" xr:uid="{00000000-0005-0000-0000-0000FF0A0000}"/>
    <cellStyle name="40% - Accent1 6 5 2" xfId="23652" xr:uid="{2807AEB6-48C4-4A26-9645-8A539FDCEF4E}"/>
    <cellStyle name="40% - Accent1 6 5 2 2" xfId="38623" xr:uid="{8AAD977F-3E5B-4773-A533-B8A00B522418}"/>
    <cellStyle name="40% - Accent1 6 5 3" xfId="31020" xr:uid="{443D63EF-9909-425D-9194-3E0890BABD3B}"/>
    <cellStyle name="40% - Accent1 7" xfId="226" xr:uid="{00000000-0005-0000-0000-000041000000}"/>
    <cellStyle name="40% - Accent1 7 2" xfId="6011" xr:uid="{00000000-0005-0000-0000-0000010B0000}"/>
    <cellStyle name="40% - Accent1 7 2 2" xfId="23653" xr:uid="{DA986C04-DDB6-4E8C-9EF3-B5BBF80D4077}"/>
    <cellStyle name="40% - Accent1 7 2 2 2" xfId="38624" xr:uid="{850C2295-3B28-4026-95B6-FB8C674DD420}"/>
    <cellStyle name="40% - Accent1 7 2 3" xfId="31021" xr:uid="{C0D8DE61-A753-4EF6-875F-02E23EC36099}"/>
    <cellStyle name="40% - Accent1 7 3" xfId="6012" xr:uid="{00000000-0005-0000-0000-0000020B0000}"/>
    <cellStyle name="40% - Accent1 7 4" xfId="6013" xr:uid="{00000000-0005-0000-0000-0000030B0000}"/>
    <cellStyle name="40% - Accent1 7 4 2" xfId="23654" xr:uid="{A8AD3AAF-020D-42D3-B362-59A9F03B495B}"/>
    <cellStyle name="40% - Accent1 7 4 2 2" xfId="38625" xr:uid="{4EF2841E-3402-4C88-8052-3F1853BD8495}"/>
    <cellStyle name="40% - Accent1 7 4 3" xfId="31022" xr:uid="{BE02287C-DC8A-44F1-8FA4-8CA667056CBC}"/>
    <cellStyle name="40% - Accent1 8" xfId="6014" xr:uid="{00000000-0005-0000-0000-0000040B0000}"/>
    <cellStyle name="40% - Accent1 8 2" xfId="6015" xr:uid="{00000000-0005-0000-0000-0000050B0000}"/>
    <cellStyle name="40% - Accent1 8 2 2" xfId="6016" xr:uid="{00000000-0005-0000-0000-0000060B0000}"/>
    <cellStyle name="40% - Accent1 8 2 2 2" xfId="23657" xr:uid="{0CD79B19-5DC6-4CAB-9326-FD737E1954F3}"/>
    <cellStyle name="40% - Accent1 8 2 2 2 2" xfId="38628" xr:uid="{D3F6E7BC-411B-456C-BF60-1FE8D299A139}"/>
    <cellStyle name="40% - Accent1 8 2 2 3" xfId="31025" xr:uid="{5879CE6F-DDDA-4B3B-B01D-EF04E8D5DD97}"/>
    <cellStyle name="40% - Accent1 8 2 3" xfId="6017" xr:uid="{00000000-0005-0000-0000-0000070B0000}"/>
    <cellStyle name="40% - Accent1 8 2 3 2" xfId="6018" xr:uid="{00000000-0005-0000-0000-0000080B0000}"/>
    <cellStyle name="40% - Accent1 8 2 3 2 2" xfId="23659" xr:uid="{3359A121-C954-499D-B97D-AE1D26551409}"/>
    <cellStyle name="40% - Accent1 8 2 3 2 2 2" xfId="38630" xr:uid="{66D1C286-6293-4254-A68B-A2FE10F521CA}"/>
    <cellStyle name="40% - Accent1 8 2 3 2 3" xfId="31027" xr:uid="{5501C6CA-3522-4B5F-B691-6491D1845B31}"/>
    <cellStyle name="40% - Accent1 8 2 3 3" xfId="23658" xr:uid="{8B3CCA00-AC92-4E60-87C6-491A9FDFD83A}"/>
    <cellStyle name="40% - Accent1 8 2 3 3 2" xfId="38629" xr:uid="{C29D202A-B078-44C9-9D76-C64BD152D8BA}"/>
    <cellStyle name="40% - Accent1 8 2 3 4" xfId="31026" xr:uid="{9C62D786-1417-40C5-96DE-C711A0FCC9EB}"/>
    <cellStyle name="40% - Accent1 8 2 4" xfId="23656" xr:uid="{00B4E053-DC1D-4ECA-A49D-00ECF579614E}"/>
    <cellStyle name="40% - Accent1 8 2 4 2" xfId="38627" xr:uid="{9AE5FCC8-4F60-4B83-9E24-FD4945197710}"/>
    <cellStyle name="40% - Accent1 8 2 5" xfId="31024" xr:uid="{A09D19F4-4960-49C8-B3EC-CA303352644C}"/>
    <cellStyle name="40% - Accent1 8 3" xfId="6019" xr:uid="{00000000-0005-0000-0000-0000090B0000}"/>
    <cellStyle name="40% - Accent1 8 3 2" xfId="23660" xr:uid="{37E7CE75-A4F5-4161-8F15-17B47AA0F557}"/>
    <cellStyle name="40% - Accent1 8 3 2 2" xfId="38631" xr:uid="{DDAC05FE-D5EF-4F4A-B5B0-7A07F4FDB74C}"/>
    <cellStyle name="40% - Accent1 8 3 3" xfId="31028" xr:uid="{767C4B63-83B5-4669-90FA-66901302B639}"/>
    <cellStyle name="40% - Accent1 8 4" xfId="6020" xr:uid="{00000000-0005-0000-0000-00000A0B0000}"/>
    <cellStyle name="40% - Accent1 8 4 2" xfId="6021" xr:uid="{00000000-0005-0000-0000-00000B0B0000}"/>
    <cellStyle name="40% - Accent1 8 4 2 2" xfId="23662" xr:uid="{AA6B9E41-22FE-41D1-B2DC-2DA578F08FAE}"/>
    <cellStyle name="40% - Accent1 8 4 2 2 2" xfId="38633" xr:uid="{E8980423-4C66-420B-B187-5DB538FB2C9D}"/>
    <cellStyle name="40% - Accent1 8 4 2 3" xfId="31030" xr:uid="{1B90AD80-7607-4D95-A612-158C26EA71C1}"/>
    <cellStyle name="40% - Accent1 8 4 3" xfId="23661" xr:uid="{432712CB-34C3-471F-8A90-006D89946423}"/>
    <cellStyle name="40% - Accent1 8 4 3 2" xfId="38632" xr:uid="{B50BED65-C8E5-43DE-9C3C-81856276E0BE}"/>
    <cellStyle name="40% - Accent1 8 4 4" xfId="31029" xr:uid="{E6157FBE-C631-4069-8BA3-64D3416C6477}"/>
    <cellStyle name="40% - Accent1 8 5" xfId="6022" xr:uid="{00000000-0005-0000-0000-00000C0B0000}"/>
    <cellStyle name="40% - Accent1 8 5 2" xfId="23663" xr:uid="{798120F4-28E4-4BC3-B121-C34FB9867DD2}"/>
    <cellStyle name="40% - Accent1 8 5 2 2" xfId="38634" xr:uid="{2CEF44D9-1501-4312-8C9C-8702911E758E}"/>
    <cellStyle name="40% - Accent1 8 5 3" xfId="31031" xr:uid="{A314BB39-83C2-4BAB-A183-EE81F57A4275}"/>
    <cellStyle name="40% - Accent1 8 6" xfId="23655" xr:uid="{61F29BB2-5B61-4A10-8EBB-DA43F13EE540}"/>
    <cellStyle name="40% - Accent1 8 6 2" xfId="38626" xr:uid="{1B6B3A1C-0859-4A75-A7E4-C6C4A0183B2B}"/>
    <cellStyle name="40% - Accent1 8 7" xfId="31023" xr:uid="{0EBFBA69-B1A1-4304-956D-61DE739079F7}"/>
    <cellStyle name="40% - Accent1 9" xfId="6023" xr:uid="{00000000-0005-0000-0000-00000D0B0000}"/>
    <cellStyle name="40% - Accent1 9 2" xfId="6024" xr:uid="{00000000-0005-0000-0000-00000E0B0000}"/>
    <cellStyle name="40% - Accent1 9 2 2" xfId="6025" xr:uid="{00000000-0005-0000-0000-00000F0B0000}"/>
    <cellStyle name="40% - Accent1 9 2 2 2" xfId="23666" xr:uid="{334BF9F7-919A-4C2A-999D-6170014D6AA6}"/>
    <cellStyle name="40% - Accent1 9 2 2 2 2" xfId="38637" xr:uid="{4867FB5C-D93C-448E-B5E5-EF86DAD9017C}"/>
    <cellStyle name="40% - Accent1 9 2 2 3" xfId="31034" xr:uid="{F792E870-0156-45A1-BCE1-84ADD2DC1044}"/>
    <cellStyle name="40% - Accent1 9 2 3" xfId="6026" xr:uid="{00000000-0005-0000-0000-0000100B0000}"/>
    <cellStyle name="40% - Accent1 9 2 3 2" xfId="23667" xr:uid="{7823B5E7-7CF2-4828-9F01-926FF0C99C55}"/>
    <cellStyle name="40% - Accent1 9 2 3 2 2" xfId="38638" xr:uid="{70FA78B5-F4E8-4DE2-9814-E543B05187EB}"/>
    <cellStyle name="40% - Accent1 9 2 3 3" xfId="31035" xr:uid="{3E0B673B-44C4-433E-B5C3-F4F081D945D0}"/>
    <cellStyle name="40% - Accent1 9 2 4" xfId="23665" xr:uid="{5FFAACE5-D398-48FC-A55C-84ADD67C68F6}"/>
    <cellStyle name="40% - Accent1 9 2 4 2" xfId="38636" xr:uid="{325B2804-DA51-49DD-A235-2ABD83C89655}"/>
    <cellStyle name="40% - Accent1 9 2 5" xfId="31033" xr:uid="{2680D4B8-8D40-4FEA-AD14-D86BBFFA51EE}"/>
    <cellStyle name="40% - Accent1 9 3" xfId="6027" xr:uid="{00000000-0005-0000-0000-0000110B0000}"/>
    <cellStyle name="40% - Accent1 9 3 2" xfId="23668" xr:uid="{F0FA2ABC-CFED-45B2-8551-C39E3AC9E134}"/>
    <cellStyle name="40% - Accent1 9 3 2 2" xfId="38639" xr:uid="{B449AB3A-A954-4D07-9CB1-0E7AA3ED1176}"/>
    <cellStyle name="40% - Accent1 9 3 3" xfId="31036" xr:uid="{782DB034-4F08-461E-8FC9-F24001509464}"/>
    <cellStyle name="40% - Accent1 9 4" xfId="6028" xr:uid="{00000000-0005-0000-0000-0000120B0000}"/>
    <cellStyle name="40% - Accent1 9 4 2" xfId="6029" xr:uid="{00000000-0005-0000-0000-0000130B0000}"/>
    <cellStyle name="40% - Accent1 9 4 2 2" xfId="23670" xr:uid="{898ECAA3-90DF-497E-A418-91CBA8CFBD74}"/>
    <cellStyle name="40% - Accent1 9 4 2 2 2" xfId="38641" xr:uid="{DF9D13BB-750C-474F-9420-B70CA5C69141}"/>
    <cellStyle name="40% - Accent1 9 4 2 3" xfId="31038" xr:uid="{BBD6492E-A307-4966-8CBE-FCC8DCA9A4BC}"/>
    <cellStyle name="40% - Accent1 9 4 3" xfId="23669" xr:uid="{BA12284F-FE10-4F89-832D-9D90F4C3DAC8}"/>
    <cellStyle name="40% - Accent1 9 4 3 2" xfId="38640" xr:uid="{A2AA419B-F973-437C-8625-F6CD3124CADA}"/>
    <cellStyle name="40% - Accent1 9 4 4" xfId="31037" xr:uid="{4244EA6E-B8E3-4E7A-9C9A-487CD906261C}"/>
    <cellStyle name="40% - Accent1 9 5" xfId="6030" xr:uid="{00000000-0005-0000-0000-0000140B0000}"/>
    <cellStyle name="40% - Accent1 9 5 2" xfId="23671" xr:uid="{8D32C8CF-E52C-4FBB-B61A-C9972EA19A2F}"/>
    <cellStyle name="40% - Accent1 9 5 2 2" xfId="38642" xr:uid="{FD25AEBF-1C07-401F-8A3B-3A69C3E7A05E}"/>
    <cellStyle name="40% - Accent1 9 5 3" xfId="31039" xr:uid="{1B3EE3A2-94E3-4E74-B8D8-BFC1A9669916}"/>
    <cellStyle name="40% - Accent1 9 6" xfId="23664" xr:uid="{A40B080F-F2BB-45EE-B713-502B8CAA2474}"/>
    <cellStyle name="40% - Accent1 9 6 2" xfId="38635" xr:uid="{74660DAE-7941-468D-90AF-892D1F664A4B}"/>
    <cellStyle name="40% - Accent1 9 7" xfId="31032" xr:uid="{18DD168C-1573-4BC3-B2DE-5AAC842341F6}"/>
    <cellStyle name="40% - Accent2" xfId="87" builtinId="35" customBuiltin="1"/>
    <cellStyle name="40% - Accent2 10" xfId="6031" xr:uid="{00000000-0005-0000-0000-0000150B0000}"/>
    <cellStyle name="40% - Accent2 10 2" xfId="6032" xr:uid="{00000000-0005-0000-0000-0000160B0000}"/>
    <cellStyle name="40% - Accent2 10 2 2" xfId="6033" xr:uid="{00000000-0005-0000-0000-0000170B0000}"/>
    <cellStyle name="40% - Accent2 10 2 2 2" xfId="23674" xr:uid="{C3DB83C9-5873-4301-B930-B40C465ED0FD}"/>
    <cellStyle name="40% - Accent2 10 2 2 2 2" xfId="38645" xr:uid="{C1B6DC9F-E713-4126-87C5-6F64B706ABEE}"/>
    <cellStyle name="40% - Accent2 10 2 2 3" xfId="31042" xr:uid="{C63A8493-408F-4640-9168-348F1292E6B8}"/>
    <cellStyle name="40% - Accent2 10 2 3" xfId="6034" xr:uid="{00000000-0005-0000-0000-0000180B0000}"/>
    <cellStyle name="40% - Accent2 10 2 3 2" xfId="23675" xr:uid="{CFC71FBF-E6ED-471B-9BA3-DACCE31A254F}"/>
    <cellStyle name="40% - Accent2 10 2 3 2 2" xfId="38646" xr:uid="{E549ACF9-8F9B-45B6-B538-533DE90B3CA7}"/>
    <cellStyle name="40% - Accent2 10 2 3 3" xfId="31043" xr:uid="{FE33CD3E-15C6-4587-8B8C-27C06D0A3829}"/>
    <cellStyle name="40% - Accent2 10 2 4" xfId="23673" xr:uid="{18757DB6-0A55-45E7-AF80-09452544385F}"/>
    <cellStyle name="40% - Accent2 10 2 4 2" xfId="38644" xr:uid="{BE144287-250E-4627-8E1F-27504FAB5796}"/>
    <cellStyle name="40% - Accent2 10 2 5" xfId="31041" xr:uid="{87ECE552-D493-4DD6-932B-4A5D10F84F5B}"/>
    <cellStyle name="40% - Accent2 10 3" xfId="6035" xr:uid="{00000000-0005-0000-0000-0000190B0000}"/>
    <cellStyle name="40% - Accent2 10 3 2" xfId="23676" xr:uid="{6B1499CF-D921-4BB3-A3AA-D23410ED8817}"/>
    <cellStyle name="40% - Accent2 10 3 2 2" xfId="38647" xr:uid="{36BB5BC9-2CB6-4BDE-A8F3-F0676939978E}"/>
    <cellStyle name="40% - Accent2 10 3 3" xfId="31044" xr:uid="{C024B592-484C-4B89-91D0-65FCF7C9D760}"/>
    <cellStyle name="40% - Accent2 10 4" xfId="6036" xr:uid="{00000000-0005-0000-0000-00001A0B0000}"/>
    <cellStyle name="40% - Accent2 10 4 2" xfId="23677" xr:uid="{1B8B00D9-6549-45DB-8DA6-8AC6210A47ED}"/>
    <cellStyle name="40% - Accent2 10 4 2 2" xfId="38648" xr:uid="{95318B4C-5BF4-4FC4-A5C7-C333B6980073}"/>
    <cellStyle name="40% - Accent2 10 4 3" xfId="31045" xr:uid="{EE6B2C69-FE13-4EAB-A4B4-E603B22B3FF8}"/>
    <cellStyle name="40% - Accent2 10 5" xfId="23672" xr:uid="{73CDBDDE-C50D-4096-AAF4-0160CFB1944D}"/>
    <cellStyle name="40% - Accent2 10 5 2" xfId="38643" xr:uid="{A89081B7-E0B3-4466-B091-E291428F4850}"/>
    <cellStyle name="40% - Accent2 10 6" xfId="31040" xr:uid="{227C5EF6-A376-484B-9169-3E602D22DB8D}"/>
    <cellStyle name="40% - Accent2 11" xfId="6037" xr:uid="{00000000-0005-0000-0000-00001B0B0000}"/>
    <cellStyle name="40% - Accent2 11 2" xfId="6038" xr:uid="{00000000-0005-0000-0000-00001C0B0000}"/>
    <cellStyle name="40% - Accent2 11 2 2" xfId="23679" xr:uid="{EEB2EB5D-948F-4938-A3FF-13EB39B96745}"/>
    <cellStyle name="40% - Accent2 11 2 2 2" xfId="38650" xr:uid="{7E10C5A0-7DB8-40E8-AF6D-9DBB3685AE46}"/>
    <cellStyle name="40% - Accent2 11 2 3" xfId="31047" xr:uid="{CFE2490A-7B4A-4BBD-A3B6-263EA0FB56A2}"/>
    <cellStyle name="40% - Accent2 11 3" xfId="6039" xr:uid="{00000000-0005-0000-0000-00001D0B0000}"/>
    <cellStyle name="40% - Accent2 11 3 2" xfId="23680" xr:uid="{32BC6943-F2F0-4AD6-A97D-062DCB537544}"/>
    <cellStyle name="40% - Accent2 11 3 2 2" xfId="38651" xr:uid="{C42222A0-A9A1-4C39-9FA7-3C47F7C70445}"/>
    <cellStyle name="40% - Accent2 11 3 3" xfId="31048" xr:uid="{C8185318-0735-4800-9006-366037024FEC}"/>
    <cellStyle name="40% - Accent2 11 4" xfId="23678" xr:uid="{2F30D285-6ED0-4DA6-AFAD-BC3EE9980B54}"/>
    <cellStyle name="40% - Accent2 11 4 2" xfId="38649" xr:uid="{5D299776-994B-4173-9EE2-BA043E10A33A}"/>
    <cellStyle name="40% - Accent2 11 5" xfId="31046" xr:uid="{6C69A43F-3709-40E9-BE79-E122CA268F93}"/>
    <cellStyle name="40% - Accent2 12" xfId="6040" xr:uid="{00000000-0005-0000-0000-00001E0B0000}"/>
    <cellStyle name="40% - Accent2 12 2" xfId="6041" xr:uid="{00000000-0005-0000-0000-00001F0B0000}"/>
    <cellStyle name="40% - Accent2 12 2 2" xfId="23682" xr:uid="{178D2B61-B59B-4C84-8E98-FD3E4BEDE453}"/>
    <cellStyle name="40% - Accent2 12 2 2 2" xfId="38653" xr:uid="{66AB86E1-54ED-4520-B559-6B6F48FF3028}"/>
    <cellStyle name="40% - Accent2 12 2 3" xfId="31050" xr:uid="{7B2ECBB6-9B06-4312-84FF-060ED340C16B}"/>
    <cellStyle name="40% - Accent2 12 3" xfId="6042" xr:uid="{00000000-0005-0000-0000-0000200B0000}"/>
    <cellStyle name="40% - Accent2 12 3 2" xfId="23683" xr:uid="{C4465289-DB4E-436B-A821-322CAFB587CB}"/>
    <cellStyle name="40% - Accent2 12 3 2 2" xfId="38654" xr:uid="{6D4253E5-A7F4-401C-B758-37460235840D}"/>
    <cellStyle name="40% - Accent2 12 3 3" xfId="31051" xr:uid="{24834FD6-719E-475A-9878-397833D98D37}"/>
    <cellStyle name="40% - Accent2 12 4" xfId="23681" xr:uid="{8D59AC67-69F2-4CC8-BFA7-A4E03B835483}"/>
    <cellStyle name="40% - Accent2 12 4 2" xfId="38652" xr:uid="{F1AD9373-34B5-4E7F-8357-5D38164AFDAA}"/>
    <cellStyle name="40% - Accent2 12 5" xfId="31049" xr:uid="{61D6DFC2-66E1-4843-A78C-5B8A90043A05}"/>
    <cellStyle name="40% - Accent2 13" xfId="6043" xr:uid="{00000000-0005-0000-0000-0000210B0000}"/>
    <cellStyle name="40% - Accent2 13 2" xfId="6044" xr:uid="{00000000-0005-0000-0000-0000220B0000}"/>
    <cellStyle name="40% - Accent2 13 2 2" xfId="23685" xr:uid="{0AD4AF86-298E-4CD9-8811-F232EC150ADB}"/>
    <cellStyle name="40% - Accent2 13 2 2 2" xfId="38656" xr:uid="{ABAEA730-35DB-4CC6-A457-3D44E6E88FDC}"/>
    <cellStyle name="40% - Accent2 13 2 3" xfId="31053" xr:uid="{AADDC696-454C-40EA-B2E1-1FD969A02DF6}"/>
    <cellStyle name="40% - Accent2 13 3" xfId="6045" xr:uid="{00000000-0005-0000-0000-0000230B0000}"/>
    <cellStyle name="40% - Accent2 13 3 2" xfId="23686" xr:uid="{3DA3AC2E-45FA-49B8-9221-8ECC271749A9}"/>
    <cellStyle name="40% - Accent2 13 3 2 2" xfId="38657" xr:uid="{5E2CAF8F-B090-47F0-B9E8-4B8906BB2A00}"/>
    <cellStyle name="40% - Accent2 13 3 3" xfId="31054" xr:uid="{ED5A9BFA-E11C-474C-9A59-2F33747E9093}"/>
    <cellStyle name="40% - Accent2 13 4" xfId="23684" xr:uid="{7170FCBC-A4CA-4CEB-B4E9-2499965BFE38}"/>
    <cellStyle name="40% - Accent2 13 4 2" xfId="38655" xr:uid="{32EA1BF9-BAF4-4C2F-AF03-6ACACA9418C7}"/>
    <cellStyle name="40% - Accent2 13 5" xfId="31052" xr:uid="{E055FCBD-21CF-4D2F-A0A5-DCEB5039D79D}"/>
    <cellStyle name="40% - Accent2 14" xfId="6046" xr:uid="{00000000-0005-0000-0000-0000240B0000}"/>
    <cellStyle name="40% - Accent2 14 2" xfId="6047" xr:uid="{00000000-0005-0000-0000-0000250B0000}"/>
    <cellStyle name="40% - Accent2 14 2 2" xfId="23687" xr:uid="{A2F70348-01D8-406D-BB0D-855E04DB0161}"/>
    <cellStyle name="40% - Accent2 14 2 2 2" xfId="38658" xr:uid="{CC73D273-AB82-4414-8C85-D86043687E6C}"/>
    <cellStyle name="40% - Accent2 14 2 3" xfId="31055" xr:uid="{92F0EC96-D5BA-4534-BF38-55E762F96855}"/>
    <cellStyle name="40% - Accent2 15" xfId="6048" xr:uid="{00000000-0005-0000-0000-0000260B0000}"/>
    <cellStyle name="40% - Accent2 15 2" xfId="23688" xr:uid="{3774DB94-E012-4144-8FDC-70E915F33641}"/>
    <cellStyle name="40% - Accent2 15 2 2" xfId="38659" xr:uid="{2D02966F-49EB-48B3-A253-71A3FC8C1229}"/>
    <cellStyle name="40% - Accent2 15 3" xfId="31056" xr:uid="{BDDAA55A-ABFF-4082-BC4B-AFA015589EE2}"/>
    <cellStyle name="40% - Accent2 16" xfId="6049" xr:uid="{00000000-0005-0000-0000-0000270B0000}"/>
    <cellStyle name="40% - Accent2 17" xfId="20646" xr:uid="{4D8B27C0-58D6-4495-9E45-9CDA0014E42B}"/>
    <cellStyle name="40% - Accent2 17 2" xfId="35647" xr:uid="{D1E7F972-B429-40AC-955A-907443CA1C3C}"/>
    <cellStyle name="40% - Accent2 18" xfId="27950" xr:uid="{FA7A71A2-AE54-497C-9B78-26C970C610A1}"/>
    <cellStyle name="40% - Accent2 2" xfId="227" xr:uid="{00000000-0005-0000-0000-000042000000}"/>
    <cellStyle name="40% - Accent2 2 2" xfId="6050" xr:uid="{00000000-0005-0000-0000-0000290B0000}"/>
    <cellStyle name="40% - Accent2 2 3" xfId="6051" xr:uid="{00000000-0005-0000-0000-00002A0B0000}"/>
    <cellStyle name="40% - Accent2 2 3 2" xfId="6052" xr:uid="{00000000-0005-0000-0000-00002B0B0000}"/>
    <cellStyle name="40% - Accent2 2 3 2 2" xfId="6053" xr:uid="{00000000-0005-0000-0000-00002C0B0000}"/>
    <cellStyle name="40% - Accent2 2 3 2 2 2" xfId="6054" xr:uid="{00000000-0005-0000-0000-00002D0B0000}"/>
    <cellStyle name="40% - Accent2 2 3 2 2 2 2" xfId="6055" xr:uid="{00000000-0005-0000-0000-00002E0B0000}"/>
    <cellStyle name="40% - Accent2 2 3 2 2 2 2 2" xfId="23693" xr:uid="{8616B1E6-37D4-4C03-A4B5-E4532E533D3F}"/>
    <cellStyle name="40% - Accent2 2 3 2 2 2 2 2 2" xfId="38664" xr:uid="{82468A56-DAE0-420F-BBB6-6AD301E34804}"/>
    <cellStyle name="40% - Accent2 2 3 2 2 2 2 3" xfId="31061" xr:uid="{3472492B-D0CB-4503-884A-714B6596962A}"/>
    <cellStyle name="40% - Accent2 2 3 2 2 2 3" xfId="6056" xr:uid="{00000000-0005-0000-0000-00002F0B0000}"/>
    <cellStyle name="40% - Accent2 2 3 2 2 2 3 2" xfId="23694" xr:uid="{BC270107-3579-4857-B11B-5C89E3377794}"/>
    <cellStyle name="40% - Accent2 2 3 2 2 2 3 2 2" xfId="38665" xr:uid="{112177F3-3765-403A-876D-BCD7FD6CB70B}"/>
    <cellStyle name="40% - Accent2 2 3 2 2 2 3 3" xfId="31062" xr:uid="{3C83A2A7-0AFA-443F-B71B-5883A7D0465E}"/>
    <cellStyle name="40% - Accent2 2 3 2 2 2 4" xfId="23692" xr:uid="{65C80FFB-99FE-46A3-A58C-FA0F5E9B9267}"/>
    <cellStyle name="40% - Accent2 2 3 2 2 2 4 2" xfId="38663" xr:uid="{196B5B21-6933-44E5-A81A-8ECF3C49BF43}"/>
    <cellStyle name="40% - Accent2 2 3 2 2 2 5" xfId="31060" xr:uid="{3ED4EF2A-B61D-413F-93C5-34F79F36A943}"/>
    <cellStyle name="40% - Accent2 2 3 2 2 3" xfId="6057" xr:uid="{00000000-0005-0000-0000-0000300B0000}"/>
    <cellStyle name="40% - Accent2 2 3 2 2 3 2" xfId="23695" xr:uid="{0AB6CB7D-D73D-4AA8-AF6D-B0CCEE4E9FF4}"/>
    <cellStyle name="40% - Accent2 2 3 2 2 3 2 2" xfId="38666" xr:uid="{59636B90-FA06-46F3-A0FA-7BD20710482B}"/>
    <cellStyle name="40% - Accent2 2 3 2 2 3 3" xfId="31063" xr:uid="{E6347143-B192-4991-A349-054621BF1AA4}"/>
    <cellStyle name="40% - Accent2 2 3 2 2 4" xfId="6058" xr:uid="{00000000-0005-0000-0000-0000310B0000}"/>
    <cellStyle name="40% - Accent2 2 3 2 2 4 2" xfId="23696" xr:uid="{076D3EB1-B35B-474E-9735-83B771BE9328}"/>
    <cellStyle name="40% - Accent2 2 3 2 2 4 2 2" xfId="38667" xr:uid="{50B0D8EA-FAC7-4877-9EEE-CCE797BE321F}"/>
    <cellStyle name="40% - Accent2 2 3 2 2 4 3" xfId="31064" xr:uid="{F77B8911-24AE-416C-8FE2-C165FECD18C9}"/>
    <cellStyle name="40% - Accent2 2 3 2 2 5" xfId="23691" xr:uid="{82955033-D774-4A49-B691-A633E819A83F}"/>
    <cellStyle name="40% - Accent2 2 3 2 2 5 2" xfId="38662" xr:uid="{155AEC95-F37F-40A0-A2A0-D3107566F7C3}"/>
    <cellStyle name="40% - Accent2 2 3 2 2 6" xfId="31059" xr:uid="{FE1081F0-0E0E-4ABE-8E6E-0152D510E1B0}"/>
    <cellStyle name="40% - Accent2 2 3 2 3" xfId="6059" xr:uid="{00000000-0005-0000-0000-0000320B0000}"/>
    <cellStyle name="40% - Accent2 2 3 2 3 2" xfId="6060" xr:uid="{00000000-0005-0000-0000-0000330B0000}"/>
    <cellStyle name="40% - Accent2 2 3 2 3 2 2" xfId="6061" xr:uid="{00000000-0005-0000-0000-0000340B0000}"/>
    <cellStyle name="40% - Accent2 2 3 2 3 2 2 2" xfId="23699" xr:uid="{ED54C947-B279-43F9-B57C-EDDAAFC10EFC}"/>
    <cellStyle name="40% - Accent2 2 3 2 3 2 2 2 2" xfId="38670" xr:uid="{E131BA74-65EC-497B-B895-2F74862545BB}"/>
    <cellStyle name="40% - Accent2 2 3 2 3 2 2 3" xfId="31067" xr:uid="{0969B189-17EB-4F85-A491-69A34C3D0693}"/>
    <cellStyle name="40% - Accent2 2 3 2 3 2 3" xfId="6062" xr:uid="{00000000-0005-0000-0000-0000350B0000}"/>
    <cellStyle name="40% - Accent2 2 3 2 3 2 3 2" xfId="23700" xr:uid="{9A6E00CE-8A0A-4D3F-BCAD-A6FF71F2031E}"/>
    <cellStyle name="40% - Accent2 2 3 2 3 2 3 2 2" xfId="38671" xr:uid="{CF4A65AA-892D-4474-AC0D-29CA871AD24D}"/>
    <cellStyle name="40% - Accent2 2 3 2 3 2 3 3" xfId="31068" xr:uid="{F05DBA74-A093-44E1-9BAE-96A446FB3076}"/>
    <cellStyle name="40% - Accent2 2 3 2 3 2 4" xfId="23698" xr:uid="{8BF49686-80B0-46A8-A0C8-9A4BF4B0B695}"/>
    <cellStyle name="40% - Accent2 2 3 2 3 2 4 2" xfId="38669" xr:uid="{6D9E39A8-6EA3-4AF0-A6BA-A2E21BBE20E2}"/>
    <cellStyle name="40% - Accent2 2 3 2 3 2 5" xfId="31066" xr:uid="{8CDA6517-9F2E-4C7E-9E37-2159725562E2}"/>
    <cellStyle name="40% - Accent2 2 3 2 3 3" xfId="6063" xr:uid="{00000000-0005-0000-0000-0000360B0000}"/>
    <cellStyle name="40% - Accent2 2 3 2 3 3 2" xfId="23701" xr:uid="{54F5474B-5523-4D9A-9081-ED5C1CA42ECF}"/>
    <cellStyle name="40% - Accent2 2 3 2 3 3 2 2" xfId="38672" xr:uid="{31A6756F-7047-4834-A5CB-F819747439C3}"/>
    <cellStyle name="40% - Accent2 2 3 2 3 3 3" xfId="31069" xr:uid="{91FAABB9-2EBD-4078-B7AE-5A9B7EB0F36D}"/>
    <cellStyle name="40% - Accent2 2 3 2 3 4" xfId="6064" xr:uid="{00000000-0005-0000-0000-0000370B0000}"/>
    <cellStyle name="40% - Accent2 2 3 2 3 4 2" xfId="23702" xr:uid="{B9A30736-A8CF-4D9F-B58B-7888120FF215}"/>
    <cellStyle name="40% - Accent2 2 3 2 3 4 2 2" xfId="38673" xr:uid="{513D34F4-416B-4402-8C50-BD17B54F1FDF}"/>
    <cellStyle name="40% - Accent2 2 3 2 3 4 3" xfId="31070" xr:uid="{6D275ADE-8D72-4879-A1E8-03FB7289F799}"/>
    <cellStyle name="40% - Accent2 2 3 2 3 5" xfId="23697" xr:uid="{B33D43DE-4D5C-44D5-9EF0-57C9B95A19E1}"/>
    <cellStyle name="40% - Accent2 2 3 2 3 5 2" xfId="38668" xr:uid="{F213CA42-1C1A-4110-B41F-E83D563E82CA}"/>
    <cellStyle name="40% - Accent2 2 3 2 3 6" xfId="31065" xr:uid="{F3F7B7A1-F096-4DD5-9B47-00610EC61272}"/>
    <cellStyle name="40% - Accent2 2 3 2 4" xfId="6065" xr:uid="{00000000-0005-0000-0000-0000380B0000}"/>
    <cellStyle name="40% - Accent2 2 3 2 4 2" xfId="6066" xr:uid="{00000000-0005-0000-0000-0000390B0000}"/>
    <cellStyle name="40% - Accent2 2 3 2 4 2 2" xfId="23704" xr:uid="{0E6C984D-0716-480C-8591-0E59E5512BB7}"/>
    <cellStyle name="40% - Accent2 2 3 2 4 2 2 2" xfId="38675" xr:uid="{C7F8CCDC-9BE2-4932-9AC1-C705D2B5835D}"/>
    <cellStyle name="40% - Accent2 2 3 2 4 2 3" xfId="31072" xr:uid="{D7B6C612-09D5-4765-98FE-138A8F177DDC}"/>
    <cellStyle name="40% - Accent2 2 3 2 4 3" xfId="6067" xr:uid="{00000000-0005-0000-0000-00003A0B0000}"/>
    <cellStyle name="40% - Accent2 2 3 2 4 3 2" xfId="23705" xr:uid="{7C92A3DE-96C2-487C-B01C-1D052C6AEC34}"/>
    <cellStyle name="40% - Accent2 2 3 2 4 3 2 2" xfId="38676" xr:uid="{7B33D6D9-6F07-444A-BD18-0A49F03F867F}"/>
    <cellStyle name="40% - Accent2 2 3 2 4 3 3" xfId="31073" xr:uid="{1F1274EC-90E2-4C93-9A53-FE259D487364}"/>
    <cellStyle name="40% - Accent2 2 3 2 4 4" xfId="23703" xr:uid="{41DE8C78-7D32-4A99-B952-115C19828633}"/>
    <cellStyle name="40% - Accent2 2 3 2 4 4 2" xfId="38674" xr:uid="{EB177365-1734-4284-889A-CECA3F4B270A}"/>
    <cellStyle name="40% - Accent2 2 3 2 4 5" xfId="31071" xr:uid="{7F131662-3A4A-4DD5-9E58-7271CB18A0EE}"/>
    <cellStyle name="40% - Accent2 2 3 2 5" xfId="6068" xr:uid="{00000000-0005-0000-0000-00003B0B0000}"/>
    <cellStyle name="40% - Accent2 2 3 2 5 2" xfId="23706" xr:uid="{4C692684-27E9-4BE2-891D-F53C9AD1675A}"/>
    <cellStyle name="40% - Accent2 2 3 2 5 2 2" xfId="38677" xr:uid="{26CDB240-EFCD-43F0-85B2-9B0EA8EAD897}"/>
    <cellStyle name="40% - Accent2 2 3 2 5 3" xfId="31074" xr:uid="{DA2AF6BD-5106-437B-AE04-3833402D34DB}"/>
    <cellStyle name="40% - Accent2 2 3 2 6" xfId="6069" xr:uid="{00000000-0005-0000-0000-00003C0B0000}"/>
    <cellStyle name="40% - Accent2 2 3 2 6 2" xfId="23707" xr:uid="{6875EBAE-25C0-409B-A2C2-5DCBC6E9DBD5}"/>
    <cellStyle name="40% - Accent2 2 3 2 6 2 2" xfId="38678" xr:uid="{C29B4446-AC06-40E0-A712-4347852205A7}"/>
    <cellStyle name="40% - Accent2 2 3 2 6 3" xfId="31075" xr:uid="{FE5A0B69-5862-469D-8974-43A2C8637BE5}"/>
    <cellStyle name="40% - Accent2 2 3 2 7" xfId="23690" xr:uid="{2976F74C-4BD3-4FC1-BE7B-C09A20A1862A}"/>
    <cellStyle name="40% - Accent2 2 3 2 7 2" xfId="38661" xr:uid="{AEB11DC4-C2E5-4BDE-8DF4-D92C0505B1F5}"/>
    <cellStyle name="40% - Accent2 2 3 2 8" xfId="31058" xr:uid="{40D6ABC3-6F2A-4867-AD07-2F72BA59946C}"/>
    <cellStyle name="40% - Accent2 2 3 3" xfId="6070" xr:uid="{00000000-0005-0000-0000-00003D0B0000}"/>
    <cellStyle name="40% - Accent2 2 3 3 2" xfId="6071" xr:uid="{00000000-0005-0000-0000-00003E0B0000}"/>
    <cellStyle name="40% - Accent2 2 3 3 2 2" xfId="6072" xr:uid="{00000000-0005-0000-0000-00003F0B0000}"/>
    <cellStyle name="40% - Accent2 2 3 3 2 2 2" xfId="23710" xr:uid="{15EFBC91-1E46-4294-985D-B0E30CB8108D}"/>
    <cellStyle name="40% - Accent2 2 3 3 2 2 2 2" xfId="38681" xr:uid="{96C7594D-51C5-402D-B115-7C58FCFB24D9}"/>
    <cellStyle name="40% - Accent2 2 3 3 2 2 3" xfId="31078" xr:uid="{AC4F3D95-BA63-4E3E-91A1-E5C805F5F24A}"/>
    <cellStyle name="40% - Accent2 2 3 3 2 3" xfId="6073" xr:uid="{00000000-0005-0000-0000-0000400B0000}"/>
    <cellStyle name="40% - Accent2 2 3 3 2 3 2" xfId="23711" xr:uid="{69A3A0D0-A650-4284-BA30-BF43FC490C9D}"/>
    <cellStyle name="40% - Accent2 2 3 3 2 3 2 2" xfId="38682" xr:uid="{C88A81B6-F9ED-4371-8527-648116F062AA}"/>
    <cellStyle name="40% - Accent2 2 3 3 2 3 3" xfId="31079" xr:uid="{DD4629BE-C2CF-41D5-9EC9-9FF0F27F001F}"/>
    <cellStyle name="40% - Accent2 2 3 3 2 4" xfId="23709" xr:uid="{0A3EF9F1-2142-4288-A50B-57F8E39FFC7F}"/>
    <cellStyle name="40% - Accent2 2 3 3 2 4 2" xfId="38680" xr:uid="{C25D0130-E9FC-4689-BF2F-BAA876957DAA}"/>
    <cellStyle name="40% - Accent2 2 3 3 2 5" xfId="31077" xr:uid="{3EB8B81D-924B-442B-9B72-03E2992DF12D}"/>
    <cellStyle name="40% - Accent2 2 3 3 3" xfId="6074" xr:uid="{00000000-0005-0000-0000-0000410B0000}"/>
    <cellStyle name="40% - Accent2 2 3 3 3 2" xfId="23712" xr:uid="{C4A866D5-E9C8-47C4-A42E-D1254F42A462}"/>
    <cellStyle name="40% - Accent2 2 3 3 3 2 2" xfId="38683" xr:uid="{2219F822-A596-43B8-AF3A-E9348841B151}"/>
    <cellStyle name="40% - Accent2 2 3 3 3 3" xfId="31080" xr:uid="{A27C4976-449B-4847-AF89-2D64AB98F3CD}"/>
    <cellStyle name="40% - Accent2 2 3 3 4" xfId="6075" xr:uid="{00000000-0005-0000-0000-0000420B0000}"/>
    <cellStyle name="40% - Accent2 2 3 3 4 2" xfId="23713" xr:uid="{DF407322-9126-403C-B99C-6BDB4F42847A}"/>
    <cellStyle name="40% - Accent2 2 3 3 4 2 2" xfId="38684" xr:uid="{D762C98F-CCD3-494E-B81E-1AFECB0C19CE}"/>
    <cellStyle name="40% - Accent2 2 3 3 4 3" xfId="31081" xr:uid="{A1742071-CC03-4661-A66A-1C5530EACED4}"/>
    <cellStyle name="40% - Accent2 2 3 3 5" xfId="23708" xr:uid="{2B1DA19F-E66D-4C23-82E5-E83730287922}"/>
    <cellStyle name="40% - Accent2 2 3 3 5 2" xfId="38679" xr:uid="{1529D835-65D9-4122-8D35-4B40A4A7523F}"/>
    <cellStyle name="40% - Accent2 2 3 3 6" xfId="31076" xr:uid="{E66B5722-407E-47EA-A3A5-F9C26934FFD3}"/>
    <cellStyle name="40% - Accent2 2 3 4" xfId="6076" xr:uid="{00000000-0005-0000-0000-0000430B0000}"/>
    <cellStyle name="40% - Accent2 2 3 4 2" xfId="6077" xr:uid="{00000000-0005-0000-0000-0000440B0000}"/>
    <cellStyle name="40% - Accent2 2 3 4 2 2" xfId="6078" xr:uid="{00000000-0005-0000-0000-0000450B0000}"/>
    <cellStyle name="40% - Accent2 2 3 4 2 2 2" xfId="23716" xr:uid="{D340BBD0-AEF3-4252-8E07-816117FB24E7}"/>
    <cellStyle name="40% - Accent2 2 3 4 2 2 2 2" xfId="38687" xr:uid="{DF434AA6-B749-4A2B-BD7D-92115AB52D32}"/>
    <cellStyle name="40% - Accent2 2 3 4 2 2 3" xfId="31084" xr:uid="{F20DE88C-E896-4A3F-ACC7-74DAD42F87D9}"/>
    <cellStyle name="40% - Accent2 2 3 4 2 3" xfId="6079" xr:uid="{00000000-0005-0000-0000-0000460B0000}"/>
    <cellStyle name="40% - Accent2 2 3 4 2 3 2" xfId="23717" xr:uid="{5B6F7C6C-3879-4AB4-B6A8-AEBF6D1F4CC9}"/>
    <cellStyle name="40% - Accent2 2 3 4 2 3 2 2" xfId="38688" xr:uid="{3651EE33-7E9E-430F-AF61-6151410096FD}"/>
    <cellStyle name="40% - Accent2 2 3 4 2 3 3" xfId="31085" xr:uid="{81A03A43-8A0B-44B7-9A3D-6090C7D85500}"/>
    <cellStyle name="40% - Accent2 2 3 4 2 4" xfId="23715" xr:uid="{DF6C5313-E4D7-4D4E-B70E-0F3210CE78CD}"/>
    <cellStyle name="40% - Accent2 2 3 4 2 4 2" xfId="38686" xr:uid="{0E2CCA86-75C3-4423-BDC7-00FE7536747C}"/>
    <cellStyle name="40% - Accent2 2 3 4 2 5" xfId="31083" xr:uid="{FE27B181-A894-406B-959E-ADE1ACE73162}"/>
    <cellStyle name="40% - Accent2 2 3 4 3" xfId="6080" xr:uid="{00000000-0005-0000-0000-0000470B0000}"/>
    <cellStyle name="40% - Accent2 2 3 4 3 2" xfId="23718" xr:uid="{D66B329A-B011-46AA-B9DF-FFAD7670F629}"/>
    <cellStyle name="40% - Accent2 2 3 4 3 2 2" xfId="38689" xr:uid="{6351229F-0B68-475E-B3AE-FB201D6A26BE}"/>
    <cellStyle name="40% - Accent2 2 3 4 3 3" xfId="31086" xr:uid="{2710B725-C820-48C0-9A05-BDA41F817CE2}"/>
    <cellStyle name="40% - Accent2 2 3 4 4" xfId="6081" xr:uid="{00000000-0005-0000-0000-0000480B0000}"/>
    <cellStyle name="40% - Accent2 2 3 4 4 2" xfId="23719" xr:uid="{D1F63B95-2983-476F-AD87-2A9FE1DEC7D1}"/>
    <cellStyle name="40% - Accent2 2 3 4 4 2 2" xfId="38690" xr:uid="{29513B04-9FF6-4D49-8C27-03CF82220BCB}"/>
    <cellStyle name="40% - Accent2 2 3 4 4 3" xfId="31087" xr:uid="{665ABE70-9E94-445D-BD53-91AB0442FA3D}"/>
    <cellStyle name="40% - Accent2 2 3 4 5" xfId="23714" xr:uid="{7E58B000-2A79-4A8B-954C-EAE4F1592AEA}"/>
    <cellStyle name="40% - Accent2 2 3 4 5 2" xfId="38685" xr:uid="{88E49C3A-21A2-49DC-BD60-FB59E4F57727}"/>
    <cellStyle name="40% - Accent2 2 3 4 6" xfId="31082" xr:uid="{DFB576D2-C82C-4400-8404-F719AADEC066}"/>
    <cellStyle name="40% - Accent2 2 3 5" xfId="6082" xr:uid="{00000000-0005-0000-0000-0000490B0000}"/>
    <cellStyle name="40% - Accent2 2 3 5 2" xfId="6083" xr:uid="{00000000-0005-0000-0000-00004A0B0000}"/>
    <cellStyle name="40% - Accent2 2 3 5 2 2" xfId="23721" xr:uid="{98C550B4-5A5D-4639-925D-F57A76DE601B}"/>
    <cellStyle name="40% - Accent2 2 3 5 2 2 2" xfId="38692" xr:uid="{85A8154C-2FFC-450A-A427-5359A161E65A}"/>
    <cellStyle name="40% - Accent2 2 3 5 2 3" xfId="31089" xr:uid="{E7434406-F566-4540-A669-64B75EEFB288}"/>
    <cellStyle name="40% - Accent2 2 3 5 3" xfId="6084" xr:uid="{00000000-0005-0000-0000-00004B0B0000}"/>
    <cellStyle name="40% - Accent2 2 3 5 3 2" xfId="23722" xr:uid="{E49B6EA3-829C-4B53-A020-7813E6A5ACA2}"/>
    <cellStyle name="40% - Accent2 2 3 5 3 2 2" xfId="38693" xr:uid="{22F8F319-E4DF-4618-89CD-B95F8D971D19}"/>
    <cellStyle name="40% - Accent2 2 3 5 3 3" xfId="31090" xr:uid="{DAA7A661-B08E-449B-93CB-6E13C30992A1}"/>
    <cellStyle name="40% - Accent2 2 3 5 4" xfId="23720" xr:uid="{55D66B86-090C-40C5-919A-E0F921DEBB7C}"/>
    <cellStyle name="40% - Accent2 2 3 5 4 2" xfId="38691" xr:uid="{999ADBBC-9CDB-4174-A5F6-F7E192F8377B}"/>
    <cellStyle name="40% - Accent2 2 3 5 5" xfId="31088" xr:uid="{D5CC6DC8-8F66-46D2-B9EF-8E623437FE54}"/>
    <cellStyle name="40% - Accent2 2 3 6" xfId="6085" xr:uid="{00000000-0005-0000-0000-00004C0B0000}"/>
    <cellStyle name="40% - Accent2 2 3 6 2" xfId="23723" xr:uid="{CDB0CC82-CFEA-40BF-A4C4-9DD24755B805}"/>
    <cellStyle name="40% - Accent2 2 3 6 2 2" xfId="38694" xr:uid="{ABB5CAA4-3299-4CE6-9CD0-5F213B549941}"/>
    <cellStyle name="40% - Accent2 2 3 6 3" xfId="31091" xr:uid="{8BB1C871-85FB-459F-B6A4-AC64D6305264}"/>
    <cellStyle name="40% - Accent2 2 3 7" xfId="6086" xr:uid="{00000000-0005-0000-0000-00004D0B0000}"/>
    <cellStyle name="40% - Accent2 2 3 7 2" xfId="23724" xr:uid="{BACE6CC6-35A8-4B0C-B3D1-A13C8403E485}"/>
    <cellStyle name="40% - Accent2 2 3 7 2 2" xfId="38695" xr:uid="{11186FBF-40FE-4E6D-A76A-411BFE4A2F57}"/>
    <cellStyle name="40% - Accent2 2 3 7 3" xfId="31092" xr:uid="{DE67832C-14A1-4C4E-8A97-67F78B7EC11A}"/>
    <cellStyle name="40% - Accent2 2 3 8" xfId="23689" xr:uid="{AD3C1F24-3760-43D6-B46C-9601CCC1D632}"/>
    <cellStyle name="40% - Accent2 2 3 8 2" xfId="38660" xr:uid="{96186354-C78C-48BD-9385-25B3ECE0C757}"/>
    <cellStyle name="40% - Accent2 2 3 9" xfId="31057" xr:uid="{809DCC90-6A1D-4557-9C2C-17C0447269FD}"/>
    <cellStyle name="40% - Accent2 2 4" xfId="6087" xr:uid="{00000000-0005-0000-0000-00004E0B0000}"/>
    <cellStyle name="40% - Accent2 2 4 2" xfId="6088" xr:uid="{00000000-0005-0000-0000-00004F0B0000}"/>
    <cellStyle name="40% - Accent2 2 4 2 2" xfId="6089" xr:uid="{00000000-0005-0000-0000-0000500B0000}"/>
    <cellStyle name="40% - Accent2 2 4 2 2 2" xfId="6090" xr:uid="{00000000-0005-0000-0000-0000510B0000}"/>
    <cellStyle name="40% - Accent2 2 4 2 2 2 2" xfId="6091" xr:uid="{00000000-0005-0000-0000-0000520B0000}"/>
    <cellStyle name="40% - Accent2 2 4 2 2 2 2 2" xfId="23729" xr:uid="{2E47A905-C3AD-4E8E-9558-C0E6978EF44F}"/>
    <cellStyle name="40% - Accent2 2 4 2 2 2 2 2 2" xfId="38700" xr:uid="{8E97CF7F-B91B-46F9-BC85-9B088AD3240D}"/>
    <cellStyle name="40% - Accent2 2 4 2 2 2 2 3" xfId="31097" xr:uid="{8B2DAB64-DB77-487C-9479-4C1606DF56C4}"/>
    <cellStyle name="40% - Accent2 2 4 2 2 2 3" xfId="6092" xr:uid="{00000000-0005-0000-0000-0000530B0000}"/>
    <cellStyle name="40% - Accent2 2 4 2 2 2 3 2" xfId="23730" xr:uid="{9001D29E-5B92-41AE-9AA4-97BBB5EDF0E6}"/>
    <cellStyle name="40% - Accent2 2 4 2 2 2 3 2 2" xfId="38701" xr:uid="{1B7E37E8-8A5D-4B95-AA69-14BB4F952FB7}"/>
    <cellStyle name="40% - Accent2 2 4 2 2 2 3 3" xfId="31098" xr:uid="{D4119826-4DD7-4545-828A-FFDCA8AF58AB}"/>
    <cellStyle name="40% - Accent2 2 4 2 2 2 4" xfId="23728" xr:uid="{F0C451E0-440C-4CA9-80D0-0070DA189D80}"/>
    <cellStyle name="40% - Accent2 2 4 2 2 2 4 2" xfId="38699" xr:uid="{7FAA1C5D-BEBC-45DD-BACC-D3B42DD08F87}"/>
    <cellStyle name="40% - Accent2 2 4 2 2 2 5" xfId="31096" xr:uid="{4DA332A8-8536-48F4-9C70-3F51450F41A1}"/>
    <cellStyle name="40% - Accent2 2 4 2 2 3" xfId="6093" xr:uid="{00000000-0005-0000-0000-0000540B0000}"/>
    <cellStyle name="40% - Accent2 2 4 2 2 3 2" xfId="23731" xr:uid="{721E1177-3BF9-432D-A15E-C67CEB382909}"/>
    <cellStyle name="40% - Accent2 2 4 2 2 3 2 2" xfId="38702" xr:uid="{F49682DB-BBA4-42A0-88D4-B80EA4427BFE}"/>
    <cellStyle name="40% - Accent2 2 4 2 2 3 3" xfId="31099" xr:uid="{F0EB0D11-C795-4576-9699-FDCE6333233E}"/>
    <cellStyle name="40% - Accent2 2 4 2 2 4" xfId="6094" xr:uid="{00000000-0005-0000-0000-0000550B0000}"/>
    <cellStyle name="40% - Accent2 2 4 2 2 4 2" xfId="23732" xr:uid="{9F8C74D8-1623-4466-BBB6-D142403157FB}"/>
    <cellStyle name="40% - Accent2 2 4 2 2 4 2 2" xfId="38703" xr:uid="{3492BAD2-64A7-4A60-80DA-77B3130ED54E}"/>
    <cellStyle name="40% - Accent2 2 4 2 2 4 3" xfId="31100" xr:uid="{6B474322-CEA5-4967-A30F-C6312F8F5126}"/>
    <cellStyle name="40% - Accent2 2 4 2 2 5" xfId="23727" xr:uid="{15B8B6D0-F10F-4FE8-80E5-668D90E7243B}"/>
    <cellStyle name="40% - Accent2 2 4 2 2 5 2" xfId="38698" xr:uid="{66EE3556-9345-44DF-B0A4-8DB45DB828DD}"/>
    <cellStyle name="40% - Accent2 2 4 2 2 6" xfId="31095" xr:uid="{5426A383-8E9E-4CFA-A902-AA390729FAB3}"/>
    <cellStyle name="40% - Accent2 2 4 2 3" xfId="6095" xr:uid="{00000000-0005-0000-0000-0000560B0000}"/>
    <cellStyle name="40% - Accent2 2 4 2 3 2" xfId="6096" xr:uid="{00000000-0005-0000-0000-0000570B0000}"/>
    <cellStyle name="40% - Accent2 2 4 2 3 2 2" xfId="6097" xr:uid="{00000000-0005-0000-0000-0000580B0000}"/>
    <cellStyle name="40% - Accent2 2 4 2 3 2 2 2" xfId="23735" xr:uid="{CD540820-F462-470F-B1B8-E3B7B9180172}"/>
    <cellStyle name="40% - Accent2 2 4 2 3 2 2 2 2" xfId="38706" xr:uid="{DFBF8BDD-C341-4834-BD9E-282654091F7A}"/>
    <cellStyle name="40% - Accent2 2 4 2 3 2 2 3" xfId="31103" xr:uid="{D13F2AD1-7D28-4E08-87EB-96409EDD729F}"/>
    <cellStyle name="40% - Accent2 2 4 2 3 2 3" xfId="6098" xr:uid="{00000000-0005-0000-0000-0000590B0000}"/>
    <cellStyle name="40% - Accent2 2 4 2 3 2 3 2" xfId="23736" xr:uid="{61332034-F011-444C-9A58-353B444EDD9D}"/>
    <cellStyle name="40% - Accent2 2 4 2 3 2 3 2 2" xfId="38707" xr:uid="{2DC29C16-0FF9-4B66-858F-5D92FED8F71E}"/>
    <cellStyle name="40% - Accent2 2 4 2 3 2 3 3" xfId="31104" xr:uid="{E3485ADD-BE4E-42AC-BCC1-76573712AAA4}"/>
    <cellStyle name="40% - Accent2 2 4 2 3 2 4" xfId="23734" xr:uid="{9DB2556B-F97B-43DC-BEDB-006452875F30}"/>
    <cellStyle name="40% - Accent2 2 4 2 3 2 4 2" xfId="38705" xr:uid="{54D98B45-7CAD-4E13-B217-BE1497A9EBB8}"/>
    <cellStyle name="40% - Accent2 2 4 2 3 2 5" xfId="31102" xr:uid="{BE5A615E-331B-44F9-BE78-A11996D9CB6A}"/>
    <cellStyle name="40% - Accent2 2 4 2 3 3" xfId="6099" xr:uid="{00000000-0005-0000-0000-00005A0B0000}"/>
    <cellStyle name="40% - Accent2 2 4 2 3 3 2" xfId="23737" xr:uid="{59D7DB51-5FC4-4F13-B7DF-2FA37C5B653E}"/>
    <cellStyle name="40% - Accent2 2 4 2 3 3 2 2" xfId="38708" xr:uid="{CF9F7D53-95D7-41D8-9A4A-6447ADDD36BB}"/>
    <cellStyle name="40% - Accent2 2 4 2 3 3 3" xfId="31105" xr:uid="{695E96E5-9075-456A-95EE-D1E27B2D96A6}"/>
    <cellStyle name="40% - Accent2 2 4 2 3 4" xfId="6100" xr:uid="{00000000-0005-0000-0000-00005B0B0000}"/>
    <cellStyle name="40% - Accent2 2 4 2 3 4 2" xfId="23738" xr:uid="{3A7BAE0C-51F4-4EA5-A6B1-29AD9B7E5DD1}"/>
    <cellStyle name="40% - Accent2 2 4 2 3 4 2 2" xfId="38709" xr:uid="{17DF717E-98F7-4817-A1FD-01179BD8CFF6}"/>
    <cellStyle name="40% - Accent2 2 4 2 3 4 3" xfId="31106" xr:uid="{756F93E9-3FDF-454D-B22A-4535CD3CD803}"/>
    <cellStyle name="40% - Accent2 2 4 2 3 5" xfId="23733" xr:uid="{6D94E887-9FF9-426B-A0E5-6CD7DFD4DED0}"/>
    <cellStyle name="40% - Accent2 2 4 2 3 5 2" xfId="38704" xr:uid="{E174DBDA-D868-4CD1-960E-387EBABD49E2}"/>
    <cellStyle name="40% - Accent2 2 4 2 3 6" xfId="31101" xr:uid="{93BC21C0-EA19-47A3-9654-A4224D8348D6}"/>
    <cellStyle name="40% - Accent2 2 4 2 4" xfId="6101" xr:uid="{00000000-0005-0000-0000-00005C0B0000}"/>
    <cellStyle name="40% - Accent2 2 4 2 4 2" xfId="6102" xr:uid="{00000000-0005-0000-0000-00005D0B0000}"/>
    <cellStyle name="40% - Accent2 2 4 2 4 2 2" xfId="23740" xr:uid="{A3ED976F-33AF-4A7D-BBA7-3E5AE58DA938}"/>
    <cellStyle name="40% - Accent2 2 4 2 4 2 2 2" xfId="38711" xr:uid="{19F2025C-F92C-4777-B0A3-35AB31FBD087}"/>
    <cellStyle name="40% - Accent2 2 4 2 4 2 3" xfId="31108" xr:uid="{FC626D2B-F663-4FEF-8A5F-02BCD85B5033}"/>
    <cellStyle name="40% - Accent2 2 4 2 4 3" xfId="6103" xr:uid="{00000000-0005-0000-0000-00005E0B0000}"/>
    <cellStyle name="40% - Accent2 2 4 2 4 3 2" xfId="23741" xr:uid="{86A2CAF8-A299-4030-AFC3-2611A8E3C9B0}"/>
    <cellStyle name="40% - Accent2 2 4 2 4 3 2 2" xfId="38712" xr:uid="{139546C7-FF79-4C74-8351-600EE0DAEF9C}"/>
    <cellStyle name="40% - Accent2 2 4 2 4 3 3" xfId="31109" xr:uid="{5211DB3E-32D1-493B-A276-BE48642A992F}"/>
    <cellStyle name="40% - Accent2 2 4 2 4 4" xfId="23739" xr:uid="{37312E49-A5A9-44B6-84BB-97B6632C0E1A}"/>
    <cellStyle name="40% - Accent2 2 4 2 4 4 2" xfId="38710" xr:uid="{CC8FE72F-3450-40A1-B538-2D0FC1D83FDA}"/>
    <cellStyle name="40% - Accent2 2 4 2 4 5" xfId="31107" xr:uid="{058F5528-BFBD-420D-840D-D5347C63D35B}"/>
    <cellStyle name="40% - Accent2 2 4 2 5" xfId="6104" xr:uid="{00000000-0005-0000-0000-00005F0B0000}"/>
    <cellStyle name="40% - Accent2 2 4 2 5 2" xfId="23742" xr:uid="{1247B07F-5536-4D23-B77E-5C9A92BFE433}"/>
    <cellStyle name="40% - Accent2 2 4 2 5 2 2" xfId="38713" xr:uid="{3D30CFF0-530B-41C1-9EF0-7925F77FEAF7}"/>
    <cellStyle name="40% - Accent2 2 4 2 5 3" xfId="31110" xr:uid="{686D60BC-0114-46EF-8F3C-8569888AEFF0}"/>
    <cellStyle name="40% - Accent2 2 4 2 6" xfId="6105" xr:uid="{00000000-0005-0000-0000-0000600B0000}"/>
    <cellStyle name="40% - Accent2 2 4 2 6 2" xfId="23743" xr:uid="{8E820F0F-B44F-4392-A0A4-084C5308355B}"/>
    <cellStyle name="40% - Accent2 2 4 2 6 2 2" xfId="38714" xr:uid="{6ACBDC30-7215-4FEE-857B-42DCAAC7E196}"/>
    <cellStyle name="40% - Accent2 2 4 2 6 3" xfId="31111" xr:uid="{25815749-E7C0-4C8F-B4C1-01E5FE3D3578}"/>
    <cellStyle name="40% - Accent2 2 4 2 7" xfId="23726" xr:uid="{D588C4F0-4A1E-4475-9C2D-0236B7775DEF}"/>
    <cellStyle name="40% - Accent2 2 4 2 7 2" xfId="38697" xr:uid="{1C927FE3-4955-4BB8-82D7-F9BF2C058CF3}"/>
    <cellStyle name="40% - Accent2 2 4 2 8" xfId="31094" xr:uid="{799878BF-0386-4057-BACE-47DB92DCB9D8}"/>
    <cellStyle name="40% - Accent2 2 4 3" xfId="6106" xr:uid="{00000000-0005-0000-0000-0000610B0000}"/>
    <cellStyle name="40% - Accent2 2 4 3 2" xfId="6107" xr:uid="{00000000-0005-0000-0000-0000620B0000}"/>
    <cellStyle name="40% - Accent2 2 4 3 2 2" xfId="6108" xr:uid="{00000000-0005-0000-0000-0000630B0000}"/>
    <cellStyle name="40% - Accent2 2 4 3 2 2 2" xfId="23746" xr:uid="{F8691406-2CF7-4D89-BEC5-20774AEBF29E}"/>
    <cellStyle name="40% - Accent2 2 4 3 2 2 2 2" xfId="38717" xr:uid="{7898A303-1BDF-42EE-A2BF-B5FB431F766B}"/>
    <cellStyle name="40% - Accent2 2 4 3 2 2 3" xfId="31114" xr:uid="{DC6F8BC2-762A-44EC-9306-C14D864CD48E}"/>
    <cellStyle name="40% - Accent2 2 4 3 2 3" xfId="6109" xr:uid="{00000000-0005-0000-0000-0000640B0000}"/>
    <cellStyle name="40% - Accent2 2 4 3 2 3 2" xfId="23747" xr:uid="{5AF3BAE3-4C20-4BB5-BDFC-E2B224FBB943}"/>
    <cellStyle name="40% - Accent2 2 4 3 2 3 2 2" xfId="38718" xr:uid="{2FBDEEE6-A897-4D27-9570-B3F9FDB7858C}"/>
    <cellStyle name="40% - Accent2 2 4 3 2 3 3" xfId="31115" xr:uid="{CA7D000F-7E5E-4BC9-B555-DAE8BD9B127D}"/>
    <cellStyle name="40% - Accent2 2 4 3 2 4" xfId="23745" xr:uid="{56868601-A8CD-4EB7-B274-42C741EF0600}"/>
    <cellStyle name="40% - Accent2 2 4 3 2 4 2" xfId="38716" xr:uid="{43CA9058-1651-4478-8457-F7D2A0969AB2}"/>
    <cellStyle name="40% - Accent2 2 4 3 2 5" xfId="31113" xr:uid="{A4BFAE6E-EDC4-49BD-9F36-4A3AEE7B3C61}"/>
    <cellStyle name="40% - Accent2 2 4 3 3" xfId="6110" xr:uid="{00000000-0005-0000-0000-0000650B0000}"/>
    <cellStyle name="40% - Accent2 2 4 3 3 2" xfId="23748" xr:uid="{512CCA1D-BDEE-41CA-942A-11042BF1BFC6}"/>
    <cellStyle name="40% - Accent2 2 4 3 3 2 2" xfId="38719" xr:uid="{B0FBB44D-86CA-48B2-93DC-1BB725BC5893}"/>
    <cellStyle name="40% - Accent2 2 4 3 3 3" xfId="31116" xr:uid="{7EE4AB1B-15A1-45CB-B910-3EC12E3CEF70}"/>
    <cellStyle name="40% - Accent2 2 4 3 4" xfId="6111" xr:uid="{00000000-0005-0000-0000-0000660B0000}"/>
    <cellStyle name="40% - Accent2 2 4 3 4 2" xfId="23749" xr:uid="{27C4A6C7-AFDB-4AA7-A8CE-B9CB6D12F68B}"/>
    <cellStyle name="40% - Accent2 2 4 3 4 2 2" xfId="38720" xr:uid="{AFC53215-BAF2-41B4-A4A2-FB1DBBF31B4B}"/>
    <cellStyle name="40% - Accent2 2 4 3 4 3" xfId="31117" xr:uid="{3ECCF670-F0B0-42C3-9FAE-B9939D442862}"/>
    <cellStyle name="40% - Accent2 2 4 3 5" xfId="23744" xr:uid="{B313B979-36EE-4163-9092-C06362A1DB0C}"/>
    <cellStyle name="40% - Accent2 2 4 3 5 2" xfId="38715" xr:uid="{6E18850E-3600-433A-AA12-D841238130B2}"/>
    <cellStyle name="40% - Accent2 2 4 3 6" xfId="31112" xr:uid="{2993FEC7-06A6-4E00-84FF-973DB0E1AD5E}"/>
    <cellStyle name="40% - Accent2 2 4 4" xfId="6112" xr:uid="{00000000-0005-0000-0000-0000670B0000}"/>
    <cellStyle name="40% - Accent2 2 4 4 2" xfId="6113" xr:uid="{00000000-0005-0000-0000-0000680B0000}"/>
    <cellStyle name="40% - Accent2 2 4 4 2 2" xfId="6114" xr:uid="{00000000-0005-0000-0000-0000690B0000}"/>
    <cellStyle name="40% - Accent2 2 4 4 2 2 2" xfId="23752" xr:uid="{14F194BF-78E3-44B2-8C04-F4FB834245E8}"/>
    <cellStyle name="40% - Accent2 2 4 4 2 2 2 2" xfId="38723" xr:uid="{4E0ED95E-522F-4240-8FE1-7C8B2A08B1F7}"/>
    <cellStyle name="40% - Accent2 2 4 4 2 2 3" xfId="31120" xr:uid="{334D7B6D-5089-42D5-921D-82755FAE89D9}"/>
    <cellStyle name="40% - Accent2 2 4 4 2 3" xfId="6115" xr:uid="{00000000-0005-0000-0000-00006A0B0000}"/>
    <cellStyle name="40% - Accent2 2 4 4 2 3 2" xfId="23753" xr:uid="{284DA470-A1DA-46A6-9F07-E10F68BE6486}"/>
    <cellStyle name="40% - Accent2 2 4 4 2 3 2 2" xfId="38724" xr:uid="{77716E35-ED35-4CF7-A055-C1150DD26C0F}"/>
    <cellStyle name="40% - Accent2 2 4 4 2 3 3" xfId="31121" xr:uid="{44A0FF3A-DD9C-488E-9840-1AB461F1C0E6}"/>
    <cellStyle name="40% - Accent2 2 4 4 2 4" xfId="23751" xr:uid="{56C5CBB4-AF13-483F-AE46-39DAF7B641DC}"/>
    <cellStyle name="40% - Accent2 2 4 4 2 4 2" xfId="38722" xr:uid="{55869A45-AEA9-4B8C-B327-A166248CCCF8}"/>
    <cellStyle name="40% - Accent2 2 4 4 2 5" xfId="31119" xr:uid="{CCBE5EDC-02D2-4C2D-9474-BEB98FFA9193}"/>
    <cellStyle name="40% - Accent2 2 4 4 3" xfId="6116" xr:uid="{00000000-0005-0000-0000-00006B0B0000}"/>
    <cellStyle name="40% - Accent2 2 4 4 3 2" xfId="23754" xr:uid="{D37A9E74-14BD-49D7-8458-2A7D2B95058E}"/>
    <cellStyle name="40% - Accent2 2 4 4 3 2 2" xfId="38725" xr:uid="{1AEEEDEB-4992-46ED-8B98-80CA3F61E674}"/>
    <cellStyle name="40% - Accent2 2 4 4 3 3" xfId="31122" xr:uid="{814CD9E9-E691-4DC2-B139-8489DE9C22DE}"/>
    <cellStyle name="40% - Accent2 2 4 4 4" xfId="6117" xr:uid="{00000000-0005-0000-0000-00006C0B0000}"/>
    <cellStyle name="40% - Accent2 2 4 4 4 2" xfId="23755" xr:uid="{2E3158DA-E1EB-4D85-9559-F127D76971E3}"/>
    <cellStyle name="40% - Accent2 2 4 4 4 2 2" xfId="38726" xr:uid="{B83B3053-1C2C-4C79-BFF0-1D42799A8C67}"/>
    <cellStyle name="40% - Accent2 2 4 4 4 3" xfId="31123" xr:uid="{0A881741-208D-4F59-A1E1-6BBDE8C1F23F}"/>
    <cellStyle name="40% - Accent2 2 4 4 5" xfId="23750" xr:uid="{7E0A677C-89D9-4332-8882-6268F49D1452}"/>
    <cellStyle name="40% - Accent2 2 4 4 5 2" xfId="38721" xr:uid="{4D3E9E1C-BA69-401C-829F-8F93EB6269DC}"/>
    <cellStyle name="40% - Accent2 2 4 4 6" xfId="31118" xr:uid="{7EC08A4E-3798-4C98-9664-559D9798EC29}"/>
    <cellStyle name="40% - Accent2 2 4 5" xfId="6118" xr:uid="{00000000-0005-0000-0000-00006D0B0000}"/>
    <cellStyle name="40% - Accent2 2 4 5 2" xfId="6119" xr:uid="{00000000-0005-0000-0000-00006E0B0000}"/>
    <cellStyle name="40% - Accent2 2 4 5 2 2" xfId="23757" xr:uid="{408C143C-D80C-47F1-9862-6A040E139F65}"/>
    <cellStyle name="40% - Accent2 2 4 5 2 2 2" xfId="38728" xr:uid="{134FF7BF-6B7F-4FD6-95F3-F3477148498E}"/>
    <cellStyle name="40% - Accent2 2 4 5 2 3" xfId="31125" xr:uid="{48BB1485-F153-4EEE-90E6-C57B006D99D8}"/>
    <cellStyle name="40% - Accent2 2 4 5 3" xfId="6120" xr:uid="{00000000-0005-0000-0000-00006F0B0000}"/>
    <cellStyle name="40% - Accent2 2 4 5 3 2" xfId="23758" xr:uid="{8BF87384-9D8E-4B9E-95C7-D052AEB7965B}"/>
    <cellStyle name="40% - Accent2 2 4 5 3 2 2" xfId="38729" xr:uid="{8FFA188C-BD73-4FC9-9389-9C757536855D}"/>
    <cellStyle name="40% - Accent2 2 4 5 3 3" xfId="31126" xr:uid="{0CD0B6D6-300B-4F47-9827-6CB6E643F1C4}"/>
    <cellStyle name="40% - Accent2 2 4 5 4" xfId="23756" xr:uid="{0DEF0F35-B84C-4CDF-B14C-EAF081E44505}"/>
    <cellStyle name="40% - Accent2 2 4 5 4 2" xfId="38727" xr:uid="{612DE720-B6C5-4604-8C24-8FEBB911BED2}"/>
    <cellStyle name="40% - Accent2 2 4 5 5" xfId="31124" xr:uid="{682F6E75-6CD3-4FCF-B641-71FC1F390C31}"/>
    <cellStyle name="40% - Accent2 2 4 6" xfId="6121" xr:uid="{00000000-0005-0000-0000-0000700B0000}"/>
    <cellStyle name="40% - Accent2 2 4 6 2" xfId="23759" xr:uid="{2AE60DC6-1B90-4262-B0BF-9A4919856116}"/>
    <cellStyle name="40% - Accent2 2 4 6 2 2" xfId="38730" xr:uid="{067070CD-E00E-4A17-83E7-5DC31F8EAEC9}"/>
    <cellStyle name="40% - Accent2 2 4 6 3" xfId="31127" xr:uid="{A21F94FC-C720-43C0-A747-92F927598A17}"/>
    <cellStyle name="40% - Accent2 2 4 7" xfId="6122" xr:uid="{00000000-0005-0000-0000-0000710B0000}"/>
    <cellStyle name="40% - Accent2 2 4 7 2" xfId="23760" xr:uid="{67EE3D69-0F21-4408-A0AE-D952ACECAE20}"/>
    <cellStyle name="40% - Accent2 2 4 7 2 2" xfId="38731" xr:uid="{D9423E37-36BE-4FD7-BCA1-D746913ACED2}"/>
    <cellStyle name="40% - Accent2 2 4 7 3" xfId="31128" xr:uid="{8FB5AB27-9730-4334-BC06-6F806BDC714B}"/>
    <cellStyle name="40% - Accent2 2 4 8" xfId="23725" xr:uid="{A8794F19-4C9D-45CD-9B5F-A80D218027D4}"/>
    <cellStyle name="40% - Accent2 2 4 8 2" xfId="38696" xr:uid="{7A25198F-DA30-456F-A5B6-E60BC833024D}"/>
    <cellStyle name="40% - Accent2 2 4 9" xfId="31093" xr:uid="{E4CB5B5F-CE80-4701-ACB4-7D92950237BD}"/>
    <cellStyle name="40% - Accent2 2 5" xfId="6123" xr:uid="{00000000-0005-0000-0000-0000720B0000}"/>
    <cellStyle name="40% - Accent2 2 5 2" xfId="6124" xr:uid="{00000000-0005-0000-0000-0000730B0000}"/>
    <cellStyle name="40% - Accent2 2 5 2 2" xfId="6125" xr:uid="{00000000-0005-0000-0000-0000740B0000}"/>
    <cellStyle name="40% - Accent2 2 5 2 2 2" xfId="6126" xr:uid="{00000000-0005-0000-0000-0000750B0000}"/>
    <cellStyle name="40% - Accent2 2 5 2 2 2 2" xfId="6127" xr:uid="{00000000-0005-0000-0000-0000760B0000}"/>
    <cellStyle name="40% - Accent2 2 5 2 2 2 2 2" xfId="23765" xr:uid="{2CFEB1E4-1B95-4664-9D80-962419CEAE76}"/>
    <cellStyle name="40% - Accent2 2 5 2 2 2 2 2 2" xfId="38736" xr:uid="{1DFF672E-CC7C-45A8-83B6-826A920FE002}"/>
    <cellStyle name="40% - Accent2 2 5 2 2 2 2 3" xfId="31133" xr:uid="{AAF8EC65-366E-4CF8-AD44-5838CE2224F0}"/>
    <cellStyle name="40% - Accent2 2 5 2 2 2 3" xfId="6128" xr:uid="{00000000-0005-0000-0000-0000770B0000}"/>
    <cellStyle name="40% - Accent2 2 5 2 2 2 3 2" xfId="23766" xr:uid="{B7B9B5B8-FE9E-4F8B-9940-8D825B1565E0}"/>
    <cellStyle name="40% - Accent2 2 5 2 2 2 3 2 2" xfId="38737" xr:uid="{6679B9CA-CB98-4D2D-AF7A-98E6F107ED25}"/>
    <cellStyle name="40% - Accent2 2 5 2 2 2 3 3" xfId="31134" xr:uid="{164FDB7B-878E-4083-8674-0C402B9F90D4}"/>
    <cellStyle name="40% - Accent2 2 5 2 2 2 4" xfId="23764" xr:uid="{660A2855-392D-4C14-8106-A1705CF870DD}"/>
    <cellStyle name="40% - Accent2 2 5 2 2 2 4 2" xfId="38735" xr:uid="{FB608B69-0AA4-4B40-98F7-FFD00705A1B7}"/>
    <cellStyle name="40% - Accent2 2 5 2 2 2 5" xfId="31132" xr:uid="{B4CB1128-64FC-4CE5-836C-968F073F9DE2}"/>
    <cellStyle name="40% - Accent2 2 5 2 2 3" xfId="6129" xr:uid="{00000000-0005-0000-0000-0000780B0000}"/>
    <cellStyle name="40% - Accent2 2 5 2 2 3 2" xfId="23767" xr:uid="{E25445B3-221A-47EB-8A6F-FE1CBF2CC27E}"/>
    <cellStyle name="40% - Accent2 2 5 2 2 3 2 2" xfId="38738" xr:uid="{5BBF0044-EC53-43C4-963C-E1C0EA677B89}"/>
    <cellStyle name="40% - Accent2 2 5 2 2 3 3" xfId="31135" xr:uid="{F73E1BB3-83A7-435D-8AED-F21313AC8AD3}"/>
    <cellStyle name="40% - Accent2 2 5 2 2 4" xfId="6130" xr:uid="{00000000-0005-0000-0000-0000790B0000}"/>
    <cellStyle name="40% - Accent2 2 5 2 2 4 2" xfId="23768" xr:uid="{02AFE4D2-53A5-497B-B1D8-CB5551B4AFD2}"/>
    <cellStyle name="40% - Accent2 2 5 2 2 4 2 2" xfId="38739" xr:uid="{ACBC18AD-D252-4546-B96E-A59AA2A97039}"/>
    <cellStyle name="40% - Accent2 2 5 2 2 4 3" xfId="31136" xr:uid="{4DC4F3C3-B919-46B4-A980-035D6D964707}"/>
    <cellStyle name="40% - Accent2 2 5 2 2 5" xfId="23763" xr:uid="{EE938327-B3B0-4D1C-8DF1-F7DFBBC40494}"/>
    <cellStyle name="40% - Accent2 2 5 2 2 5 2" xfId="38734" xr:uid="{06160F78-B459-41B1-9E5F-7556F854A33F}"/>
    <cellStyle name="40% - Accent2 2 5 2 2 6" xfId="31131" xr:uid="{1DD232B0-31FD-4766-BE92-37E6FDEA588F}"/>
    <cellStyle name="40% - Accent2 2 5 2 3" xfId="6131" xr:uid="{00000000-0005-0000-0000-00007A0B0000}"/>
    <cellStyle name="40% - Accent2 2 5 2 3 2" xfId="6132" xr:uid="{00000000-0005-0000-0000-00007B0B0000}"/>
    <cellStyle name="40% - Accent2 2 5 2 3 2 2" xfId="6133" xr:uid="{00000000-0005-0000-0000-00007C0B0000}"/>
    <cellStyle name="40% - Accent2 2 5 2 3 2 2 2" xfId="23771" xr:uid="{16923192-3702-478B-AC01-389382D2AAE3}"/>
    <cellStyle name="40% - Accent2 2 5 2 3 2 2 2 2" xfId="38742" xr:uid="{A540B564-F371-40A1-8DE2-A3AAC6B0C1F5}"/>
    <cellStyle name="40% - Accent2 2 5 2 3 2 2 3" xfId="31139" xr:uid="{ACCA97D0-E242-4D2F-9456-39827FB172C0}"/>
    <cellStyle name="40% - Accent2 2 5 2 3 2 3" xfId="6134" xr:uid="{00000000-0005-0000-0000-00007D0B0000}"/>
    <cellStyle name="40% - Accent2 2 5 2 3 2 3 2" xfId="23772" xr:uid="{53DCC625-0F6B-426E-85C1-A448C4C5D3F7}"/>
    <cellStyle name="40% - Accent2 2 5 2 3 2 3 2 2" xfId="38743" xr:uid="{985FE111-DEBD-4834-BE9B-1B4AF81F80C4}"/>
    <cellStyle name="40% - Accent2 2 5 2 3 2 3 3" xfId="31140" xr:uid="{1C894C03-A108-4C91-9413-70159C5886E7}"/>
    <cellStyle name="40% - Accent2 2 5 2 3 2 4" xfId="23770" xr:uid="{6EDE43B3-E248-4D77-B8D3-7D45F525D82F}"/>
    <cellStyle name="40% - Accent2 2 5 2 3 2 4 2" xfId="38741" xr:uid="{7D59BDA5-6AB1-4FAC-95F5-3A900347609A}"/>
    <cellStyle name="40% - Accent2 2 5 2 3 2 5" xfId="31138" xr:uid="{A3C3F404-E210-435E-9F7E-BFC12F5B0B82}"/>
    <cellStyle name="40% - Accent2 2 5 2 3 3" xfId="6135" xr:uid="{00000000-0005-0000-0000-00007E0B0000}"/>
    <cellStyle name="40% - Accent2 2 5 2 3 3 2" xfId="23773" xr:uid="{DF9751E9-EB49-401F-9409-52FD77E1687F}"/>
    <cellStyle name="40% - Accent2 2 5 2 3 3 2 2" xfId="38744" xr:uid="{E632CF9B-5E87-4196-A175-6032B57EA9E9}"/>
    <cellStyle name="40% - Accent2 2 5 2 3 3 3" xfId="31141" xr:uid="{E55AC131-D6E4-42CD-A35F-2D6212208A1E}"/>
    <cellStyle name="40% - Accent2 2 5 2 3 4" xfId="6136" xr:uid="{00000000-0005-0000-0000-00007F0B0000}"/>
    <cellStyle name="40% - Accent2 2 5 2 3 4 2" xfId="23774" xr:uid="{C4C0696B-3FBA-4A1B-8071-804D0D212B8B}"/>
    <cellStyle name="40% - Accent2 2 5 2 3 4 2 2" xfId="38745" xr:uid="{FA7BE1F8-A2C4-4390-8263-C0268D06C80E}"/>
    <cellStyle name="40% - Accent2 2 5 2 3 4 3" xfId="31142" xr:uid="{E3D323F4-657F-4A45-81C7-3255364538DF}"/>
    <cellStyle name="40% - Accent2 2 5 2 3 5" xfId="23769" xr:uid="{1F0AA748-4279-4F3B-804B-616F06E12C63}"/>
    <cellStyle name="40% - Accent2 2 5 2 3 5 2" xfId="38740" xr:uid="{0E7226B1-355F-4BA2-BB06-7EF7418086D7}"/>
    <cellStyle name="40% - Accent2 2 5 2 3 6" xfId="31137" xr:uid="{5D7AD4EC-3E27-4F15-91A3-DD7F1EA8A1ED}"/>
    <cellStyle name="40% - Accent2 2 5 2 4" xfId="6137" xr:uid="{00000000-0005-0000-0000-0000800B0000}"/>
    <cellStyle name="40% - Accent2 2 5 2 4 2" xfId="6138" xr:uid="{00000000-0005-0000-0000-0000810B0000}"/>
    <cellStyle name="40% - Accent2 2 5 2 4 2 2" xfId="23776" xr:uid="{3C21EE8A-0318-47BE-8080-278242DF4533}"/>
    <cellStyle name="40% - Accent2 2 5 2 4 2 2 2" xfId="38747" xr:uid="{CBD4E86F-2959-430C-8172-341871EA54B6}"/>
    <cellStyle name="40% - Accent2 2 5 2 4 2 3" xfId="31144" xr:uid="{4C88DAE4-6332-4B2E-A8C1-BAE2AFEA9BA2}"/>
    <cellStyle name="40% - Accent2 2 5 2 4 3" xfId="6139" xr:uid="{00000000-0005-0000-0000-0000820B0000}"/>
    <cellStyle name="40% - Accent2 2 5 2 4 3 2" xfId="23777" xr:uid="{D7F462EC-2AD1-4744-BA5F-E28410BDF786}"/>
    <cellStyle name="40% - Accent2 2 5 2 4 3 2 2" xfId="38748" xr:uid="{865DD18B-05B3-4884-BB20-7805EF1597EE}"/>
    <cellStyle name="40% - Accent2 2 5 2 4 3 3" xfId="31145" xr:uid="{F9752016-252B-4105-BE9F-5030B1DD5D48}"/>
    <cellStyle name="40% - Accent2 2 5 2 4 4" xfId="23775" xr:uid="{AF0A9A92-DE0A-4486-9235-B2980BF60E06}"/>
    <cellStyle name="40% - Accent2 2 5 2 4 4 2" xfId="38746" xr:uid="{56EBCE69-4103-41CB-B8AB-AC94E2C153BC}"/>
    <cellStyle name="40% - Accent2 2 5 2 4 5" xfId="31143" xr:uid="{8D9897EF-75DD-4407-A227-511B85A01693}"/>
    <cellStyle name="40% - Accent2 2 5 2 5" xfId="6140" xr:uid="{00000000-0005-0000-0000-0000830B0000}"/>
    <cellStyle name="40% - Accent2 2 5 2 5 2" xfId="23778" xr:uid="{131F0875-69DA-4075-842C-FC1F44BBE69F}"/>
    <cellStyle name="40% - Accent2 2 5 2 5 2 2" xfId="38749" xr:uid="{1379A759-79CD-41B1-9B48-BB58BFEC317A}"/>
    <cellStyle name="40% - Accent2 2 5 2 5 3" xfId="31146" xr:uid="{B8F8CA9A-B01C-4CCB-85A5-5F0EF2ACD6B1}"/>
    <cellStyle name="40% - Accent2 2 5 2 6" xfId="6141" xr:uid="{00000000-0005-0000-0000-0000840B0000}"/>
    <cellStyle name="40% - Accent2 2 5 2 6 2" xfId="23779" xr:uid="{BFC95FE7-062F-489E-B6FA-350FEAA9BA1B}"/>
    <cellStyle name="40% - Accent2 2 5 2 6 2 2" xfId="38750" xr:uid="{22602BF7-17BF-406C-872A-1502BDAC6056}"/>
    <cellStyle name="40% - Accent2 2 5 2 6 3" xfId="31147" xr:uid="{52C8A285-3F09-486F-A6AC-B95F019F0FC9}"/>
    <cellStyle name="40% - Accent2 2 5 2 7" xfId="23762" xr:uid="{9E157791-1170-472F-86E3-3E21BE9FF432}"/>
    <cellStyle name="40% - Accent2 2 5 2 7 2" xfId="38733" xr:uid="{6590156F-6871-4044-8FD4-E6A6C27FF4CD}"/>
    <cellStyle name="40% - Accent2 2 5 2 8" xfId="31130" xr:uid="{4CDBD586-CF72-4AE5-8764-4B556A235EE3}"/>
    <cellStyle name="40% - Accent2 2 5 3" xfId="6142" xr:uid="{00000000-0005-0000-0000-0000850B0000}"/>
    <cellStyle name="40% - Accent2 2 5 3 2" xfId="6143" xr:uid="{00000000-0005-0000-0000-0000860B0000}"/>
    <cellStyle name="40% - Accent2 2 5 3 2 2" xfId="6144" xr:uid="{00000000-0005-0000-0000-0000870B0000}"/>
    <cellStyle name="40% - Accent2 2 5 3 2 2 2" xfId="23782" xr:uid="{B4A5CCBF-1FF2-4CFE-A8E9-A5AEFECFA5C0}"/>
    <cellStyle name="40% - Accent2 2 5 3 2 2 2 2" xfId="38753" xr:uid="{E87167E0-A4E7-4DE7-84E1-5E4E39AE723B}"/>
    <cellStyle name="40% - Accent2 2 5 3 2 2 3" xfId="31150" xr:uid="{37DE24EB-43E9-4C5E-A72F-6E9FFB894CC3}"/>
    <cellStyle name="40% - Accent2 2 5 3 2 3" xfId="6145" xr:uid="{00000000-0005-0000-0000-0000880B0000}"/>
    <cellStyle name="40% - Accent2 2 5 3 2 3 2" xfId="23783" xr:uid="{82581020-430F-4618-858F-B9582040A8B5}"/>
    <cellStyle name="40% - Accent2 2 5 3 2 3 2 2" xfId="38754" xr:uid="{423988C8-B979-4FCC-8D1A-A719CA344078}"/>
    <cellStyle name="40% - Accent2 2 5 3 2 3 3" xfId="31151" xr:uid="{1636D65B-850A-41AD-91A4-B1ABDAB2084A}"/>
    <cellStyle name="40% - Accent2 2 5 3 2 4" xfId="23781" xr:uid="{4267E628-D667-45EB-BD8F-FFEC035997AA}"/>
    <cellStyle name="40% - Accent2 2 5 3 2 4 2" xfId="38752" xr:uid="{832F8602-A6BA-4578-A35B-2B79D8B0757E}"/>
    <cellStyle name="40% - Accent2 2 5 3 2 5" xfId="31149" xr:uid="{95A297B5-71AA-4A10-BE63-42A592F3057E}"/>
    <cellStyle name="40% - Accent2 2 5 3 3" xfId="6146" xr:uid="{00000000-0005-0000-0000-0000890B0000}"/>
    <cellStyle name="40% - Accent2 2 5 3 3 2" xfId="23784" xr:uid="{5C99FB58-7038-4646-9486-A524D0193EA5}"/>
    <cellStyle name="40% - Accent2 2 5 3 3 2 2" xfId="38755" xr:uid="{06E6D33B-2110-473F-B78B-52B49D9011FA}"/>
    <cellStyle name="40% - Accent2 2 5 3 3 3" xfId="31152" xr:uid="{8E5F54A9-01B2-4F2A-A30C-9007B8957941}"/>
    <cellStyle name="40% - Accent2 2 5 3 4" xfId="6147" xr:uid="{00000000-0005-0000-0000-00008A0B0000}"/>
    <cellStyle name="40% - Accent2 2 5 3 4 2" xfId="23785" xr:uid="{67105192-020B-48D2-BDD4-577BA9730AE0}"/>
    <cellStyle name="40% - Accent2 2 5 3 4 2 2" xfId="38756" xr:uid="{0DAE8504-C6E4-42B8-BEF5-88B9A872B56C}"/>
    <cellStyle name="40% - Accent2 2 5 3 4 3" xfId="31153" xr:uid="{55AE1BFF-5EEE-466E-A330-10D9808468E9}"/>
    <cellStyle name="40% - Accent2 2 5 3 5" xfId="23780" xr:uid="{C08D47E1-1B32-4975-8C46-352B858EA816}"/>
    <cellStyle name="40% - Accent2 2 5 3 5 2" xfId="38751" xr:uid="{2B2BC73E-BEC0-47A7-9C9C-008E275A5C19}"/>
    <cellStyle name="40% - Accent2 2 5 3 6" xfId="31148" xr:uid="{3FF750DB-6B39-47C4-996C-13C3A92210E2}"/>
    <cellStyle name="40% - Accent2 2 5 4" xfId="6148" xr:uid="{00000000-0005-0000-0000-00008B0B0000}"/>
    <cellStyle name="40% - Accent2 2 5 4 2" xfId="6149" xr:uid="{00000000-0005-0000-0000-00008C0B0000}"/>
    <cellStyle name="40% - Accent2 2 5 4 2 2" xfId="6150" xr:uid="{00000000-0005-0000-0000-00008D0B0000}"/>
    <cellStyle name="40% - Accent2 2 5 4 2 2 2" xfId="23788" xr:uid="{E0FA976A-9BD2-42E9-A60B-D6CDD38ECE46}"/>
    <cellStyle name="40% - Accent2 2 5 4 2 2 2 2" xfId="38759" xr:uid="{721E234F-9ABC-470F-A0DC-D42E493A677B}"/>
    <cellStyle name="40% - Accent2 2 5 4 2 2 3" xfId="31156" xr:uid="{6000EB0A-336A-4CF7-AA44-E5E36B049850}"/>
    <cellStyle name="40% - Accent2 2 5 4 2 3" xfId="6151" xr:uid="{00000000-0005-0000-0000-00008E0B0000}"/>
    <cellStyle name="40% - Accent2 2 5 4 2 3 2" xfId="23789" xr:uid="{41F05A18-6221-4708-BBC4-0D1E7924169E}"/>
    <cellStyle name="40% - Accent2 2 5 4 2 3 2 2" xfId="38760" xr:uid="{D6CA7B9D-95E5-4F53-9CC6-FD46FFA8ED8D}"/>
    <cellStyle name="40% - Accent2 2 5 4 2 3 3" xfId="31157" xr:uid="{C4CF2FA6-84D0-4B0D-8A94-F5E02CAC34A0}"/>
    <cellStyle name="40% - Accent2 2 5 4 2 4" xfId="23787" xr:uid="{40C831E2-D4AE-4964-A3E4-709F20247FB1}"/>
    <cellStyle name="40% - Accent2 2 5 4 2 4 2" xfId="38758" xr:uid="{0378D506-9F8F-457B-A805-433E31D5CC63}"/>
    <cellStyle name="40% - Accent2 2 5 4 2 5" xfId="31155" xr:uid="{5F3B1D6D-2AD3-42C4-8121-24993F321178}"/>
    <cellStyle name="40% - Accent2 2 5 4 3" xfId="6152" xr:uid="{00000000-0005-0000-0000-00008F0B0000}"/>
    <cellStyle name="40% - Accent2 2 5 4 3 2" xfId="23790" xr:uid="{95C97C6E-8178-4B07-9442-6CFDEF205036}"/>
    <cellStyle name="40% - Accent2 2 5 4 3 2 2" xfId="38761" xr:uid="{D5C00D93-D7DF-4A1F-8CD5-95229D1475E0}"/>
    <cellStyle name="40% - Accent2 2 5 4 3 3" xfId="31158" xr:uid="{4E22A703-2703-42F5-80A2-2DD06F91B337}"/>
    <cellStyle name="40% - Accent2 2 5 4 4" xfId="6153" xr:uid="{00000000-0005-0000-0000-0000900B0000}"/>
    <cellStyle name="40% - Accent2 2 5 4 4 2" xfId="23791" xr:uid="{9667AB1A-8C6C-4B6A-BCC6-8DF826AC64DE}"/>
    <cellStyle name="40% - Accent2 2 5 4 4 2 2" xfId="38762" xr:uid="{D3755C29-6D2D-4467-AC13-BB9768847618}"/>
    <cellStyle name="40% - Accent2 2 5 4 4 3" xfId="31159" xr:uid="{F3A427B8-81DE-49B0-8F08-83B9ECF7FB3D}"/>
    <cellStyle name="40% - Accent2 2 5 4 5" xfId="23786" xr:uid="{88EFE2CD-EEAF-48F1-8669-071EB81F67A3}"/>
    <cellStyle name="40% - Accent2 2 5 4 5 2" xfId="38757" xr:uid="{82B26C66-9A56-470B-8A17-303F70C73CD4}"/>
    <cellStyle name="40% - Accent2 2 5 4 6" xfId="31154" xr:uid="{D0DD58B4-70CE-487A-8A55-D04AF0ABA572}"/>
    <cellStyle name="40% - Accent2 2 5 5" xfId="6154" xr:uid="{00000000-0005-0000-0000-0000910B0000}"/>
    <cellStyle name="40% - Accent2 2 5 5 2" xfId="6155" xr:uid="{00000000-0005-0000-0000-0000920B0000}"/>
    <cellStyle name="40% - Accent2 2 5 5 2 2" xfId="23793" xr:uid="{06AE1D34-B662-48E5-9A88-951909DEF11C}"/>
    <cellStyle name="40% - Accent2 2 5 5 2 2 2" xfId="38764" xr:uid="{03E0545E-1269-46D3-B463-B4F70C48DFB2}"/>
    <cellStyle name="40% - Accent2 2 5 5 2 3" xfId="31161" xr:uid="{A7CAAF7D-6FBB-4341-B9A3-0D557663C289}"/>
    <cellStyle name="40% - Accent2 2 5 5 3" xfId="6156" xr:uid="{00000000-0005-0000-0000-0000930B0000}"/>
    <cellStyle name="40% - Accent2 2 5 5 3 2" xfId="23794" xr:uid="{1E317DFD-1DCD-43B0-B258-FE5610CD3708}"/>
    <cellStyle name="40% - Accent2 2 5 5 3 2 2" xfId="38765" xr:uid="{0FE552F3-C9E3-4096-B4A5-5C6DF0CCCF06}"/>
    <cellStyle name="40% - Accent2 2 5 5 3 3" xfId="31162" xr:uid="{CDDCF7F7-1EEE-41BB-879A-7389D0810EE9}"/>
    <cellStyle name="40% - Accent2 2 5 5 4" xfId="23792" xr:uid="{282583AE-AC2F-4488-A515-637B497DCAB1}"/>
    <cellStyle name="40% - Accent2 2 5 5 4 2" xfId="38763" xr:uid="{B5FC21C2-2F8E-48B3-A4B8-7897C7DF3634}"/>
    <cellStyle name="40% - Accent2 2 5 5 5" xfId="31160" xr:uid="{E129E437-1E51-400D-AC53-904DF02C79F4}"/>
    <cellStyle name="40% - Accent2 2 5 6" xfId="6157" xr:uid="{00000000-0005-0000-0000-0000940B0000}"/>
    <cellStyle name="40% - Accent2 2 5 6 2" xfId="23795" xr:uid="{45247E5B-940B-4F8C-84F8-7E673455F583}"/>
    <cellStyle name="40% - Accent2 2 5 6 2 2" xfId="38766" xr:uid="{509180B6-F1EA-4651-8EF7-CD3621981C52}"/>
    <cellStyle name="40% - Accent2 2 5 6 3" xfId="31163" xr:uid="{B9AE6CE6-024E-44E1-881E-A761696BC682}"/>
    <cellStyle name="40% - Accent2 2 5 7" xfId="6158" xr:uid="{00000000-0005-0000-0000-0000950B0000}"/>
    <cellStyle name="40% - Accent2 2 5 7 2" xfId="23796" xr:uid="{DE99E6FE-F9AC-4499-8F1D-20595C4B4E3D}"/>
    <cellStyle name="40% - Accent2 2 5 7 2 2" xfId="38767" xr:uid="{B102F937-AAA6-479D-96C8-611A4911BA48}"/>
    <cellStyle name="40% - Accent2 2 5 7 3" xfId="31164" xr:uid="{4ABA6D29-B7E1-4ADB-8911-1E03C9383F8E}"/>
    <cellStyle name="40% - Accent2 2 5 8" xfId="23761" xr:uid="{86295C27-EA4E-4AE3-BAD0-CF9A432C4EF9}"/>
    <cellStyle name="40% - Accent2 2 5 8 2" xfId="38732" xr:uid="{71F1E79B-2782-472B-8346-B4F7A9FD107D}"/>
    <cellStyle name="40% - Accent2 2 5 9" xfId="31129" xr:uid="{3555011F-6E96-437A-AB92-0DF7CA90295E}"/>
    <cellStyle name="40% - Accent2 2 6" xfId="6159" xr:uid="{00000000-0005-0000-0000-0000960B0000}"/>
    <cellStyle name="40% - Accent2 2 6 2" xfId="6160" xr:uid="{00000000-0005-0000-0000-0000970B0000}"/>
    <cellStyle name="40% - Accent2 2 6 2 2" xfId="6161" xr:uid="{00000000-0005-0000-0000-0000980B0000}"/>
    <cellStyle name="40% - Accent2 2 6 2 2 2" xfId="6162" xr:uid="{00000000-0005-0000-0000-0000990B0000}"/>
    <cellStyle name="40% - Accent2 2 6 2 2 2 2" xfId="6163" xr:uid="{00000000-0005-0000-0000-00009A0B0000}"/>
    <cellStyle name="40% - Accent2 2 6 2 2 2 2 2" xfId="23801" xr:uid="{5510EBAB-5137-47CE-88FD-607AB4993F78}"/>
    <cellStyle name="40% - Accent2 2 6 2 2 2 2 2 2" xfId="38772" xr:uid="{6CD92A9A-95DD-4087-8EE6-F14AC79D9BF3}"/>
    <cellStyle name="40% - Accent2 2 6 2 2 2 2 3" xfId="31169" xr:uid="{714B19FD-57CA-4E4B-84EE-6578B3A9A29F}"/>
    <cellStyle name="40% - Accent2 2 6 2 2 2 3" xfId="6164" xr:uid="{00000000-0005-0000-0000-00009B0B0000}"/>
    <cellStyle name="40% - Accent2 2 6 2 2 2 3 2" xfId="23802" xr:uid="{388268E0-5952-4DA3-AF86-2CEC99E4FD07}"/>
    <cellStyle name="40% - Accent2 2 6 2 2 2 3 2 2" xfId="38773" xr:uid="{3FD35B07-764E-4C09-9D1F-78166AA4DD56}"/>
    <cellStyle name="40% - Accent2 2 6 2 2 2 3 3" xfId="31170" xr:uid="{66C1A6E6-6B38-40DA-A845-D13237140A54}"/>
    <cellStyle name="40% - Accent2 2 6 2 2 2 4" xfId="23800" xr:uid="{4553798A-58EF-4198-BBBB-4DF0C0434270}"/>
    <cellStyle name="40% - Accent2 2 6 2 2 2 4 2" xfId="38771" xr:uid="{882A91E5-B0D8-4EEF-840F-A5B05D28DA50}"/>
    <cellStyle name="40% - Accent2 2 6 2 2 2 5" xfId="31168" xr:uid="{5C1C503A-E0BA-4B5A-AB20-CEA4FDE832DC}"/>
    <cellStyle name="40% - Accent2 2 6 2 2 3" xfId="6165" xr:uid="{00000000-0005-0000-0000-00009C0B0000}"/>
    <cellStyle name="40% - Accent2 2 6 2 2 3 2" xfId="23803" xr:uid="{0A8D4151-FFBE-433F-AA15-79A46B233169}"/>
    <cellStyle name="40% - Accent2 2 6 2 2 3 2 2" xfId="38774" xr:uid="{3BEAC219-CE38-4D51-8B86-5768C61A26E7}"/>
    <cellStyle name="40% - Accent2 2 6 2 2 3 3" xfId="31171" xr:uid="{D28F8FF9-17FB-44E6-B8E5-F316DEE82A5C}"/>
    <cellStyle name="40% - Accent2 2 6 2 2 4" xfId="6166" xr:uid="{00000000-0005-0000-0000-00009D0B0000}"/>
    <cellStyle name="40% - Accent2 2 6 2 2 4 2" xfId="23804" xr:uid="{10D4613E-D40D-4C31-9D91-602CA9DE24F7}"/>
    <cellStyle name="40% - Accent2 2 6 2 2 4 2 2" xfId="38775" xr:uid="{B0739673-DC4E-4861-8396-09B93F2F0906}"/>
    <cellStyle name="40% - Accent2 2 6 2 2 4 3" xfId="31172" xr:uid="{011761DD-939B-43CF-AEFF-BD1E7C2DC740}"/>
    <cellStyle name="40% - Accent2 2 6 2 2 5" xfId="23799" xr:uid="{D08698E7-B8F1-4810-B8F0-C8F9E417AB5D}"/>
    <cellStyle name="40% - Accent2 2 6 2 2 5 2" xfId="38770" xr:uid="{4E5EA2E3-A7EA-4444-8182-450F4B94CB0E}"/>
    <cellStyle name="40% - Accent2 2 6 2 2 6" xfId="31167" xr:uid="{6D9B2ECC-DA48-4352-92E8-C4436A58138A}"/>
    <cellStyle name="40% - Accent2 2 6 2 3" xfId="6167" xr:uid="{00000000-0005-0000-0000-00009E0B0000}"/>
    <cellStyle name="40% - Accent2 2 6 2 3 2" xfId="6168" xr:uid="{00000000-0005-0000-0000-00009F0B0000}"/>
    <cellStyle name="40% - Accent2 2 6 2 3 2 2" xfId="6169" xr:uid="{00000000-0005-0000-0000-0000A00B0000}"/>
    <cellStyle name="40% - Accent2 2 6 2 3 2 2 2" xfId="23807" xr:uid="{A778DCF0-02C3-484C-BEBF-86C64E0DC963}"/>
    <cellStyle name="40% - Accent2 2 6 2 3 2 2 2 2" xfId="38778" xr:uid="{C1664567-619E-4EA0-8882-409AB90AA667}"/>
    <cellStyle name="40% - Accent2 2 6 2 3 2 2 3" xfId="31175" xr:uid="{5E4853FD-D2E1-420D-8A4C-57887CDFE388}"/>
    <cellStyle name="40% - Accent2 2 6 2 3 2 3" xfId="6170" xr:uid="{00000000-0005-0000-0000-0000A10B0000}"/>
    <cellStyle name="40% - Accent2 2 6 2 3 2 3 2" xfId="23808" xr:uid="{89BB3D6C-59B8-4155-895E-C50FA1DDC141}"/>
    <cellStyle name="40% - Accent2 2 6 2 3 2 3 2 2" xfId="38779" xr:uid="{B53B1A77-DFDA-44F4-AAC3-203B7A61974C}"/>
    <cellStyle name="40% - Accent2 2 6 2 3 2 3 3" xfId="31176" xr:uid="{9A648ACE-A242-4DED-90C6-5E71D3969153}"/>
    <cellStyle name="40% - Accent2 2 6 2 3 2 4" xfId="23806" xr:uid="{F7567FB3-11FE-41C4-8D7F-5576BB91F06A}"/>
    <cellStyle name="40% - Accent2 2 6 2 3 2 4 2" xfId="38777" xr:uid="{96A0C9F4-B48F-44B1-8330-674648F1DE9F}"/>
    <cellStyle name="40% - Accent2 2 6 2 3 2 5" xfId="31174" xr:uid="{731D9702-582E-4240-BFB0-61E72A1E14B6}"/>
    <cellStyle name="40% - Accent2 2 6 2 3 3" xfId="6171" xr:uid="{00000000-0005-0000-0000-0000A20B0000}"/>
    <cellStyle name="40% - Accent2 2 6 2 3 3 2" xfId="23809" xr:uid="{40C4DE61-4D23-49E5-AA25-6A4FAE49445B}"/>
    <cellStyle name="40% - Accent2 2 6 2 3 3 2 2" xfId="38780" xr:uid="{7DC2BAAC-101A-4372-BF2C-C2B4EE5DB01C}"/>
    <cellStyle name="40% - Accent2 2 6 2 3 3 3" xfId="31177" xr:uid="{61F2E768-7D59-43BB-890C-A245A2585D51}"/>
    <cellStyle name="40% - Accent2 2 6 2 3 4" xfId="6172" xr:uid="{00000000-0005-0000-0000-0000A30B0000}"/>
    <cellStyle name="40% - Accent2 2 6 2 3 4 2" xfId="23810" xr:uid="{61FC1BCB-ADFF-443E-A3F8-B4ECB828B1A6}"/>
    <cellStyle name="40% - Accent2 2 6 2 3 4 2 2" xfId="38781" xr:uid="{44275D6E-A92E-4FF5-8799-D2AC7A36B278}"/>
    <cellStyle name="40% - Accent2 2 6 2 3 4 3" xfId="31178" xr:uid="{C826F3EF-390A-45F7-8C25-BF837636B22E}"/>
    <cellStyle name="40% - Accent2 2 6 2 3 5" xfId="23805" xr:uid="{6E735339-E23F-4C6D-90CA-315A3898F387}"/>
    <cellStyle name="40% - Accent2 2 6 2 3 5 2" xfId="38776" xr:uid="{84B2DEEB-EF26-4201-81D5-31D3865471ED}"/>
    <cellStyle name="40% - Accent2 2 6 2 3 6" xfId="31173" xr:uid="{D65E7498-D191-4C89-BE07-B08774AFB4C6}"/>
    <cellStyle name="40% - Accent2 2 6 2 4" xfId="6173" xr:uid="{00000000-0005-0000-0000-0000A40B0000}"/>
    <cellStyle name="40% - Accent2 2 6 2 4 2" xfId="6174" xr:uid="{00000000-0005-0000-0000-0000A50B0000}"/>
    <cellStyle name="40% - Accent2 2 6 2 4 2 2" xfId="23812" xr:uid="{B1D63B97-1535-41CF-99EF-28B338012809}"/>
    <cellStyle name="40% - Accent2 2 6 2 4 2 2 2" xfId="38783" xr:uid="{03911A7C-CDF2-4626-826F-5925142C24B2}"/>
    <cellStyle name="40% - Accent2 2 6 2 4 2 3" xfId="31180" xr:uid="{1F2DBAF2-447B-44A5-A064-D10A18FD7C82}"/>
    <cellStyle name="40% - Accent2 2 6 2 4 3" xfId="6175" xr:uid="{00000000-0005-0000-0000-0000A60B0000}"/>
    <cellStyle name="40% - Accent2 2 6 2 4 3 2" xfId="23813" xr:uid="{F7D95D28-5B97-4462-BD3A-490211B082F1}"/>
    <cellStyle name="40% - Accent2 2 6 2 4 3 2 2" xfId="38784" xr:uid="{DEDB66CB-85AB-45EC-9D53-A4ADDEC7ECA0}"/>
    <cellStyle name="40% - Accent2 2 6 2 4 3 3" xfId="31181" xr:uid="{3A1B65A8-7FA0-444D-A108-538D6E614AA8}"/>
    <cellStyle name="40% - Accent2 2 6 2 4 4" xfId="23811" xr:uid="{A5434C5C-7F0F-43F0-A63D-1D48AE758C82}"/>
    <cellStyle name="40% - Accent2 2 6 2 4 4 2" xfId="38782" xr:uid="{1650B696-AD97-45D6-BB5B-7C06AE888960}"/>
    <cellStyle name="40% - Accent2 2 6 2 4 5" xfId="31179" xr:uid="{AB61AE77-4195-4E85-A63B-4D2CA8644B9B}"/>
    <cellStyle name="40% - Accent2 2 6 2 5" xfId="6176" xr:uid="{00000000-0005-0000-0000-0000A70B0000}"/>
    <cellStyle name="40% - Accent2 2 6 2 5 2" xfId="23814" xr:uid="{26D95DDF-E260-405C-9D21-72A4F35A7B4D}"/>
    <cellStyle name="40% - Accent2 2 6 2 5 2 2" xfId="38785" xr:uid="{776095C5-326E-4F93-BAC2-E30B88D26F2F}"/>
    <cellStyle name="40% - Accent2 2 6 2 5 3" xfId="31182" xr:uid="{E2424041-0902-4F1F-89B5-A15BFA98EE4C}"/>
    <cellStyle name="40% - Accent2 2 6 2 6" xfId="6177" xr:uid="{00000000-0005-0000-0000-0000A80B0000}"/>
    <cellStyle name="40% - Accent2 2 6 2 6 2" xfId="23815" xr:uid="{83F6D6DF-FEB3-4BA6-BBA7-D2D2A9FE24C1}"/>
    <cellStyle name="40% - Accent2 2 6 2 6 2 2" xfId="38786" xr:uid="{80826E13-7923-4969-99FC-4CB9E3CC9227}"/>
    <cellStyle name="40% - Accent2 2 6 2 6 3" xfId="31183" xr:uid="{A73F407C-6903-42B9-BB63-9A2D52241B33}"/>
    <cellStyle name="40% - Accent2 2 6 2 7" xfId="23798" xr:uid="{E7B76EF1-C097-4AB5-86FB-AA72261B168F}"/>
    <cellStyle name="40% - Accent2 2 6 2 7 2" xfId="38769" xr:uid="{B260DF90-0B56-4F0A-876B-7DFD8E6E161E}"/>
    <cellStyle name="40% - Accent2 2 6 2 8" xfId="31166" xr:uid="{7ADB6E4E-63DB-4CA6-93FD-7EA90B80C2AD}"/>
    <cellStyle name="40% - Accent2 2 6 3" xfId="6178" xr:uid="{00000000-0005-0000-0000-0000A90B0000}"/>
    <cellStyle name="40% - Accent2 2 6 3 2" xfId="6179" xr:uid="{00000000-0005-0000-0000-0000AA0B0000}"/>
    <cellStyle name="40% - Accent2 2 6 3 2 2" xfId="6180" xr:uid="{00000000-0005-0000-0000-0000AB0B0000}"/>
    <cellStyle name="40% - Accent2 2 6 3 2 2 2" xfId="23818" xr:uid="{2289F1AE-FA56-42C5-9CC4-00459837B1C3}"/>
    <cellStyle name="40% - Accent2 2 6 3 2 2 2 2" xfId="38789" xr:uid="{078B097E-018A-4E79-A0FC-14F7056E1809}"/>
    <cellStyle name="40% - Accent2 2 6 3 2 2 3" xfId="31186" xr:uid="{28FA3CFA-FCE0-4A3D-8197-F79F0A460EC3}"/>
    <cellStyle name="40% - Accent2 2 6 3 2 3" xfId="6181" xr:uid="{00000000-0005-0000-0000-0000AC0B0000}"/>
    <cellStyle name="40% - Accent2 2 6 3 2 3 2" xfId="23819" xr:uid="{D597D214-C867-4A5C-AEEF-1F41F996AE38}"/>
    <cellStyle name="40% - Accent2 2 6 3 2 3 2 2" xfId="38790" xr:uid="{31CEF43B-1107-4D30-AFE7-C6A7ECFA652C}"/>
    <cellStyle name="40% - Accent2 2 6 3 2 3 3" xfId="31187" xr:uid="{C2BF8FF1-3D66-4823-A82C-658AEECA8270}"/>
    <cellStyle name="40% - Accent2 2 6 3 2 4" xfId="23817" xr:uid="{6EE8A937-2DC6-4936-AC3E-4D0947401EAD}"/>
    <cellStyle name="40% - Accent2 2 6 3 2 4 2" xfId="38788" xr:uid="{0F558992-C816-4481-9D8C-265E10887805}"/>
    <cellStyle name="40% - Accent2 2 6 3 2 5" xfId="31185" xr:uid="{04F0B68B-3963-4603-97CC-6C8BCEB47CA4}"/>
    <cellStyle name="40% - Accent2 2 6 3 3" xfId="6182" xr:uid="{00000000-0005-0000-0000-0000AD0B0000}"/>
    <cellStyle name="40% - Accent2 2 6 3 3 2" xfId="23820" xr:uid="{484CA547-20FB-4B40-AAD9-9B0489416DB7}"/>
    <cellStyle name="40% - Accent2 2 6 3 3 2 2" xfId="38791" xr:uid="{967B6C26-E6F5-48A1-A462-41D17852163F}"/>
    <cellStyle name="40% - Accent2 2 6 3 3 3" xfId="31188" xr:uid="{1E7F9243-FD63-4680-B1FB-B2E5798C3CDF}"/>
    <cellStyle name="40% - Accent2 2 6 3 4" xfId="6183" xr:uid="{00000000-0005-0000-0000-0000AE0B0000}"/>
    <cellStyle name="40% - Accent2 2 6 3 4 2" xfId="23821" xr:uid="{E1047BCC-C992-466C-9ADE-1C3E6E26A083}"/>
    <cellStyle name="40% - Accent2 2 6 3 4 2 2" xfId="38792" xr:uid="{0BE520D0-6A18-4FDE-A7AA-5C9117084654}"/>
    <cellStyle name="40% - Accent2 2 6 3 4 3" xfId="31189" xr:uid="{48D61DF6-54A2-4DFD-8BE2-7E32052E1996}"/>
    <cellStyle name="40% - Accent2 2 6 3 5" xfId="23816" xr:uid="{EE459BF6-4C28-44C6-A818-C6E06BA6AB89}"/>
    <cellStyle name="40% - Accent2 2 6 3 5 2" xfId="38787" xr:uid="{CCF40FDD-68AA-43BA-AEFF-AD7DBE86956A}"/>
    <cellStyle name="40% - Accent2 2 6 3 6" xfId="31184" xr:uid="{84EB8BA5-17C6-4B56-8339-73922C811C8E}"/>
    <cellStyle name="40% - Accent2 2 6 4" xfId="6184" xr:uid="{00000000-0005-0000-0000-0000AF0B0000}"/>
    <cellStyle name="40% - Accent2 2 6 4 2" xfId="6185" xr:uid="{00000000-0005-0000-0000-0000B00B0000}"/>
    <cellStyle name="40% - Accent2 2 6 4 2 2" xfId="6186" xr:uid="{00000000-0005-0000-0000-0000B10B0000}"/>
    <cellStyle name="40% - Accent2 2 6 4 2 2 2" xfId="23824" xr:uid="{7AE3D453-93CF-4113-959D-7B7DB5765EED}"/>
    <cellStyle name="40% - Accent2 2 6 4 2 2 2 2" xfId="38795" xr:uid="{BDB33053-5FEF-40E3-BF18-29E56C159FE9}"/>
    <cellStyle name="40% - Accent2 2 6 4 2 2 3" xfId="31192" xr:uid="{3DFF7C2A-CC7B-4B94-950B-2E8488190000}"/>
    <cellStyle name="40% - Accent2 2 6 4 2 3" xfId="6187" xr:uid="{00000000-0005-0000-0000-0000B20B0000}"/>
    <cellStyle name="40% - Accent2 2 6 4 2 3 2" xfId="23825" xr:uid="{7969D03F-281F-4A51-8379-85A0DBA79D57}"/>
    <cellStyle name="40% - Accent2 2 6 4 2 3 2 2" xfId="38796" xr:uid="{DAC7078E-B2A3-46A3-B0E1-DB9C0789F889}"/>
    <cellStyle name="40% - Accent2 2 6 4 2 3 3" xfId="31193" xr:uid="{377B7D5A-1C74-4D4B-BC26-CD4FFC1C9895}"/>
    <cellStyle name="40% - Accent2 2 6 4 2 4" xfId="23823" xr:uid="{0F071D24-FB65-4B52-9248-B2BE6FF8F7E5}"/>
    <cellStyle name="40% - Accent2 2 6 4 2 4 2" xfId="38794" xr:uid="{9D28E5B8-565D-415A-B0C0-0BA8928BEB72}"/>
    <cellStyle name="40% - Accent2 2 6 4 2 5" xfId="31191" xr:uid="{F2949A24-A8C9-42EC-A9FA-4745681D99A8}"/>
    <cellStyle name="40% - Accent2 2 6 4 3" xfId="6188" xr:uid="{00000000-0005-0000-0000-0000B30B0000}"/>
    <cellStyle name="40% - Accent2 2 6 4 3 2" xfId="23826" xr:uid="{2172E8BF-ADE0-4637-B24E-704B52D57255}"/>
    <cellStyle name="40% - Accent2 2 6 4 3 2 2" xfId="38797" xr:uid="{412A47C6-5FA2-4A6A-A739-ED0CFA351E88}"/>
    <cellStyle name="40% - Accent2 2 6 4 3 3" xfId="31194" xr:uid="{E381C74A-8949-4BF3-81AD-EE4BCC5C6F3E}"/>
    <cellStyle name="40% - Accent2 2 6 4 4" xfId="6189" xr:uid="{00000000-0005-0000-0000-0000B40B0000}"/>
    <cellStyle name="40% - Accent2 2 6 4 4 2" xfId="23827" xr:uid="{2EF584FE-4563-4A58-9796-272F3EBB273E}"/>
    <cellStyle name="40% - Accent2 2 6 4 4 2 2" xfId="38798" xr:uid="{F7160129-43B7-43F4-8F10-3746A7BD9050}"/>
    <cellStyle name="40% - Accent2 2 6 4 4 3" xfId="31195" xr:uid="{D5D468AA-72B7-4C89-990E-D9A6D4EE9EAC}"/>
    <cellStyle name="40% - Accent2 2 6 4 5" xfId="23822" xr:uid="{AC6392CF-10D9-4A19-A3E6-2986294E07BD}"/>
    <cellStyle name="40% - Accent2 2 6 4 5 2" xfId="38793" xr:uid="{7BD6E88C-2D05-45D6-9937-5DF8F7498F99}"/>
    <cellStyle name="40% - Accent2 2 6 4 6" xfId="31190" xr:uid="{9BB0F409-8CEF-4F09-9620-4533F7CDF342}"/>
    <cellStyle name="40% - Accent2 2 6 5" xfId="6190" xr:uid="{00000000-0005-0000-0000-0000B50B0000}"/>
    <cellStyle name="40% - Accent2 2 6 5 2" xfId="6191" xr:uid="{00000000-0005-0000-0000-0000B60B0000}"/>
    <cellStyle name="40% - Accent2 2 6 5 2 2" xfId="23829" xr:uid="{B30BE3AC-8138-4D11-92EB-2B546F5C75F2}"/>
    <cellStyle name="40% - Accent2 2 6 5 2 2 2" xfId="38800" xr:uid="{E613A4D5-1F8C-40F9-ACE9-13D9C7FE1A90}"/>
    <cellStyle name="40% - Accent2 2 6 5 2 3" xfId="31197" xr:uid="{CE42EA87-BA38-4D00-B3DA-478177DEFB5D}"/>
    <cellStyle name="40% - Accent2 2 6 5 3" xfId="6192" xr:uid="{00000000-0005-0000-0000-0000B70B0000}"/>
    <cellStyle name="40% - Accent2 2 6 5 3 2" xfId="23830" xr:uid="{E183B3F6-F135-438B-90BB-BA8A90AC157E}"/>
    <cellStyle name="40% - Accent2 2 6 5 3 2 2" xfId="38801" xr:uid="{3FA5A0D3-4950-45AA-A464-1FE7D49B76E6}"/>
    <cellStyle name="40% - Accent2 2 6 5 3 3" xfId="31198" xr:uid="{912C4C88-7BC7-41BC-A4F0-CDB0E325B23F}"/>
    <cellStyle name="40% - Accent2 2 6 5 4" xfId="23828" xr:uid="{7A193CDC-4347-4E86-8456-D3AEEC14F6DA}"/>
    <cellStyle name="40% - Accent2 2 6 5 4 2" xfId="38799" xr:uid="{75893FE3-A96B-40F5-8FE8-75DB4C88A6A7}"/>
    <cellStyle name="40% - Accent2 2 6 5 5" xfId="31196" xr:uid="{0B5A10B9-A2F6-40F3-AEE4-EF244C6B8E1C}"/>
    <cellStyle name="40% - Accent2 2 6 6" xfId="6193" xr:uid="{00000000-0005-0000-0000-0000B80B0000}"/>
    <cellStyle name="40% - Accent2 2 6 6 2" xfId="23831" xr:uid="{02EAAF05-7423-4942-A7EB-99DE6E2E00FB}"/>
    <cellStyle name="40% - Accent2 2 6 6 2 2" xfId="38802" xr:uid="{1CCB86E9-AFBF-42A9-812B-646E235A41FC}"/>
    <cellStyle name="40% - Accent2 2 6 6 3" xfId="31199" xr:uid="{B29E8A5A-DD70-4B87-83DC-E579C75E90FA}"/>
    <cellStyle name="40% - Accent2 2 6 7" xfId="6194" xr:uid="{00000000-0005-0000-0000-0000B90B0000}"/>
    <cellStyle name="40% - Accent2 2 6 7 2" xfId="23832" xr:uid="{0C652190-C586-4639-925F-2BBBDDFEA275}"/>
    <cellStyle name="40% - Accent2 2 6 7 2 2" xfId="38803" xr:uid="{931E9131-04E6-45F8-930A-B0B3E06DFE52}"/>
    <cellStyle name="40% - Accent2 2 6 7 3" xfId="31200" xr:uid="{4527A7C3-49A2-448F-A7DE-05599B627953}"/>
    <cellStyle name="40% - Accent2 2 6 8" xfId="23797" xr:uid="{EDE9BBB6-C412-4173-A4E7-1B05911D449C}"/>
    <cellStyle name="40% - Accent2 2 6 8 2" xfId="38768" xr:uid="{C5C4586E-A4A1-4A92-A054-5F36CF38F755}"/>
    <cellStyle name="40% - Accent2 2 6 9" xfId="31165" xr:uid="{D3756732-C576-406E-B962-B85CA5FBA197}"/>
    <cellStyle name="40% - Accent2 2 7" xfId="6195" xr:uid="{00000000-0005-0000-0000-0000BA0B0000}"/>
    <cellStyle name="40% - Accent2 2 7 2" xfId="6196" xr:uid="{00000000-0005-0000-0000-0000BB0B0000}"/>
    <cellStyle name="40% - Accent2 2 7 2 2" xfId="6197" xr:uid="{00000000-0005-0000-0000-0000BC0B0000}"/>
    <cellStyle name="40% - Accent2 2 7 2 2 2" xfId="23835" xr:uid="{A4A212C1-FE04-4E2A-884E-8E6B9F68E672}"/>
    <cellStyle name="40% - Accent2 2 7 2 2 2 2" xfId="38806" xr:uid="{F13EC92B-8B4F-47BC-A1B8-0C08F16EAA0D}"/>
    <cellStyle name="40% - Accent2 2 7 2 2 3" xfId="31203" xr:uid="{26BBC542-18B5-4564-8F9B-D2E507ADDBBA}"/>
    <cellStyle name="40% - Accent2 2 7 2 3" xfId="6198" xr:uid="{00000000-0005-0000-0000-0000BD0B0000}"/>
    <cellStyle name="40% - Accent2 2 7 2 3 2" xfId="23836" xr:uid="{594AE6A8-8908-4370-8423-6438A409AC3F}"/>
    <cellStyle name="40% - Accent2 2 7 2 3 2 2" xfId="38807" xr:uid="{A9B5C117-3F68-4387-AF23-98285DED9C1F}"/>
    <cellStyle name="40% - Accent2 2 7 2 3 3" xfId="31204" xr:uid="{CA1EA64B-DBE9-414E-B9A0-3F2FA3DBFEEB}"/>
    <cellStyle name="40% - Accent2 2 7 2 4" xfId="23834" xr:uid="{22902622-6956-43D4-AFEB-263B437ADDA1}"/>
    <cellStyle name="40% - Accent2 2 7 2 4 2" xfId="38805" xr:uid="{C7984EF2-691B-4C6C-BBB4-6B05BFEEF474}"/>
    <cellStyle name="40% - Accent2 2 7 2 5" xfId="31202" xr:uid="{59B0D674-AE2A-4504-AE37-E8A2DB22B210}"/>
    <cellStyle name="40% - Accent2 2 7 3" xfId="6199" xr:uid="{00000000-0005-0000-0000-0000BE0B0000}"/>
    <cellStyle name="40% - Accent2 2 7 3 2" xfId="23837" xr:uid="{419B04B1-4FE9-49A1-AD62-B5EC906525F4}"/>
    <cellStyle name="40% - Accent2 2 7 3 2 2" xfId="38808" xr:uid="{DE0FF1BD-2E9F-4222-86D5-1903EE56EEF2}"/>
    <cellStyle name="40% - Accent2 2 7 3 3" xfId="31205" xr:uid="{D193B6D2-A151-4D65-A155-14A40C2C2BA2}"/>
    <cellStyle name="40% - Accent2 2 7 4" xfId="6200" xr:uid="{00000000-0005-0000-0000-0000BF0B0000}"/>
    <cellStyle name="40% - Accent2 2 7 4 2" xfId="23838" xr:uid="{9A99CB7C-CD50-4C2C-9B70-AFD16D6C1BE3}"/>
    <cellStyle name="40% - Accent2 2 7 4 2 2" xfId="38809" xr:uid="{FD5B174A-7F06-4354-961C-4532547E0462}"/>
    <cellStyle name="40% - Accent2 2 7 4 3" xfId="31206" xr:uid="{7C9A66F7-EB04-49D0-862A-82706E438FD6}"/>
    <cellStyle name="40% - Accent2 2 7 5" xfId="23833" xr:uid="{8BC66B93-F7FC-44AF-A523-83F8D0C19A51}"/>
    <cellStyle name="40% - Accent2 2 7 5 2" xfId="38804" xr:uid="{30AB2D22-D623-4522-85A1-79F313499DAD}"/>
    <cellStyle name="40% - Accent2 2 7 6" xfId="31201" xr:uid="{B89B90DE-1425-4D5C-8F07-C409E07CAFFA}"/>
    <cellStyle name="40% - Accent2 3" xfId="228" xr:uid="{00000000-0005-0000-0000-000043000000}"/>
    <cellStyle name="40% - Accent2 3 2" xfId="6202" xr:uid="{00000000-0005-0000-0000-0000C10B0000}"/>
    <cellStyle name="40% - Accent2 3 2 2" xfId="6203" xr:uid="{00000000-0005-0000-0000-0000C20B0000}"/>
    <cellStyle name="40% - Accent2 3 2 2 2" xfId="6204" xr:uid="{00000000-0005-0000-0000-0000C30B0000}"/>
    <cellStyle name="40% - Accent2 3 2 2 2 2" xfId="6205" xr:uid="{00000000-0005-0000-0000-0000C40B0000}"/>
    <cellStyle name="40% - Accent2 3 2 2 2 2 2" xfId="6206" xr:uid="{00000000-0005-0000-0000-0000C50B0000}"/>
    <cellStyle name="40% - Accent2 3 2 2 2 2 2 2" xfId="23843" xr:uid="{A8EAAED6-79C1-4F93-AD84-003ED6E80E5F}"/>
    <cellStyle name="40% - Accent2 3 2 2 2 2 2 2 2" xfId="38814" xr:uid="{083968F2-813C-40EC-A3B9-8D285DE1F7DD}"/>
    <cellStyle name="40% - Accent2 3 2 2 2 2 2 3" xfId="31211" xr:uid="{A92A8786-EFDF-49B5-8A8F-B6291733E507}"/>
    <cellStyle name="40% - Accent2 3 2 2 2 2 3" xfId="6207" xr:uid="{00000000-0005-0000-0000-0000C60B0000}"/>
    <cellStyle name="40% - Accent2 3 2 2 2 2 3 2" xfId="23844" xr:uid="{2772D1FC-CDB4-4BB1-95A3-D00B6D1BAEBB}"/>
    <cellStyle name="40% - Accent2 3 2 2 2 2 3 2 2" xfId="38815" xr:uid="{3478CAF6-4032-4196-A9CA-55C1E1E02AAE}"/>
    <cellStyle name="40% - Accent2 3 2 2 2 2 3 3" xfId="31212" xr:uid="{8A5847B6-1358-4F89-8688-E903041B0A3E}"/>
    <cellStyle name="40% - Accent2 3 2 2 2 2 4" xfId="23842" xr:uid="{750038AA-B605-46C2-8F24-33970DB63A50}"/>
    <cellStyle name="40% - Accent2 3 2 2 2 2 4 2" xfId="38813" xr:uid="{E1FBBDE7-D766-45D9-94F3-D63C63948956}"/>
    <cellStyle name="40% - Accent2 3 2 2 2 2 5" xfId="31210" xr:uid="{8116E138-DFCC-496B-BA5A-2041A2EB164F}"/>
    <cellStyle name="40% - Accent2 3 2 2 2 3" xfId="6208" xr:uid="{00000000-0005-0000-0000-0000C70B0000}"/>
    <cellStyle name="40% - Accent2 3 2 2 2 3 2" xfId="23845" xr:uid="{834109B3-8B50-4388-84E2-ADE5C17990AC}"/>
    <cellStyle name="40% - Accent2 3 2 2 2 3 2 2" xfId="38816" xr:uid="{238B1F27-3C5B-4370-A8E0-DBDD58A41079}"/>
    <cellStyle name="40% - Accent2 3 2 2 2 3 3" xfId="31213" xr:uid="{085449BA-7506-4666-918C-D4CDA709D57A}"/>
    <cellStyle name="40% - Accent2 3 2 2 2 4" xfId="6209" xr:uid="{00000000-0005-0000-0000-0000C80B0000}"/>
    <cellStyle name="40% - Accent2 3 2 2 2 4 2" xfId="23846" xr:uid="{47B7C868-D41B-4A12-B079-24FC141E3FC5}"/>
    <cellStyle name="40% - Accent2 3 2 2 2 4 2 2" xfId="38817" xr:uid="{6A4EECB5-4F7C-4857-B258-D4ED2D160B72}"/>
    <cellStyle name="40% - Accent2 3 2 2 2 4 3" xfId="31214" xr:uid="{9A4E3243-41C8-4923-9382-C51E55CB1BBA}"/>
    <cellStyle name="40% - Accent2 3 2 2 2 5" xfId="23841" xr:uid="{7533749B-5226-4E64-AF8C-27AF9E074B8D}"/>
    <cellStyle name="40% - Accent2 3 2 2 2 5 2" xfId="38812" xr:uid="{CA67EFCA-201E-4D28-8133-16353A62F73E}"/>
    <cellStyle name="40% - Accent2 3 2 2 2 6" xfId="31209" xr:uid="{3F88BA94-2B4D-41D3-B613-DC8485E6064C}"/>
    <cellStyle name="40% - Accent2 3 2 2 3" xfId="6210" xr:uid="{00000000-0005-0000-0000-0000C90B0000}"/>
    <cellStyle name="40% - Accent2 3 2 2 3 2" xfId="6211" xr:uid="{00000000-0005-0000-0000-0000CA0B0000}"/>
    <cellStyle name="40% - Accent2 3 2 2 3 2 2" xfId="23848" xr:uid="{1A77C1EB-7B83-4927-883E-D5DC5ED99CC3}"/>
    <cellStyle name="40% - Accent2 3 2 2 3 2 2 2" xfId="38819" xr:uid="{A5FD00EA-9F46-4D07-8129-186A79CE1574}"/>
    <cellStyle name="40% - Accent2 3 2 2 3 2 3" xfId="31216" xr:uid="{691BABA2-43D8-490D-A7FC-B47EA6346EBB}"/>
    <cellStyle name="40% - Accent2 3 2 2 3 3" xfId="6212" xr:uid="{00000000-0005-0000-0000-0000CB0B0000}"/>
    <cellStyle name="40% - Accent2 3 2 2 3 3 2" xfId="23849" xr:uid="{8601E72D-430B-428C-921B-2CA589FA1739}"/>
    <cellStyle name="40% - Accent2 3 2 2 3 3 2 2" xfId="38820" xr:uid="{9139BC41-4C22-47AD-9E34-7FC83E4519CD}"/>
    <cellStyle name="40% - Accent2 3 2 2 3 3 3" xfId="31217" xr:uid="{3C614D2A-02AC-45F1-ACFF-8B4793F884AE}"/>
    <cellStyle name="40% - Accent2 3 2 2 3 4" xfId="23847" xr:uid="{768FA322-B27C-4971-89EE-04C7539B8DFF}"/>
    <cellStyle name="40% - Accent2 3 2 2 3 4 2" xfId="38818" xr:uid="{2FBA4DAD-EC19-4847-9267-A167FFB96216}"/>
    <cellStyle name="40% - Accent2 3 2 2 3 5" xfId="31215" xr:uid="{75787393-E14A-4B4F-B06E-551BDA6AC294}"/>
    <cellStyle name="40% - Accent2 3 2 2 4" xfId="6213" xr:uid="{00000000-0005-0000-0000-0000CC0B0000}"/>
    <cellStyle name="40% - Accent2 3 2 2 4 2" xfId="23850" xr:uid="{51A007C2-F112-4FC2-BA65-9A637CA66B73}"/>
    <cellStyle name="40% - Accent2 3 2 2 4 2 2" xfId="38821" xr:uid="{157209E0-E1E4-4897-9D3F-F9674A9219BC}"/>
    <cellStyle name="40% - Accent2 3 2 2 4 3" xfId="31218" xr:uid="{8B7C9081-2C25-461C-9A9B-EE1780201544}"/>
    <cellStyle name="40% - Accent2 3 2 2 5" xfId="6214" xr:uid="{00000000-0005-0000-0000-0000CD0B0000}"/>
    <cellStyle name="40% - Accent2 3 2 2 5 2" xfId="23851" xr:uid="{92C505F5-2CA3-42E8-B357-33C6EBFD0AC9}"/>
    <cellStyle name="40% - Accent2 3 2 2 5 2 2" xfId="38822" xr:uid="{6FDAEBD1-E7B1-4C99-B26C-8A555358933B}"/>
    <cellStyle name="40% - Accent2 3 2 2 5 3" xfId="31219" xr:uid="{001C19FB-C7A3-452C-AAA6-052424869CEE}"/>
    <cellStyle name="40% - Accent2 3 2 2 6" xfId="23840" xr:uid="{241A7D8A-26C0-4594-94B3-0AD8F313C72B}"/>
    <cellStyle name="40% - Accent2 3 2 2 6 2" xfId="38811" xr:uid="{A47245AF-F666-4D7F-9B9A-50E8DA771106}"/>
    <cellStyle name="40% - Accent2 3 2 2 7" xfId="31208" xr:uid="{7C64F6F5-8195-46A1-BF1B-0E303600E9D2}"/>
    <cellStyle name="40% - Accent2 3 2 3" xfId="6215" xr:uid="{00000000-0005-0000-0000-0000CE0B0000}"/>
    <cellStyle name="40% - Accent2 3 2 3 2" xfId="6216" xr:uid="{00000000-0005-0000-0000-0000CF0B0000}"/>
    <cellStyle name="40% - Accent2 3 2 3 2 2" xfId="6217" xr:uid="{00000000-0005-0000-0000-0000D00B0000}"/>
    <cellStyle name="40% - Accent2 3 2 3 2 2 2" xfId="23854" xr:uid="{D3C0442C-1A83-4A18-AC65-4C9F03492F19}"/>
    <cellStyle name="40% - Accent2 3 2 3 2 2 2 2" xfId="38825" xr:uid="{BC7D3B8C-A1DC-4D55-A75E-463AA6AA506A}"/>
    <cellStyle name="40% - Accent2 3 2 3 2 2 3" xfId="31222" xr:uid="{127E20D7-5987-41D7-AF47-02D18AA57FAC}"/>
    <cellStyle name="40% - Accent2 3 2 3 2 3" xfId="6218" xr:uid="{00000000-0005-0000-0000-0000D10B0000}"/>
    <cellStyle name="40% - Accent2 3 2 3 2 3 2" xfId="23855" xr:uid="{D9C22FC4-BC21-43B7-A605-223D3BC2F3E4}"/>
    <cellStyle name="40% - Accent2 3 2 3 2 3 2 2" xfId="38826" xr:uid="{4F71A9DE-5E81-48A0-AC3B-16841D2EC5F0}"/>
    <cellStyle name="40% - Accent2 3 2 3 2 3 3" xfId="31223" xr:uid="{80DBD387-1DD4-410F-9DFB-C37CD0B3CE3A}"/>
    <cellStyle name="40% - Accent2 3 2 3 2 4" xfId="23853" xr:uid="{B8CBA4B7-6C0C-422B-8201-B094BB240CC1}"/>
    <cellStyle name="40% - Accent2 3 2 3 2 4 2" xfId="38824" xr:uid="{02238980-72D8-4F9B-9D08-051B92164D90}"/>
    <cellStyle name="40% - Accent2 3 2 3 2 5" xfId="31221" xr:uid="{FC948184-4DBF-424A-92A9-E6E2CB888A30}"/>
    <cellStyle name="40% - Accent2 3 2 3 3" xfId="6219" xr:uid="{00000000-0005-0000-0000-0000D20B0000}"/>
    <cellStyle name="40% - Accent2 3 2 3 3 2" xfId="23856" xr:uid="{B7D5548F-6376-43F5-A8BA-384EEF4420DB}"/>
    <cellStyle name="40% - Accent2 3 2 3 3 2 2" xfId="38827" xr:uid="{625FB40E-4505-4E1F-B5ED-008C44B5905A}"/>
    <cellStyle name="40% - Accent2 3 2 3 3 3" xfId="31224" xr:uid="{A93B9CE6-5EBB-442E-BAF1-277511CAE865}"/>
    <cellStyle name="40% - Accent2 3 2 3 4" xfId="6220" xr:uid="{00000000-0005-0000-0000-0000D30B0000}"/>
    <cellStyle name="40% - Accent2 3 2 3 4 2" xfId="23857" xr:uid="{15987340-F2DA-4C24-8683-D927C642E879}"/>
    <cellStyle name="40% - Accent2 3 2 3 4 2 2" xfId="38828" xr:uid="{23510721-21CF-4963-BFE6-C9F863E387DA}"/>
    <cellStyle name="40% - Accent2 3 2 3 4 3" xfId="31225" xr:uid="{3706A81D-5FB4-4AA0-8527-9EA2EF8DBF53}"/>
    <cellStyle name="40% - Accent2 3 2 3 5" xfId="23852" xr:uid="{0DBF09BB-D421-48ED-9077-253E404811E9}"/>
    <cellStyle name="40% - Accent2 3 2 3 5 2" xfId="38823" xr:uid="{E2E619A8-F4AE-4EBB-BC3E-D2476B86AE90}"/>
    <cellStyle name="40% - Accent2 3 2 3 6" xfId="31220" xr:uid="{3B86015B-06E3-4264-98A8-5120C57D920E}"/>
    <cellStyle name="40% - Accent2 3 2 4" xfId="6221" xr:uid="{00000000-0005-0000-0000-0000D40B0000}"/>
    <cellStyle name="40% - Accent2 3 3" xfId="6222" xr:uid="{00000000-0005-0000-0000-0000D50B0000}"/>
    <cellStyle name="40% - Accent2 3 3 2" xfId="6223" xr:uid="{00000000-0005-0000-0000-0000D60B0000}"/>
    <cellStyle name="40% - Accent2 3 3 2 2" xfId="6224" xr:uid="{00000000-0005-0000-0000-0000D70B0000}"/>
    <cellStyle name="40% - Accent2 3 3 2 2 2" xfId="23860" xr:uid="{8350B779-B0D7-45D0-8DB8-30423726B490}"/>
    <cellStyle name="40% - Accent2 3 3 2 2 2 2" xfId="38831" xr:uid="{698FD2DE-941F-446D-8461-8EBE12639963}"/>
    <cellStyle name="40% - Accent2 3 3 2 2 3" xfId="31228" xr:uid="{368EBCCC-3A84-43EE-AC25-CE2208CF41BC}"/>
    <cellStyle name="40% - Accent2 3 3 2 3" xfId="6225" xr:uid="{00000000-0005-0000-0000-0000D80B0000}"/>
    <cellStyle name="40% - Accent2 3 3 2 3 2" xfId="23861" xr:uid="{7B8B9B6F-2BF2-423D-A013-F68A8A7E07D3}"/>
    <cellStyle name="40% - Accent2 3 3 2 3 2 2" xfId="38832" xr:uid="{48F1C078-89DD-4683-BABA-0BEDAAD1108F}"/>
    <cellStyle name="40% - Accent2 3 3 2 3 3" xfId="31229" xr:uid="{CF7B5AA9-00F0-4DF8-9E60-514A1A6790E5}"/>
    <cellStyle name="40% - Accent2 3 3 2 4" xfId="23859" xr:uid="{5327752F-9E6F-4C60-8065-3F2C3D237387}"/>
    <cellStyle name="40% - Accent2 3 3 2 4 2" xfId="38830" xr:uid="{1C65BC5F-4EB9-4600-842F-DACC38747C2B}"/>
    <cellStyle name="40% - Accent2 3 3 2 5" xfId="31227" xr:uid="{4782A36F-0F95-48A1-9157-2BF4043C2CC8}"/>
    <cellStyle name="40% - Accent2 3 3 3" xfId="6226" xr:uid="{00000000-0005-0000-0000-0000D90B0000}"/>
    <cellStyle name="40% - Accent2 3 3 3 2" xfId="23862" xr:uid="{510D2D85-B5C9-4043-9423-BC7DE39195F5}"/>
    <cellStyle name="40% - Accent2 3 3 3 2 2" xfId="38833" xr:uid="{DA36F379-FC4F-419E-BC57-F7B02C946F34}"/>
    <cellStyle name="40% - Accent2 3 3 3 3" xfId="31230" xr:uid="{A16469F0-70D4-4EBE-BF43-3F4D6806DAFD}"/>
    <cellStyle name="40% - Accent2 3 3 4" xfId="6227" xr:uid="{00000000-0005-0000-0000-0000DA0B0000}"/>
    <cellStyle name="40% - Accent2 3 3 4 2" xfId="23863" xr:uid="{0DD1F99F-265F-41E6-870A-EF45564B5C2A}"/>
    <cellStyle name="40% - Accent2 3 3 4 2 2" xfId="38834" xr:uid="{AE066B9E-8376-4C0C-87CD-90926671F4CF}"/>
    <cellStyle name="40% - Accent2 3 3 4 3" xfId="31231" xr:uid="{08A9255A-2E64-4067-B5C2-11598BE7589F}"/>
    <cellStyle name="40% - Accent2 3 3 5" xfId="23858" xr:uid="{A1297444-B1A8-4719-B4D1-EB33D3F5D62B}"/>
    <cellStyle name="40% - Accent2 3 3 5 2" xfId="38829" xr:uid="{4BF3F028-BD26-45AA-A380-2287BA666BB8}"/>
    <cellStyle name="40% - Accent2 3 3 6" xfId="31226" xr:uid="{8E200ABE-FFF2-4C6B-89CC-B9950B8D74AF}"/>
    <cellStyle name="40% - Accent2 3 4" xfId="6228" xr:uid="{00000000-0005-0000-0000-0000DB0B0000}"/>
    <cellStyle name="40% - Accent2 3 4 2" xfId="6229" xr:uid="{00000000-0005-0000-0000-0000DC0B0000}"/>
    <cellStyle name="40% - Accent2 3 4 2 2" xfId="6230" xr:uid="{00000000-0005-0000-0000-0000DD0B0000}"/>
    <cellStyle name="40% - Accent2 3 4 2 2 2" xfId="23866" xr:uid="{D7ECEB18-4CFF-4AAF-AC54-3444BC04FF1D}"/>
    <cellStyle name="40% - Accent2 3 4 2 2 2 2" xfId="38837" xr:uid="{A41DAC70-62E8-47EA-A27A-A2F6AA99350E}"/>
    <cellStyle name="40% - Accent2 3 4 2 2 3" xfId="31234" xr:uid="{DC6B380D-0A4F-4C4F-A9E1-62691C9027F6}"/>
    <cellStyle name="40% - Accent2 3 4 2 3" xfId="6231" xr:uid="{00000000-0005-0000-0000-0000DE0B0000}"/>
    <cellStyle name="40% - Accent2 3 4 2 3 2" xfId="23867" xr:uid="{10C507D5-0386-4244-AA7A-319682A56FED}"/>
    <cellStyle name="40% - Accent2 3 4 2 3 2 2" xfId="38838" xr:uid="{4ED04CC2-5B4C-4DC6-AFA4-AC007CC73F49}"/>
    <cellStyle name="40% - Accent2 3 4 2 3 3" xfId="31235" xr:uid="{395511BB-E84D-41E1-B7BF-71370B5351DA}"/>
    <cellStyle name="40% - Accent2 3 4 2 4" xfId="23865" xr:uid="{1128D2C7-5B35-4606-B7CA-E731DCC3E8FE}"/>
    <cellStyle name="40% - Accent2 3 4 2 4 2" xfId="38836" xr:uid="{6F6F14D7-A5B8-41A0-B8F1-544CC86544D8}"/>
    <cellStyle name="40% - Accent2 3 4 2 5" xfId="31233" xr:uid="{713E0359-E1F0-4AAF-9C06-19DCC77B2807}"/>
    <cellStyle name="40% - Accent2 3 4 3" xfId="6232" xr:uid="{00000000-0005-0000-0000-0000DF0B0000}"/>
    <cellStyle name="40% - Accent2 3 4 3 2" xfId="23868" xr:uid="{69E23519-9C78-44BC-89FA-51327140C051}"/>
    <cellStyle name="40% - Accent2 3 4 3 2 2" xfId="38839" xr:uid="{821682A3-6428-4235-8B10-4E1BBCB189DC}"/>
    <cellStyle name="40% - Accent2 3 4 3 3" xfId="31236" xr:uid="{1BD8FCA4-BBAC-4FAE-919E-9F5725F68081}"/>
    <cellStyle name="40% - Accent2 3 4 4" xfId="6233" xr:uid="{00000000-0005-0000-0000-0000E00B0000}"/>
    <cellStyle name="40% - Accent2 3 4 4 2" xfId="23869" xr:uid="{F899F881-2F7C-4221-AE01-BC2A51101DD4}"/>
    <cellStyle name="40% - Accent2 3 4 4 2 2" xfId="38840" xr:uid="{D3C8DAA0-9F32-4B49-AA3E-FF55933AB59E}"/>
    <cellStyle name="40% - Accent2 3 4 4 3" xfId="31237" xr:uid="{4C495134-8132-4A76-A477-11DBEFBC5068}"/>
    <cellStyle name="40% - Accent2 3 4 5" xfId="23864" xr:uid="{18696521-4AF5-4105-A543-53A840D1E8C4}"/>
    <cellStyle name="40% - Accent2 3 4 5 2" xfId="38835" xr:uid="{526555FC-AC4E-42EB-86B7-28867284D62E}"/>
    <cellStyle name="40% - Accent2 3 4 6" xfId="31232" xr:uid="{B6C25473-A8EF-4BEB-974E-0F579E8CCC1D}"/>
    <cellStyle name="40% - Accent2 3 5" xfId="6234" xr:uid="{00000000-0005-0000-0000-0000E10B0000}"/>
    <cellStyle name="40% - Accent2 3 5 2" xfId="6235" xr:uid="{00000000-0005-0000-0000-0000E20B0000}"/>
    <cellStyle name="40% - Accent2 3 5 2 2" xfId="6236" xr:uid="{00000000-0005-0000-0000-0000E30B0000}"/>
    <cellStyle name="40% - Accent2 3 5 2 2 2" xfId="23872" xr:uid="{D7118CB0-1637-4702-A482-F23064FFC4AA}"/>
    <cellStyle name="40% - Accent2 3 5 2 2 2 2" xfId="38843" xr:uid="{A7EFABD7-194D-4E46-9999-093FF925627F}"/>
    <cellStyle name="40% - Accent2 3 5 2 2 3" xfId="31240" xr:uid="{4F5B8C0F-B6CD-4FE7-BA95-FC075A9A8D89}"/>
    <cellStyle name="40% - Accent2 3 5 2 3" xfId="6237" xr:uid="{00000000-0005-0000-0000-0000E40B0000}"/>
    <cellStyle name="40% - Accent2 3 5 2 3 2" xfId="23873" xr:uid="{A73F054F-6C48-4BD6-890A-CE11505FCBDE}"/>
    <cellStyle name="40% - Accent2 3 5 2 3 2 2" xfId="38844" xr:uid="{99A70FF5-7C90-4A74-ADD1-2F2330723565}"/>
    <cellStyle name="40% - Accent2 3 5 2 3 3" xfId="31241" xr:uid="{213DA276-B495-495B-A7C6-E7B47F271FBD}"/>
    <cellStyle name="40% - Accent2 3 5 2 4" xfId="23871" xr:uid="{FB01775C-4DC8-4189-8125-80CCF23660EF}"/>
    <cellStyle name="40% - Accent2 3 5 2 4 2" xfId="38842" xr:uid="{88A10D2F-5EB2-420A-8202-877FF1D1753A}"/>
    <cellStyle name="40% - Accent2 3 5 2 5" xfId="31239" xr:uid="{FF148ADE-164E-4008-9374-3C3DFADF7BFB}"/>
    <cellStyle name="40% - Accent2 3 5 3" xfId="6238" xr:uid="{00000000-0005-0000-0000-0000E50B0000}"/>
    <cellStyle name="40% - Accent2 3 5 3 2" xfId="23874" xr:uid="{7B7E833E-3CA4-487D-8D71-841568FAF826}"/>
    <cellStyle name="40% - Accent2 3 5 3 2 2" xfId="38845" xr:uid="{9AAE8BAA-4366-4DAD-AC5C-9C6FBEBF57F8}"/>
    <cellStyle name="40% - Accent2 3 5 3 3" xfId="31242" xr:uid="{AB1797E6-534B-4010-989C-C2D1B67B6702}"/>
    <cellStyle name="40% - Accent2 3 5 4" xfId="6239" xr:uid="{00000000-0005-0000-0000-0000E60B0000}"/>
    <cellStyle name="40% - Accent2 3 5 4 2" xfId="23875" xr:uid="{F0AE950A-BADD-41E8-95E5-FC396A852113}"/>
    <cellStyle name="40% - Accent2 3 5 4 2 2" xfId="38846" xr:uid="{4A443B27-A7A0-4C97-A386-F9C078A5BD04}"/>
    <cellStyle name="40% - Accent2 3 5 4 3" xfId="31243" xr:uid="{359B8D5B-8EAC-45B4-B8C2-E239CEEB191B}"/>
    <cellStyle name="40% - Accent2 3 5 5" xfId="23870" xr:uid="{97E04BC1-7172-493D-A8B6-7AC71E78CFBD}"/>
    <cellStyle name="40% - Accent2 3 5 5 2" xfId="38841" xr:uid="{3F4DB6AC-F81B-465D-BC2D-2717757028CB}"/>
    <cellStyle name="40% - Accent2 3 5 6" xfId="31238" xr:uid="{74F254BF-CF08-405F-B831-D0FBDC35C25F}"/>
    <cellStyle name="40% - Accent2 3 6" xfId="6240" xr:uid="{00000000-0005-0000-0000-0000E70B0000}"/>
    <cellStyle name="40% - Accent2 3 6 2" xfId="6241" xr:uid="{00000000-0005-0000-0000-0000E80B0000}"/>
    <cellStyle name="40% - Accent2 3 6 2 2" xfId="23877" xr:uid="{0B6FBF27-97C8-45D1-B76D-DC985CE87223}"/>
    <cellStyle name="40% - Accent2 3 6 2 2 2" xfId="38848" xr:uid="{ECD86FB9-1D78-4E0C-9595-36C5AF884F73}"/>
    <cellStyle name="40% - Accent2 3 6 2 3" xfId="31245" xr:uid="{26EE2743-5254-4AD8-848B-DE9C754F6A45}"/>
    <cellStyle name="40% - Accent2 3 6 3" xfId="6242" xr:uid="{00000000-0005-0000-0000-0000E90B0000}"/>
    <cellStyle name="40% - Accent2 3 6 3 2" xfId="23878" xr:uid="{A3661AAB-4420-40C8-AE2D-9101E31D2468}"/>
    <cellStyle name="40% - Accent2 3 6 3 2 2" xfId="38849" xr:uid="{A5565DCE-8CC9-4051-B959-A8501DBBC64C}"/>
    <cellStyle name="40% - Accent2 3 6 3 3" xfId="31246" xr:uid="{DE48FC02-3B38-4A75-9A85-C60130F9A543}"/>
    <cellStyle name="40% - Accent2 3 6 4" xfId="23876" xr:uid="{338527AC-7040-4989-9525-890EA2D198C0}"/>
    <cellStyle name="40% - Accent2 3 6 4 2" xfId="38847" xr:uid="{0530AA81-C794-49F5-9091-D5964D97CF3F}"/>
    <cellStyle name="40% - Accent2 3 6 5" xfId="31244" xr:uid="{D9052E9A-B47E-47A0-B1FD-F4E4DBA842EB}"/>
    <cellStyle name="40% - Accent2 3 7" xfId="6243" xr:uid="{00000000-0005-0000-0000-0000EA0B0000}"/>
    <cellStyle name="40% - Accent2 3 7 2" xfId="23879" xr:uid="{3AC28D84-8F38-4726-B73D-D597BEA2BCC7}"/>
    <cellStyle name="40% - Accent2 3 7 2 2" xfId="38850" xr:uid="{82353482-51E1-4E38-8066-A9B013F86056}"/>
    <cellStyle name="40% - Accent2 3 7 3" xfId="31247" xr:uid="{FB460C87-9856-41A8-A787-0D10F05A801A}"/>
    <cellStyle name="40% - Accent2 3 8" xfId="6244" xr:uid="{00000000-0005-0000-0000-0000EB0B0000}"/>
    <cellStyle name="40% - Accent2 3 8 2" xfId="23880" xr:uid="{F1B656DB-A270-4BF0-B2E9-E35B6BB08789}"/>
    <cellStyle name="40% - Accent2 3 8 2 2" xfId="38851" xr:uid="{0D479BD3-26C6-45D6-909A-13E881AFCAAE}"/>
    <cellStyle name="40% - Accent2 3 8 3" xfId="31248" xr:uid="{D627F7C2-CEBA-4E93-A5B9-66B3276E101D}"/>
    <cellStyle name="40% - Accent2 3 9" xfId="6201" xr:uid="{00000000-0005-0000-0000-0000C00B0000}"/>
    <cellStyle name="40% - Accent2 3 9 2" xfId="23839" xr:uid="{A9EA7301-8DD2-4D47-9868-7F85BB72485F}"/>
    <cellStyle name="40% - Accent2 3 9 2 2" xfId="38810" xr:uid="{BBAE9713-04C8-47A6-A6B7-E0F22E813A6E}"/>
    <cellStyle name="40% - Accent2 3 9 3" xfId="31207" xr:uid="{6CCBCF38-A2EA-4C77-BDAF-1510BA586357}"/>
    <cellStyle name="40% - Accent2 4" xfId="229" xr:uid="{00000000-0005-0000-0000-000044000000}"/>
    <cellStyle name="40% - Accent2 4 2" xfId="6246" xr:uid="{00000000-0005-0000-0000-0000ED0B0000}"/>
    <cellStyle name="40% - Accent2 4 2 2" xfId="6247" xr:uid="{00000000-0005-0000-0000-0000EE0B0000}"/>
    <cellStyle name="40% - Accent2 4 2 2 2" xfId="6248" xr:uid="{00000000-0005-0000-0000-0000EF0B0000}"/>
    <cellStyle name="40% - Accent2 4 2 2 2 2" xfId="6249" xr:uid="{00000000-0005-0000-0000-0000F00B0000}"/>
    <cellStyle name="40% - Accent2 4 2 2 2 2 2" xfId="6250" xr:uid="{00000000-0005-0000-0000-0000F10B0000}"/>
    <cellStyle name="40% - Accent2 4 2 2 2 2 2 2" xfId="23885" xr:uid="{9FD1A561-6867-480B-9EFC-9765265375B6}"/>
    <cellStyle name="40% - Accent2 4 2 2 2 2 2 2 2" xfId="38856" xr:uid="{230967D2-1880-4C6C-88ED-FF84535FB91A}"/>
    <cellStyle name="40% - Accent2 4 2 2 2 2 2 3" xfId="31253" xr:uid="{E94FE001-A94A-439A-AD6D-2A5A75F2FDA9}"/>
    <cellStyle name="40% - Accent2 4 2 2 2 2 3" xfId="6251" xr:uid="{00000000-0005-0000-0000-0000F20B0000}"/>
    <cellStyle name="40% - Accent2 4 2 2 2 2 3 2" xfId="23886" xr:uid="{D5CB48A9-9C26-4B1C-A3D2-6ED8198EE050}"/>
    <cellStyle name="40% - Accent2 4 2 2 2 2 3 2 2" xfId="38857" xr:uid="{414096EC-E97D-4BA1-AE57-88F9E5B7F627}"/>
    <cellStyle name="40% - Accent2 4 2 2 2 2 3 3" xfId="31254" xr:uid="{54D3A037-5E6F-419C-9D7E-E213747C3A50}"/>
    <cellStyle name="40% - Accent2 4 2 2 2 2 4" xfId="23884" xr:uid="{62810767-7D4D-4A12-B0B0-5CC66D16B787}"/>
    <cellStyle name="40% - Accent2 4 2 2 2 2 4 2" xfId="38855" xr:uid="{CB61B13A-7BF0-467A-9296-7F5CB096AF5B}"/>
    <cellStyle name="40% - Accent2 4 2 2 2 2 5" xfId="31252" xr:uid="{D3E081A6-ACE6-41D7-BB50-05A6C4C2B230}"/>
    <cellStyle name="40% - Accent2 4 2 2 2 3" xfId="6252" xr:uid="{00000000-0005-0000-0000-0000F30B0000}"/>
    <cellStyle name="40% - Accent2 4 2 2 2 3 2" xfId="23887" xr:uid="{BB13ECE3-826B-4C4E-B3C8-3F4A41BAB73A}"/>
    <cellStyle name="40% - Accent2 4 2 2 2 3 2 2" xfId="38858" xr:uid="{DF627961-E75C-4764-94E0-08D82588E537}"/>
    <cellStyle name="40% - Accent2 4 2 2 2 3 3" xfId="31255" xr:uid="{AF88E9F8-46EB-4B99-B0C5-F777A7C96A0E}"/>
    <cellStyle name="40% - Accent2 4 2 2 2 4" xfId="6253" xr:uid="{00000000-0005-0000-0000-0000F40B0000}"/>
    <cellStyle name="40% - Accent2 4 2 2 2 4 2" xfId="23888" xr:uid="{760529A9-8B4C-4A72-A1E8-CD976FD8050E}"/>
    <cellStyle name="40% - Accent2 4 2 2 2 4 2 2" xfId="38859" xr:uid="{DC0655B5-3E9A-4600-8F0B-B7648C60CD9D}"/>
    <cellStyle name="40% - Accent2 4 2 2 2 4 3" xfId="31256" xr:uid="{3E492AE6-0B5B-4FEA-A41E-2FC3048BA732}"/>
    <cellStyle name="40% - Accent2 4 2 2 2 5" xfId="23883" xr:uid="{B5196D1C-527B-4FC1-9CE4-2BB54A9817A7}"/>
    <cellStyle name="40% - Accent2 4 2 2 2 5 2" xfId="38854" xr:uid="{85749CA8-5E0C-4A21-A0B8-16CE06E6885B}"/>
    <cellStyle name="40% - Accent2 4 2 2 2 6" xfId="31251" xr:uid="{B6D4146C-3EFF-4078-A2BD-50B4ADE6F8A6}"/>
    <cellStyle name="40% - Accent2 4 2 2 3" xfId="6254" xr:uid="{00000000-0005-0000-0000-0000F50B0000}"/>
    <cellStyle name="40% - Accent2 4 2 2 3 2" xfId="6255" xr:uid="{00000000-0005-0000-0000-0000F60B0000}"/>
    <cellStyle name="40% - Accent2 4 2 2 3 2 2" xfId="23890" xr:uid="{CD723866-1BC9-421E-8961-152835D760C9}"/>
    <cellStyle name="40% - Accent2 4 2 2 3 2 2 2" xfId="38861" xr:uid="{790631B6-19BA-4FC1-823B-13B493FF25BC}"/>
    <cellStyle name="40% - Accent2 4 2 2 3 2 3" xfId="31258" xr:uid="{9FA82279-2E4B-404B-B23D-C08ADCD906F5}"/>
    <cellStyle name="40% - Accent2 4 2 2 3 3" xfId="6256" xr:uid="{00000000-0005-0000-0000-0000F70B0000}"/>
    <cellStyle name="40% - Accent2 4 2 2 3 3 2" xfId="23891" xr:uid="{977275FE-E9E0-4C3C-975D-BDBC62F1CAD3}"/>
    <cellStyle name="40% - Accent2 4 2 2 3 3 2 2" xfId="38862" xr:uid="{327313A0-62A7-46A1-AE0F-1BFF0AB5DC22}"/>
    <cellStyle name="40% - Accent2 4 2 2 3 3 3" xfId="31259" xr:uid="{C7FF881B-1F64-4020-B2FE-622C6F302E42}"/>
    <cellStyle name="40% - Accent2 4 2 2 3 4" xfId="23889" xr:uid="{28BC5874-73ED-4C33-B3E9-2FBFAF98CA25}"/>
    <cellStyle name="40% - Accent2 4 2 2 3 4 2" xfId="38860" xr:uid="{88371652-C2FC-4AC9-87D8-EB396BC78250}"/>
    <cellStyle name="40% - Accent2 4 2 2 3 5" xfId="31257" xr:uid="{D41E93F6-307D-4ADB-85C1-FD57E9F5C241}"/>
    <cellStyle name="40% - Accent2 4 2 2 4" xfId="6257" xr:uid="{00000000-0005-0000-0000-0000F80B0000}"/>
    <cellStyle name="40% - Accent2 4 2 2 4 2" xfId="23892" xr:uid="{AE1E758F-7B1F-4F38-AF4C-BC1C944A0CBC}"/>
    <cellStyle name="40% - Accent2 4 2 2 4 2 2" xfId="38863" xr:uid="{12A5C36F-B166-4A34-AA39-0932EA23BC5D}"/>
    <cellStyle name="40% - Accent2 4 2 2 4 3" xfId="31260" xr:uid="{5CD82FF2-EE1E-4799-8F0B-FEBDB1A9C3A8}"/>
    <cellStyle name="40% - Accent2 4 2 2 5" xfId="6258" xr:uid="{00000000-0005-0000-0000-0000F90B0000}"/>
    <cellStyle name="40% - Accent2 4 2 2 5 2" xfId="23893" xr:uid="{AC1113E8-C9BC-48D2-9D5D-B8E8E4BFACA3}"/>
    <cellStyle name="40% - Accent2 4 2 2 5 2 2" xfId="38864" xr:uid="{B03201CC-A08D-400F-8BA2-F01E055D9CB2}"/>
    <cellStyle name="40% - Accent2 4 2 2 5 3" xfId="31261" xr:uid="{D8B8BA65-106D-492F-909F-BE40D0C9A1A6}"/>
    <cellStyle name="40% - Accent2 4 2 2 6" xfId="23882" xr:uid="{D8C7B7C0-D7D8-4A35-AA99-5E79DA70CE4C}"/>
    <cellStyle name="40% - Accent2 4 2 2 6 2" xfId="38853" xr:uid="{7CF4A078-D379-4878-B548-C4D38306BCC3}"/>
    <cellStyle name="40% - Accent2 4 2 2 7" xfId="31250" xr:uid="{8A452F7D-D917-4A51-9C3F-7989A139BB63}"/>
    <cellStyle name="40% - Accent2 4 2 3" xfId="6259" xr:uid="{00000000-0005-0000-0000-0000FA0B0000}"/>
    <cellStyle name="40% - Accent2 4 2 3 2" xfId="6260" xr:uid="{00000000-0005-0000-0000-0000FB0B0000}"/>
    <cellStyle name="40% - Accent2 4 2 3 2 2" xfId="6261" xr:uid="{00000000-0005-0000-0000-0000FC0B0000}"/>
    <cellStyle name="40% - Accent2 4 2 3 2 2 2" xfId="23896" xr:uid="{288123AE-84A5-47B4-A86F-676DE36893EB}"/>
    <cellStyle name="40% - Accent2 4 2 3 2 2 2 2" xfId="38867" xr:uid="{688970D9-6AA7-4124-B224-7C07F695B66E}"/>
    <cellStyle name="40% - Accent2 4 2 3 2 2 3" xfId="31264" xr:uid="{D57BE1BB-F9FD-4B21-B8D3-7183F374E4F2}"/>
    <cellStyle name="40% - Accent2 4 2 3 2 3" xfId="6262" xr:uid="{00000000-0005-0000-0000-0000FD0B0000}"/>
    <cellStyle name="40% - Accent2 4 2 3 2 3 2" xfId="23897" xr:uid="{0DC20073-D553-47C9-BFF8-E0AED8EAC3DF}"/>
    <cellStyle name="40% - Accent2 4 2 3 2 3 2 2" xfId="38868" xr:uid="{505581C0-DD08-4BE2-8405-6A38DF938E04}"/>
    <cellStyle name="40% - Accent2 4 2 3 2 3 3" xfId="31265" xr:uid="{BAEF4B3E-5F84-4A64-BF02-DBCE9900C712}"/>
    <cellStyle name="40% - Accent2 4 2 3 2 4" xfId="23895" xr:uid="{BCB768CA-E225-47B5-B0FB-6ABFB853302E}"/>
    <cellStyle name="40% - Accent2 4 2 3 2 4 2" xfId="38866" xr:uid="{F658AF80-9243-4690-9AAC-2822F91DD847}"/>
    <cellStyle name="40% - Accent2 4 2 3 2 5" xfId="31263" xr:uid="{E4EEEFBA-9D33-40C9-A246-4B6DFC444A77}"/>
    <cellStyle name="40% - Accent2 4 2 3 3" xfId="6263" xr:uid="{00000000-0005-0000-0000-0000FE0B0000}"/>
    <cellStyle name="40% - Accent2 4 2 3 3 2" xfId="23898" xr:uid="{04938714-4016-4894-ABE9-AA519F604DD2}"/>
    <cellStyle name="40% - Accent2 4 2 3 3 2 2" xfId="38869" xr:uid="{20A1FBD4-0322-439F-A1D1-9FAF10D0372B}"/>
    <cellStyle name="40% - Accent2 4 2 3 3 3" xfId="31266" xr:uid="{70A7EEEF-9E59-488F-B8B1-C98E59C72BB9}"/>
    <cellStyle name="40% - Accent2 4 2 3 4" xfId="6264" xr:uid="{00000000-0005-0000-0000-0000FF0B0000}"/>
    <cellStyle name="40% - Accent2 4 2 3 4 2" xfId="23899" xr:uid="{CDD2A6CE-2FFF-4928-B952-B75FFC38B59C}"/>
    <cellStyle name="40% - Accent2 4 2 3 4 2 2" xfId="38870" xr:uid="{BF97CF19-F93A-4A64-B437-DB02DBE69626}"/>
    <cellStyle name="40% - Accent2 4 2 3 4 3" xfId="31267" xr:uid="{4324C774-6328-43E3-A600-6EA17F8D11ED}"/>
    <cellStyle name="40% - Accent2 4 2 3 5" xfId="23894" xr:uid="{2938278A-17C2-4548-BF5C-92DAA116B614}"/>
    <cellStyle name="40% - Accent2 4 2 3 5 2" xfId="38865" xr:uid="{D47313BC-FB80-4B13-895D-8ECDC872FB4D}"/>
    <cellStyle name="40% - Accent2 4 2 3 6" xfId="31262" xr:uid="{52BACB19-1396-4623-A212-83B90C19C11F}"/>
    <cellStyle name="40% - Accent2 4 2 4" xfId="6265" xr:uid="{00000000-0005-0000-0000-0000000C0000}"/>
    <cellStyle name="40% - Accent2 4 3" xfId="6266" xr:uid="{00000000-0005-0000-0000-0000010C0000}"/>
    <cellStyle name="40% - Accent2 4 3 2" xfId="6267" xr:uid="{00000000-0005-0000-0000-0000020C0000}"/>
    <cellStyle name="40% - Accent2 4 3 2 2" xfId="6268" xr:uid="{00000000-0005-0000-0000-0000030C0000}"/>
    <cellStyle name="40% - Accent2 4 3 2 2 2" xfId="23902" xr:uid="{2854816C-A197-4401-8F5A-7A1D46FAB0C3}"/>
    <cellStyle name="40% - Accent2 4 3 2 2 2 2" xfId="38873" xr:uid="{FE95843F-B311-4810-B7FB-BD9761782891}"/>
    <cellStyle name="40% - Accent2 4 3 2 2 3" xfId="31270" xr:uid="{66B44AC0-1FF7-49AB-A185-57EDEC9F1703}"/>
    <cellStyle name="40% - Accent2 4 3 2 3" xfId="6269" xr:uid="{00000000-0005-0000-0000-0000040C0000}"/>
    <cellStyle name="40% - Accent2 4 3 2 3 2" xfId="23903" xr:uid="{5906CB12-D028-475C-A623-8A2539192C99}"/>
    <cellStyle name="40% - Accent2 4 3 2 3 2 2" xfId="38874" xr:uid="{9B04D0AC-144D-47AA-934B-AD4911083524}"/>
    <cellStyle name="40% - Accent2 4 3 2 3 3" xfId="31271" xr:uid="{DFCDCA40-58C6-42BC-BFD9-FB6D8ABD2846}"/>
    <cellStyle name="40% - Accent2 4 3 2 4" xfId="23901" xr:uid="{0060D06B-D8E4-4926-B6D8-96A5F459610C}"/>
    <cellStyle name="40% - Accent2 4 3 2 4 2" xfId="38872" xr:uid="{777E7A0F-80C7-4E66-9DE2-6DB3C5911640}"/>
    <cellStyle name="40% - Accent2 4 3 2 5" xfId="31269" xr:uid="{5F9E7E8D-CCD6-4140-9CEC-B4C470FD1CF5}"/>
    <cellStyle name="40% - Accent2 4 3 3" xfId="6270" xr:uid="{00000000-0005-0000-0000-0000050C0000}"/>
    <cellStyle name="40% - Accent2 4 3 3 2" xfId="23904" xr:uid="{B0BD7A24-6384-491E-96C9-E7FDACCAFD7C}"/>
    <cellStyle name="40% - Accent2 4 3 3 2 2" xfId="38875" xr:uid="{47DE047B-8979-4AF5-A21F-3F88B71C0A1A}"/>
    <cellStyle name="40% - Accent2 4 3 3 3" xfId="31272" xr:uid="{00E8984F-D02F-4261-B69E-F866933E8FA4}"/>
    <cellStyle name="40% - Accent2 4 3 4" xfId="6271" xr:uid="{00000000-0005-0000-0000-0000060C0000}"/>
    <cellStyle name="40% - Accent2 4 3 4 2" xfId="23905" xr:uid="{156BB073-6ACF-48F7-9A0D-2F4B83A60B19}"/>
    <cellStyle name="40% - Accent2 4 3 4 2 2" xfId="38876" xr:uid="{08203322-4797-4884-8463-87280FF49BE5}"/>
    <cellStyle name="40% - Accent2 4 3 4 3" xfId="31273" xr:uid="{40E7396F-5791-4DE0-BF39-3448704030FA}"/>
    <cellStyle name="40% - Accent2 4 3 5" xfId="23900" xr:uid="{FAC5C871-DD77-4848-807C-5A16434862A4}"/>
    <cellStyle name="40% - Accent2 4 3 5 2" xfId="38871" xr:uid="{0391E30E-8FF7-4843-B3F3-2D5CCC5F11A2}"/>
    <cellStyle name="40% - Accent2 4 3 6" xfId="31268" xr:uid="{476019E5-7782-4746-BC55-DF2BC06AE9B9}"/>
    <cellStyle name="40% - Accent2 4 4" xfId="6272" xr:uid="{00000000-0005-0000-0000-0000070C0000}"/>
    <cellStyle name="40% - Accent2 4 4 2" xfId="6273" xr:uid="{00000000-0005-0000-0000-0000080C0000}"/>
    <cellStyle name="40% - Accent2 4 4 2 2" xfId="6274" xr:uid="{00000000-0005-0000-0000-0000090C0000}"/>
    <cellStyle name="40% - Accent2 4 4 2 2 2" xfId="23908" xr:uid="{3A9D9EC0-70CE-473A-8EE7-22AA3271D026}"/>
    <cellStyle name="40% - Accent2 4 4 2 2 2 2" xfId="38879" xr:uid="{102DEC66-0A18-43CC-A8D2-4E2739129286}"/>
    <cellStyle name="40% - Accent2 4 4 2 2 3" xfId="31276" xr:uid="{9AD6491D-DC2E-4FE8-960B-5643E5E29A83}"/>
    <cellStyle name="40% - Accent2 4 4 2 3" xfId="6275" xr:uid="{00000000-0005-0000-0000-00000A0C0000}"/>
    <cellStyle name="40% - Accent2 4 4 2 3 2" xfId="23909" xr:uid="{570A974C-BB93-473D-BC2A-027E5E316561}"/>
    <cellStyle name="40% - Accent2 4 4 2 3 2 2" xfId="38880" xr:uid="{F87955F7-DC8F-4895-9883-161CD6CB8014}"/>
    <cellStyle name="40% - Accent2 4 4 2 3 3" xfId="31277" xr:uid="{18BD9457-7A94-4904-8174-BB3940412C22}"/>
    <cellStyle name="40% - Accent2 4 4 2 4" xfId="23907" xr:uid="{F0626E8C-A67B-408A-869A-BBE7FF2B1954}"/>
    <cellStyle name="40% - Accent2 4 4 2 4 2" xfId="38878" xr:uid="{37748046-C624-4589-BA29-F6448B7C816B}"/>
    <cellStyle name="40% - Accent2 4 4 2 5" xfId="31275" xr:uid="{4F1E87D6-A066-423F-9FB6-566BAF249742}"/>
    <cellStyle name="40% - Accent2 4 4 3" xfId="6276" xr:uid="{00000000-0005-0000-0000-00000B0C0000}"/>
    <cellStyle name="40% - Accent2 4 4 3 2" xfId="23910" xr:uid="{6A566686-5DD4-442E-A944-E479A7916A2B}"/>
    <cellStyle name="40% - Accent2 4 4 3 2 2" xfId="38881" xr:uid="{227D67C0-C7DD-4A25-985F-3001452833AC}"/>
    <cellStyle name="40% - Accent2 4 4 3 3" xfId="31278" xr:uid="{84433B9A-D505-4AFC-A349-BFF4F34DC369}"/>
    <cellStyle name="40% - Accent2 4 4 4" xfId="6277" xr:uid="{00000000-0005-0000-0000-00000C0C0000}"/>
    <cellStyle name="40% - Accent2 4 4 4 2" xfId="23911" xr:uid="{1CA45BFD-6634-4118-AE63-3591FA64108E}"/>
    <cellStyle name="40% - Accent2 4 4 4 2 2" xfId="38882" xr:uid="{A6E8B041-B745-400C-B77B-5B40DC9A3DA3}"/>
    <cellStyle name="40% - Accent2 4 4 4 3" xfId="31279" xr:uid="{01C313BE-F54A-492A-9FB7-D8967D716B23}"/>
    <cellStyle name="40% - Accent2 4 4 5" xfId="23906" xr:uid="{A46F2166-A243-4B19-8730-F2E5C5301D54}"/>
    <cellStyle name="40% - Accent2 4 4 5 2" xfId="38877" xr:uid="{ACF4BB4E-7D72-4500-BE63-D8831A0A3F21}"/>
    <cellStyle name="40% - Accent2 4 4 6" xfId="31274" xr:uid="{FDFD7DA0-EA80-49A7-8A43-6E07F4C30F30}"/>
    <cellStyle name="40% - Accent2 4 5" xfId="6278" xr:uid="{00000000-0005-0000-0000-00000D0C0000}"/>
    <cellStyle name="40% - Accent2 4 5 2" xfId="6279" xr:uid="{00000000-0005-0000-0000-00000E0C0000}"/>
    <cellStyle name="40% - Accent2 4 5 2 2" xfId="6280" xr:uid="{00000000-0005-0000-0000-00000F0C0000}"/>
    <cellStyle name="40% - Accent2 4 5 2 2 2" xfId="23914" xr:uid="{D28CB70E-D84B-4396-8976-F6018E329ACE}"/>
    <cellStyle name="40% - Accent2 4 5 2 2 2 2" xfId="38885" xr:uid="{B73475C6-3350-4430-AB53-94FF29C9A160}"/>
    <cellStyle name="40% - Accent2 4 5 2 2 3" xfId="31282" xr:uid="{E050FB91-C170-449D-BC0E-3221DBB26DFC}"/>
    <cellStyle name="40% - Accent2 4 5 2 3" xfId="6281" xr:uid="{00000000-0005-0000-0000-0000100C0000}"/>
    <cellStyle name="40% - Accent2 4 5 2 3 2" xfId="23915" xr:uid="{2F91D46D-D7E6-4AFB-ABAC-14AC5C431148}"/>
    <cellStyle name="40% - Accent2 4 5 2 3 2 2" xfId="38886" xr:uid="{7FFE89D8-D9A4-4EDF-8727-3CA7B04B7735}"/>
    <cellStyle name="40% - Accent2 4 5 2 3 3" xfId="31283" xr:uid="{60EBCDB6-7A41-43A8-BEA7-284A934A37D0}"/>
    <cellStyle name="40% - Accent2 4 5 2 4" xfId="23913" xr:uid="{AA4489B4-84DE-4E85-A726-AFB3B28D55F9}"/>
    <cellStyle name="40% - Accent2 4 5 2 4 2" xfId="38884" xr:uid="{28DD05E7-EA81-48A6-A322-A39F16BF1B69}"/>
    <cellStyle name="40% - Accent2 4 5 2 5" xfId="31281" xr:uid="{094F5ED3-4C14-4321-9888-8CA7704A3DE7}"/>
    <cellStyle name="40% - Accent2 4 5 3" xfId="6282" xr:uid="{00000000-0005-0000-0000-0000110C0000}"/>
    <cellStyle name="40% - Accent2 4 5 3 2" xfId="23916" xr:uid="{62ED15B7-8300-43F4-9048-215DE2E2F53A}"/>
    <cellStyle name="40% - Accent2 4 5 3 2 2" xfId="38887" xr:uid="{6825DEF1-90EF-45AF-A4D7-93883BE556D2}"/>
    <cellStyle name="40% - Accent2 4 5 3 3" xfId="31284" xr:uid="{169905C5-89CF-4E0C-8C53-D29C67EAF2DA}"/>
    <cellStyle name="40% - Accent2 4 5 4" xfId="6283" xr:uid="{00000000-0005-0000-0000-0000120C0000}"/>
    <cellStyle name="40% - Accent2 4 5 4 2" xfId="23917" xr:uid="{59682DA7-C691-44C1-978C-A20CC94C4116}"/>
    <cellStyle name="40% - Accent2 4 5 4 2 2" xfId="38888" xr:uid="{799A0221-67BE-4A86-AF09-D7C0ECF140BA}"/>
    <cellStyle name="40% - Accent2 4 5 4 3" xfId="31285" xr:uid="{6E2CFDD7-C99A-4F24-8F15-E19C7173D9F2}"/>
    <cellStyle name="40% - Accent2 4 5 5" xfId="23912" xr:uid="{6C86D329-EBA2-4A36-B249-B317CAAFAC2C}"/>
    <cellStyle name="40% - Accent2 4 5 5 2" xfId="38883" xr:uid="{34BB40E0-55D2-41B6-96E1-95415E4D3473}"/>
    <cellStyle name="40% - Accent2 4 5 6" xfId="31280" xr:uid="{93DAE111-E697-43BD-9565-B701410E7177}"/>
    <cellStyle name="40% - Accent2 4 6" xfId="6284" xr:uid="{00000000-0005-0000-0000-0000130C0000}"/>
    <cellStyle name="40% - Accent2 4 6 2" xfId="6285" xr:uid="{00000000-0005-0000-0000-0000140C0000}"/>
    <cellStyle name="40% - Accent2 4 6 2 2" xfId="23919" xr:uid="{1CD4AA26-4031-4C1F-94E7-7C523D9133F8}"/>
    <cellStyle name="40% - Accent2 4 6 2 2 2" xfId="38890" xr:uid="{D1AAFAA3-AAC7-474F-86D1-C123EE7DCCDB}"/>
    <cellStyle name="40% - Accent2 4 6 2 3" xfId="31287" xr:uid="{06ACD26B-9ACF-499E-A309-353990414156}"/>
    <cellStyle name="40% - Accent2 4 6 3" xfId="6286" xr:uid="{00000000-0005-0000-0000-0000150C0000}"/>
    <cellStyle name="40% - Accent2 4 6 3 2" xfId="23920" xr:uid="{CE227EAE-33B3-4704-BD27-A576AAC636F5}"/>
    <cellStyle name="40% - Accent2 4 6 3 2 2" xfId="38891" xr:uid="{018C27EB-2F37-4151-96BC-5CDFCE2CC98D}"/>
    <cellStyle name="40% - Accent2 4 6 3 3" xfId="31288" xr:uid="{57442200-2806-4B28-805A-F7A2E4ED357E}"/>
    <cellStyle name="40% - Accent2 4 6 4" xfId="23918" xr:uid="{1EABB758-F53E-47CE-914C-BDCEB8C5B200}"/>
    <cellStyle name="40% - Accent2 4 6 4 2" xfId="38889" xr:uid="{E810F931-A731-4B3F-AA1D-37EF87245EB9}"/>
    <cellStyle name="40% - Accent2 4 6 5" xfId="31286" xr:uid="{F313AFBF-3F49-4707-9499-417253DAA43F}"/>
    <cellStyle name="40% - Accent2 4 7" xfId="6287" xr:uid="{00000000-0005-0000-0000-0000160C0000}"/>
    <cellStyle name="40% - Accent2 4 7 2" xfId="23921" xr:uid="{39D616B7-9915-4226-AD97-87117D109D7A}"/>
    <cellStyle name="40% - Accent2 4 7 2 2" xfId="38892" xr:uid="{30CD7CA6-57CC-4734-9A8E-DFDC5A68A75F}"/>
    <cellStyle name="40% - Accent2 4 7 3" xfId="31289" xr:uid="{B5F63467-CAFC-47B8-A0BF-0494899C0EFE}"/>
    <cellStyle name="40% - Accent2 4 8" xfId="6288" xr:uid="{00000000-0005-0000-0000-0000170C0000}"/>
    <cellStyle name="40% - Accent2 4 8 2" xfId="23922" xr:uid="{E9DC31BD-51C2-48C4-9A06-FEB2ABE961F1}"/>
    <cellStyle name="40% - Accent2 4 8 2 2" xfId="38893" xr:uid="{B977B627-C3C5-430F-9535-8D18D874174F}"/>
    <cellStyle name="40% - Accent2 4 8 3" xfId="31290" xr:uid="{BC604C8D-02C4-413D-99CB-9330EE892164}"/>
    <cellStyle name="40% - Accent2 4 9" xfId="6245" xr:uid="{00000000-0005-0000-0000-0000EC0B0000}"/>
    <cellStyle name="40% - Accent2 4 9 2" xfId="23881" xr:uid="{5FB7DB9F-894D-40DE-BF40-A41E19DA8668}"/>
    <cellStyle name="40% - Accent2 4 9 2 2" xfId="38852" xr:uid="{968C1B6E-4105-48F2-8ADD-1209071B1BD3}"/>
    <cellStyle name="40% - Accent2 4 9 3" xfId="31249" xr:uid="{5B551E17-0112-491C-BACA-9D1CB7D3F033}"/>
    <cellStyle name="40% - Accent2 5" xfId="230" xr:uid="{00000000-0005-0000-0000-000045000000}"/>
    <cellStyle name="40% - Accent2 5 2" xfId="6290" xr:uid="{00000000-0005-0000-0000-0000190C0000}"/>
    <cellStyle name="40% - Accent2 5 2 2" xfId="6291" xr:uid="{00000000-0005-0000-0000-00001A0C0000}"/>
    <cellStyle name="40% - Accent2 5 2 2 2" xfId="6292" xr:uid="{00000000-0005-0000-0000-00001B0C0000}"/>
    <cellStyle name="40% - Accent2 5 2 2 2 2" xfId="6293" xr:uid="{00000000-0005-0000-0000-00001C0C0000}"/>
    <cellStyle name="40% - Accent2 5 2 2 2 2 2" xfId="6294" xr:uid="{00000000-0005-0000-0000-00001D0C0000}"/>
    <cellStyle name="40% - Accent2 5 2 2 2 2 2 2" xfId="23927" xr:uid="{EF27DD91-88AB-49D3-BE79-A4B2F01EA5EF}"/>
    <cellStyle name="40% - Accent2 5 2 2 2 2 2 2 2" xfId="38898" xr:uid="{7A8C2E9F-D224-420A-AED7-CA451589BDDD}"/>
    <cellStyle name="40% - Accent2 5 2 2 2 2 2 3" xfId="31295" xr:uid="{CF080D50-5600-4D3F-8701-8C67DA6A4372}"/>
    <cellStyle name="40% - Accent2 5 2 2 2 2 3" xfId="6295" xr:uid="{00000000-0005-0000-0000-00001E0C0000}"/>
    <cellStyle name="40% - Accent2 5 2 2 2 2 3 2" xfId="23928" xr:uid="{0DAABCE8-8AC2-41D5-8D0E-3863FC95780B}"/>
    <cellStyle name="40% - Accent2 5 2 2 2 2 3 2 2" xfId="38899" xr:uid="{0A1CAF84-D4BD-4D02-93A4-0FA4757F51D2}"/>
    <cellStyle name="40% - Accent2 5 2 2 2 2 3 3" xfId="31296" xr:uid="{04628166-C075-482D-AEB5-6B30A8EF5F6F}"/>
    <cellStyle name="40% - Accent2 5 2 2 2 2 4" xfId="23926" xr:uid="{EDC4BA61-A443-4363-818A-F84AB01A6784}"/>
    <cellStyle name="40% - Accent2 5 2 2 2 2 4 2" xfId="38897" xr:uid="{B9F1E854-277E-40D6-BAA3-2D7655116E1F}"/>
    <cellStyle name="40% - Accent2 5 2 2 2 2 5" xfId="31294" xr:uid="{6036F28E-B92A-43C3-81A5-72FFEC2616FE}"/>
    <cellStyle name="40% - Accent2 5 2 2 2 3" xfId="6296" xr:uid="{00000000-0005-0000-0000-00001F0C0000}"/>
    <cellStyle name="40% - Accent2 5 2 2 2 3 2" xfId="23929" xr:uid="{E7E9527D-064C-4A8F-B3F2-1F567E0A5B15}"/>
    <cellStyle name="40% - Accent2 5 2 2 2 3 2 2" xfId="38900" xr:uid="{146F34A4-CF9A-46A9-9C4A-76EB11FDF789}"/>
    <cellStyle name="40% - Accent2 5 2 2 2 3 3" xfId="31297" xr:uid="{9CA52024-753F-426E-9F11-1B385E82E385}"/>
    <cellStyle name="40% - Accent2 5 2 2 2 4" xfId="6297" xr:uid="{00000000-0005-0000-0000-0000200C0000}"/>
    <cellStyle name="40% - Accent2 5 2 2 2 4 2" xfId="23930" xr:uid="{B1AB4A88-64CD-4ABE-9EC9-B198789C202C}"/>
    <cellStyle name="40% - Accent2 5 2 2 2 4 2 2" xfId="38901" xr:uid="{F972A564-0BEC-4F0B-BD9F-BCFA91B35F25}"/>
    <cellStyle name="40% - Accent2 5 2 2 2 4 3" xfId="31298" xr:uid="{5C3424DE-B191-4189-8A8A-5F3F1AE6328F}"/>
    <cellStyle name="40% - Accent2 5 2 2 2 5" xfId="23925" xr:uid="{B20E2B1C-CDA2-4106-9F3C-B2F11D0D3BA8}"/>
    <cellStyle name="40% - Accent2 5 2 2 2 5 2" xfId="38896" xr:uid="{FCF80006-7016-4FC8-9C8D-A0C21640D700}"/>
    <cellStyle name="40% - Accent2 5 2 2 2 6" xfId="31293" xr:uid="{C6AB2E54-5B88-45D3-A010-3216BACD2A32}"/>
    <cellStyle name="40% - Accent2 5 2 2 3" xfId="6298" xr:uid="{00000000-0005-0000-0000-0000210C0000}"/>
    <cellStyle name="40% - Accent2 5 2 2 3 2" xfId="6299" xr:uid="{00000000-0005-0000-0000-0000220C0000}"/>
    <cellStyle name="40% - Accent2 5 2 2 3 2 2" xfId="23932" xr:uid="{2B868E87-9F15-4380-B632-E82B2830C0ED}"/>
    <cellStyle name="40% - Accent2 5 2 2 3 2 2 2" xfId="38903" xr:uid="{092ECF0C-74D5-4925-B7A7-3F772FC1B59A}"/>
    <cellStyle name="40% - Accent2 5 2 2 3 2 3" xfId="31300" xr:uid="{E16E8589-627B-4E42-A1A9-159399704326}"/>
    <cellStyle name="40% - Accent2 5 2 2 3 3" xfId="6300" xr:uid="{00000000-0005-0000-0000-0000230C0000}"/>
    <cellStyle name="40% - Accent2 5 2 2 3 3 2" xfId="23933" xr:uid="{9D93EF5B-B802-4F82-9941-2B7A339956F6}"/>
    <cellStyle name="40% - Accent2 5 2 2 3 3 2 2" xfId="38904" xr:uid="{55731DDA-F35F-4DE2-BA52-99FAEF9A8748}"/>
    <cellStyle name="40% - Accent2 5 2 2 3 3 3" xfId="31301" xr:uid="{B136FCD3-46BD-4682-9933-23C0F940BF88}"/>
    <cellStyle name="40% - Accent2 5 2 2 3 4" xfId="23931" xr:uid="{5C729805-939A-48C0-9446-9CE6E0E2289E}"/>
    <cellStyle name="40% - Accent2 5 2 2 3 4 2" xfId="38902" xr:uid="{20879DE3-6ED8-4804-88FA-64DF236EF0C7}"/>
    <cellStyle name="40% - Accent2 5 2 2 3 5" xfId="31299" xr:uid="{AD4466D6-D594-41B4-9B22-8C0C00882EF5}"/>
    <cellStyle name="40% - Accent2 5 2 2 4" xfId="6301" xr:uid="{00000000-0005-0000-0000-0000240C0000}"/>
    <cellStyle name="40% - Accent2 5 2 2 4 2" xfId="23934" xr:uid="{CC2C6E8C-1897-4D1A-88BE-E73E1D3C6AE9}"/>
    <cellStyle name="40% - Accent2 5 2 2 4 2 2" xfId="38905" xr:uid="{05FFCD78-BD79-470F-AD82-57D7A11C963D}"/>
    <cellStyle name="40% - Accent2 5 2 2 4 3" xfId="31302" xr:uid="{153DD192-3587-4EE3-B538-64708503D964}"/>
    <cellStyle name="40% - Accent2 5 2 2 5" xfId="6302" xr:uid="{00000000-0005-0000-0000-0000250C0000}"/>
    <cellStyle name="40% - Accent2 5 2 2 5 2" xfId="23935" xr:uid="{E0A71C22-FA00-4D5E-98E1-67A7AC08B1EF}"/>
    <cellStyle name="40% - Accent2 5 2 2 5 2 2" xfId="38906" xr:uid="{A93C82EC-6269-47EC-A8E9-FD2B4EB73CBA}"/>
    <cellStyle name="40% - Accent2 5 2 2 5 3" xfId="31303" xr:uid="{871D2FA6-FA42-47C7-AC4D-D259595C5009}"/>
    <cellStyle name="40% - Accent2 5 2 2 6" xfId="23924" xr:uid="{769FA797-07A4-4E92-9FA6-61559D4095D2}"/>
    <cellStyle name="40% - Accent2 5 2 2 6 2" xfId="38895" xr:uid="{A1FAE11A-A87E-446B-9E98-2E03E9C22CA7}"/>
    <cellStyle name="40% - Accent2 5 2 2 7" xfId="31292" xr:uid="{BE6614B8-3814-449A-AC8C-B122B6381090}"/>
    <cellStyle name="40% - Accent2 5 2 3" xfId="6303" xr:uid="{00000000-0005-0000-0000-0000260C0000}"/>
    <cellStyle name="40% - Accent2 5 2 3 2" xfId="6304" xr:uid="{00000000-0005-0000-0000-0000270C0000}"/>
    <cellStyle name="40% - Accent2 5 2 3 2 2" xfId="6305" xr:uid="{00000000-0005-0000-0000-0000280C0000}"/>
    <cellStyle name="40% - Accent2 5 2 3 2 2 2" xfId="23938" xr:uid="{C6D8BB2F-F654-4735-8C4A-59C6C36AB18F}"/>
    <cellStyle name="40% - Accent2 5 2 3 2 2 2 2" xfId="38909" xr:uid="{6D51008B-B5C4-4817-ADA0-2F16A8F209C6}"/>
    <cellStyle name="40% - Accent2 5 2 3 2 2 3" xfId="31306" xr:uid="{45DAE9B5-0662-46AB-B509-5B9714D266EB}"/>
    <cellStyle name="40% - Accent2 5 2 3 2 3" xfId="6306" xr:uid="{00000000-0005-0000-0000-0000290C0000}"/>
    <cellStyle name="40% - Accent2 5 2 3 2 3 2" xfId="23939" xr:uid="{4999C2F3-AF8B-4FE1-8596-18994FC14FEB}"/>
    <cellStyle name="40% - Accent2 5 2 3 2 3 2 2" xfId="38910" xr:uid="{DE09AC07-A903-4D54-BFF2-EB49E1ECEEEA}"/>
    <cellStyle name="40% - Accent2 5 2 3 2 3 3" xfId="31307" xr:uid="{4B397903-7B07-4CDF-AE08-41B0FF288EF8}"/>
    <cellStyle name="40% - Accent2 5 2 3 2 4" xfId="23937" xr:uid="{50B188BD-330B-44B0-AFD9-D2D08018E369}"/>
    <cellStyle name="40% - Accent2 5 2 3 2 4 2" xfId="38908" xr:uid="{2EF5753E-9467-45E0-A8EC-D30E7405EF20}"/>
    <cellStyle name="40% - Accent2 5 2 3 2 5" xfId="31305" xr:uid="{2A646658-436C-4EC9-8D8F-0B7434674801}"/>
    <cellStyle name="40% - Accent2 5 2 3 3" xfId="6307" xr:uid="{00000000-0005-0000-0000-00002A0C0000}"/>
    <cellStyle name="40% - Accent2 5 2 3 3 2" xfId="23940" xr:uid="{AB307F9D-975F-4407-8ACE-09C5BDB74435}"/>
    <cellStyle name="40% - Accent2 5 2 3 3 2 2" xfId="38911" xr:uid="{71B42AE7-1DE2-4431-BE1C-E3B9E4C47AEA}"/>
    <cellStyle name="40% - Accent2 5 2 3 3 3" xfId="31308" xr:uid="{FB7DE399-2D60-4EED-9AA0-EBB17011D354}"/>
    <cellStyle name="40% - Accent2 5 2 3 4" xfId="6308" xr:uid="{00000000-0005-0000-0000-00002B0C0000}"/>
    <cellStyle name="40% - Accent2 5 2 3 4 2" xfId="23941" xr:uid="{C384C6EA-4BD7-4AE9-8316-9D0CC89B7873}"/>
    <cellStyle name="40% - Accent2 5 2 3 4 2 2" xfId="38912" xr:uid="{7378283E-7BD1-4C4D-85DE-A9C22F84C82B}"/>
    <cellStyle name="40% - Accent2 5 2 3 4 3" xfId="31309" xr:uid="{3751FE46-C902-44F2-948A-C7C96FFF7D10}"/>
    <cellStyle name="40% - Accent2 5 2 3 5" xfId="23936" xr:uid="{83E28D85-8992-4644-943B-8FB6A990E3D9}"/>
    <cellStyle name="40% - Accent2 5 2 3 5 2" xfId="38907" xr:uid="{4FC75888-A380-45BE-8156-AAA6EEA3E47C}"/>
    <cellStyle name="40% - Accent2 5 2 3 6" xfId="31304" xr:uid="{062BC1E8-0E23-4A0A-AC50-1183F8E1B82F}"/>
    <cellStyle name="40% - Accent2 5 2 4" xfId="6309" xr:uid="{00000000-0005-0000-0000-00002C0C0000}"/>
    <cellStyle name="40% - Accent2 5 3" xfId="6310" xr:uid="{00000000-0005-0000-0000-00002D0C0000}"/>
    <cellStyle name="40% - Accent2 5 3 2" xfId="6311" xr:uid="{00000000-0005-0000-0000-00002E0C0000}"/>
    <cellStyle name="40% - Accent2 5 3 2 2" xfId="6312" xr:uid="{00000000-0005-0000-0000-00002F0C0000}"/>
    <cellStyle name="40% - Accent2 5 3 2 2 2" xfId="23944" xr:uid="{BA1FBD51-B570-4381-9EF7-1AFD81A4389A}"/>
    <cellStyle name="40% - Accent2 5 3 2 2 2 2" xfId="38915" xr:uid="{14FEC7A7-7F8E-4922-8094-AE2DD0271CD5}"/>
    <cellStyle name="40% - Accent2 5 3 2 2 3" xfId="31312" xr:uid="{DB5123CF-66F8-472D-B53B-6814F3DB135A}"/>
    <cellStyle name="40% - Accent2 5 3 2 3" xfId="6313" xr:uid="{00000000-0005-0000-0000-0000300C0000}"/>
    <cellStyle name="40% - Accent2 5 3 2 3 2" xfId="23945" xr:uid="{3871C333-66B6-4C46-BBEE-01BFC215C0ED}"/>
    <cellStyle name="40% - Accent2 5 3 2 3 2 2" xfId="38916" xr:uid="{38C9ED6B-48ED-495D-A87A-714BC53BD027}"/>
    <cellStyle name="40% - Accent2 5 3 2 3 3" xfId="31313" xr:uid="{532437AC-FD91-41E4-9B00-F82B3C03F1C6}"/>
    <cellStyle name="40% - Accent2 5 3 2 4" xfId="23943" xr:uid="{813DD601-88F2-4DD6-AC1B-2BCFFDC1DC47}"/>
    <cellStyle name="40% - Accent2 5 3 2 4 2" xfId="38914" xr:uid="{EFFE7732-7AB8-4133-A611-1DFE3A5AB1D8}"/>
    <cellStyle name="40% - Accent2 5 3 2 5" xfId="31311" xr:uid="{BDC8E4CA-413A-4697-BD0F-753D6B6446EC}"/>
    <cellStyle name="40% - Accent2 5 3 3" xfId="6314" xr:uid="{00000000-0005-0000-0000-0000310C0000}"/>
    <cellStyle name="40% - Accent2 5 3 3 2" xfId="23946" xr:uid="{BCA2593C-A680-4335-8726-B99E5E51564A}"/>
    <cellStyle name="40% - Accent2 5 3 3 2 2" xfId="38917" xr:uid="{A56219AF-D941-4387-A1D5-EE1945E457C9}"/>
    <cellStyle name="40% - Accent2 5 3 3 3" xfId="31314" xr:uid="{43AA81C6-9846-4ABE-A91C-323415AD07E2}"/>
    <cellStyle name="40% - Accent2 5 3 4" xfId="6315" xr:uid="{00000000-0005-0000-0000-0000320C0000}"/>
    <cellStyle name="40% - Accent2 5 3 4 2" xfId="23947" xr:uid="{4880C3BF-C7FD-407E-813D-F526591856DF}"/>
    <cellStyle name="40% - Accent2 5 3 4 2 2" xfId="38918" xr:uid="{6A1245F2-BD40-4AC1-89B2-054549D56225}"/>
    <cellStyle name="40% - Accent2 5 3 4 3" xfId="31315" xr:uid="{0235193B-71DF-4EEA-A946-6A19E43412B8}"/>
    <cellStyle name="40% - Accent2 5 3 5" xfId="23942" xr:uid="{6DF7A0E2-36AC-4B54-A7BC-0DEBC56D5499}"/>
    <cellStyle name="40% - Accent2 5 3 5 2" xfId="38913" xr:uid="{1BD2DA37-75AF-4738-8B4F-69915EEFFB4C}"/>
    <cellStyle name="40% - Accent2 5 3 6" xfId="31310" xr:uid="{F7ED2BE5-2A63-450A-A156-B1B9E5133BE0}"/>
    <cellStyle name="40% - Accent2 5 4" xfId="6316" xr:uid="{00000000-0005-0000-0000-0000330C0000}"/>
    <cellStyle name="40% - Accent2 5 4 2" xfId="6317" xr:uid="{00000000-0005-0000-0000-0000340C0000}"/>
    <cellStyle name="40% - Accent2 5 4 2 2" xfId="6318" xr:uid="{00000000-0005-0000-0000-0000350C0000}"/>
    <cellStyle name="40% - Accent2 5 4 2 2 2" xfId="23950" xr:uid="{B1409E6F-7000-4B40-8475-EE2D643015C1}"/>
    <cellStyle name="40% - Accent2 5 4 2 2 2 2" xfId="38921" xr:uid="{BB854D5B-8E76-48C4-9A17-109E7455C713}"/>
    <cellStyle name="40% - Accent2 5 4 2 2 3" xfId="31318" xr:uid="{AD85E18C-3F15-42E3-A8F6-5B432565C1D6}"/>
    <cellStyle name="40% - Accent2 5 4 2 3" xfId="6319" xr:uid="{00000000-0005-0000-0000-0000360C0000}"/>
    <cellStyle name="40% - Accent2 5 4 2 3 2" xfId="23951" xr:uid="{B11C38BD-5F75-467E-9452-EAE8B0B657D7}"/>
    <cellStyle name="40% - Accent2 5 4 2 3 2 2" xfId="38922" xr:uid="{1D4C503B-0E30-41E0-82B3-9E14620EA9E6}"/>
    <cellStyle name="40% - Accent2 5 4 2 3 3" xfId="31319" xr:uid="{F97DC651-A3E3-4CEF-9D9E-7E7A7A5EA845}"/>
    <cellStyle name="40% - Accent2 5 4 2 4" xfId="23949" xr:uid="{C51D5D77-8546-449D-8DF5-E98E51D86ED6}"/>
    <cellStyle name="40% - Accent2 5 4 2 4 2" xfId="38920" xr:uid="{BA1AA564-4FA3-46C6-9799-1AB956825324}"/>
    <cellStyle name="40% - Accent2 5 4 2 5" xfId="31317" xr:uid="{3092D16E-D622-4F8A-8F24-EE343137DE89}"/>
    <cellStyle name="40% - Accent2 5 4 3" xfId="6320" xr:uid="{00000000-0005-0000-0000-0000370C0000}"/>
    <cellStyle name="40% - Accent2 5 4 3 2" xfId="23952" xr:uid="{C21F55F2-32C6-49A8-9EBB-58CDCB4B288B}"/>
    <cellStyle name="40% - Accent2 5 4 3 2 2" xfId="38923" xr:uid="{D5DEFFD5-DBD4-4B6A-B396-B039019E8FA8}"/>
    <cellStyle name="40% - Accent2 5 4 3 3" xfId="31320" xr:uid="{667A72E1-D756-451C-9FC4-0876DE727E10}"/>
    <cellStyle name="40% - Accent2 5 4 4" xfId="6321" xr:uid="{00000000-0005-0000-0000-0000380C0000}"/>
    <cellStyle name="40% - Accent2 5 4 4 2" xfId="23953" xr:uid="{6C8C5E76-7152-4D5E-963A-195B3BF1EFED}"/>
    <cellStyle name="40% - Accent2 5 4 4 2 2" xfId="38924" xr:uid="{F7ADA7E4-CBAF-4C65-84EE-4B7786F2661A}"/>
    <cellStyle name="40% - Accent2 5 4 4 3" xfId="31321" xr:uid="{280AA92C-89FA-407C-A7E9-4C6CADF558E7}"/>
    <cellStyle name="40% - Accent2 5 4 5" xfId="23948" xr:uid="{2054F7BE-77F8-45B1-A4F4-05A4BA39260B}"/>
    <cellStyle name="40% - Accent2 5 4 5 2" xfId="38919" xr:uid="{7B9ECA26-F154-4881-B6A7-9FC811A740D8}"/>
    <cellStyle name="40% - Accent2 5 4 6" xfId="31316" xr:uid="{CF5FD563-3DEE-4BCE-B295-CADAE4DAF784}"/>
    <cellStyle name="40% - Accent2 5 5" xfId="6322" xr:uid="{00000000-0005-0000-0000-0000390C0000}"/>
    <cellStyle name="40% - Accent2 5 5 2" xfId="6323" xr:uid="{00000000-0005-0000-0000-00003A0C0000}"/>
    <cellStyle name="40% - Accent2 5 5 2 2" xfId="23955" xr:uid="{99547BD9-620A-44A8-B4A8-82CB1FC7B7EC}"/>
    <cellStyle name="40% - Accent2 5 5 2 2 2" xfId="38926" xr:uid="{2E17D2BE-DDE9-4E97-90F7-21D864CDE353}"/>
    <cellStyle name="40% - Accent2 5 5 2 3" xfId="31323" xr:uid="{6409DCB3-22E0-4C76-AD5E-C418323BAA4E}"/>
    <cellStyle name="40% - Accent2 5 5 3" xfId="6324" xr:uid="{00000000-0005-0000-0000-00003B0C0000}"/>
    <cellStyle name="40% - Accent2 5 5 3 2" xfId="23956" xr:uid="{BD68E85D-9FBC-40D3-AC2F-D17119310943}"/>
    <cellStyle name="40% - Accent2 5 5 3 2 2" xfId="38927" xr:uid="{23FD2155-9CF3-4CF5-8DF5-ED720821FB2C}"/>
    <cellStyle name="40% - Accent2 5 5 3 3" xfId="31324" xr:uid="{7DBC34DC-0165-4CCA-8FFF-7DFE89167CC1}"/>
    <cellStyle name="40% - Accent2 5 5 4" xfId="23954" xr:uid="{29415ABA-74BF-4C96-B2B5-122DF1893843}"/>
    <cellStyle name="40% - Accent2 5 5 4 2" xfId="38925" xr:uid="{DC5CD34A-BC37-47D4-9C69-260A864C264C}"/>
    <cellStyle name="40% - Accent2 5 5 5" xfId="31322" xr:uid="{342152B5-E425-4736-90D7-E9C3FFD18AE6}"/>
    <cellStyle name="40% - Accent2 5 6" xfId="6325" xr:uid="{00000000-0005-0000-0000-00003C0C0000}"/>
    <cellStyle name="40% - Accent2 5 6 2" xfId="23957" xr:uid="{549A476E-BB9D-4BFD-AF97-9A7F7D9A39F3}"/>
    <cellStyle name="40% - Accent2 5 6 2 2" xfId="38928" xr:uid="{F8A04E37-D308-480E-93D3-E99292494B3D}"/>
    <cellStyle name="40% - Accent2 5 6 3" xfId="31325" xr:uid="{4091E93C-CB29-4D47-A1D1-0EE65C990830}"/>
    <cellStyle name="40% - Accent2 5 7" xfId="6326" xr:uid="{00000000-0005-0000-0000-00003D0C0000}"/>
    <cellStyle name="40% - Accent2 5 7 2" xfId="23958" xr:uid="{3B02F61D-6CB8-43D1-8C74-F76EB8E13DC4}"/>
    <cellStyle name="40% - Accent2 5 7 2 2" xfId="38929" xr:uid="{3E2123F1-DCCF-4581-B089-4A10857EDEDD}"/>
    <cellStyle name="40% - Accent2 5 7 3" xfId="31326" xr:uid="{91CE895C-F327-443D-9E4D-33521D73FB13}"/>
    <cellStyle name="40% - Accent2 5 8" xfId="6289" xr:uid="{00000000-0005-0000-0000-0000180C0000}"/>
    <cellStyle name="40% - Accent2 5 8 2" xfId="23923" xr:uid="{6D560C42-850C-4A9E-BEA2-E95309FFA18C}"/>
    <cellStyle name="40% - Accent2 5 8 2 2" xfId="38894" xr:uid="{74F8760A-D873-48F3-ADC7-2CE918931E5B}"/>
    <cellStyle name="40% - Accent2 5 8 3" xfId="31291" xr:uid="{CAC7E34B-0DC8-47DF-8389-1CD7D5F28A2B}"/>
    <cellStyle name="40% - Accent2 6" xfId="231" xr:uid="{00000000-0005-0000-0000-000046000000}"/>
    <cellStyle name="40% - Accent2 6 2" xfId="6327" xr:uid="{00000000-0005-0000-0000-00003F0C0000}"/>
    <cellStyle name="40% - Accent2 6 2 2" xfId="6328" xr:uid="{00000000-0005-0000-0000-0000400C0000}"/>
    <cellStyle name="40% - Accent2 6 2 2 2" xfId="6329" xr:uid="{00000000-0005-0000-0000-0000410C0000}"/>
    <cellStyle name="40% - Accent2 6 2 2 2 2" xfId="6330" xr:uid="{00000000-0005-0000-0000-0000420C0000}"/>
    <cellStyle name="40% - Accent2 6 2 2 2 2 2" xfId="23962" xr:uid="{CB45A6B2-DD26-49C4-9706-D870BFC4FA74}"/>
    <cellStyle name="40% - Accent2 6 2 2 2 2 2 2" xfId="38933" xr:uid="{ECB709AB-1879-4A14-9F7C-08AA19858D0A}"/>
    <cellStyle name="40% - Accent2 6 2 2 2 2 3" xfId="31330" xr:uid="{365B4EFD-9781-42D3-B5F5-445BB0DB5F9C}"/>
    <cellStyle name="40% - Accent2 6 2 2 2 3" xfId="6331" xr:uid="{00000000-0005-0000-0000-0000430C0000}"/>
    <cellStyle name="40% - Accent2 6 2 2 2 3 2" xfId="23963" xr:uid="{81FD18A8-1AB1-4575-89E5-B115B9BE48B2}"/>
    <cellStyle name="40% - Accent2 6 2 2 2 3 2 2" xfId="38934" xr:uid="{2EF062BA-29C7-4245-8CD1-471B232D1F6E}"/>
    <cellStyle name="40% - Accent2 6 2 2 2 3 3" xfId="31331" xr:uid="{36205E53-5E1A-4B16-AE48-CF702349130B}"/>
    <cellStyle name="40% - Accent2 6 2 2 2 4" xfId="23961" xr:uid="{D726D825-CABB-4188-8185-3BCA1D7342C4}"/>
    <cellStyle name="40% - Accent2 6 2 2 2 4 2" xfId="38932" xr:uid="{09C69D40-1007-483C-AC79-9336083A3CBE}"/>
    <cellStyle name="40% - Accent2 6 2 2 2 5" xfId="31329" xr:uid="{E5BAFA5B-37F8-4C6E-8554-02D42AF71E18}"/>
    <cellStyle name="40% - Accent2 6 2 2 3" xfId="6332" xr:uid="{00000000-0005-0000-0000-0000440C0000}"/>
    <cellStyle name="40% - Accent2 6 2 2 3 2" xfId="23964" xr:uid="{32948C68-4CF4-44FD-BEAE-B09976CD2B10}"/>
    <cellStyle name="40% - Accent2 6 2 2 3 2 2" xfId="38935" xr:uid="{8F3231A0-CE86-4F50-B82A-9A599D7D7FA6}"/>
    <cellStyle name="40% - Accent2 6 2 2 3 3" xfId="31332" xr:uid="{3DE2397C-7C28-40FA-9EC1-6AB5EEA92684}"/>
    <cellStyle name="40% - Accent2 6 2 2 4" xfId="6333" xr:uid="{00000000-0005-0000-0000-0000450C0000}"/>
    <cellStyle name="40% - Accent2 6 2 2 4 2" xfId="23965" xr:uid="{744311E3-7CD6-46C9-8360-BAD9FA945B3A}"/>
    <cellStyle name="40% - Accent2 6 2 2 4 2 2" xfId="38936" xr:uid="{6545C415-A61C-4C14-A659-341ECE397429}"/>
    <cellStyle name="40% - Accent2 6 2 2 4 3" xfId="31333" xr:uid="{4F357F3C-206B-4BF9-8090-702B7B66D21B}"/>
    <cellStyle name="40% - Accent2 6 2 2 5" xfId="23960" xr:uid="{6305CF7D-75D4-42AB-ADDC-A9D883FB7F67}"/>
    <cellStyle name="40% - Accent2 6 2 2 5 2" xfId="38931" xr:uid="{B8656FCB-49EC-490B-BD05-2CC7C994FC04}"/>
    <cellStyle name="40% - Accent2 6 2 2 6" xfId="31328" xr:uid="{8C6BA616-8661-4461-B8AF-D867EC4FF463}"/>
    <cellStyle name="40% - Accent2 6 2 3" xfId="6334" xr:uid="{00000000-0005-0000-0000-0000460C0000}"/>
    <cellStyle name="40% - Accent2 6 2 3 2" xfId="6335" xr:uid="{00000000-0005-0000-0000-0000470C0000}"/>
    <cellStyle name="40% - Accent2 6 2 3 2 2" xfId="23967" xr:uid="{10406B32-9A34-4CF1-AA33-F5A96271A220}"/>
    <cellStyle name="40% - Accent2 6 2 3 2 2 2" xfId="38938" xr:uid="{6E6D78ED-B33B-4AC1-9447-D57D2AC8CA4E}"/>
    <cellStyle name="40% - Accent2 6 2 3 2 3" xfId="31335" xr:uid="{0BDA1CD7-2E9C-4993-85E5-918F2183B9D3}"/>
    <cellStyle name="40% - Accent2 6 2 3 3" xfId="6336" xr:uid="{00000000-0005-0000-0000-0000480C0000}"/>
    <cellStyle name="40% - Accent2 6 2 3 3 2" xfId="23968" xr:uid="{A14862DC-5113-4528-BBC0-867C6D73038F}"/>
    <cellStyle name="40% - Accent2 6 2 3 3 2 2" xfId="38939" xr:uid="{3A2F659D-D859-48F9-8351-3E21D6169D73}"/>
    <cellStyle name="40% - Accent2 6 2 3 3 3" xfId="31336" xr:uid="{1865E540-4522-4BCA-9368-C999F1132124}"/>
    <cellStyle name="40% - Accent2 6 2 3 4" xfId="23966" xr:uid="{386520DC-5B15-4E89-B814-B12645024922}"/>
    <cellStyle name="40% - Accent2 6 2 3 4 2" xfId="38937" xr:uid="{380528A1-ED53-4C22-AFC6-7BD57C6F6E95}"/>
    <cellStyle name="40% - Accent2 6 2 3 5" xfId="31334" xr:uid="{B4FAE670-74C1-4B80-989D-194831CFDC26}"/>
    <cellStyle name="40% - Accent2 6 2 4" xfId="6337" xr:uid="{00000000-0005-0000-0000-0000490C0000}"/>
    <cellStyle name="40% - Accent2 6 2 4 2" xfId="23969" xr:uid="{4A9A9297-87D7-41C1-8A8E-A7CBC9471E47}"/>
    <cellStyle name="40% - Accent2 6 2 4 2 2" xfId="38940" xr:uid="{F6A71CB0-2ADB-46C2-8C25-52BEC2A74C5A}"/>
    <cellStyle name="40% - Accent2 6 2 4 3" xfId="31337" xr:uid="{81AE171C-812B-48ED-A1AC-18B44D1B10A7}"/>
    <cellStyle name="40% - Accent2 6 2 5" xfId="6338" xr:uid="{00000000-0005-0000-0000-00004A0C0000}"/>
    <cellStyle name="40% - Accent2 6 2 5 2" xfId="23970" xr:uid="{D4CF07C1-3E52-492C-9A29-F2B7A6850F76}"/>
    <cellStyle name="40% - Accent2 6 2 5 2 2" xfId="38941" xr:uid="{C1EBB6E9-36B4-464C-A9E8-3C4B604F5FC6}"/>
    <cellStyle name="40% - Accent2 6 2 5 3" xfId="31338" xr:uid="{10730E48-69E4-4743-ABFB-663673EA42B9}"/>
    <cellStyle name="40% - Accent2 6 2 6" xfId="23959" xr:uid="{D9BD2E83-9684-4E61-8C97-8E6A70B05C0A}"/>
    <cellStyle name="40% - Accent2 6 2 6 2" xfId="38930" xr:uid="{3726888F-25FE-4D02-957B-D92E288B7B11}"/>
    <cellStyle name="40% - Accent2 6 2 7" xfId="31327" xr:uid="{459CA192-06EB-417E-8E03-80A0419468DA}"/>
    <cellStyle name="40% - Accent2 6 3" xfId="6339" xr:uid="{00000000-0005-0000-0000-00004B0C0000}"/>
    <cellStyle name="40% - Accent2 6 3 2" xfId="6340" xr:uid="{00000000-0005-0000-0000-00004C0C0000}"/>
    <cellStyle name="40% - Accent2 6 3 2 2" xfId="6341" xr:uid="{00000000-0005-0000-0000-00004D0C0000}"/>
    <cellStyle name="40% - Accent2 6 3 2 2 2" xfId="23973" xr:uid="{FC2EF826-65CC-4610-8FE1-0EA60DDCF8FA}"/>
    <cellStyle name="40% - Accent2 6 3 2 2 2 2" xfId="38944" xr:uid="{D8785E4C-D6E9-4876-A616-DAABC0A21946}"/>
    <cellStyle name="40% - Accent2 6 3 2 2 3" xfId="31341" xr:uid="{C6087886-A3C7-4905-8D61-A803C9C77B29}"/>
    <cellStyle name="40% - Accent2 6 3 2 3" xfId="6342" xr:uid="{00000000-0005-0000-0000-00004E0C0000}"/>
    <cellStyle name="40% - Accent2 6 3 2 3 2" xfId="23974" xr:uid="{5DE1AD14-C2C3-4C3E-AA38-F7D9ECA8A40D}"/>
    <cellStyle name="40% - Accent2 6 3 2 3 2 2" xfId="38945" xr:uid="{E0553643-E36E-4D33-A25B-973451029B72}"/>
    <cellStyle name="40% - Accent2 6 3 2 3 3" xfId="31342" xr:uid="{37129B24-85E4-457D-ACF0-44E9B257C680}"/>
    <cellStyle name="40% - Accent2 6 3 2 4" xfId="23972" xr:uid="{E05A3B19-408E-423C-B32E-F31E3FBE63D0}"/>
    <cellStyle name="40% - Accent2 6 3 2 4 2" xfId="38943" xr:uid="{327E3207-38E1-4DE2-854F-B7C2AF1F30DB}"/>
    <cellStyle name="40% - Accent2 6 3 2 5" xfId="31340" xr:uid="{9F6340BE-8F18-42A7-B436-06238BD3AC53}"/>
    <cellStyle name="40% - Accent2 6 3 3" xfId="6343" xr:uid="{00000000-0005-0000-0000-00004F0C0000}"/>
    <cellStyle name="40% - Accent2 6 3 3 2" xfId="23975" xr:uid="{EE4F4ED1-2E70-48B0-93E1-4038DF42AF8B}"/>
    <cellStyle name="40% - Accent2 6 3 3 2 2" xfId="38946" xr:uid="{E863634E-4198-477C-9017-8A186B1400FB}"/>
    <cellStyle name="40% - Accent2 6 3 3 3" xfId="31343" xr:uid="{C00DB482-3049-49A1-AB50-4A9CDF50509A}"/>
    <cellStyle name="40% - Accent2 6 3 4" xfId="6344" xr:uid="{00000000-0005-0000-0000-0000500C0000}"/>
    <cellStyle name="40% - Accent2 6 3 4 2" xfId="23976" xr:uid="{89EEB230-C630-4186-A66F-D5347FA0B051}"/>
    <cellStyle name="40% - Accent2 6 3 4 2 2" xfId="38947" xr:uid="{0187C56E-4BF1-48E0-9CD6-B769A729E6CF}"/>
    <cellStyle name="40% - Accent2 6 3 4 3" xfId="31344" xr:uid="{79942882-997A-4968-AAD5-C11074ECB00B}"/>
    <cellStyle name="40% - Accent2 6 3 5" xfId="23971" xr:uid="{C5B0C8C3-BA06-4B38-9FD6-4C4CC8485A48}"/>
    <cellStyle name="40% - Accent2 6 3 5 2" xfId="38942" xr:uid="{56289C27-3CC5-4A96-93E0-420C54BFBAF3}"/>
    <cellStyle name="40% - Accent2 6 3 6" xfId="31339" xr:uid="{E48D40EA-C50F-490E-936F-D17A567E77AD}"/>
    <cellStyle name="40% - Accent2 6 4" xfId="6345" xr:uid="{00000000-0005-0000-0000-0000510C0000}"/>
    <cellStyle name="40% - Accent2 7" xfId="232" xr:uid="{00000000-0005-0000-0000-000047000000}"/>
    <cellStyle name="40% - Accent2 7 2" xfId="6346" xr:uid="{00000000-0005-0000-0000-0000530C0000}"/>
    <cellStyle name="40% - Accent2 7 2 2" xfId="23977" xr:uid="{405357BB-6FF4-4581-B54B-6A5565372B3B}"/>
    <cellStyle name="40% - Accent2 7 2 2 2" xfId="38948" xr:uid="{D52CC701-2AC7-47E2-B36B-772C9233E2BE}"/>
    <cellStyle name="40% - Accent2 7 2 3" xfId="31345" xr:uid="{F60BD949-FF8C-4627-9D3D-6CC7AC6F29C5}"/>
    <cellStyle name="40% - Accent2 7 3" xfId="6347" xr:uid="{00000000-0005-0000-0000-0000540C0000}"/>
    <cellStyle name="40% - Accent2 7 4" xfId="6348" xr:uid="{00000000-0005-0000-0000-0000550C0000}"/>
    <cellStyle name="40% - Accent2 7 4 2" xfId="23978" xr:uid="{8B80D9AC-90C8-4729-9E21-5EDA69EE3701}"/>
    <cellStyle name="40% - Accent2 7 4 2 2" xfId="38949" xr:uid="{1CC05F26-7258-4C5A-BDAC-B012EBDFFA50}"/>
    <cellStyle name="40% - Accent2 7 4 3" xfId="31346" xr:uid="{5F707205-46EA-4128-917C-A49FF742D707}"/>
    <cellStyle name="40% - Accent2 8" xfId="6349" xr:uid="{00000000-0005-0000-0000-0000560C0000}"/>
    <cellStyle name="40% - Accent2 8 2" xfId="6350" xr:uid="{00000000-0005-0000-0000-0000570C0000}"/>
    <cellStyle name="40% - Accent2 8 2 2" xfId="6351" xr:uid="{00000000-0005-0000-0000-0000580C0000}"/>
    <cellStyle name="40% - Accent2 8 2 2 2" xfId="23981" xr:uid="{B7995951-3456-4110-806B-4182FA6C0CD9}"/>
    <cellStyle name="40% - Accent2 8 2 2 2 2" xfId="38952" xr:uid="{5D0F7983-F8E6-46AC-9EAD-24523E53BA84}"/>
    <cellStyle name="40% - Accent2 8 2 2 3" xfId="31349" xr:uid="{EEF4AB51-16AA-4866-8E58-2EB6BCDAF12A}"/>
    <cellStyle name="40% - Accent2 8 2 3" xfId="6352" xr:uid="{00000000-0005-0000-0000-0000590C0000}"/>
    <cellStyle name="40% - Accent2 8 2 3 2" xfId="23982" xr:uid="{30D6C504-060E-4C33-9461-5C95F0575D39}"/>
    <cellStyle name="40% - Accent2 8 2 3 2 2" xfId="38953" xr:uid="{C625A6DE-3373-4EF8-9DE6-08AC32DE83DB}"/>
    <cellStyle name="40% - Accent2 8 2 3 3" xfId="31350" xr:uid="{FDEF3AC7-631D-4F1F-9C47-CD9EBEE63699}"/>
    <cellStyle name="40% - Accent2 8 2 4" xfId="23980" xr:uid="{DDF35199-1CCD-4B6E-84CB-EB782BD65BC7}"/>
    <cellStyle name="40% - Accent2 8 2 4 2" xfId="38951" xr:uid="{ECBE4BA2-C903-4589-8C71-45D0B7AEEB39}"/>
    <cellStyle name="40% - Accent2 8 2 5" xfId="31348" xr:uid="{64A1DB1E-684A-411E-8B27-F229B1F3C3A1}"/>
    <cellStyle name="40% - Accent2 8 3" xfId="6353" xr:uid="{00000000-0005-0000-0000-00005A0C0000}"/>
    <cellStyle name="40% - Accent2 8 3 2" xfId="23983" xr:uid="{DBA961B2-A690-4286-B855-1B244E89AD8D}"/>
    <cellStyle name="40% - Accent2 8 3 2 2" xfId="38954" xr:uid="{354C0DF8-F0FE-4E5D-AB5F-9D4509462A4A}"/>
    <cellStyle name="40% - Accent2 8 3 3" xfId="31351" xr:uid="{3B01DB85-301A-4A36-A761-277F84041A06}"/>
    <cellStyle name="40% - Accent2 8 4" xfId="6354" xr:uid="{00000000-0005-0000-0000-00005B0C0000}"/>
    <cellStyle name="40% - Accent2 8 4 2" xfId="23984" xr:uid="{1580A4A6-C4D8-4152-A125-DE7B8FEEF42D}"/>
    <cellStyle name="40% - Accent2 8 4 2 2" xfId="38955" xr:uid="{63997F93-A90B-45B4-913A-297103907EE4}"/>
    <cellStyle name="40% - Accent2 8 4 3" xfId="31352" xr:uid="{0CEAA9B7-8854-4740-BDF3-1554892BB789}"/>
    <cellStyle name="40% - Accent2 8 5" xfId="23979" xr:uid="{5F817257-61BA-4A48-A013-AA27226C47D1}"/>
    <cellStyle name="40% - Accent2 8 5 2" xfId="38950" xr:uid="{7EF04F2A-FAF5-4644-9BE6-38775B7E1DF9}"/>
    <cellStyle name="40% - Accent2 8 6" xfId="31347" xr:uid="{AEF1FD2F-6E49-4B04-90A7-EDEE4F62A9D6}"/>
    <cellStyle name="40% - Accent2 9" xfId="6355" xr:uid="{00000000-0005-0000-0000-00005C0C0000}"/>
    <cellStyle name="40% - Accent2 9 2" xfId="6356" xr:uid="{00000000-0005-0000-0000-00005D0C0000}"/>
    <cellStyle name="40% - Accent2 9 2 2" xfId="6357" xr:uid="{00000000-0005-0000-0000-00005E0C0000}"/>
    <cellStyle name="40% - Accent2 9 2 2 2" xfId="23987" xr:uid="{B6A43184-65B4-4BAB-8139-3406F0F257A9}"/>
    <cellStyle name="40% - Accent2 9 2 2 2 2" xfId="38958" xr:uid="{E3E3093E-C0A4-41D2-9562-7C31210336F3}"/>
    <cellStyle name="40% - Accent2 9 2 2 3" xfId="31355" xr:uid="{29604A6D-B149-4B36-B390-19A9C338C838}"/>
    <cellStyle name="40% - Accent2 9 2 3" xfId="6358" xr:uid="{00000000-0005-0000-0000-00005F0C0000}"/>
    <cellStyle name="40% - Accent2 9 2 3 2" xfId="23988" xr:uid="{A09EF546-B066-4E34-834B-09ADE3CED5DC}"/>
    <cellStyle name="40% - Accent2 9 2 3 2 2" xfId="38959" xr:uid="{242F08E0-4DEB-442A-896D-9062D566259E}"/>
    <cellStyle name="40% - Accent2 9 2 3 3" xfId="31356" xr:uid="{71777EB9-5C59-41AA-BBA6-F64E06F4CAC3}"/>
    <cellStyle name="40% - Accent2 9 2 4" xfId="23986" xr:uid="{2B8DAFA2-829C-4DF4-85FE-4BC804483FBB}"/>
    <cellStyle name="40% - Accent2 9 2 4 2" xfId="38957" xr:uid="{0BBB114E-A673-46D3-AE42-38A444D9287B}"/>
    <cellStyle name="40% - Accent2 9 2 5" xfId="31354" xr:uid="{D010967B-ABF5-4569-9343-E8EC8092269A}"/>
    <cellStyle name="40% - Accent2 9 3" xfId="6359" xr:uid="{00000000-0005-0000-0000-0000600C0000}"/>
    <cellStyle name="40% - Accent2 9 3 2" xfId="23989" xr:uid="{5FE54D24-DB11-47D7-B274-A0B259AEB92E}"/>
    <cellStyle name="40% - Accent2 9 3 2 2" xfId="38960" xr:uid="{C9E265B5-635A-48B7-9833-62C57229B2FF}"/>
    <cellStyle name="40% - Accent2 9 3 3" xfId="31357" xr:uid="{1CD87EEE-DCEB-4986-882F-49CE545111B1}"/>
    <cellStyle name="40% - Accent2 9 4" xfId="6360" xr:uid="{00000000-0005-0000-0000-0000610C0000}"/>
    <cellStyle name="40% - Accent2 9 4 2" xfId="23990" xr:uid="{3BCF71BC-FD09-413D-8F9C-4395E46C424A}"/>
    <cellStyle name="40% - Accent2 9 4 2 2" xfId="38961" xr:uid="{17A86F76-1DC1-47B3-AEBC-C40E72FD4FE9}"/>
    <cellStyle name="40% - Accent2 9 4 3" xfId="31358" xr:uid="{44D814BE-11D6-4A0B-8AD4-87424194F996}"/>
    <cellStyle name="40% - Accent2 9 5" xfId="23985" xr:uid="{5F5F3DB6-92A9-4FCC-8EFA-D1B0FF825004}"/>
    <cellStyle name="40% - Accent2 9 5 2" xfId="38956" xr:uid="{A4515471-3E1D-4FFB-AA21-8CF99E41BC2D}"/>
    <cellStyle name="40% - Accent2 9 6" xfId="31353" xr:uid="{9DA587B7-4CE9-40F8-BC7F-97BFEE152DB9}"/>
    <cellStyle name="40% - Accent3" xfId="91" builtinId="39" customBuiltin="1"/>
    <cellStyle name="40% - Accent3 10" xfId="6361" xr:uid="{00000000-0005-0000-0000-0000620C0000}"/>
    <cellStyle name="40% - Accent3 10 2" xfId="6362" xr:uid="{00000000-0005-0000-0000-0000630C0000}"/>
    <cellStyle name="40% - Accent3 10 2 2" xfId="6363" xr:uid="{00000000-0005-0000-0000-0000640C0000}"/>
    <cellStyle name="40% - Accent3 10 2 2 2" xfId="23993" xr:uid="{A829FA3E-DA05-4012-8F33-C7144E75FB6E}"/>
    <cellStyle name="40% - Accent3 10 2 2 2 2" xfId="38964" xr:uid="{9D1ECFDC-FF0C-4A0A-B3BA-12310BF65DE1}"/>
    <cellStyle name="40% - Accent3 10 2 2 3" xfId="31361" xr:uid="{5064AC6D-3826-487E-AC70-F5B90641369F}"/>
    <cellStyle name="40% - Accent3 10 2 3" xfId="6364" xr:uid="{00000000-0005-0000-0000-0000650C0000}"/>
    <cellStyle name="40% - Accent3 10 2 3 2" xfId="23994" xr:uid="{1FFF173B-66BD-4442-AC50-9581C68E9771}"/>
    <cellStyle name="40% - Accent3 10 2 3 2 2" xfId="38965" xr:uid="{7A925AFC-FC77-4DAA-A52F-DAC2D4FC5053}"/>
    <cellStyle name="40% - Accent3 10 2 3 3" xfId="31362" xr:uid="{543531B3-DFB1-4961-A1B5-A1420296C59B}"/>
    <cellStyle name="40% - Accent3 10 2 4" xfId="23992" xr:uid="{14A2BA6C-B718-4F6F-AAAA-ECAD5AA8F35D}"/>
    <cellStyle name="40% - Accent3 10 2 4 2" xfId="38963" xr:uid="{A1D430C6-8390-4023-AE08-A0B1935A8057}"/>
    <cellStyle name="40% - Accent3 10 2 5" xfId="31360" xr:uid="{9061F7AD-1840-4E46-B0DA-95867B79E637}"/>
    <cellStyle name="40% - Accent3 10 3" xfId="6365" xr:uid="{00000000-0005-0000-0000-0000660C0000}"/>
    <cellStyle name="40% - Accent3 10 3 2" xfId="23995" xr:uid="{5DE53A30-EF97-4A5F-BE1C-1C0CAA438FE7}"/>
    <cellStyle name="40% - Accent3 10 3 2 2" xfId="38966" xr:uid="{2138646B-8E9B-48B3-ADB7-432DE9C40E82}"/>
    <cellStyle name="40% - Accent3 10 3 3" xfId="31363" xr:uid="{06ADAAF8-14FE-499B-9E0A-8F228F725770}"/>
    <cellStyle name="40% - Accent3 10 4" xfId="6366" xr:uid="{00000000-0005-0000-0000-0000670C0000}"/>
    <cellStyle name="40% - Accent3 10 4 2" xfId="6367" xr:uid="{00000000-0005-0000-0000-0000680C0000}"/>
    <cellStyle name="40% - Accent3 10 4 2 2" xfId="23997" xr:uid="{CE887360-E437-4E71-B079-4A1516E23464}"/>
    <cellStyle name="40% - Accent3 10 4 2 2 2" xfId="38968" xr:uid="{CCD9E4EE-4823-4901-AF24-6AFD881A7284}"/>
    <cellStyle name="40% - Accent3 10 4 2 3" xfId="31365" xr:uid="{F46B3FA5-F95A-4332-A394-7FC656A09416}"/>
    <cellStyle name="40% - Accent3 10 4 3" xfId="23996" xr:uid="{FE465998-FDA1-43DB-BD56-44F191E81E49}"/>
    <cellStyle name="40% - Accent3 10 4 3 2" xfId="38967" xr:uid="{50B215CD-9CB2-40B6-B3FD-C0412B47DABD}"/>
    <cellStyle name="40% - Accent3 10 4 4" xfId="31364" xr:uid="{37594966-B0E3-4C0A-BB1D-767194D975ED}"/>
    <cellStyle name="40% - Accent3 10 5" xfId="6368" xr:uid="{00000000-0005-0000-0000-0000690C0000}"/>
    <cellStyle name="40% - Accent3 10 5 2" xfId="23998" xr:uid="{FB288039-742F-4376-ACF2-C9829D1E5563}"/>
    <cellStyle name="40% - Accent3 10 5 2 2" xfId="38969" xr:uid="{92439F74-00E3-450D-8999-DCD200BF62F8}"/>
    <cellStyle name="40% - Accent3 10 5 3" xfId="31366" xr:uid="{4F900DDC-27D3-4566-A17C-49DD3CC0292D}"/>
    <cellStyle name="40% - Accent3 10 6" xfId="23991" xr:uid="{29F17B4D-0DA3-486A-9429-B6DD405C7366}"/>
    <cellStyle name="40% - Accent3 10 6 2" xfId="38962" xr:uid="{840F180C-C6CF-4C43-8662-7FD2A7446E3E}"/>
    <cellStyle name="40% - Accent3 10 7" xfId="31359" xr:uid="{54344E52-1C67-443E-9E5A-69D7456EDC1B}"/>
    <cellStyle name="40% - Accent3 11" xfId="6369" xr:uid="{00000000-0005-0000-0000-00006A0C0000}"/>
    <cellStyle name="40% - Accent3 11 2" xfId="6370" xr:uid="{00000000-0005-0000-0000-00006B0C0000}"/>
    <cellStyle name="40% - Accent3 11 2 2" xfId="24000" xr:uid="{59CBD079-92FC-4CE9-A648-5D8DFAFB300D}"/>
    <cellStyle name="40% - Accent3 11 2 2 2" xfId="38971" xr:uid="{D741E2C7-6026-40F4-A8EB-F7D566312429}"/>
    <cellStyle name="40% - Accent3 11 2 3" xfId="31368" xr:uid="{1DC33170-3A6B-40C0-9AC3-8BBBBE86E8AD}"/>
    <cellStyle name="40% - Accent3 11 3" xfId="6371" xr:uid="{00000000-0005-0000-0000-00006C0C0000}"/>
    <cellStyle name="40% - Accent3 11 3 2" xfId="6372" xr:uid="{00000000-0005-0000-0000-00006D0C0000}"/>
    <cellStyle name="40% - Accent3 11 3 2 2" xfId="24002" xr:uid="{C6CF8AAD-CA0B-4D9B-9CDA-85BB1AC5B4A9}"/>
    <cellStyle name="40% - Accent3 11 3 2 2 2" xfId="38973" xr:uid="{BD8C36B6-AEAF-475C-B47C-FDE758AA4ABE}"/>
    <cellStyle name="40% - Accent3 11 3 2 3" xfId="31370" xr:uid="{3814EC84-503B-4039-A296-9C6198523952}"/>
    <cellStyle name="40% - Accent3 11 3 3" xfId="24001" xr:uid="{5ED6764B-1853-4E38-8835-F819616F7D98}"/>
    <cellStyle name="40% - Accent3 11 3 3 2" xfId="38972" xr:uid="{666D3356-39FD-46F9-AFC9-CCFC55F3F241}"/>
    <cellStyle name="40% - Accent3 11 3 4" xfId="31369" xr:uid="{C6CC0ADF-B3AB-46E3-B0CD-68F80FA53C49}"/>
    <cellStyle name="40% - Accent3 11 4" xfId="23999" xr:uid="{083DE7C6-D462-4751-A63A-79427ECF1272}"/>
    <cellStyle name="40% - Accent3 11 4 2" xfId="38970" xr:uid="{580C3704-8FAB-4126-99A1-0A93090BE452}"/>
    <cellStyle name="40% - Accent3 11 5" xfId="31367" xr:uid="{AC096B6D-5997-449A-84AA-1F2BFDC53A83}"/>
    <cellStyle name="40% - Accent3 12" xfId="6373" xr:uid="{00000000-0005-0000-0000-00006E0C0000}"/>
    <cellStyle name="40% - Accent3 12 2" xfId="6374" xr:uid="{00000000-0005-0000-0000-00006F0C0000}"/>
    <cellStyle name="40% - Accent3 12 2 2" xfId="24004" xr:uid="{571799EF-7AF8-4558-A174-A544298027F0}"/>
    <cellStyle name="40% - Accent3 12 2 2 2" xfId="38975" xr:uid="{3EB3CE1E-1C73-4BED-B483-866A58126D74}"/>
    <cellStyle name="40% - Accent3 12 2 3" xfId="31372" xr:uid="{D9B4CC95-D32A-40DB-B09A-C5BF19E2E9EC}"/>
    <cellStyle name="40% - Accent3 12 3" xfId="6375" xr:uid="{00000000-0005-0000-0000-0000700C0000}"/>
    <cellStyle name="40% - Accent3 12 3 2" xfId="24005" xr:uid="{049B5F47-10E9-4654-A5C1-FBDE733D17F9}"/>
    <cellStyle name="40% - Accent3 12 3 2 2" xfId="38976" xr:uid="{CBBC8BBE-93C7-415B-A091-9E4DF14A1500}"/>
    <cellStyle name="40% - Accent3 12 3 3" xfId="31373" xr:uid="{FEDA8ED7-D5DE-4377-BF33-8CBE1BDC8B40}"/>
    <cellStyle name="40% - Accent3 12 4" xfId="24003" xr:uid="{16321402-8B18-4D85-8828-C0413FF831D3}"/>
    <cellStyle name="40% - Accent3 12 4 2" xfId="38974" xr:uid="{E40C92B6-2388-44B8-A137-C2A3CFC0431F}"/>
    <cellStyle name="40% - Accent3 12 5" xfId="31371" xr:uid="{0CED2DA8-5B1E-4BEE-9279-7429158341F4}"/>
    <cellStyle name="40% - Accent3 13" xfId="6376" xr:uid="{00000000-0005-0000-0000-0000710C0000}"/>
    <cellStyle name="40% - Accent3 13 2" xfId="6377" xr:uid="{00000000-0005-0000-0000-0000720C0000}"/>
    <cellStyle name="40% - Accent3 13 2 2" xfId="24007" xr:uid="{EC8202BF-93E6-4218-814F-95249BF4BE5E}"/>
    <cellStyle name="40% - Accent3 13 2 2 2" xfId="38978" xr:uid="{E3E7A549-30C2-4F0F-A929-E738AC939FD5}"/>
    <cellStyle name="40% - Accent3 13 2 3" xfId="31375" xr:uid="{E8EF62CA-4347-4BFF-A508-A261AC63E27E}"/>
    <cellStyle name="40% - Accent3 13 3" xfId="6378" xr:uid="{00000000-0005-0000-0000-0000730C0000}"/>
    <cellStyle name="40% - Accent3 13 3 2" xfId="24008" xr:uid="{D638498D-871E-442D-9E53-258B0BCCF608}"/>
    <cellStyle name="40% - Accent3 13 3 2 2" xfId="38979" xr:uid="{9EE33407-ED51-45CE-9B4D-C81004B8DCD1}"/>
    <cellStyle name="40% - Accent3 13 3 3" xfId="31376" xr:uid="{E5A15AB4-7B81-417E-948A-E5E43FBFEBFF}"/>
    <cellStyle name="40% - Accent3 13 4" xfId="24006" xr:uid="{9C40A667-DC86-495A-996F-C03788290C62}"/>
    <cellStyle name="40% - Accent3 13 4 2" xfId="38977" xr:uid="{A429EF43-8ABA-4AAA-8BFB-17B424127700}"/>
    <cellStyle name="40% - Accent3 13 5" xfId="31374" xr:uid="{D1BF216A-4129-40D9-8271-D09AC69B5F4A}"/>
    <cellStyle name="40% - Accent3 14" xfId="6379" xr:uid="{00000000-0005-0000-0000-0000740C0000}"/>
    <cellStyle name="40% - Accent3 14 2" xfId="6380" xr:uid="{00000000-0005-0000-0000-0000750C0000}"/>
    <cellStyle name="40% - Accent3 14 2 2" xfId="24009" xr:uid="{E1593231-B9BA-4672-AD98-7D2AE9E6C3AC}"/>
    <cellStyle name="40% - Accent3 14 2 2 2" xfId="38980" xr:uid="{237681CD-E3AE-4739-AD4B-6C5E72844E11}"/>
    <cellStyle name="40% - Accent3 14 2 3" xfId="31377" xr:uid="{CA91E8B0-F9EE-4EE2-8E8F-FC8DA818856A}"/>
    <cellStyle name="40% - Accent3 15" xfId="6381" xr:uid="{00000000-0005-0000-0000-0000760C0000}"/>
    <cellStyle name="40% - Accent3 15 2" xfId="24010" xr:uid="{A155A36D-FD37-4FF0-BE60-F57A0943D3C6}"/>
    <cellStyle name="40% - Accent3 15 2 2" xfId="38981" xr:uid="{B9E6B766-0058-4878-B26A-97160C6E2EC4}"/>
    <cellStyle name="40% - Accent3 15 3" xfId="31378" xr:uid="{BB2F542E-39F5-4F5F-9F96-F7EB1F1EDC2F}"/>
    <cellStyle name="40% - Accent3 16" xfId="6382" xr:uid="{00000000-0005-0000-0000-0000770C0000}"/>
    <cellStyle name="40% - Accent3 17" xfId="20649" xr:uid="{217D8C2E-D1F6-4E9A-8A72-E0061B1074A9}"/>
    <cellStyle name="40% - Accent3 17 2" xfId="35650" xr:uid="{7D101A74-9290-4F0A-8FAC-E5821A57C695}"/>
    <cellStyle name="40% - Accent3 18" xfId="27953" xr:uid="{E3FFACBA-DBD7-4C1A-A9D6-005CDBFDEF90}"/>
    <cellStyle name="40% - Accent3 2" xfId="233" xr:uid="{00000000-0005-0000-0000-000048000000}"/>
    <cellStyle name="40% - Accent3 2 2" xfId="6383" xr:uid="{00000000-0005-0000-0000-0000790C0000}"/>
    <cellStyle name="40% - Accent3 2 3" xfId="6384" xr:uid="{00000000-0005-0000-0000-00007A0C0000}"/>
    <cellStyle name="40% - Accent3 2 3 10" xfId="31379" xr:uid="{7DC6DF4C-7D71-4680-A3E6-0DF0FE2AA053}"/>
    <cellStyle name="40% - Accent3 2 3 2" xfId="6385" xr:uid="{00000000-0005-0000-0000-00007B0C0000}"/>
    <cellStyle name="40% - Accent3 2 3 2 2" xfId="6386" xr:uid="{00000000-0005-0000-0000-00007C0C0000}"/>
    <cellStyle name="40% - Accent3 2 3 2 2 2" xfId="6387" xr:uid="{00000000-0005-0000-0000-00007D0C0000}"/>
    <cellStyle name="40% - Accent3 2 3 2 2 2 2" xfId="6388" xr:uid="{00000000-0005-0000-0000-00007E0C0000}"/>
    <cellStyle name="40% - Accent3 2 3 2 2 2 2 2" xfId="24015" xr:uid="{E2C368E6-BCA3-4337-B2AB-20F3C5C816BB}"/>
    <cellStyle name="40% - Accent3 2 3 2 2 2 2 2 2" xfId="38986" xr:uid="{B4698A04-5F09-4025-B524-9BADDD789C0C}"/>
    <cellStyle name="40% - Accent3 2 3 2 2 2 2 3" xfId="31383" xr:uid="{4A1A70C4-1390-4AE6-9F64-ED130C5201D1}"/>
    <cellStyle name="40% - Accent3 2 3 2 2 2 3" xfId="6389" xr:uid="{00000000-0005-0000-0000-00007F0C0000}"/>
    <cellStyle name="40% - Accent3 2 3 2 2 2 3 2" xfId="24016" xr:uid="{01DA4058-BEAF-4A2B-8F49-591FF95F4E8A}"/>
    <cellStyle name="40% - Accent3 2 3 2 2 2 3 2 2" xfId="38987" xr:uid="{FCE77FEF-3AD6-4607-86B8-70355E036578}"/>
    <cellStyle name="40% - Accent3 2 3 2 2 2 3 3" xfId="31384" xr:uid="{4F7A83AE-0EE0-410A-B8C7-EA6055B73091}"/>
    <cellStyle name="40% - Accent3 2 3 2 2 2 4" xfId="24014" xr:uid="{4F658C3B-3507-43CA-9C0F-306611584673}"/>
    <cellStyle name="40% - Accent3 2 3 2 2 2 4 2" xfId="38985" xr:uid="{7C8302CE-2BD7-4AC8-9723-0E8F6BA726FA}"/>
    <cellStyle name="40% - Accent3 2 3 2 2 2 5" xfId="31382" xr:uid="{75B762BB-B81C-4DE5-81F3-95A5B07C7890}"/>
    <cellStyle name="40% - Accent3 2 3 2 2 3" xfId="6390" xr:uid="{00000000-0005-0000-0000-0000800C0000}"/>
    <cellStyle name="40% - Accent3 2 3 2 2 3 2" xfId="6391" xr:uid="{00000000-0005-0000-0000-0000810C0000}"/>
    <cellStyle name="40% - Accent3 2 3 2 2 3 2 2" xfId="24018" xr:uid="{E7650FEF-3E94-4F17-A9BE-356BE59263FF}"/>
    <cellStyle name="40% - Accent3 2 3 2 2 3 2 2 2" xfId="38989" xr:uid="{CE4A6DDE-1088-4E99-98BB-4C06471A183B}"/>
    <cellStyle name="40% - Accent3 2 3 2 2 3 2 3" xfId="31386" xr:uid="{23B0DE0D-26FA-4030-A31E-5459C94A0DDE}"/>
    <cellStyle name="40% - Accent3 2 3 2 2 3 3" xfId="24017" xr:uid="{2A4437E9-8FE6-41B4-9BB1-FCE63D98911C}"/>
    <cellStyle name="40% - Accent3 2 3 2 2 3 3 2" xfId="38988" xr:uid="{D3DC5778-B9F1-43F6-A753-86F0B3068145}"/>
    <cellStyle name="40% - Accent3 2 3 2 2 3 4" xfId="31385" xr:uid="{B5D551E5-542E-4392-B609-A6B96DE47A73}"/>
    <cellStyle name="40% - Accent3 2 3 2 2 4" xfId="6392" xr:uid="{00000000-0005-0000-0000-0000820C0000}"/>
    <cellStyle name="40% - Accent3 2 3 2 2 4 2" xfId="24019" xr:uid="{BF2B82A3-73BD-435C-BB3F-B139ECE5D926}"/>
    <cellStyle name="40% - Accent3 2 3 2 2 4 2 2" xfId="38990" xr:uid="{AB779E3F-2D4A-442D-A4EE-D65F9077E3CB}"/>
    <cellStyle name="40% - Accent3 2 3 2 2 4 3" xfId="31387" xr:uid="{3A77560F-BA85-4EB1-AC16-93B743393694}"/>
    <cellStyle name="40% - Accent3 2 3 2 2 5" xfId="24013" xr:uid="{64B7DA48-B470-4F9A-AF94-5451BEB3C3D9}"/>
    <cellStyle name="40% - Accent3 2 3 2 2 5 2" xfId="38984" xr:uid="{6CF60191-92D4-488F-BFCF-67F3354A62D2}"/>
    <cellStyle name="40% - Accent3 2 3 2 2 6" xfId="31381" xr:uid="{A3C759B6-27D0-4408-AF3E-66F2D03F1E6A}"/>
    <cellStyle name="40% - Accent3 2 3 2 3" xfId="6393" xr:uid="{00000000-0005-0000-0000-0000830C0000}"/>
    <cellStyle name="40% - Accent3 2 3 2 3 2" xfId="6394" xr:uid="{00000000-0005-0000-0000-0000840C0000}"/>
    <cellStyle name="40% - Accent3 2 3 2 3 2 2" xfId="6395" xr:uid="{00000000-0005-0000-0000-0000850C0000}"/>
    <cellStyle name="40% - Accent3 2 3 2 3 2 2 2" xfId="24022" xr:uid="{7E1E26D3-9EE4-4CDB-8BD8-0221B6BF4AAD}"/>
    <cellStyle name="40% - Accent3 2 3 2 3 2 2 2 2" xfId="38993" xr:uid="{85877D26-E5FE-4E40-8F0A-362EB9407B0F}"/>
    <cellStyle name="40% - Accent3 2 3 2 3 2 2 3" xfId="31390" xr:uid="{4E151764-2374-4E9D-AA3F-A3A6EECA7080}"/>
    <cellStyle name="40% - Accent3 2 3 2 3 2 3" xfId="6396" xr:uid="{00000000-0005-0000-0000-0000860C0000}"/>
    <cellStyle name="40% - Accent3 2 3 2 3 2 3 2" xfId="24023" xr:uid="{F2E7048B-F6E2-4F43-AA96-956ECDED3451}"/>
    <cellStyle name="40% - Accent3 2 3 2 3 2 3 2 2" xfId="38994" xr:uid="{256A1599-FE83-4187-AA3A-3CE564DDB8E9}"/>
    <cellStyle name="40% - Accent3 2 3 2 3 2 3 3" xfId="31391" xr:uid="{2195A1C3-2DF7-42EC-AD58-D736477427EF}"/>
    <cellStyle name="40% - Accent3 2 3 2 3 2 4" xfId="24021" xr:uid="{57D894EA-3F40-4EFE-9F08-DD2FE5ECE562}"/>
    <cellStyle name="40% - Accent3 2 3 2 3 2 4 2" xfId="38992" xr:uid="{4B6F44E4-B6E8-4AD1-AC08-6F364C0DD4C3}"/>
    <cellStyle name="40% - Accent3 2 3 2 3 2 5" xfId="31389" xr:uid="{00C11613-09CE-4981-B78D-6857926CDD29}"/>
    <cellStyle name="40% - Accent3 2 3 2 3 3" xfId="6397" xr:uid="{00000000-0005-0000-0000-0000870C0000}"/>
    <cellStyle name="40% - Accent3 2 3 2 3 3 2" xfId="6398" xr:uid="{00000000-0005-0000-0000-0000880C0000}"/>
    <cellStyle name="40% - Accent3 2 3 2 3 3 2 2" xfId="24025" xr:uid="{CA20E092-C74B-433F-A19C-3BF50DF1EBD9}"/>
    <cellStyle name="40% - Accent3 2 3 2 3 3 2 2 2" xfId="38996" xr:uid="{350D8595-16C5-4750-BCD5-EFBF2C4ED9D9}"/>
    <cellStyle name="40% - Accent3 2 3 2 3 3 2 3" xfId="31393" xr:uid="{C8845D3C-BC48-49A6-854B-25CE9600635A}"/>
    <cellStyle name="40% - Accent3 2 3 2 3 3 3" xfId="24024" xr:uid="{DDF95A71-B77E-411B-872D-69A13F8F69D7}"/>
    <cellStyle name="40% - Accent3 2 3 2 3 3 3 2" xfId="38995" xr:uid="{681691E8-1852-4091-8F6E-C14F821D7B6C}"/>
    <cellStyle name="40% - Accent3 2 3 2 3 3 4" xfId="31392" xr:uid="{E7B07DA7-074B-4914-B59C-DBECE40A4124}"/>
    <cellStyle name="40% - Accent3 2 3 2 3 4" xfId="6399" xr:uid="{00000000-0005-0000-0000-0000890C0000}"/>
    <cellStyle name="40% - Accent3 2 3 2 3 4 2" xfId="24026" xr:uid="{D5A920CC-1D92-479A-AC45-46507D5464F5}"/>
    <cellStyle name="40% - Accent3 2 3 2 3 4 2 2" xfId="38997" xr:uid="{E2A56FAE-BD80-4659-8E50-9B03AE75FEC3}"/>
    <cellStyle name="40% - Accent3 2 3 2 3 4 3" xfId="31394" xr:uid="{D93252E8-531C-431C-8DA9-D7422A115D84}"/>
    <cellStyle name="40% - Accent3 2 3 2 3 5" xfId="24020" xr:uid="{04D8F3C5-965C-4DFF-B698-96ADC3437FC1}"/>
    <cellStyle name="40% - Accent3 2 3 2 3 5 2" xfId="38991" xr:uid="{D4DA3613-2419-4317-B5CD-4ECB62674DEE}"/>
    <cellStyle name="40% - Accent3 2 3 2 3 6" xfId="31388" xr:uid="{B2D8F3F1-42FE-4712-8A98-14D8EEE8DF43}"/>
    <cellStyle name="40% - Accent3 2 3 2 4" xfId="6400" xr:uid="{00000000-0005-0000-0000-00008A0C0000}"/>
    <cellStyle name="40% - Accent3 2 3 2 4 2" xfId="6401" xr:uid="{00000000-0005-0000-0000-00008B0C0000}"/>
    <cellStyle name="40% - Accent3 2 3 2 4 2 2" xfId="24028" xr:uid="{3E12D33C-B94C-4300-8830-927A7EAA4482}"/>
    <cellStyle name="40% - Accent3 2 3 2 4 2 2 2" xfId="38999" xr:uid="{44D204BA-A1E6-4335-9410-F1D224C4AAB0}"/>
    <cellStyle name="40% - Accent3 2 3 2 4 2 3" xfId="31396" xr:uid="{2B80E4A4-E542-4DB2-9D73-C735C626AA82}"/>
    <cellStyle name="40% - Accent3 2 3 2 4 3" xfId="6402" xr:uid="{00000000-0005-0000-0000-00008C0C0000}"/>
    <cellStyle name="40% - Accent3 2 3 2 4 3 2" xfId="24029" xr:uid="{E24F84A0-1B1E-454A-9E55-D9076EDED56C}"/>
    <cellStyle name="40% - Accent3 2 3 2 4 3 2 2" xfId="39000" xr:uid="{98DFCAB8-9396-4B25-9427-FCB79FC2095B}"/>
    <cellStyle name="40% - Accent3 2 3 2 4 3 3" xfId="31397" xr:uid="{A2CDD6BB-E8AF-4E9E-A10B-C69CDB9339C5}"/>
    <cellStyle name="40% - Accent3 2 3 2 4 4" xfId="24027" xr:uid="{1EF1698D-5C65-4F2E-A3F2-637F6DB6478E}"/>
    <cellStyle name="40% - Accent3 2 3 2 4 4 2" xfId="38998" xr:uid="{19086305-0175-46B2-9E00-A3B9EEBFA994}"/>
    <cellStyle name="40% - Accent3 2 3 2 4 5" xfId="31395" xr:uid="{04F81D9A-9DDB-4187-800A-68CADD2A63BF}"/>
    <cellStyle name="40% - Accent3 2 3 2 5" xfId="6403" xr:uid="{00000000-0005-0000-0000-00008D0C0000}"/>
    <cellStyle name="40% - Accent3 2 3 2 5 2" xfId="24030" xr:uid="{4A6C8ABA-5F7A-4F64-A75C-6ED66AA2DFEC}"/>
    <cellStyle name="40% - Accent3 2 3 2 5 2 2" xfId="39001" xr:uid="{57CABC50-D29D-45E5-AA6C-B52DBBC53DF2}"/>
    <cellStyle name="40% - Accent3 2 3 2 5 3" xfId="31398" xr:uid="{F8533ED0-1EE3-4ADA-ACDC-C26D603E29BC}"/>
    <cellStyle name="40% - Accent3 2 3 2 6" xfId="6404" xr:uid="{00000000-0005-0000-0000-00008E0C0000}"/>
    <cellStyle name="40% - Accent3 2 3 2 6 2" xfId="6405" xr:uid="{00000000-0005-0000-0000-00008F0C0000}"/>
    <cellStyle name="40% - Accent3 2 3 2 6 2 2" xfId="24032" xr:uid="{CE9F69EC-7903-414D-BC1C-EA6F73463C1B}"/>
    <cellStyle name="40% - Accent3 2 3 2 6 2 2 2" xfId="39003" xr:uid="{0486079C-7CD5-4EB4-B1A0-5848A2D8A895}"/>
    <cellStyle name="40% - Accent3 2 3 2 6 2 3" xfId="31400" xr:uid="{C4EF4922-F3E6-4518-AA30-F25319B58FAF}"/>
    <cellStyle name="40% - Accent3 2 3 2 6 3" xfId="24031" xr:uid="{BB10DB2F-B9B9-4C2C-8965-AA6EDD756795}"/>
    <cellStyle name="40% - Accent3 2 3 2 6 3 2" xfId="39002" xr:uid="{98DDF5BB-2B43-4284-9425-8C53F1FC65BF}"/>
    <cellStyle name="40% - Accent3 2 3 2 6 4" xfId="31399" xr:uid="{147C0BBF-F320-4C6E-985B-45B64DF60E3A}"/>
    <cellStyle name="40% - Accent3 2 3 2 7" xfId="6406" xr:uid="{00000000-0005-0000-0000-0000900C0000}"/>
    <cellStyle name="40% - Accent3 2 3 2 7 2" xfId="24033" xr:uid="{BF3B3E9D-59E9-4859-BCDF-AC03273D54BE}"/>
    <cellStyle name="40% - Accent3 2 3 2 7 2 2" xfId="39004" xr:uid="{B50D0C56-8D41-4AE0-9ACE-52E5F1CC5B2F}"/>
    <cellStyle name="40% - Accent3 2 3 2 7 3" xfId="31401" xr:uid="{7C5DB8E9-E8AC-4AFD-A65A-93D4CE24C7AC}"/>
    <cellStyle name="40% - Accent3 2 3 2 8" xfId="24012" xr:uid="{D176545C-5980-4FE9-B889-D43C78B0C40C}"/>
    <cellStyle name="40% - Accent3 2 3 2 8 2" xfId="38983" xr:uid="{FB2ACDBA-42C6-4DC1-951B-8AA2D63AB82C}"/>
    <cellStyle name="40% - Accent3 2 3 2 9" xfId="31380" xr:uid="{D90A2895-9CAF-4354-A0B4-5494BBAF4645}"/>
    <cellStyle name="40% - Accent3 2 3 3" xfId="6407" xr:uid="{00000000-0005-0000-0000-0000910C0000}"/>
    <cellStyle name="40% - Accent3 2 3 3 2" xfId="6408" xr:uid="{00000000-0005-0000-0000-0000920C0000}"/>
    <cellStyle name="40% - Accent3 2 3 3 2 2" xfId="6409" xr:uid="{00000000-0005-0000-0000-0000930C0000}"/>
    <cellStyle name="40% - Accent3 2 3 3 2 2 2" xfId="24036" xr:uid="{2C7FB4D1-C1EC-4F4F-9DFC-0AA74DE6EA33}"/>
    <cellStyle name="40% - Accent3 2 3 3 2 2 2 2" xfId="39007" xr:uid="{D32463D7-E60A-4825-8A92-34CCAE110688}"/>
    <cellStyle name="40% - Accent3 2 3 3 2 2 3" xfId="31404" xr:uid="{961C126F-8F5C-4BEA-9496-D3638FF070A1}"/>
    <cellStyle name="40% - Accent3 2 3 3 2 3" xfId="6410" xr:uid="{00000000-0005-0000-0000-0000940C0000}"/>
    <cellStyle name="40% - Accent3 2 3 3 2 3 2" xfId="24037" xr:uid="{4FD1EF07-F034-4B00-BB0D-29640AFB1F00}"/>
    <cellStyle name="40% - Accent3 2 3 3 2 3 2 2" xfId="39008" xr:uid="{FC3F282B-11D6-4510-B654-0EC88E29B071}"/>
    <cellStyle name="40% - Accent3 2 3 3 2 3 3" xfId="31405" xr:uid="{E64859D9-6786-42EE-A2C5-DF9183A28AD5}"/>
    <cellStyle name="40% - Accent3 2 3 3 2 4" xfId="24035" xr:uid="{3F7947DE-9739-41E1-9310-62178B20BC23}"/>
    <cellStyle name="40% - Accent3 2 3 3 2 4 2" xfId="39006" xr:uid="{5A54176B-97E2-42DE-BEEB-8DC42D7E930C}"/>
    <cellStyle name="40% - Accent3 2 3 3 2 5" xfId="31403" xr:uid="{8D5A2D84-EC7E-4C0C-9B08-BCB46E5A84AF}"/>
    <cellStyle name="40% - Accent3 2 3 3 3" xfId="6411" xr:uid="{00000000-0005-0000-0000-0000950C0000}"/>
    <cellStyle name="40% - Accent3 2 3 3 3 2" xfId="6412" xr:uid="{00000000-0005-0000-0000-0000960C0000}"/>
    <cellStyle name="40% - Accent3 2 3 3 3 2 2" xfId="24039" xr:uid="{FAA412D5-DB80-480D-BC4A-5120B19B15B8}"/>
    <cellStyle name="40% - Accent3 2 3 3 3 2 2 2" xfId="39010" xr:uid="{AC83ADF6-453A-446A-95C0-215459552277}"/>
    <cellStyle name="40% - Accent3 2 3 3 3 2 3" xfId="31407" xr:uid="{2C44F699-D405-4906-8410-D8FBAD8A59DB}"/>
    <cellStyle name="40% - Accent3 2 3 3 3 3" xfId="24038" xr:uid="{37284D7B-9483-43CD-AE9F-1140A2CB4D97}"/>
    <cellStyle name="40% - Accent3 2 3 3 3 3 2" xfId="39009" xr:uid="{366D7DB1-B6AE-45F2-9CDE-9820429DE1F9}"/>
    <cellStyle name="40% - Accent3 2 3 3 3 4" xfId="31406" xr:uid="{01BA5E58-5CB9-4DE5-9D27-F7299B831BDD}"/>
    <cellStyle name="40% - Accent3 2 3 3 4" xfId="6413" xr:uid="{00000000-0005-0000-0000-0000970C0000}"/>
    <cellStyle name="40% - Accent3 2 3 3 4 2" xfId="24040" xr:uid="{BC942E50-569C-4A3F-9897-1BC7840A9135}"/>
    <cellStyle name="40% - Accent3 2 3 3 4 2 2" xfId="39011" xr:uid="{D2099061-CCC9-4DDD-9D48-5DFCB2D77E35}"/>
    <cellStyle name="40% - Accent3 2 3 3 4 3" xfId="31408" xr:uid="{AC7A0775-5D4F-4936-BADB-62048C64DD89}"/>
    <cellStyle name="40% - Accent3 2 3 3 5" xfId="24034" xr:uid="{914CFCBD-6232-42F4-B208-79EC45607719}"/>
    <cellStyle name="40% - Accent3 2 3 3 5 2" xfId="39005" xr:uid="{D1F88763-A8DC-489A-A705-2949B566818E}"/>
    <cellStyle name="40% - Accent3 2 3 3 6" xfId="31402" xr:uid="{AE8DE953-03D4-45EE-89CB-A35A4CD32E16}"/>
    <cellStyle name="40% - Accent3 2 3 4" xfId="6414" xr:uid="{00000000-0005-0000-0000-0000980C0000}"/>
    <cellStyle name="40% - Accent3 2 3 4 2" xfId="6415" xr:uid="{00000000-0005-0000-0000-0000990C0000}"/>
    <cellStyle name="40% - Accent3 2 3 4 2 2" xfId="6416" xr:uid="{00000000-0005-0000-0000-00009A0C0000}"/>
    <cellStyle name="40% - Accent3 2 3 4 2 2 2" xfId="24043" xr:uid="{57180C8C-19D9-4234-A21E-E7F927F55321}"/>
    <cellStyle name="40% - Accent3 2 3 4 2 2 2 2" xfId="39014" xr:uid="{AD3F77A2-818E-4B49-9E68-AD94433EFFF6}"/>
    <cellStyle name="40% - Accent3 2 3 4 2 2 3" xfId="31411" xr:uid="{DCE8341C-7E17-43CE-BD79-76F2A7560842}"/>
    <cellStyle name="40% - Accent3 2 3 4 2 3" xfId="6417" xr:uid="{00000000-0005-0000-0000-00009B0C0000}"/>
    <cellStyle name="40% - Accent3 2 3 4 2 3 2" xfId="24044" xr:uid="{2E51DF56-EFFA-49BD-9097-EF58AA6FF0BB}"/>
    <cellStyle name="40% - Accent3 2 3 4 2 3 2 2" xfId="39015" xr:uid="{FE9B9952-C273-4ADE-A046-9493CF3F439B}"/>
    <cellStyle name="40% - Accent3 2 3 4 2 3 3" xfId="31412" xr:uid="{7FD544C4-984B-4A79-8F9B-DAAD1894CB3D}"/>
    <cellStyle name="40% - Accent3 2 3 4 2 4" xfId="24042" xr:uid="{DB92632A-3FE5-45DD-B114-14D5F814AE35}"/>
    <cellStyle name="40% - Accent3 2 3 4 2 4 2" xfId="39013" xr:uid="{8C05B6CD-3C3F-4C65-84D3-A4D31AD2EA7D}"/>
    <cellStyle name="40% - Accent3 2 3 4 2 5" xfId="31410" xr:uid="{1FF0EADF-D307-48BF-9763-3D42555A3438}"/>
    <cellStyle name="40% - Accent3 2 3 4 3" xfId="6418" xr:uid="{00000000-0005-0000-0000-00009C0C0000}"/>
    <cellStyle name="40% - Accent3 2 3 4 3 2" xfId="6419" xr:uid="{00000000-0005-0000-0000-00009D0C0000}"/>
    <cellStyle name="40% - Accent3 2 3 4 3 2 2" xfId="24046" xr:uid="{04B534DE-F93F-4012-A8A6-73550E7F9CBB}"/>
    <cellStyle name="40% - Accent3 2 3 4 3 2 2 2" xfId="39017" xr:uid="{872BF4F8-CA03-4603-B74E-CA41DD71751E}"/>
    <cellStyle name="40% - Accent3 2 3 4 3 2 3" xfId="31414" xr:uid="{6FDDC605-DAB4-4E5A-B2BE-1C27288E79DC}"/>
    <cellStyle name="40% - Accent3 2 3 4 3 3" xfId="24045" xr:uid="{18F6AE22-3B36-41C0-BED2-1BB921B0B420}"/>
    <cellStyle name="40% - Accent3 2 3 4 3 3 2" xfId="39016" xr:uid="{98326E0A-D470-43DE-B53A-8887CC3D8265}"/>
    <cellStyle name="40% - Accent3 2 3 4 3 4" xfId="31413" xr:uid="{F95CD348-FE1B-4198-9A1F-7923D1D38BF0}"/>
    <cellStyle name="40% - Accent3 2 3 4 4" xfId="6420" xr:uid="{00000000-0005-0000-0000-00009E0C0000}"/>
    <cellStyle name="40% - Accent3 2 3 4 4 2" xfId="24047" xr:uid="{A8CF509A-F964-43F1-B634-F18109389D6B}"/>
    <cellStyle name="40% - Accent3 2 3 4 4 2 2" xfId="39018" xr:uid="{9A462EF0-1DC7-48C6-A5B1-1CDB85D74AA7}"/>
    <cellStyle name="40% - Accent3 2 3 4 4 3" xfId="31415" xr:uid="{FC9F3A33-0681-4CB8-A942-E0139625CEE1}"/>
    <cellStyle name="40% - Accent3 2 3 4 5" xfId="24041" xr:uid="{04112789-53B7-46C0-A073-9877B5239809}"/>
    <cellStyle name="40% - Accent3 2 3 4 5 2" xfId="39012" xr:uid="{0E3A789A-C9CC-43DD-AB48-9C8FAFFD8D99}"/>
    <cellStyle name="40% - Accent3 2 3 4 6" xfId="31409" xr:uid="{B44A7C80-0B69-4363-8422-4243215F399A}"/>
    <cellStyle name="40% - Accent3 2 3 5" xfId="6421" xr:uid="{00000000-0005-0000-0000-00009F0C0000}"/>
    <cellStyle name="40% - Accent3 2 3 5 2" xfId="6422" xr:uid="{00000000-0005-0000-0000-0000A00C0000}"/>
    <cellStyle name="40% - Accent3 2 3 5 2 2" xfId="24049" xr:uid="{3A91DF95-4ECC-4E95-B21F-8063D342C229}"/>
    <cellStyle name="40% - Accent3 2 3 5 2 2 2" xfId="39020" xr:uid="{824FF0C1-CDDE-4EAC-A857-0F673918F21A}"/>
    <cellStyle name="40% - Accent3 2 3 5 2 3" xfId="31417" xr:uid="{F617A793-1A26-4F4A-A8EB-42D33F1523F2}"/>
    <cellStyle name="40% - Accent3 2 3 5 3" xfId="6423" xr:uid="{00000000-0005-0000-0000-0000A10C0000}"/>
    <cellStyle name="40% - Accent3 2 3 5 3 2" xfId="24050" xr:uid="{73F70616-8E87-4BFF-A247-84C9CE609B8B}"/>
    <cellStyle name="40% - Accent3 2 3 5 3 2 2" xfId="39021" xr:uid="{C2262F9E-1181-4D06-BF17-2E23D8370111}"/>
    <cellStyle name="40% - Accent3 2 3 5 3 3" xfId="31418" xr:uid="{41298D23-CB07-4A02-9D45-C40D9877FD41}"/>
    <cellStyle name="40% - Accent3 2 3 5 4" xfId="24048" xr:uid="{B1875FC3-3BDB-4B56-ADA5-106EA406A81F}"/>
    <cellStyle name="40% - Accent3 2 3 5 4 2" xfId="39019" xr:uid="{953865A2-03A1-409A-ACEC-54B0424203BB}"/>
    <cellStyle name="40% - Accent3 2 3 5 5" xfId="31416" xr:uid="{BA8F5E16-6DD3-474E-A14D-C4BC268FDC62}"/>
    <cellStyle name="40% - Accent3 2 3 6" xfId="6424" xr:uid="{00000000-0005-0000-0000-0000A20C0000}"/>
    <cellStyle name="40% - Accent3 2 3 6 2" xfId="24051" xr:uid="{AC6FDFFA-9B07-47FB-9F99-390C8288CE3A}"/>
    <cellStyle name="40% - Accent3 2 3 6 2 2" xfId="39022" xr:uid="{7BAA3BF4-2A04-469B-99D1-ADD6D8EAA0A8}"/>
    <cellStyle name="40% - Accent3 2 3 6 3" xfId="31419" xr:uid="{A46F5F45-ABF2-4682-92E2-1063BA9ECDE5}"/>
    <cellStyle name="40% - Accent3 2 3 7" xfId="6425" xr:uid="{00000000-0005-0000-0000-0000A30C0000}"/>
    <cellStyle name="40% - Accent3 2 3 7 2" xfId="6426" xr:uid="{00000000-0005-0000-0000-0000A40C0000}"/>
    <cellStyle name="40% - Accent3 2 3 7 2 2" xfId="24053" xr:uid="{1A3E43E3-FFA5-4D86-A0C2-F57D777CBD9C}"/>
    <cellStyle name="40% - Accent3 2 3 7 2 2 2" xfId="39024" xr:uid="{6F1D3987-29B7-419E-A786-7E09FB020600}"/>
    <cellStyle name="40% - Accent3 2 3 7 2 3" xfId="31421" xr:uid="{DBAD823F-49F1-4E36-A777-AA79C72358AF}"/>
    <cellStyle name="40% - Accent3 2 3 7 3" xfId="24052" xr:uid="{A232DBAE-5AB0-4BC9-8AD4-3BBCD282E414}"/>
    <cellStyle name="40% - Accent3 2 3 7 3 2" xfId="39023" xr:uid="{223E27F9-ED83-4C8C-AE53-D579E2731BD2}"/>
    <cellStyle name="40% - Accent3 2 3 7 4" xfId="31420" xr:uid="{2171DB05-B9E0-41D3-B142-0F8786785C77}"/>
    <cellStyle name="40% - Accent3 2 3 8" xfId="6427" xr:uid="{00000000-0005-0000-0000-0000A50C0000}"/>
    <cellStyle name="40% - Accent3 2 3 8 2" xfId="24054" xr:uid="{FA8DC940-031D-43B9-AE46-083A5C529F05}"/>
    <cellStyle name="40% - Accent3 2 3 8 2 2" xfId="39025" xr:uid="{6013066D-3BE9-438B-BA4A-008863599ECC}"/>
    <cellStyle name="40% - Accent3 2 3 8 3" xfId="31422" xr:uid="{EA5063F4-B6FC-41C3-B46D-B6817E1A9811}"/>
    <cellStyle name="40% - Accent3 2 3 9" xfId="24011" xr:uid="{ED69A85F-38D0-466A-AC3E-737FF99E09AB}"/>
    <cellStyle name="40% - Accent3 2 3 9 2" xfId="38982" xr:uid="{65093FD1-E122-4845-90E6-F97DD60744C7}"/>
    <cellStyle name="40% - Accent3 2 4" xfId="6428" xr:uid="{00000000-0005-0000-0000-0000A60C0000}"/>
    <cellStyle name="40% - Accent3 2 4 10" xfId="31423" xr:uid="{C8444637-14CC-4E3A-AD73-92D504F790C3}"/>
    <cellStyle name="40% - Accent3 2 4 2" xfId="6429" xr:uid="{00000000-0005-0000-0000-0000A70C0000}"/>
    <cellStyle name="40% - Accent3 2 4 2 2" xfId="6430" xr:uid="{00000000-0005-0000-0000-0000A80C0000}"/>
    <cellStyle name="40% - Accent3 2 4 2 2 2" xfId="6431" xr:uid="{00000000-0005-0000-0000-0000A90C0000}"/>
    <cellStyle name="40% - Accent3 2 4 2 2 2 2" xfId="6432" xr:uid="{00000000-0005-0000-0000-0000AA0C0000}"/>
    <cellStyle name="40% - Accent3 2 4 2 2 2 2 2" xfId="24059" xr:uid="{48FC8E99-9AA3-4F29-8B5D-31A0A23A554F}"/>
    <cellStyle name="40% - Accent3 2 4 2 2 2 2 2 2" xfId="39030" xr:uid="{64318A00-6BC8-4404-9837-0BA86F2A3AAB}"/>
    <cellStyle name="40% - Accent3 2 4 2 2 2 2 3" xfId="31427" xr:uid="{691539FD-F166-4EE6-803B-72CEE9C71222}"/>
    <cellStyle name="40% - Accent3 2 4 2 2 2 3" xfId="6433" xr:uid="{00000000-0005-0000-0000-0000AB0C0000}"/>
    <cellStyle name="40% - Accent3 2 4 2 2 2 3 2" xfId="24060" xr:uid="{0BBABAC2-AF0A-43BB-99A3-FBF042EE1569}"/>
    <cellStyle name="40% - Accent3 2 4 2 2 2 3 2 2" xfId="39031" xr:uid="{2854426A-92EF-4DFB-AFFA-069527206D8C}"/>
    <cellStyle name="40% - Accent3 2 4 2 2 2 3 3" xfId="31428" xr:uid="{808A4C53-284D-4B11-9945-7E98C7641F5C}"/>
    <cellStyle name="40% - Accent3 2 4 2 2 2 4" xfId="24058" xr:uid="{6D4AD67C-914C-4B0B-B9CA-098BC7BD6C2A}"/>
    <cellStyle name="40% - Accent3 2 4 2 2 2 4 2" xfId="39029" xr:uid="{585A6A9A-9753-4580-91B8-F3E2DD1650CA}"/>
    <cellStyle name="40% - Accent3 2 4 2 2 2 5" xfId="31426" xr:uid="{71C05B22-1677-4321-BD05-5B409BE3B45F}"/>
    <cellStyle name="40% - Accent3 2 4 2 2 3" xfId="6434" xr:uid="{00000000-0005-0000-0000-0000AC0C0000}"/>
    <cellStyle name="40% - Accent3 2 4 2 2 3 2" xfId="6435" xr:uid="{00000000-0005-0000-0000-0000AD0C0000}"/>
    <cellStyle name="40% - Accent3 2 4 2 2 3 2 2" xfId="24062" xr:uid="{EECC67B4-FFA8-4B51-8388-2ADF2A79A8C4}"/>
    <cellStyle name="40% - Accent3 2 4 2 2 3 2 2 2" xfId="39033" xr:uid="{04954537-2BFB-43CF-BEF5-0600A570EBE2}"/>
    <cellStyle name="40% - Accent3 2 4 2 2 3 2 3" xfId="31430" xr:uid="{4FA54244-A014-4D5C-9EDC-54913057A1E1}"/>
    <cellStyle name="40% - Accent3 2 4 2 2 3 3" xfId="24061" xr:uid="{A8C1D497-A6A3-4B91-B301-8424F8DA7A35}"/>
    <cellStyle name="40% - Accent3 2 4 2 2 3 3 2" xfId="39032" xr:uid="{A0A6AF1E-DA9F-4ABF-8651-56864CECC988}"/>
    <cellStyle name="40% - Accent3 2 4 2 2 3 4" xfId="31429" xr:uid="{4CB50FB1-9F9C-40EB-ACC9-27B15CEF176D}"/>
    <cellStyle name="40% - Accent3 2 4 2 2 4" xfId="6436" xr:uid="{00000000-0005-0000-0000-0000AE0C0000}"/>
    <cellStyle name="40% - Accent3 2 4 2 2 4 2" xfId="24063" xr:uid="{92C1FA7C-38AE-4972-AB83-AD6DFEAE6425}"/>
    <cellStyle name="40% - Accent3 2 4 2 2 4 2 2" xfId="39034" xr:uid="{41C10330-9D87-457D-B928-EDEDCB889677}"/>
    <cellStyle name="40% - Accent3 2 4 2 2 4 3" xfId="31431" xr:uid="{44DC0BFA-6D82-4535-B6A4-000F9F43F68F}"/>
    <cellStyle name="40% - Accent3 2 4 2 2 5" xfId="24057" xr:uid="{C3E56634-C42A-4083-BDD2-D1EF4FE6DDAE}"/>
    <cellStyle name="40% - Accent3 2 4 2 2 5 2" xfId="39028" xr:uid="{89693E7B-0E33-4B5D-97A0-BB876FD625F3}"/>
    <cellStyle name="40% - Accent3 2 4 2 2 6" xfId="31425" xr:uid="{09E8B933-2E9D-4394-8AE0-C815EF0A2CD3}"/>
    <cellStyle name="40% - Accent3 2 4 2 3" xfId="6437" xr:uid="{00000000-0005-0000-0000-0000AF0C0000}"/>
    <cellStyle name="40% - Accent3 2 4 2 3 2" xfId="6438" xr:uid="{00000000-0005-0000-0000-0000B00C0000}"/>
    <cellStyle name="40% - Accent3 2 4 2 3 2 2" xfId="6439" xr:uid="{00000000-0005-0000-0000-0000B10C0000}"/>
    <cellStyle name="40% - Accent3 2 4 2 3 2 2 2" xfId="24066" xr:uid="{5A35856C-B8B9-4551-812D-A804BEF21C1A}"/>
    <cellStyle name="40% - Accent3 2 4 2 3 2 2 2 2" xfId="39037" xr:uid="{0BC0F3B3-49A1-44F5-B3CA-676A4684F284}"/>
    <cellStyle name="40% - Accent3 2 4 2 3 2 2 3" xfId="31434" xr:uid="{8C908D99-F84E-485C-A982-C2038A2CB030}"/>
    <cellStyle name="40% - Accent3 2 4 2 3 2 3" xfId="6440" xr:uid="{00000000-0005-0000-0000-0000B20C0000}"/>
    <cellStyle name="40% - Accent3 2 4 2 3 2 3 2" xfId="24067" xr:uid="{2BB6242B-14AA-4EE5-A057-9C00D295B943}"/>
    <cellStyle name="40% - Accent3 2 4 2 3 2 3 2 2" xfId="39038" xr:uid="{911D2BE0-3F0E-42B1-BDD3-D0E0B082664A}"/>
    <cellStyle name="40% - Accent3 2 4 2 3 2 3 3" xfId="31435" xr:uid="{3FE8A3AE-3CAF-425F-BD13-CD3A1747A78F}"/>
    <cellStyle name="40% - Accent3 2 4 2 3 2 4" xfId="24065" xr:uid="{4A5116F4-C7F5-47E9-9E31-792222BF2A68}"/>
    <cellStyle name="40% - Accent3 2 4 2 3 2 4 2" xfId="39036" xr:uid="{36E7E80B-D831-422A-ACF9-86902B624C41}"/>
    <cellStyle name="40% - Accent3 2 4 2 3 2 5" xfId="31433" xr:uid="{9CE0FACA-5C36-4AB0-A364-40B7C25369E0}"/>
    <cellStyle name="40% - Accent3 2 4 2 3 3" xfId="6441" xr:uid="{00000000-0005-0000-0000-0000B30C0000}"/>
    <cellStyle name="40% - Accent3 2 4 2 3 3 2" xfId="6442" xr:uid="{00000000-0005-0000-0000-0000B40C0000}"/>
    <cellStyle name="40% - Accent3 2 4 2 3 3 2 2" xfId="24069" xr:uid="{3C6CACA2-40D1-4991-995E-EFC91FB30C2B}"/>
    <cellStyle name="40% - Accent3 2 4 2 3 3 2 2 2" xfId="39040" xr:uid="{6F9C5527-F7A4-45E4-BE01-32448F3D3760}"/>
    <cellStyle name="40% - Accent3 2 4 2 3 3 2 3" xfId="31437" xr:uid="{19AFD4A5-B011-44EA-A180-1271CEEE025C}"/>
    <cellStyle name="40% - Accent3 2 4 2 3 3 3" xfId="24068" xr:uid="{6551E564-0370-473A-90AD-16CC7703699A}"/>
    <cellStyle name="40% - Accent3 2 4 2 3 3 3 2" xfId="39039" xr:uid="{C4D2CDA0-F79B-4655-A16B-AA7A91C40CA2}"/>
    <cellStyle name="40% - Accent3 2 4 2 3 3 4" xfId="31436" xr:uid="{B187B4E0-32CE-446E-AB55-0157E369F4D2}"/>
    <cellStyle name="40% - Accent3 2 4 2 3 4" xfId="6443" xr:uid="{00000000-0005-0000-0000-0000B50C0000}"/>
    <cellStyle name="40% - Accent3 2 4 2 3 4 2" xfId="24070" xr:uid="{929E02BD-2B7F-4C8D-9C7D-EEEADB3C98CC}"/>
    <cellStyle name="40% - Accent3 2 4 2 3 4 2 2" xfId="39041" xr:uid="{5B27B25F-9126-4A84-B8FE-2092F417CFBF}"/>
    <cellStyle name="40% - Accent3 2 4 2 3 4 3" xfId="31438" xr:uid="{9BBCE031-DAE0-415D-B48E-600780C71576}"/>
    <cellStyle name="40% - Accent3 2 4 2 3 5" xfId="24064" xr:uid="{41E20A37-B939-45C7-88DC-FE89B59BBACB}"/>
    <cellStyle name="40% - Accent3 2 4 2 3 5 2" xfId="39035" xr:uid="{CBBB07E5-6812-4EF4-B812-7226EF0A0E13}"/>
    <cellStyle name="40% - Accent3 2 4 2 3 6" xfId="31432" xr:uid="{C5176572-04F5-4634-A56F-9A261EA7976C}"/>
    <cellStyle name="40% - Accent3 2 4 2 4" xfId="6444" xr:uid="{00000000-0005-0000-0000-0000B60C0000}"/>
    <cellStyle name="40% - Accent3 2 4 2 4 2" xfId="6445" xr:uid="{00000000-0005-0000-0000-0000B70C0000}"/>
    <cellStyle name="40% - Accent3 2 4 2 4 2 2" xfId="24072" xr:uid="{6C4F575D-A29B-41F3-9453-D6414C8746A0}"/>
    <cellStyle name="40% - Accent3 2 4 2 4 2 2 2" xfId="39043" xr:uid="{921ED8AC-7BA1-46D2-9C44-A5F4BC62AB36}"/>
    <cellStyle name="40% - Accent3 2 4 2 4 2 3" xfId="31440" xr:uid="{2609360A-A8CF-4B22-964A-A8FA91610DCB}"/>
    <cellStyle name="40% - Accent3 2 4 2 4 3" xfId="6446" xr:uid="{00000000-0005-0000-0000-0000B80C0000}"/>
    <cellStyle name="40% - Accent3 2 4 2 4 3 2" xfId="24073" xr:uid="{6EF2B1B2-473D-44F9-8CDA-164699D9053D}"/>
    <cellStyle name="40% - Accent3 2 4 2 4 3 2 2" xfId="39044" xr:uid="{68213FB1-844D-4174-85A5-1B6BDA48955A}"/>
    <cellStyle name="40% - Accent3 2 4 2 4 3 3" xfId="31441" xr:uid="{FE4B99FC-619A-4B70-973A-A64009FA66CA}"/>
    <cellStyle name="40% - Accent3 2 4 2 4 4" xfId="24071" xr:uid="{705982D2-ECA3-42DB-BC0E-F69CE565909C}"/>
    <cellStyle name="40% - Accent3 2 4 2 4 4 2" xfId="39042" xr:uid="{4859308D-8FE8-4A99-8C4F-F7ED26E4D936}"/>
    <cellStyle name="40% - Accent3 2 4 2 4 5" xfId="31439" xr:uid="{61149F90-3D51-4BAA-9605-0874D0BA791F}"/>
    <cellStyle name="40% - Accent3 2 4 2 5" xfId="6447" xr:uid="{00000000-0005-0000-0000-0000B90C0000}"/>
    <cellStyle name="40% - Accent3 2 4 2 5 2" xfId="24074" xr:uid="{686EA80D-86F8-4E3E-8E1A-1558C8455874}"/>
    <cellStyle name="40% - Accent3 2 4 2 5 2 2" xfId="39045" xr:uid="{F364647E-6D30-421E-90FA-73EA4084FC21}"/>
    <cellStyle name="40% - Accent3 2 4 2 5 3" xfId="31442" xr:uid="{D2FD36DE-A442-4606-9AB5-92D88098B440}"/>
    <cellStyle name="40% - Accent3 2 4 2 6" xfId="6448" xr:uid="{00000000-0005-0000-0000-0000BA0C0000}"/>
    <cellStyle name="40% - Accent3 2 4 2 6 2" xfId="6449" xr:uid="{00000000-0005-0000-0000-0000BB0C0000}"/>
    <cellStyle name="40% - Accent3 2 4 2 6 2 2" xfId="24076" xr:uid="{932C6103-1ADA-4FAA-89EE-F5F5A3FF236B}"/>
    <cellStyle name="40% - Accent3 2 4 2 6 2 2 2" xfId="39047" xr:uid="{732E0DC3-CC4D-4FF9-A386-73DE026BEFAE}"/>
    <cellStyle name="40% - Accent3 2 4 2 6 2 3" xfId="31444" xr:uid="{6398F588-C114-4178-B649-CA4CA1243C92}"/>
    <cellStyle name="40% - Accent3 2 4 2 6 3" xfId="24075" xr:uid="{411F6C1F-5837-4F8D-BB2A-F2AC42C6F447}"/>
    <cellStyle name="40% - Accent3 2 4 2 6 3 2" xfId="39046" xr:uid="{42B2D952-BAFD-4287-BEA5-EAECAD0841A0}"/>
    <cellStyle name="40% - Accent3 2 4 2 6 4" xfId="31443" xr:uid="{1B978CE9-BCB5-4433-B4B0-918259DDF248}"/>
    <cellStyle name="40% - Accent3 2 4 2 7" xfId="6450" xr:uid="{00000000-0005-0000-0000-0000BC0C0000}"/>
    <cellStyle name="40% - Accent3 2 4 2 7 2" xfId="24077" xr:uid="{48847B08-2DA6-44B7-AB5F-35D2D2A20F2A}"/>
    <cellStyle name="40% - Accent3 2 4 2 7 2 2" xfId="39048" xr:uid="{A3BDD546-34B6-4671-8E32-5B540BAEEDD2}"/>
    <cellStyle name="40% - Accent3 2 4 2 7 3" xfId="31445" xr:uid="{12C8C35D-D3D8-4C13-A8F9-D7458F891A14}"/>
    <cellStyle name="40% - Accent3 2 4 2 8" xfId="24056" xr:uid="{8F371D18-ECF0-46F4-A73A-6F20DB6E2E60}"/>
    <cellStyle name="40% - Accent3 2 4 2 8 2" xfId="39027" xr:uid="{2A96337F-6260-49D9-9AAA-30FE65FA8946}"/>
    <cellStyle name="40% - Accent3 2 4 2 9" xfId="31424" xr:uid="{4A2C54BD-024C-4ACE-806B-F38373AC80DE}"/>
    <cellStyle name="40% - Accent3 2 4 3" xfId="6451" xr:uid="{00000000-0005-0000-0000-0000BD0C0000}"/>
    <cellStyle name="40% - Accent3 2 4 3 2" xfId="6452" xr:uid="{00000000-0005-0000-0000-0000BE0C0000}"/>
    <cellStyle name="40% - Accent3 2 4 3 2 2" xfId="6453" xr:uid="{00000000-0005-0000-0000-0000BF0C0000}"/>
    <cellStyle name="40% - Accent3 2 4 3 2 2 2" xfId="24080" xr:uid="{414ACB55-D2CA-479C-B7E0-737352512A70}"/>
    <cellStyle name="40% - Accent3 2 4 3 2 2 2 2" xfId="39051" xr:uid="{D09363DD-4F3B-407C-A3F8-C15A57B8B3CB}"/>
    <cellStyle name="40% - Accent3 2 4 3 2 2 3" xfId="31448" xr:uid="{EC72BDC2-710B-4902-B81E-BC829178B1B8}"/>
    <cellStyle name="40% - Accent3 2 4 3 2 3" xfId="6454" xr:uid="{00000000-0005-0000-0000-0000C00C0000}"/>
    <cellStyle name="40% - Accent3 2 4 3 2 3 2" xfId="24081" xr:uid="{E4E74D88-287D-402C-A88C-DD9A67D24E54}"/>
    <cellStyle name="40% - Accent3 2 4 3 2 3 2 2" xfId="39052" xr:uid="{43AB4D20-79B1-4556-B8CB-0C72C05DACC7}"/>
    <cellStyle name="40% - Accent3 2 4 3 2 3 3" xfId="31449" xr:uid="{6FAC6DE9-5A3C-4196-AEEC-329D918B6872}"/>
    <cellStyle name="40% - Accent3 2 4 3 2 4" xfId="24079" xr:uid="{BEAC33C7-C4EC-485E-B42B-4A1985C01687}"/>
    <cellStyle name="40% - Accent3 2 4 3 2 4 2" xfId="39050" xr:uid="{BD46B0EF-56CA-472A-966F-06AEEACD8F4E}"/>
    <cellStyle name="40% - Accent3 2 4 3 2 5" xfId="31447" xr:uid="{50835413-9A63-4BB8-B252-8D3C927ABA5C}"/>
    <cellStyle name="40% - Accent3 2 4 3 3" xfId="6455" xr:uid="{00000000-0005-0000-0000-0000C10C0000}"/>
    <cellStyle name="40% - Accent3 2 4 3 3 2" xfId="6456" xr:uid="{00000000-0005-0000-0000-0000C20C0000}"/>
    <cellStyle name="40% - Accent3 2 4 3 3 2 2" xfId="24083" xr:uid="{AADD75F0-ADCA-4437-971B-6CD1AA5E0CBA}"/>
    <cellStyle name="40% - Accent3 2 4 3 3 2 2 2" xfId="39054" xr:uid="{C28CC5E9-CCEA-43E2-81DC-017E2AD75E4E}"/>
    <cellStyle name="40% - Accent3 2 4 3 3 2 3" xfId="31451" xr:uid="{1D60FECD-3783-462D-92BB-B86255A2CEEC}"/>
    <cellStyle name="40% - Accent3 2 4 3 3 3" xfId="24082" xr:uid="{8E7BE6B8-EEDA-465C-B4D6-FDD7DADC23DC}"/>
    <cellStyle name="40% - Accent3 2 4 3 3 3 2" xfId="39053" xr:uid="{754BCF39-51FE-4341-B626-F7B8BCA08421}"/>
    <cellStyle name="40% - Accent3 2 4 3 3 4" xfId="31450" xr:uid="{F849278E-03E3-436D-BAAB-DBB3CA78E167}"/>
    <cellStyle name="40% - Accent3 2 4 3 4" xfId="6457" xr:uid="{00000000-0005-0000-0000-0000C30C0000}"/>
    <cellStyle name="40% - Accent3 2 4 3 4 2" xfId="24084" xr:uid="{D9A706FB-3FA6-4421-9B81-BBAC5B45C200}"/>
    <cellStyle name="40% - Accent3 2 4 3 4 2 2" xfId="39055" xr:uid="{80DF0326-A245-452C-B7A7-A8F2B7F15CB6}"/>
    <cellStyle name="40% - Accent3 2 4 3 4 3" xfId="31452" xr:uid="{203B8DDB-6465-4F88-BB5B-ED9817A39E8C}"/>
    <cellStyle name="40% - Accent3 2 4 3 5" xfId="24078" xr:uid="{138610D0-F451-40B5-81C5-29A95A31569C}"/>
    <cellStyle name="40% - Accent3 2 4 3 5 2" xfId="39049" xr:uid="{B31FAC35-393D-4172-BA4C-AAB2E04E05BC}"/>
    <cellStyle name="40% - Accent3 2 4 3 6" xfId="31446" xr:uid="{AF6A4D4C-35E3-4976-B315-FB81F9682272}"/>
    <cellStyle name="40% - Accent3 2 4 4" xfId="6458" xr:uid="{00000000-0005-0000-0000-0000C40C0000}"/>
    <cellStyle name="40% - Accent3 2 4 4 2" xfId="6459" xr:uid="{00000000-0005-0000-0000-0000C50C0000}"/>
    <cellStyle name="40% - Accent3 2 4 4 2 2" xfId="6460" xr:uid="{00000000-0005-0000-0000-0000C60C0000}"/>
    <cellStyle name="40% - Accent3 2 4 4 2 2 2" xfId="24087" xr:uid="{11C4039C-8F18-4D83-8CA1-DA695E43062B}"/>
    <cellStyle name="40% - Accent3 2 4 4 2 2 2 2" xfId="39058" xr:uid="{777CCF07-BDE6-4CCC-AA37-A378C33B975B}"/>
    <cellStyle name="40% - Accent3 2 4 4 2 2 3" xfId="31455" xr:uid="{C16C7858-AF7A-474E-A7DE-FA1ABBCB5E04}"/>
    <cellStyle name="40% - Accent3 2 4 4 2 3" xfId="6461" xr:uid="{00000000-0005-0000-0000-0000C70C0000}"/>
    <cellStyle name="40% - Accent3 2 4 4 2 3 2" xfId="24088" xr:uid="{3B2B69CC-7FD5-437D-9E2C-7DD1D01A47B5}"/>
    <cellStyle name="40% - Accent3 2 4 4 2 3 2 2" xfId="39059" xr:uid="{35DE027C-958D-471E-9B01-C2D8909027B5}"/>
    <cellStyle name="40% - Accent3 2 4 4 2 3 3" xfId="31456" xr:uid="{D378687E-D060-4BB9-9B89-28F85EA025D5}"/>
    <cellStyle name="40% - Accent3 2 4 4 2 4" xfId="24086" xr:uid="{76EBC6AC-5A77-4784-B705-A0BB10A81741}"/>
    <cellStyle name="40% - Accent3 2 4 4 2 4 2" xfId="39057" xr:uid="{0A3E0C17-B160-4F6B-BA2A-4902B4B0FF72}"/>
    <cellStyle name="40% - Accent3 2 4 4 2 5" xfId="31454" xr:uid="{6F7CC9E2-F280-4FA1-ABFC-A2E1FDBF605E}"/>
    <cellStyle name="40% - Accent3 2 4 4 3" xfId="6462" xr:uid="{00000000-0005-0000-0000-0000C80C0000}"/>
    <cellStyle name="40% - Accent3 2 4 4 3 2" xfId="6463" xr:uid="{00000000-0005-0000-0000-0000C90C0000}"/>
    <cellStyle name="40% - Accent3 2 4 4 3 2 2" xfId="24090" xr:uid="{CA2D5936-EC9A-466F-BEDB-98D05B9C6111}"/>
    <cellStyle name="40% - Accent3 2 4 4 3 2 2 2" xfId="39061" xr:uid="{4CEE9D51-3CE7-438E-8554-DEE059F4DC9A}"/>
    <cellStyle name="40% - Accent3 2 4 4 3 2 3" xfId="31458" xr:uid="{23D85C3F-7ED2-423D-9B49-43FC4C39E324}"/>
    <cellStyle name="40% - Accent3 2 4 4 3 3" xfId="24089" xr:uid="{60947479-50CB-4174-BDD3-6836FE97EDEC}"/>
    <cellStyle name="40% - Accent3 2 4 4 3 3 2" xfId="39060" xr:uid="{E31F86D9-AEEE-42E8-9C9B-8E023E6FEBD9}"/>
    <cellStyle name="40% - Accent3 2 4 4 3 4" xfId="31457" xr:uid="{DF377613-D099-48A9-9C35-A6C38AE9A3BB}"/>
    <cellStyle name="40% - Accent3 2 4 4 4" xfId="6464" xr:uid="{00000000-0005-0000-0000-0000CA0C0000}"/>
    <cellStyle name="40% - Accent3 2 4 4 4 2" xfId="24091" xr:uid="{3B9B219A-3A52-47F1-A8BA-23E6D214D213}"/>
    <cellStyle name="40% - Accent3 2 4 4 4 2 2" xfId="39062" xr:uid="{C97D221A-CB19-4B42-8CF4-27C3F418A564}"/>
    <cellStyle name="40% - Accent3 2 4 4 4 3" xfId="31459" xr:uid="{3F32FC46-C4CC-42A5-AD80-DA812DDF4EB1}"/>
    <cellStyle name="40% - Accent3 2 4 4 5" xfId="24085" xr:uid="{2CA13CE8-BDA7-444E-9D1C-E853A86BE0AD}"/>
    <cellStyle name="40% - Accent3 2 4 4 5 2" xfId="39056" xr:uid="{73D41DEF-35EF-4137-85AA-BE9321776D3A}"/>
    <cellStyle name="40% - Accent3 2 4 4 6" xfId="31453" xr:uid="{D31879F8-F2F1-4C60-910E-A0690742EBE3}"/>
    <cellStyle name="40% - Accent3 2 4 5" xfId="6465" xr:uid="{00000000-0005-0000-0000-0000CB0C0000}"/>
    <cellStyle name="40% - Accent3 2 4 5 2" xfId="6466" xr:uid="{00000000-0005-0000-0000-0000CC0C0000}"/>
    <cellStyle name="40% - Accent3 2 4 5 2 2" xfId="24093" xr:uid="{384B1FBA-D359-4649-B59B-5A6FB011349F}"/>
    <cellStyle name="40% - Accent3 2 4 5 2 2 2" xfId="39064" xr:uid="{C5BF4A94-6BF0-47A6-A503-CD3A952D22E0}"/>
    <cellStyle name="40% - Accent3 2 4 5 2 3" xfId="31461" xr:uid="{519D1918-79CF-41C5-885B-15356B2EE8BA}"/>
    <cellStyle name="40% - Accent3 2 4 5 3" xfId="6467" xr:uid="{00000000-0005-0000-0000-0000CD0C0000}"/>
    <cellStyle name="40% - Accent3 2 4 5 3 2" xfId="24094" xr:uid="{55E6EB01-F3F0-4D99-AEDD-883CEDDA0747}"/>
    <cellStyle name="40% - Accent3 2 4 5 3 2 2" xfId="39065" xr:uid="{92170326-78E5-4FEE-9B5E-ECEDABC4578C}"/>
    <cellStyle name="40% - Accent3 2 4 5 3 3" xfId="31462" xr:uid="{AC01879A-6E9A-495C-A17E-C50DB8D360B8}"/>
    <cellStyle name="40% - Accent3 2 4 5 4" xfId="24092" xr:uid="{2C8CCF2F-67C8-4589-AF85-C9929808E86F}"/>
    <cellStyle name="40% - Accent3 2 4 5 4 2" xfId="39063" xr:uid="{0B53545E-637B-4957-BDE6-BF051E3EA2A1}"/>
    <cellStyle name="40% - Accent3 2 4 5 5" xfId="31460" xr:uid="{4F0C098E-0ACE-4CAB-BFB8-94D12F888C78}"/>
    <cellStyle name="40% - Accent3 2 4 6" xfId="6468" xr:uid="{00000000-0005-0000-0000-0000CE0C0000}"/>
    <cellStyle name="40% - Accent3 2 4 6 2" xfId="24095" xr:uid="{3CAB5F69-F67E-4CF5-A235-153DF50FF3CE}"/>
    <cellStyle name="40% - Accent3 2 4 6 2 2" xfId="39066" xr:uid="{05308769-5F56-4B5D-9074-FBBB4CE91316}"/>
    <cellStyle name="40% - Accent3 2 4 6 3" xfId="31463" xr:uid="{53C3058B-10C4-4F79-8EBD-27C8DD5ED01F}"/>
    <cellStyle name="40% - Accent3 2 4 7" xfId="6469" xr:uid="{00000000-0005-0000-0000-0000CF0C0000}"/>
    <cellStyle name="40% - Accent3 2 4 7 2" xfId="6470" xr:uid="{00000000-0005-0000-0000-0000D00C0000}"/>
    <cellStyle name="40% - Accent3 2 4 7 2 2" xfId="24097" xr:uid="{4161129F-BA83-488D-9909-25DBE544597C}"/>
    <cellStyle name="40% - Accent3 2 4 7 2 2 2" xfId="39068" xr:uid="{B23FCE9A-324E-48A3-AE76-91DC2D356B0C}"/>
    <cellStyle name="40% - Accent3 2 4 7 2 3" xfId="31465" xr:uid="{FC4C61AD-0F74-43BA-A55D-AA6AEFD0FFD5}"/>
    <cellStyle name="40% - Accent3 2 4 7 3" xfId="24096" xr:uid="{5E12F976-8AB9-47EE-9FD4-5292F633FA36}"/>
    <cellStyle name="40% - Accent3 2 4 7 3 2" xfId="39067" xr:uid="{87FFC178-DAE4-468D-9F02-91EC0F609342}"/>
    <cellStyle name="40% - Accent3 2 4 7 4" xfId="31464" xr:uid="{F3AAA4AE-703F-4319-8FD1-A198339148D5}"/>
    <cellStyle name="40% - Accent3 2 4 8" xfId="6471" xr:uid="{00000000-0005-0000-0000-0000D10C0000}"/>
    <cellStyle name="40% - Accent3 2 4 8 2" xfId="24098" xr:uid="{4AE82117-3B8F-4C49-855A-9FCE9720B204}"/>
    <cellStyle name="40% - Accent3 2 4 8 2 2" xfId="39069" xr:uid="{02115D5E-3616-4591-A3C2-5AB76CFB6B99}"/>
    <cellStyle name="40% - Accent3 2 4 8 3" xfId="31466" xr:uid="{9D9910CC-BE4C-4B8D-AC62-E99B3E19725F}"/>
    <cellStyle name="40% - Accent3 2 4 9" xfId="24055" xr:uid="{93EE9BC7-9469-4EA8-9E41-2E296FCEA324}"/>
    <cellStyle name="40% - Accent3 2 4 9 2" xfId="39026" xr:uid="{7CCECF2F-00BC-4836-B7C5-5884ED4A03E9}"/>
    <cellStyle name="40% - Accent3 2 5" xfId="6472" xr:uid="{00000000-0005-0000-0000-0000D20C0000}"/>
    <cellStyle name="40% - Accent3 2 5 10" xfId="31467" xr:uid="{97042B90-595B-4DC2-AC0D-4A94D9419CB0}"/>
    <cellStyle name="40% - Accent3 2 5 2" xfId="6473" xr:uid="{00000000-0005-0000-0000-0000D30C0000}"/>
    <cellStyle name="40% - Accent3 2 5 2 2" xfId="6474" xr:uid="{00000000-0005-0000-0000-0000D40C0000}"/>
    <cellStyle name="40% - Accent3 2 5 2 2 2" xfId="6475" xr:uid="{00000000-0005-0000-0000-0000D50C0000}"/>
    <cellStyle name="40% - Accent3 2 5 2 2 2 2" xfId="6476" xr:uid="{00000000-0005-0000-0000-0000D60C0000}"/>
    <cellStyle name="40% - Accent3 2 5 2 2 2 2 2" xfId="24103" xr:uid="{A5607357-D41C-4FF5-9B67-F49FDDB5A7FA}"/>
    <cellStyle name="40% - Accent3 2 5 2 2 2 2 2 2" xfId="39074" xr:uid="{BB352818-962A-4F4D-A30A-88BC3CD49C04}"/>
    <cellStyle name="40% - Accent3 2 5 2 2 2 2 3" xfId="31471" xr:uid="{7448B999-F11E-4A1A-9BF7-682B213A63BB}"/>
    <cellStyle name="40% - Accent3 2 5 2 2 2 3" xfId="6477" xr:uid="{00000000-0005-0000-0000-0000D70C0000}"/>
    <cellStyle name="40% - Accent3 2 5 2 2 2 3 2" xfId="24104" xr:uid="{B4A9D78B-CF00-4EEB-AB5D-BAFA6347908C}"/>
    <cellStyle name="40% - Accent3 2 5 2 2 2 3 2 2" xfId="39075" xr:uid="{C96106EA-C6E6-4C48-955A-B6A34EC28E46}"/>
    <cellStyle name="40% - Accent3 2 5 2 2 2 3 3" xfId="31472" xr:uid="{0244B742-0366-485B-9D2E-BE8DDFF26C5F}"/>
    <cellStyle name="40% - Accent3 2 5 2 2 2 4" xfId="24102" xr:uid="{7082E84B-6EB2-49D5-AAE7-D8BFE2BDD45D}"/>
    <cellStyle name="40% - Accent3 2 5 2 2 2 4 2" xfId="39073" xr:uid="{D5726DEE-875F-4B51-8C07-B3A9D8E1F8F8}"/>
    <cellStyle name="40% - Accent3 2 5 2 2 2 5" xfId="31470" xr:uid="{84325C3B-B694-45D0-A703-770CCCDBCD2C}"/>
    <cellStyle name="40% - Accent3 2 5 2 2 3" xfId="6478" xr:uid="{00000000-0005-0000-0000-0000D80C0000}"/>
    <cellStyle name="40% - Accent3 2 5 2 2 3 2" xfId="6479" xr:uid="{00000000-0005-0000-0000-0000D90C0000}"/>
    <cellStyle name="40% - Accent3 2 5 2 2 3 2 2" xfId="24106" xr:uid="{B920F894-4D44-4186-A553-D5C05A6C26B0}"/>
    <cellStyle name="40% - Accent3 2 5 2 2 3 2 2 2" xfId="39077" xr:uid="{E14A04D2-B005-45C8-9AA8-4E8BB27207BA}"/>
    <cellStyle name="40% - Accent3 2 5 2 2 3 2 3" xfId="31474" xr:uid="{444D5E9B-FCD1-4C84-BD53-709A46ABBF1A}"/>
    <cellStyle name="40% - Accent3 2 5 2 2 3 3" xfId="24105" xr:uid="{04C78A95-935A-496F-AFE8-D11E0EE62379}"/>
    <cellStyle name="40% - Accent3 2 5 2 2 3 3 2" xfId="39076" xr:uid="{CAC5359A-9A94-49B3-8AD8-FB8AE69CFE51}"/>
    <cellStyle name="40% - Accent3 2 5 2 2 3 4" xfId="31473" xr:uid="{B3C8A2E6-A74A-4554-AB55-D95B1120E8BD}"/>
    <cellStyle name="40% - Accent3 2 5 2 2 4" xfId="6480" xr:uid="{00000000-0005-0000-0000-0000DA0C0000}"/>
    <cellStyle name="40% - Accent3 2 5 2 2 4 2" xfId="24107" xr:uid="{5A0EDAE5-71E9-4EBC-B24A-B76EC7D29D72}"/>
    <cellStyle name="40% - Accent3 2 5 2 2 4 2 2" xfId="39078" xr:uid="{235933E8-FD2F-4216-B9F9-BD75F45EA353}"/>
    <cellStyle name="40% - Accent3 2 5 2 2 4 3" xfId="31475" xr:uid="{B5B68174-264C-4048-9159-47C1727E689D}"/>
    <cellStyle name="40% - Accent3 2 5 2 2 5" xfId="24101" xr:uid="{08CC550B-897B-43B7-9B54-14660037EA0E}"/>
    <cellStyle name="40% - Accent3 2 5 2 2 5 2" xfId="39072" xr:uid="{043BACD8-6C9C-4E1D-BB71-8BA4C120AD8A}"/>
    <cellStyle name="40% - Accent3 2 5 2 2 6" xfId="31469" xr:uid="{3B3B1FDC-EDCA-4BE8-89E7-E7843F9E137E}"/>
    <cellStyle name="40% - Accent3 2 5 2 3" xfId="6481" xr:uid="{00000000-0005-0000-0000-0000DB0C0000}"/>
    <cellStyle name="40% - Accent3 2 5 2 3 2" xfId="6482" xr:uid="{00000000-0005-0000-0000-0000DC0C0000}"/>
    <cellStyle name="40% - Accent3 2 5 2 3 2 2" xfId="6483" xr:uid="{00000000-0005-0000-0000-0000DD0C0000}"/>
    <cellStyle name="40% - Accent3 2 5 2 3 2 2 2" xfId="24110" xr:uid="{2801F3D9-F1A3-44D6-BBBA-D0240D6FA812}"/>
    <cellStyle name="40% - Accent3 2 5 2 3 2 2 2 2" xfId="39081" xr:uid="{4BDC0BDC-AD00-42B9-B85F-287B2722E474}"/>
    <cellStyle name="40% - Accent3 2 5 2 3 2 2 3" xfId="31478" xr:uid="{EAFC5D6F-2D42-475F-9678-FB94228BADF5}"/>
    <cellStyle name="40% - Accent3 2 5 2 3 2 3" xfId="6484" xr:uid="{00000000-0005-0000-0000-0000DE0C0000}"/>
    <cellStyle name="40% - Accent3 2 5 2 3 2 3 2" xfId="24111" xr:uid="{F0308BB5-5592-4F8E-BE9F-0D1BBA4053C2}"/>
    <cellStyle name="40% - Accent3 2 5 2 3 2 3 2 2" xfId="39082" xr:uid="{A02E3D6B-5BDE-4D78-9196-FA4F10669B98}"/>
    <cellStyle name="40% - Accent3 2 5 2 3 2 3 3" xfId="31479" xr:uid="{2303E65C-0810-4EE1-B028-ADCC0B14F69E}"/>
    <cellStyle name="40% - Accent3 2 5 2 3 2 4" xfId="24109" xr:uid="{34DB10A8-6F44-4ECA-803D-20E9CBB76ED6}"/>
    <cellStyle name="40% - Accent3 2 5 2 3 2 4 2" xfId="39080" xr:uid="{C761537D-5259-4408-BFE1-32B4B270639F}"/>
    <cellStyle name="40% - Accent3 2 5 2 3 2 5" xfId="31477" xr:uid="{87FBE971-7613-458C-928D-53DFBB0C0B26}"/>
    <cellStyle name="40% - Accent3 2 5 2 3 3" xfId="6485" xr:uid="{00000000-0005-0000-0000-0000DF0C0000}"/>
    <cellStyle name="40% - Accent3 2 5 2 3 3 2" xfId="6486" xr:uid="{00000000-0005-0000-0000-0000E00C0000}"/>
    <cellStyle name="40% - Accent3 2 5 2 3 3 2 2" xfId="24113" xr:uid="{F1F7C89E-24F9-4CD0-A0E1-B06895DDB313}"/>
    <cellStyle name="40% - Accent3 2 5 2 3 3 2 2 2" xfId="39084" xr:uid="{EAB0B612-C6A0-485F-AD4D-B416E8F4FC5C}"/>
    <cellStyle name="40% - Accent3 2 5 2 3 3 2 3" xfId="31481" xr:uid="{3E14AD0E-69AE-495B-B2A6-50829BA4C171}"/>
    <cellStyle name="40% - Accent3 2 5 2 3 3 3" xfId="24112" xr:uid="{F584948B-45F5-4580-AD08-79B79C6B5BA8}"/>
    <cellStyle name="40% - Accent3 2 5 2 3 3 3 2" xfId="39083" xr:uid="{D3B85CC7-5EF9-475C-B7D1-E614781E9FF6}"/>
    <cellStyle name="40% - Accent3 2 5 2 3 3 4" xfId="31480" xr:uid="{CD5C7827-B1AD-4FF4-B134-0A4FC87D10E3}"/>
    <cellStyle name="40% - Accent3 2 5 2 3 4" xfId="6487" xr:uid="{00000000-0005-0000-0000-0000E10C0000}"/>
    <cellStyle name="40% - Accent3 2 5 2 3 4 2" xfId="24114" xr:uid="{6993BEFC-5181-40A3-AA11-0A7D471F88A8}"/>
    <cellStyle name="40% - Accent3 2 5 2 3 4 2 2" xfId="39085" xr:uid="{E1C23E92-B6B3-44F5-824F-624AB49A0CFB}"/>
    <cellStyle name="40% - Accent3 2 5 2 3 4 3" xfId="31482" xr:uid="{7C2B8E74-A5C7-4387-BEF8-A23C89C14A3E}"/>
    <cellStyle name="40% - Accent3 2 5 2 3 5" xfId="24108" xr:uid="{99BB6231-DCFF-48D4-9B87-072A37465D87}"/>
    <cellStyle name="40% - Accent3 2 5 2 3 5 2" xfId="39079" xr:uid="{0E770349-63AB-4E4E-92D0-CE11A636C6CA}"/>
    <cellStyle name="40% - Accent3 2 5 2 3 6" xfId="31476" xr:uid="{93C0442C-EE0D-4E18-A736-29F0BDB23328}"/>
    <cellStyle name="40% - Accent3 2 5 2 4" xfId="6488" xr:uid="{00000000-0005-0000-0000-0000E20C0000}"/>
    <cellStyle name="40% - Accent3 2 5 2 4 2" xfId="6489" xr:uid="{00000000-0005-0000-0000-0000E30C0000}"/>
    <cellStyle name="40% - Accent3 2 5 2 4 2 2" xfId="24116" xr:uid="{0D85C663-63FE-469B-A40C-069F5BF62681}"/>
    <cellStyle name="40% - Accent3 2 5 2 4 2 2 2" xfId="39087" xr:uid="{F225EFA2-4D91-44D3-A536-0BA41DD7D417}"/>
    <cellStyle name="40% - Accent3 2 5 2 4 2 3" xfId="31484" xr:uid="{B49F1093-4009-4AC2-98E5-08640CBDD663}"/>
    <cellStyle name="40% - Accent3 2 5 2 4 3" xfId="6490" xr:uid="{00000000-0005-0000-0000-0000E40C0000}"/>
    <cellStyle name="40% - Accent3 2 5 2 4 3 2" xfId="24117" xr:uid="{402178A4-EC03-4396-A248-3246B2331B63}"/>
    <cellStyle name="40% - Accent3 2 5 2 4 3 2 2" xfId="39088" xr:uid="{52FF996F-EDF4-40C4-9BAC-AD1104F6539C}"/>
    <cellStyle name="40% - Accent3 2 5 2 4 3 3" xfId="31485" xr:uid="{F86E1186-7DBD-472A-BAF3-CCFCCDEFAF9F}"/>
    <cellStyle name="40% - Accent3 2 5 2 4 4" xfId="24115" xr:uid="{329565EC-7259-4D5B-B120-6768E70A1B6F}"/>
    <cellStyle name="40% - Accent3 2 5 2 4 4 2" xfId="39086" xr:uid="{F87C2BD9-3340-4F48-8781-76762C71807F}"/>
    <cellStyle name="40% - Accent3 2 5 2 4 5" xfId="31483" xr:uid="{34BB0B01-2D87-4952-A8E8-82E3C7909075}"/>
    <cellStyle name="40% - Accent3 2 5 2 5" xfId="6491" xr:uid="{00000000-0005-0000-0000-0000E50C0000}"/>
    <cellStyle name="40% - Accent3 2 5 2 5 2" xfId="24118" xr:uid="{778D32BF-7AE7-4CFC-8A59-D2686C70A6B1}"/>
    <cellStyle name="40% - Accent3 2 5 2 5 2 2" xfId="39089" xr:uid="{835D3C8C-C704-4412-9F5E-B3F456DFD532}"/>
    <cellStyle name="40% - Accent3 2 5 2 5 3" xfId="31486" xr:uid="{F2CBA7A2-ABB2-4F54-A70B-CD3A77C6A63F}"/>
    <cellStyle name="40% - Accent3 2 5 2 6" xfId="6492" xr:uid="{00000000-0005-0000-0000-0000E60C0000}"/>
    <cellStyle name="40% - Accent3 2 5 2 6 2" xfId="6493" xr:uid="{00000000-0005-0000-0000-0000E70C0000}"/>
    <cellStyle name="40% - Accent3 2 5 2 6 2 2" xfId="24120" xr:uid="{625781A3-1DBB-425F-8D00-C2E7860BB2E7}"/>
    <cellStyle name="40% - Accent3 2 5 2 6 2 2 2" xfId="39091" xr:uid="{A5B7174F-F7B7-45DD-A16B-6CCA5DECEAE1}"/>
    <cellStyle name="40% - Accent3 2 5 2 6 2 3" xfId="31488" xr:uid="{2C6F93F0-218B-4272-9299-982158CA8102}"/>
    <cellStyle name="40% - Accent3 2 5 2 6 3" xfId="24119" xr:uid="{96A75892-60D7-4AC5-BB9D-E3B0E552C204}"/>
    <cellStyle name="40% - Accent3 2 5 2 6 3 2" xfId="39090" xr:uid="{0EAE68A7-B59E-48D6-88B2-3E38ABE0CCEE}"/>
    <cellStyle name="40% - Accent3 2 5 2 6 4" xfId="31487" xr:uid="{53310356-DE4E-46BD-88BF-5CC47F323E45}"/>
    <cellStyle name="40% - Accent3 2 5 2 7" xfId="6494" xr:uid="{00000000-0005-0000-0000-0000E80C0000}"/>
    <cellStyle name="40% - Accent3 2 5 2 7 2" xfId="24121" xr:uid="{55692F7A-0A85-452A-9582-72050E6D9858}"/>
    <cellStyle name="40% - Accent3 2 5 2 7 2 2" xfId="39092" xr:uid="{D461C732-184E-4616-ADE8-53BB1E9FEAF3}"/>
    <cellStyle name="40% - Accent3 2 5 2 7 3" xfId="31489" xr:uid="{205908F9-6390-4C26-9C48-C873E4D667D6}"/>
    <cellStyle name="40% - Accent3 2 5 2 8" xfId="24100" xr:uid="{B4E4D6A0-FC06-4B39-BCB2-5D6CBEC01AE6}"/>
    <cellStyle name="40% - Accent3 2 5 2 8 2" xfId="39071" xr:uid="{87201F9B-7CD2-4A2F-9C29-55F75F68D4EA}"/>
    <cellStyle name="40% - Accent3 2 5 2 9" xfId="31468" xr:uid="{FD6E5A67-3AAF-4F8D-A84D-D66B85DFD145}"/>
    <cellStyle name="40% - Accent3 2 5 3" xfId="6495" xr:uid="{00000000-0005-0000-0000-0000E90C0000}"/>
    <cellStyle name="40% - Accent3 2 5 3 2" xfId="6496" xr:uid="{00000000-0005-0000-0000-0000EA0C0000}"/>
    <cellStyle name="40% - Accent3 2 5 3 2 2" xfId="6497" xr:uid="{00000000-0005-0000-0000-0000EB0C0000}"/>
    <cellStyle name="40% - Accent3 2 5 3 2 2 2" xfId="24124" xr:uid="{01DF6271-BD70-4238-BF6D-59509AEFC656}"/>
    <cellStyle name="40% - Accent3 2 5 3 2 2 2 2" xfId="39095" xr:uid="{7264E324-5F97-462A-94CD-D14D33192A44}"/>
    <cellStyle name="40% - Accent3 2 5 3 2 2 3" xfId="31492" xr:uid="{3DEC69A7-09CC-4252-BA70-C31FC4F48661}"/>
    <cellStyle name="40% - Accent3 2 5 3 2 3" xfId="6498" xr:uid="{00000000-0005-0000-0000-0000EC0C0000}"/>
    <cellStyle name="40% - Accent3 2 5 3 2 3 2" xfId="24125" xr:uid="{E78BAA2E-7102-47DA-844E-F49CF34D69AF}"/>
    <cellStyle name="40% - Accent3 2 5 3 2 3 2 2" xfId="39096" xr:uid="{FBDD5718-8CA4-492C-A373-A19A8D1E4B22}"/>
    <cellStyle name="40% - Accent3 2 5 3 2 3 3" xfId="31493" xr:uid="{B67498C2-2199-476B-AB89-EECA1EF6E954}"/>
    <cellStyle name="40% - Accent3 2 5 3 2 4" xfId="24123" xr:uid="{5636F609-37EC-48D7-884C-13D24DBE9D07}"/>
    <cellStyle name="40% - Accent3 2 5 3 2 4 2" xfId="39094" xr:uid="{903D78F0-95DE-473C-B6D2-687A3E2E44EF}"/>
    <cellStyle name="40% - Accent3 2 5 3 2 5" xfId="31491" xr:uid="{860E1136-36A8-4CFA-9DA8-C55A1C49F403}"/>
    <cellStyle name="40% - Accent3 2 5 3 3" xfId="6499" xr:uid="{00000000-0005-0000-0000-0000ED0C0000}"/>
    <cellStyle name="40% - Accent3 2 5 3 3 2" xfId="6500" xr:uid="{00000000-0005-0000-0000-0000EE0C0000}"/>
    <cellStyle name="40% - Accent3 2 5 3 3 2 2" xfId="24127" xr:uid="{B0C6787C-92F7-45E5-9ED6-4874E0E1605B}"/>
    <cellStyle name="40% - Accent3 2 5 3 3 2 2 2" xfId="39098" xr:uid="{19968D5C-629D-43FD-96DD-B4F96C8F4987}"/>
    <cellStyle name="40% - Accent3 2 5 3 3 2 3" xfId="31495" xr:uid="{E5FAA834-701E-405D-BDD9-32224546F915}"/>
    <cellStyle name="40% - Accent3 2 5 3 3 3" xfId="24126" xr:uid="{B091570D-A7F0-44D8-A378-7BE4FDE69881}"/>
    <cellStyle name="40% - Accent3 2 5 3 3 3 2" xfId="39097" xr:uid="{A5986BEF-C289-4D51-B7FD-9173BDB80644}"/>
    <cellStyle name="40% - Accent3 2 5 3 3 4" xfId="31494" xr:uid="{BE2F1B10-4F52-46D0-948E-9D13F85FD3AA}"/>
    <cellStyle name="40% - Accent3 2 5 3 4" xfId="6501" xr:uid="{00000000-0005-0000-0000-0000EF0C0000}"/>
    <cellStyle name="40% - Accent3 2 5 3 4 2" xfId="24128" xr:uid="{FFFCEE47-23EA-4ADF-B31D-A91C542677F4}"/>
    <cellStyle name="40% - Accent3 2 5 3 4 2 2" xfId="39099" xr:uid="{B1C47FE4-631F-4DA0-BC59-402A5DA2D461}"/>
    <cellStyle name="40% - Accent3 2 5 3 4 3" xfId="31496" xr:uid="{11B962F2-99D9-4397-898B-553CB49BD8EC}"/>
    <cellStyle name="40% - Accent3 2 5 3 5" xfId="24122" xr:uid="{D5C16AC4-25DD-4483-AB80-14737040B072}"/>
    <cellStyle name="40% - Accent3 2 5 3 5 2" xfId="39093" xr:uid="{5FE7473C-7BE2-4EFC-8B6A-38CA5399B5D9}"/>
    <cellStyle name="40% - Accent3 2 5 3 6" xfId="31490" xr:uid="{504598BE-12BE-495B-B891-2192491B19F6}"/>
    <cellStyle name="40% - Accent3 2 5 4" xfId="6502" xr:uid="{00000000-0005-0000-0000-0000F00C0000}"/>
    <cellStyle name="40% - Accent3 2 5 4 2" xfId="6503" xr:uid="{00000000-0005-0000-0000-0000F10C0000}"/>
    <cellStyle name="40% - Accent3 2 5 4 2 2" xfId="6504" xr:uid="{00000000-0005-0000-0000-0000F20C0000}"/>
    <cellStyle name="40% - Accent3 2 5 4 2 2 2" xfId="24131" xr:uid="{231CC53E-E1DF-4D01-9699-7C936E29A4E8}"/>
    <cellStyle name="40% - Accent3 2 5 4 2 2 2 2" xfId="39102" xr:uid="{AF72B28D-49AE-4305-9FF9-6BDFC1E94B42}"/>
    <cellStyle name="40% - Accent3 2 5 4 2 2 3" xfId="31499" xr:uid="{ECFAD158-4AFE-4FA2-8A5E-6F51CDA9F75C}"/>
    <cellStyle name="40% - Accent3 2 5 4 2 3" xfId="6505" xr:uid="{00000000-0005-0000-0000-0000F30C0000}"/>
    <cellStyle name="40% - Accent3 2 5 4 2 3 2" xfId="24132" xr:uid="{24186051-41E7-441D-832D-621CA4A5C9EC}"/>
    <cellStyle name="40% - Accent3 2 5 4 2 3 2 2" xfId="39103" xr:uid="{67E3AD2D-6C91-49F6-A53A-0B629F0F9C0C}"/>
    <cellStyle name="40% - Accent3 2 5 4 2 3 3" xfId="31500" xr:uid="{56D5F533-194E-4E89-9FB9-407B985F387B}"/>
    <cellStyle name="40% - Accent3 2 5 4 2 4" xfId="24130" xr:uid="{52965DCF-66D9-4E1B-81FB-7BAC93B87BDD}"/>
    <cellStyle name="40% - Accent3 2 5 4 2 4 2" xfId="39101" xr:uid="{6BC18A7E-6F53-42E9-A4E2-84F6ECB1D9E8}"/>
    <cellStyle name="40% - Accent3 2 5 4 2 5" xfId="31498" xr:uid="{38C1939D-3E83-41BE-AAC1-8752B7027FA7}"/>
    <cellStyle name="40% - Accent3 2 5 4 3" xfId="6506" xr:uid="{00000000-0005-0000-0000-0000F40C0000}"/>
    <cellStyle name="40% - Accent3 2 5 4 3 2" xfId="6507" xr:uid="{00000000-0005-0000-0000-0000F50C0000}"/>
    <cellStyle name="40% - Accent3 2 5 4 3 2 2" xfId="24134" xr:uid="{5E45AAA3-0740-4BCD-95A6-DB69E65C9FDA}"/>
    <cellStyle name="40% - Accent3 2 5 4 3 2 2 2" xfId="39105" xr:uid="{F8ACE047-C252-402B-B821-91E86EC16A13}"/>
    <cellStyle name="40% - Accent3 2 5 4 3 2 3" xfId="31502" xr:uid="{8CD78C46-36C2-434B-B42A-07BC0B9FFE87}"/>
    <cellStyle name="40% - Accent3 2 5 4 3 3" xfId="24133" xr:uid="{4454361D-3896-4009-BDE6-1B75D3AF85E5}"/>
    <cellStyle name="40% - Accent3 2 5 4 3 3 2" xfId="39104" xr:uid="{A5970E46-4E80-4C6C-A4ED-9ADBACE315C3}"/>
    <cellStyle name="40% - Accent3 2 5 4 3 4" xfId="31501" xr:uid="{07BC5883-154B-4C55-933F-ED2E39A2B3B5}"/>
    <cellStyle name="40% - Accent3 2 5 4 4" xfId="6508" xr:uid="{00000000-0005-0000-0000-0000F60C0000}"/>
    <cellStyle name="40% - Accent3 2 5 4 4 2" xfId="24135" xr:uid="{D60D15C5-5026-4EDE-8B3B-5A657A246AD4}"/>
    <cellStyle name="40% - Accent3 2 5 4 4 2 2" xfId="39106" xr:uid="{4EB0EFB3-08F1-44A4-BC2F-24EEBBB1FFC2}"/>
    <cellStyle name="40% - Accent3 2 5 4 4 3" xfId="31503" xr:uid="{027A048F-2A94-495E-B230-95DC96D5C094}"/>
    <cellStyle name="40% - Accent3 2 5 4 5" xfId="24129" xr:uid="{28E08A92-4418-4514-95EE-A9950B6ECE3E}"/>
    <cellStyle name="40% - Accent3 2 5 4 5 2" xfId="39100" xr:uid="{0288EBA2-11A9-496F-9F93-B07D5E3CBF75}"/>
    <cellStyle name="40% - Accent3 2 5 4 6" xfId="31497" xr:uid="{CD5A5C37-90FB-425D-A1C4-AC549972E81C}"/>
    <cellStyle name="40% - Accent3 2 5 5" xfId="6509" xr:uid="{00000000-0005-0000-0000-0000F70C0000}"/>
    <cellStyle name="40% - Accent3 2 5 5 2" xfId="6510" xr:uid="{00000000-0005-0000-0000-0000F80C0000}"/>
    <cellStyle name="40% - Accent3 2 5 5 2 2" xfId="24137" xr:uid="{C4A60AEB-19E2-42BB-BF02-3645FF7D86CA}"/>
    <cellStyle name="40% - Accent3 2 5 5 2 2 2" xfId="39108" xr:uid="{79EC8EC2-8CCE-460E-B25D-011AB3C4B96B}"/>
    <cellStyle name="40% - Accent3 2 5 5 2 3" xfId="31505" xr:uid="{AE824245-D7C6-40D3-8D88-B3A810A0C047}"/>
    <cellStyle name="40% - Accent3 2 5 5 3" xfId="6511" xr:uid="{00000000-0005-0000-0000-0000F90C0000}"/>
    <cellStyle name="40% - Accent3 2 5 5 3 2" xfId="24138" xr:uid="{CA0CE396-9673-4A34-A8A2-E9D46F291123}"/>
    <cellStyle name="40% - Accent3 2 5 5 3 2 2" xfId="39109" xr:uid="{488B38C4-AEEA-41EA-BEEF-C4695A14EED4}"/>
    <cellStyle name="40% - Accent3 2 5 5 3 3" xfId="31506" xr:uid="{9F165E9C-E8E7-49B1-8D70-267E9D8D2D8A}"/>
    <cellStyle name="40% - Accent3 2 5 5 4" xfId="24136" xr:uid="{2BEC2B4D-E35E-47E2-BE6F-789E19DD78D8}"/>
    <cellStyle name="40% - Accent3 2 5 5 4 2" xfId="39107" xr:uid="{B7F942CD-B03C-48AD-86CD-835B7CAAAEF1}"/>
    <cellStyle name="40% - Accent3 2 5 5 5" xfId="31504" xr:uid="{A70EC81A-2875-454E-89E5-1304E9A0DB95}"/>
    <cellStyle name="40% - Accent3 2 5 6" xfId="6512" xr:uid="{00000000-0005-0000-0000-0000FA0C0000}"/>
    <cellStyle name="40% - Accent3 2 5 6 2" xfId="24139" xr:uid="{AAE2A1B5-5FA5-43FF-B6C9-36BF0C63481C}"/>
    <cellStyle name="40% - Accent3 2 5 6 2 2" xfId="39110" xr:uid="{41ED4391-1B5F-4F06-AE92-29B80CF33DF4}"/>
    <cellStyle name="40% - Accent3 2 5 6 3" xfId="31507" xr:uid="{0A34D451-0139-4154-BFE3-A43A0014EE18}"/>
    <cellStyle name="40% - Accent3 2 5 7" xfId="6513" xr:uid="{00000000-0005-0000-0000-0000FB0C0000}"/>
    <cellStyle name="40% - Accent3 2 5 7 2" xfId="6514" xr:uid="{00000000-0005-0000-0000-0000FC0C0000}"/>
    <cellStyle name="40% - Accent3 2 5 7 2 2" xfId="24141" xr:uid="{5553088B-6D57-417C-B1C2-CFE7F204E53E}"/>
    <cellStyle name="40% - Accent3 2 5 7 2 2 2" xfId="39112" xr:uid="{3534046F-52A6-4852-A251-EB053D41BF65}"/>
    <cellStyle name="40% - Accent3 2 5 7 2 3" xfId="31509" xr:uid="{5CD2B1F2-573A-4C3D-A723-2BF2E09D3874}"/>
    <cellStyle name="40% - Accent3 2 5 7 3" xfId="24140" xr:uid="{2559690D-A9E8-4364-BA90-E3CB485A08F5}"/>
    <cellStyle name="40% - Accent3 2 5 7 3 2" xfId="39111" xr:uid="{31B24B7C-0DB3-4DDA-B80A-C88F696743EE}"/>
    <cellStyle name="40% - Accent3 2 5 7 4" xfId="31508" xr:uid="{470CE454-7680-40FF-A166-518757B7BC33}"/>
    <cellStyle name="40% - Accent3 2 5 8" xfId="6515" xr:uid="{00000000-0005-0000-0000-0000FD0C0000}"/>
    <cellStyle name="40% - Accent3 2 5 8 2" xfId="24142" xr:uid="{409C8702-F72E-4848-8699-5644123E45AD}"/>
    <cellStyle name="40% - Accent3 2 5 8 2 2" xfId="39113" xr:uid="{D1804B66-E18E-43A4-856C-BFE6DAAA863E}"/>
    <cellStyle name="40% - Accent3 2 5 8 3" xfId="31510" xr:uid="{C64A932F-EAAC-4BA6-8E24-9DB614E1B3B3}"/>
    <cellStyle name="40% - Accent3 2 5 9" xfId="24099" xr:uid="{D22789D3-AD84-4CD1-A5C1-8CFEBC7B8702}"/>
    <cellStyle name="40% - Accent3 2 5 9 2" xfId="39070" xr:uid="{B761FF28-657A-4010-8E6A-515D41C64F90}"/>
    <cellStyle name="40% - Accent3 2 6" xfId="6516" xr:uid="{00000000-0005-0000-0000-0000FE0C0000}"/>
    <cellStyle name="40% - Accent3 2 6 10" xfId="31511" xr:uid="{F32667E9-7711-4016-B451-6234D384BB1F}"/>
    <cellStyle name="40% - Accent3 2 6 2" xfId="6517" xr:uid="{00000000-0005-0000-0000-0000FF0C0000}"/>
    <cellStyle name="40% - Accent3 2 6 2 2" xfId="6518" xr:uid="{00000000-0005-0000-0000-0000000D0000}"/>
    <cellStyle name="40% - Accent3 2 6 2 2 2" xfId="6519" xr:uid="{00000000-0005-0000-0000-0000010D0000}"/>
    <cellStyle name="40% - Accent3 2 6 2 2 2 2" xfId="6520" xr:uid="{00000000-0005-0000-0000-0000020D0000}"/>
    <cellStyle name="40% - Accent3 2 6 2 2 2 2 2" xfId="24147" xr:uid="{A1FC1745-3BBB-48C7-8FCF-7591AE10B8DD}"/>
    <cellStyle name="40% - Accent3 2 6 2 2 2 2 2 2" xfId="39118" xr:uid="{6FA510B8-E826-43C0-B18C-BABC1CF08EB3}"/>
    <cellStyle name="40% - Accent3 2 6 2 2 2 2 3" xfId="31515" xr:uid="{1AB4ED69-3BCB-4C62-8B46-5CEBEA69AF5B}"/>
    <cellStyle name="40% - Accent3 2 6 2 2 2 3" xfId="6521" xr:uid="{00000000-0005-0000-0000-0000030D0000}"/>
    <cellStyle name="40% - Accent3 2 6 2 2 2 3 2" xfId="24148" xr:uid="{22AED3A4-796C-4F9D-8CBD-DAFC1E70EB8D}"/>
    <cellStyle name="40% - Accent3 2 6 2 2 2 3 2 2" xfId="39119" xr:uid="{F4C3E128-832C-4FB7-88BA-409D7D8396E7}"/>
    <cellStyle name="40% - Accent3 2 6 2 2 2 3 3" xfId="31516" xr:uid="{CA40DB30-F0BB-467C-B7DD-A80A47831780}"/>
    <cellStyle name="40% - Accent3 2 6 2 2 2 4" xfId="24146" xr:uid="{C0950056-40C2-4F99-ABBE-8F8D8E11F030}"/>
    <cellStyle name="40% - Accent3 2 6 2 2 2 4 2" xfId="39117" xr:uid="{7757FBF7-1FD0-4C23-90B3-81B1CCA028E0}"/>
    <cellStyle name="40% - Accent3 2 6 2 2 2 5" xfId="31514" xr:uid="{6C5B1391-6290-483F-A5A2-1A8E0A96A1D7}"/>
    <cellStyle name="40% - Accent3 2 6 2 2 3" xfId="6522" xr:uid="{00000000-0005-0000-0000-0000040D0000}"/>
    <cellStyle name="40% - Accent3 2 6 2 2 3 2" xfId="6523" xr:uid="{00000000-0005-0000-0000-0000050D0000}"/>
    <cellStyle name="40% - Accent3 2 6 2 2 3 2 2" xfId="24150" xr:uid="{2C553DF5-F15A-4B15-842B-2807BA264902}"/>
    <cellStyle name="40% - Accent3 2 6 2 2 3 2 2 2" xfId="39121" xr:uid="{C0644DEC-3443-4FA0-8E6D-9C345BE32D64}"/>
    <cellStyle name="40% - Accent3 2 6 2 2 3 2 3" xfId="31518" xr:uid="{E1C2A620-42B6-4FE6-90FC-388646B22990}"/>
    <cellStyle name="40% - Accent3 2 6 2 2 3 3" xfId="24149" xr:uid="{20FB9A87-82A6-41BE-A532-B17E6934DC24}"/>
    <cellStyle name="40% - Accent3 2 6 2 2 3 3 2" xfId="39120" xr:uid="{6099C6FB-F278-4145-B454-B99ACA105CA2}"/>
    <cellStyle name="40% - Accent3 2 6 2 2 3 4" xfId="31517" xr:uid="{8D127DCE-E022-4976-B04C-18C29CDB8E71}"/>
    <cellStyle name="40% - Accent3 2 6 2 2 4" xfId="6524" xr:uid="{00000000-0005-0000-0000-0000060D0000}"/>
    <cellStyle name="40% - Accent3 2 6 2 2 4 2" xfId="24151" xr:uid="{1C705B71-D55A-45B5-8D49-7AB2B031BB44}"/>
    <cellStyle name="40% - Accent3 2 6 2 2 4 2 2" xfId="39122" xr:uid="{20B9703D-9BDB-46D7-8D41-54129BB54711}"/>
    <cellStyle name="40% - Accent3 2 6 2 2 4 3" xfId="31519" xr:uid="{74D3379E-48B0-4506-B9D1-B052D571E75F}"/>
    <cellStyle name="40% - Accent3 2 6 2 2 5" xfId="24145" xr:uid="{795AEBEA-DA69-49BC-BBFD-1E2D18B34A77}"/>
    <cellStyle name="40% - Accent3 2 6 2 2 5 2" xfId="39116" xr:uid="{07CA722D-9482-47C0-92C4-C4407E7C066D}"/>
    <cellStyle name="40% - Accent3 2 6 2 2 6" xfId="31513" xr:uid="{FDC174FB-429C-47C9-B100-B9B4D54610FE}"/>
    <cellStyle name="40% - Accent3 2 6 2 3" xfId="6525" xr:uid="{00000000-0005-0000-0000-0000070D0000}"/>
    <cellStyle name="40% - Accent3 2 6 2 3 2" xfId="6526" xr:uid="{00000000-0005-0000-0000-0000080D0000}"/>
    <cellStyle name="40% - Accent3 2 6 2 3 2 2" xfId="6527" xr:uid="{00000000-0005-0000-0000-0000090D0000}"/>
    <cellStyle name="40% - Accent3 2 6 2 3 2 2 2" xfId="24154" xr:uid="{78EE54AB-733B-423F-977E-D3A06B19422D}"/>
    <cellStyle name="40% - Accent3 2 6 2 3 2 2 2 2" xfId="39125" xr:uid="{3ACDA310-C6D2-4A3B-95A6-419EA9ED85C3}"/>
    <cellStyle name="40% - Accent3 2 6 2 3 2 2 3" xfId="31522" xr:uid="{663EC165-0D77-4E7F-A971-1547D3008694}"/>
    <cellStyle name="40% - Accent3 2 6 2 3 2 3" xfId="6528" xr:uid="{00000000-0005-0000-0000-00000A0D0000}"/>
    <cellStyle name="40% - Accent3 2 6 2 3 2 3 2" xfId="24155" xr:uid="{FB686CA5-9FF5-4F92-8492-97753DF326B6}"/>
    <cellStyle name="40% - Accent3 2 6 2 3 2 3 2 2" xfId="39126" xr:uid="{351D6F97-EC76-43A7-92CE-13636F700AF3}"/>
    <cellStyle name="40% - Accent3 2 6 2 3 2 3 3" xfId="31523" xr:uid="{58D033C5-7BAB-4214-8BE6-D59713291987}"/>
    <cellStyle name="40% - Accent3 2 6 2 3 2 4" xfId="24153" xr:uid="{EF554FEF-AF92-490D-8FB9-C2430A4D33B2}"/>
    <cellStyle name="40% - Accent3 2 6 2 3 2 4 2" xfId="39124" xr:uid="{82B0469A-8D4F-419F-BE11-40EBE66C669A}"/>
    <cellStyle name="40% - Accent3 2 6 2 3 2 5" xfId="31521" xr:uid="{CBD2D274-B77A-44DA-8218-290A81D47A08}"/>
    <cellStyle name="40% - Accent3 2 6 2 3 3" xfId="6529" xr:uid="{00000000-0005-0000-0000-00000B0D0000}"/>
    <cellStyle name="40% - Accent3 2 6 2 3 3 2" xfId="6530" xr:uid="{00000000-0005-0000-0000-00000C0D0000}"/>
    <cellStyle name="40% - Accent3 2 6 2 3 3 2 2" xfId="24157" xr:uid="{3FA73DF1-D77C-4D5C-B263-1ACC1AFB6F7A}"/>
    <cellStyle name="40% - Accent3 2 6 2 3 3 2 2 2" xfId="39128" xr:uid="{D65FD24D-82B0-4B80-AC72-054C79C50C9D}"/>
    <cellStyle name="40% - Accent3 2 6 2 3 3 2 3" xfId="31525" xr:uid="{88877F12-6214-4E47-BC21-1B5BA8965B3D}"/>
    <cellStyle name="40% - Accent3 2 6 2 3 3 3" xfId="24156" xr:uid="{F0B28D35-2B26-4ED2-B25E-8F2E4D4A5747}"/>
    <cellStyle name="40% - Accent3 2 6 2 3 3 3 2" xfId="39127" xr:uid="{CF8EA2BA-C640-4BB4-85BE-77A1F272EBE7}"/>
    <cellStyle name="40% - Accent3 2 6 2 3 3 4" xfId="31524" xr:uid="{86A78EAD-4AAD-4C3B-B7F7-59BC70BF20BC}"/>
    <cellStyle name="40% - Accent3 2 6 2 3 4" xfId="6531" xr:uid="{00000000-0005-0000-0000-00000D0D0000}"/>
    <cellStyle name="40% - Accent3 2 6 2 3 4 2" xfId="24158" xr:uid="{6656BDD5-94BE-4D38-960E-359712DBE486}"/>
    <cellStyle name="40% - Accent3 2 6 2 3 4 2 2" xfId="39129" xr:uid="{01BD518B-4991-4383-BE8E-5EDECA559272}"/>
    <cellStyle name="40% - Accent3 2 6 2 3 4 3" xfId="31526" xr:uid="{5AFADA24-F677-4210-BE2E-11AB07F0A982}"/>
    <cellStyle name="40% - Accent3 2 6 2 3 5" xfId="24152" xr:uid="{9E7BDAE2-3576-40B7-842C-1112C2F1312A}"/>
    <cellStyle name="40% - Accent3 2 6 2 3 5 2" xfId="39123" xr:uid="{CF054509-0A53-42D4-9198-FF18BD234AED}"/>
    <cellStyle name="40% - Accent3 2 6 2 3 6" xfId="31520" xr:uid="{E3EB409B-732F-448F-BC59-4D3CCD5FD6F5}"/>
    <cellStyle name="40% - Accent3 2 6 2 4" xfId="6532" xr:uid="{00000000-0005-0000-0000-00000E0D0000}"/>
    <cellStyle name="40% - Accent3 2 6 2 4 2" xfId="6533" xr:uid="{00000000-0005-0000-0000-00000F0D0000}"/>
    <cellStyle name="40% - Accent3 2 6 2 4 2 2" xfId="24160" xr:uid="{7008E07D-68AA-4D5F-B195-6CB67F017885}"/>
    <cellStyle name="40% - Accent3 2 6 2 4 2 2 2" xfId="39131" xr:uid="{7D8FE9A5-B1BE-4462-BBC3-5D15A9F59261}"/>
    <cellStyle name="40% - Accent3 2 6 2 4 2 3" xfId="31528" xr:uid="{A50F3FE7-FE44-4F54-914C-E576527E0299}"/>
    <cellStyle name="40% - Accent3 2 6 2 4 3" xfId="6534" xr:uid="{00000000-0005-0000-0000-0000100D0000}"/>
    <cellStyle name="40% - Accent3 2 6 2 4 3 2" xfId="24161" xr:uid="{7D0F5DB7-4446-4494-BCDC-EB794F5C3A8B}"/>
    <cellStyle name="40% - Accent3 2 6 2 4 3 2 2" xfId="39132" xr:uid="{FC4EB8E7-CAAA-4D31-BD46-24D6C5E053B1}"/>
    <cellStyle name="40% - Accent3 2 6 2 4 3 3" xfId="31529" xr:uid="{C4ECA3B9-9292-47B0-BCFD-206F66794F67}"/>
    <cellStyle name="40% - Accent3 2 6 2 4 4" xfId="24159" xr:uid="{932B529D-BE91-46B1-9145-F9905F517CA8}"/>
    <cellStyle name="40% - Accent3 2 6 2 4 4 2" xfId="39130" xr:uid="{BD786294-466A-45F1-AD44-408EBC5C7AA1}"/>
    <cellStyle name="40% - Accent3 2 6 2 4 5" xfId="31527" xr:uid="{FEAD4ECB-6D88-438B-B2B3-8911334DEC80}"/>
    <cellStyle name="40% - Accent3 2 6 2 5" xfId="6535" xr:uid="{00000000-0005-0000-0000-0000110D0000}"/>
    <cellStyle name="40% - Accent3 2 6 2 5 2" xfId="24162" xr:uid="{D2C09D35-FDE1-4D51-BBA1-7CB3305D5346}"/>
    <cellStyle name="40% - Accent3 2 6 2 5 2 2" xfId="39133" xr:uid="{B55467BC-0E7D-45F6-B658-4019E7359ACA}"/>
    <cellStyle name="40% - Accent3 2 6 2 5 3" xfId="31530" xr:uid="{1571B567-628E-4C92-928A-7BFC859CAC57}"/>
    <cellStyle name="40% - Accent3 2 6 2 6" xfId="6536" xr:uid="{00000000-0005-0000-0000-0000120D0000}"/>
    <cellStyle name="40% - Accent3 2 6 2 6 2" xfId="6537" xr:uid="{00000000-0005-0000-0000-0000130D0000}"/>
    <cellStyle name="40% - Accent3 2 6 2 6 2 2" xfId="24164" xr:uid="{2D3D5963-34F8-4AB1-9280-C7CCE5F25DD2}"/>
    <cellStyle name="40% - Accent3 2 6 2 6 2 2 2" xfId="39135" xr:uid="{116D847E-B508-4850-8A7A-3E6C49141F06}"/>
    <cellStyle name="40% - Accent3 2 6 2 6 2 3" xfId="31532" xr:uid="{F40418EF-EBE3-41BA-8871-411241E3320C}"/>
    <cellStyle name="40% - Accent3 2 6 2 6 3" xfId="24163" xr:uid="{93A30145-22CA-4E7B-9C12-08C2422C4333}"/>
    <cellStyle name="40% - Accent3 2 6 2 6 3 2" xfId="39134" xr:uid="{13A5ED66-1DB5-44B3-8CB9-34F3756A6EA4}"/>
    <cellStyle name="40% - Accent3 2 6 2 6 4" xfId="31531" xr:uid="{CC3D51FC-61D4-4158-81D6-F97EC3B61A47}"/>
    <cellStyle name="40% - Accent3 2 6 2 7" xfId="6538" xr:uid="{00000000-0005-0000-0000-0000140D0000}"/>
    <cellStyle name="40% - Accent3 2 6 2 7 2" xfId="24165" xr:uid="{F56EABDE-69F2-4F20-A9A1-82A6BFCC8DB2}"/>
    <cellStyle name="40% - Accent3 2 6 2 7 2 2" xfId="39136" xr:uid="{4ADBF1BA-311F-4CE3-8850-8B52B2493632}"/>
    <cellStyle name="40% - Accent3 2 6 2 7 3" xfId="31533" xr:uid="{A5544755-188A-4AEF-A633-9B6A736E5DAF}"/>
    <cellStyle name="40% - Accent3 2 6 2 8" xfId="24144" xr:uid="{6A5957C0-6485-4580-A7C3-C39C68E5B003}"/>
    <cellStyle name="40% - Accent3 2 6 2 8 2" xfId="39115" xr:uid="{AAFB7BEB-7F2C-4D27-A97B-E54C6ED816CE}"/>
    <cellStyle name="40% - Accent3 2 6 2 9" xfId="31512" xr:uid="{0E2BB6CF-79C8-4F2F-A1D3-D17A30B47B2D}"/>
    <cellStyle name="40% - Accent3 2 6 3" xfId="6539" xr:uid="{00000000-0005-0000-0000-0000150D0000}"/>
    <cellStyle name="40% - Accent3 2 6 3 2" xfId="6540" xr:uid="{00000000-0005-0000-0000-0000160D0000}"/>
    <cellStyle name="40% - Accent3 2 6 3 2 2" xfId="6541" xr:uid="{00000000-0005-0000-0000-0000170D0000}"/>
    <cellStyle name="40% - Accent3 2 6 3 2 2 2" xfId="24168" xr:uid="{A0592278-646B-4A82-B0BF-859B3CA48685}"/>
    <cellStyle name="40% - Accent3 2 6 3 2 2 2 2" xfId="39139" xr:uid="{94DAEE68-B8F0-4258-A86E-82DFB7349859}"/>
    <cellStyle name="40% - Accent3 2 6 3 2 2 3" xfId="31536" xr:uid="{DF0129D7-EAD9-4412-8B32-AFAC7C6F7B40}"/>
    <cellStyle name="40% - Accent3 2 6 3 2 3" xfId="6542" xr:uid="{00000000-0005-0000-0000-0000180D0000}"/>
    <cellStyle name="40% - Accent3 2 6 3 2 3 2" xfId="24169" xr:uid="{A188E39F-5225-444C-A58A-2C021804CFA2}"/>
    <cellStyle name="40% - Accent3 2 6 3 2 3 2 2" xfId="39140" xr:uid="{A9DECE80-EDD3-4CF3-B0D6-F81466B08438}"/>
    <cellStyle name="40% - Accent3 2 6 3 2 3 3" xfId="31537" xr:uid="{7BB494D1-11E7-4183-B768-950EB5A0B8CE}"/>
    <cellStyle name="40% - Accent3 2 6 3 2 4" xfId="24167" xr:uid="{3A3924F1-464A-4450-B6E4-6654D6D0A388}"/>
    <cellStyle name="40% - Accent3 2 6 3 2 4 2" xfId="39138" xr:uid="{7DA967D3-4FDB-455F-972A-D173A4DF7C3C}"/>
    <cellStyle name="40% - Accent3 2 6 3 2 5" xfId="31535" xr:uid="{DE1F0E0A-11F9-49FA-9805-1AA85C6E3BF2}"/>
    <cellStyle name="40% - Accent3 2 6 3 3" xfId="6543" xr:uid="{00000000-0005-0000-0000-0000190D0000}"/>
    <cellStyle name="40% - Accent3 2 6 3 3 2" xfId="6544" xr:uid="{00000000-0005-0000-0000-00001A0D0000}"/>
    <cellStyle name="40% - Accent3 2 6 3 3 2 2" xfId="24171" xr:uid="{07E77576-B70D-4CBE-A220-C3620D4C3AC9}"/>
    <cellStyle name="40% - Accent3 2 6 3 3 2 2 2" xfId="39142" xr:uid="{838939F9-7726-4EE4-AC7F-5ED8B0C3736D}"/>
    <cellStyle name="40% - Accent3 2 6 3 3 2 3" xfId="31539" xr:uid="{E6C324FD-772D-4B46-A8EC-3E045D9B36C6}"/>
    <cellStyle name="40% - Accent3 2 6 3 3 3" xfId="24170" xr:uid="{E42CB3E8-E15B-46E8-A625-0E2F6551C2AD}"/>
    <cellStyle name="40% - Accent3 2 6 3 3 3 2" xfId="39141" xr:uid="{A509CC90-442A-413B-B58D-CD517989BC16}"/>
    <cellStyle name="40% - Accent3 2 6 3 3 4" xfId="31538" xr:uid="{FC978DAA-08A1-46D3-B256-ED3AD7E9944D}"/>
    <cellStyle name="40% - Accent3 2 6 3 4" xfId="6545" xr:uid="{00000000-0005-0000-0000-00001B0D0000}"/>
    <cellStyle name="40% - Accent3 2 6 3 4 2" xfId="24172" xr:uid="{452B3274-9FFB-43A4-AF14-66E347098601}"/>
    <cellStyle name="40% - Accent3 2 6 3 4 2 2" xfId="39143" xr:uid="{56B80CF7-633D-4576-BE65-2A449C860428}"/>
    <cellStyle name="40% - Accent3 2 6 3 4 3" xfId="31540" xr:uid="{6423EE0B-FDEB-4FEB-A7D9-725AE1ED32A4}"/>
    <cellStyle name="40% - Accent3 2 6 3 5" xfId="24166" xr:uid="{34A28378-6043-4214-B60D-B907C3233BA7}"/>
    <cellStyle name="40% - Accent3 2 6 3 5 2" xfId="39137" xr:uid="{035B113F-1E42-46FD-AA11-F7B763E452E2}"/>
    <cellStyle name="40% - Accent3 2 6 3 6" xfId="31534" xr:uid="{7242841C-BCB6-4994-9289-A5D64DDF3297}"/>
    <cellStyle name="40% - Accent3 2 6 4" xfId="6546" xr:uid="{00000000-0005-0000-0000-00001C0D0000}"/>
    <cellStyle name="40% - Accent3 2 6 4 2" xfId="6547" xr:uid="{00000000-0005-0000-0000-00001D0D0000}"/>
    <cellStyle name="40% - Accent3 2 6 4 2 2" xfId="6548" xr:uid="{00000000-0005-0000-0000-00001E0D0000}"/>
    <cellStyle name="40% - Accent3 2 6 4 2 2 2" xfId="24175" xr:uid="{EBCCBAD9-954D-434C-B446-AB798F7BB001}"/>
    <cellStyle name="40% - Accent3 2 6 4 2 2 2 2" xfId="39146" xr:uid="{56D17150-391A-40B1-9424-738BB7738B83}"/>
    <cellStyle name="40% - Accent3 2 6 4 2 2 3" xfId="31543" xr:uid="{97F683E1-C3AD-45BB-9AF5-687F3860E8F9}"/>
    <cellStyle name="40% - Accent3 2 6 4 2 3" xfId="6549" xr:uid="{00000000-0005-0000-0000-00001F0D0000}"/>
    <cellStyle name="40% - Accent3 2 6 4 2 3 2" xfId="24176" xr:uid="{F8705706-846C-4A48-A154-EBFA7FA9466E}"/>
    <cellStyle name="40% - Accent3 2 6 4 2 3 2 2" xfId="39147" xr:uid="{DAEE7203-3A83-4CC1-9711-8E022488FEBC}"/>
    <cellStyle name="40% - Accent3 2 6 4 2 3 3" xfId="31544" xr:uid="{CB89CAA7-15AC-41F5-A262-B6E050F9A614}"/>
    <cellStyle name="40% - Accent3 2 6 4 2 4" xfId="24174" xr:uid="{3E1964DD-99C7-4BA3-8179-ABA7A7DDA480}"/>
    <cellStyle name="40% - Accent3 2 6 4 2 4 2" xfId="39145" xr:uid="{C4254C98-15E2-49E3-B405-1A967A7FD36C}"/>
    <cellStyle name="40% - Accent3 2 6 4 2 5" xfId="31542" xr:uid="{88A4626F-3CED-4AAF-A9CE-C31A7DBD5978}"/>
    <cellStyle name="40% - Accent3 2 6 4 3" xfId="6550" xr:uid="{00000000-0005-0000-0000-0000200D0000}"/>
    <cellStyle name="40% - Accent3 2 6 4 3 2" xfId="6551" xr:uid="{00000000-0005-0000-0000-0000210D0000}"/>
    <cellStyle name="40% - Accent3 2 6 4 3 2 2" xfId="24178" xr:uid="{61102DBA-B5C4-4AFF-90BA-79A6FF8C3E43}"/>
    <cellStyle name="40% - Accent3 2 6 4 3 2 2 2" xfId="39149" xr:uid="{8F1BF9D6-E996-46A2-B265-CA12EB668D80}"/>
    <cellStyle name="40% - Accent3 2 6 4 3 2 3" xfId="31546" xr:uid="{AF857C99-81B0-4316-A0DA-FDB01BA0B506}"/>
    <cellStyle name="40% - Accent3 2 6 4 3 3" xfId="24177" xr:uid="{C89CEA1D-2056-4A26-8E18-45A05AD452BD}"/>
    <cellStyle name="40% - Accent3 2 6 4 3 3 2" xfId="39148" xr:uid="{60F13E00-7A23-432F-A961-C2E15DF80A5C}"/>
    <cellStyle name="40% - Accent3 2 6 4 3 4" xfId="31545" xr:uid="{21042E64-4AA7-4AEB-AADF-7929479C82DC}"/>
    <cellStyle name="40% - Accent3 2 6 4 4" xfId="6552" xr:uid="{00000000-0005-0000-0000-0000220D0000}"/>
    <cellStyle name="40% - Accent3 2 6 4 4 2" xfId="24179" xr:uid="{DB7EF837-A5B3-482B-B62F-C3CD27A06B88}"/>
    <cellStyle name="40% - Accent3 2 6 4 4 2 2" xfId="39150" xr:uid="{E08D72C4-A90F-475F-B0BF-B4A7543E09D2}"/>
    <cellStyle name="40% - Accent3 2 6 4 4 3" xfId="31547" xr:uid="{B4E4A65D-AE88-46AF-AE47-186DB87FAE61}"/>
    <cellStyle name="40% - Accent3 2 6 4 5" xfId="24173" xr:uid="{035FCC0E-3F45-457D-8F52-C1D96AD440AC}"/>
    <cellStyle name="40% - Accent3 2 6 4 5 2" xfId="39144" xr:uid="{8FF1DDA6-13EC-4835-9431-2AD7EA784118}"/>
    <cellStyle name="40% - Accent3 2 6 4 6" xfId="31541" xr:uid="{CD881B47-FFFC-4EFB-B5C0-D72F662A25DD}"/>
    <cellStyle name="40% - Accent3 2 6 5" xfId="6553" xr:uid="{00000000-0005-0000-0000-0000230D0000}"/>
    <cellStyle name="40% - Accent3 2 6 5 2" xfId="6554" xr:uid="{00000000-0005-0000-0000-0000240D0000}"/>
    <cellStyle name="40% - Accent3 2 6 5 2 2" xfId="24181" xr:uid="{27A843CD-334C-46BF-97FD-AA2F26B71699}"/>
    <cellStyle name="40% - Accent3 2 6 5 2 2 2" xfId="39152" xr:uid="{018A0429-B60F-4CD3-98E0-3A7042449B96}"/>
    <cellStyle name="40% - Accent3 2 6 5 2 3" xfId="31549" xr:uid="{E7226860-F7A7-4DD4-B424-10BFB311B1E2}"/>
    <cellStyle name="40% - Accent3 2 6 5 3" xfId="6555" xr:uid="{00000000-0005-0000-0000-0000250D0000}"/>
    <cellStyle name="40% - Accent3 2 6 5 3 2" xfId="24182" xr:uid="{93918241-315B-4D8A-A7D4-86D764AB4F16}"/>
    <cellStyle name="40% - Accent3 2 6 5 3 2 2" xfId="39153" xr:uid="{D2F559A2-2260-4218-BC40-77C8DA01F2DD}"/>
    <cellStyle name="40% - Accent3 2 6 5 3 3" xfId="31550" xr:uid="{4B14E4B6-0E4F-4440-AECF-2474C3366ECA}"/>
    <cellStyle name="40% - Accent3 2 6 5 4" xfId="24180" xr:uid="{FE91B43C-3ED9-471D-A162-AF69F175A886}"/>
    <cellStyle name="40% - Accent3 2 6 5 4 2" xfId="39151" xr:uid="{F4185404-8FD7-4B56-9733-B409A91A4A5F}"/>
    <cellStyle name="40% - Accent3 2 6 5 5" xfId="31548" xr:uid="{D270A66A-3CEB-4634-B08C-E56BA37F22E3}"/>
    <cellStyle name="40% - Accent3 2 6 6" xfId="6556" xr:uid="{00000000-0005-0000-0000-0000260D0000}"/>
    <cellStyle name="40% - Accent3 2 6 6 2" xfId="24183" xr:uid="{B7AA2E7B-E675-438D-99BE-0C13E74B6653}"/>
    <cellStyle name="40% - Accent3 2 6 6 2 2" xfId="39154" xr:uid="{37605578-AC9D-468E-809D-2E71ED7F7C9B}"/>
    <cellStyle name="40% - Accent3 2 6 6 3" xfId="31551" xr:uid="{84618248-1908-4554-B3FA-C0B88EF95FB9}"/>
    <cellStyle name="40% - Accent3 2 6 7" xfId="6557" xr:uid="{00000000-0005-0000-0000-0000270D0000}"/>
    <cellStyle name="40% - Accent3 2 6 7 2" xfId="6558" xr:uid="{00000000-0005-0000-0000-0000280D0000}"/>
    <cellStyle name="40% - Accent3 2 6 7 2 2" xfId="24185" xr:uid="{009ACCA9-0546-4A4D-8C9C-99758469C231}"/>
    <cellStyle name="40% - Accent3 2 6 7 2 2 2" xfId="39156" xr:uid="{E32C5234-9598-4581-B6A3-3CD38233B817}"/>
    <cellStyle name="40% - Accent3 2 6 7 2 3" xfId="31553" xr:uid="{0FE85C16-6266-4523-AB79-B5A40189AAE0}"/>
    <cellStyle name="40% - Accent3 2 6 7 3" xfId="24184" xr:uid="{39FAA90A-80E5-4AD0-BB68-F99D51BB3C82}"/>
    <cellStyle name="40% - Accent3 2 6 7 3 2" xfId="39155" xr:uid="{F7BCD1F9-6664-4C1A-9507-EF1908A91C17}"/>
    <cellStyle name="40% - Accent3 2 6 7 4" xfId="31552" xr:uid="{0E3BED0C-2D30-4F67-B474-571B30934A89}"/>
    <cellStyle name="40% - Accent3 2 6 8" xfId="6559" xr:uid="{00000000-0005-0000-0000-0000290D0000}"/>
    <cellStyle name="40% - Accent3 2 6 8 2" xfId="24186" xr:uid="{F69D40AC-0632-4ED7-8645-31DC9992891F}"/>
    <cellStyle name="40% - Accent3 2 6 8 2 2" xfId="39157" xr:uid="{85CB8A53-F300-4990-8468-E7FDF8DD36AC}"/>
    <cellStyle name="40% - Accent3 2 6 8 3" xfId="31554" xr:uid="{D07B067D-015F-482A-B645-33CBE3402925}"/>
    <cellStyle name="40% - Accent3 2 6 9" xfId="24143" xr:uid="{081CC62B-3465-4C04-9A1F-7AFB98389B0F}"/>
    <cellStyle name="40% - Accent3 2 6 9 2" xfId="39114" xr:uid="{102142B8-0D08-464D-B77F-3102492C49E0}"/>
    <cellStyle name="40% - Accent3 2 7" xfId="6560" xr:uid="{00000000-0005-0000-0000-00002A0D0000}"/>
    <cellStyle name="40% - Accent3 2 7 2" xfId="6561" xr:uid="{00000000-0005-0000-0000-00002B0D0000}"/>
    <cellStyle name="40% - Accent3 2 7 2 2" xfId="6562" xr:uid="{00000000-0005-0000-0000-00002C0D0000}"/>
    <cellStyle name="40% - Accent3 2 7 2 2 2" xfId="24189" xr:uid="{0F93E7F3-5613-4109-B5AB-EA4BE69A9563}"/>
    <cellStyle name="40% - Accent3 2 7 2 2 2 2" xfId="39160" xr:uid="{BE25ED9C-9EB2-4F52-BDA8-DE7B0113B72C}"/>
    <cellStyle name="40% - Accent3 2 7 2 2 3" xfId="31557" xr:uid="{39DF4CCC-C1DF-438F-AF4E-1FF049790AC5}"/>
    <cellStyle name="40% - Accent3 2 7 2 3" xfId="6563" xr:uid="{00000000-0005-0000-0000-00002D0D0000}"/>
    <cellStyle name="40% - Accent3 2 7 2 3 2" xfId="24190" xr:uid="{6CA53DF9-B6B1-4D88-A5D9-53298B6F438F}"/>
    <cellStyle name="40% - Accent3 2 7 2 3 2 2" xfId="39161" xr:uid="{FEEC620A-28C7-4CC9-B5CD-0E6FA603A516}"/>
    <cellStyle name="40% - Accent3 2 7 2 3 3" xfId="31558" xr:uid="{14FCA5D9-05EA-450D-A10E-580B33092AAE}"/>
    <cellStyle name="40% - Accent3 2 7 2 4" xfId="24188" xr:uid="{27411445-6E42-4CCD-BF43-933B363E2571}"/>
    <cellStyle name="40% - Accent3 2 7 2 4 2" xfId="39159" xr:uid="{EF714CA3-90AA-4BDF-9B46-DFC781B56F73}"/>
    <cellStyle name="40% - Accent3 2 7 2 5" xfId="31556" xr:uid="{325FDFC5-AF0F-40D0-95BE-61D34CE2CD5A}"/>
    <cellStyle name="40% - Accent3 2 7 3" xfId="6564" xr:uid="{00000000-0005-0000-0000-00002E0D0000}"/>
    <cellStyle name="40% - Accent3 2 7 3 2" xfId="6565" xr:uid="{00000000-0005-0000-0000-00002F0D0000}"/>
    <cellStyle name="40% - Accent3 2 7 3 2 2" xfId="24192" xr:uid="{70EDE74E-980C-4852-A318-3A92C2811752}"/>
    <cellStyle name="40% - Accent3 2 7 3 2 2 2" xfId="39163" xr:uid="{32E7FDDD-CC15-49D5-BD1A-D5F62DF4DB23}"/>
    <cellStyle name="40% - Accent3 2 7 3 2 3" xfId="31560" xr:uid="{F5D5EAB6-6C8F-49A7-AA8D-D9E2757E7E37}"/>
    <cellStyle name="40% - Accent3 2 7 3 3" xfId="24191" xr:uid="{4C51894C-DF29-413B-A37E-7473F49FE089}"/>
    <cellStyle name="40% - Accent3 2 7 3 3 2" xfId="39162" xr:uid="{22F2513C-88AA-4EBD-AC12-EA4559F3C393}"/>
    <cellStyle name="40% - Accent3 2 7 3 4" xfId="31559" xr:uid="{10830024-3522-4E45-A436-457EE66BB2E9}"/>
    <cellStyle name="40% - Accent3 2 7 4" xfId="6566" xr:uid="{00000000-0005-0000-0000-0000300D0000}"/>
    <cellStyle name="40% - Accent3 2 7 4 2" xfId="24193" xr:uid="{8DA7027C-4763-4995-B2EF-8DC395237FCD}"/>
    <cellStyle name="40% - Accent3 2 7 4 2 2" xfId="39164" xr:uid="{271D3E86-2CF5-41F3-9808-EC6195116DFA}"/>
    <cellStyle name="40% - Accent3 2 7 4 3" xfId="31561" xr:uid="{422716CA-925F-400B-A081-43D7B2B4B73C}"/>
    <cellStyle name="40% - Accent3 2 7 5" xfId="24187" xr:uid="{7581DCFE-771A-4DEF-86FE-9EC1B980EABD}"/>
    <cellStyle name="40% - Accent3 2 7 5 2" xfId="39158" xr:uid="{E62C1234-5768-4320-83E6-271157431B30}"/>
    <cellStyle name="40% - Accent3 2 7 6" xfId="31555" xr:uid="{9453D976-EF74-43BD-8539-42F85922C743}"/>
    <cellStyle name="40% - Accent3 3" xfId="234" xr:uid="{00000000-0005-0000-0000-000049000000}"/>
    <cellStyle name="40% - Accent3 3 10" xfId="6567" xr:uid="{00000000-0005-0000-0000-0000310D0000}"/>
    <cellStyle name="40% - Accent3 3 10 2" xfId="24194" xr:uid="{BE340FF0-C651-4162-9E9B-E16F98E586E5}"/>
    <cellStyle name="40% - Accent3 3 10 2 2" xfId="39165" xr:uid="{F35805C1-7D8A-4A38-B37D-179C695BA5CA}"/>
    <cellStyle name="40% - Accent3 3 10 3" xfId="31562" xr:uid="{AF7162EF-4ED7-4A95-B5AC-D8BD50024200}"/>
    <cellStyle name="40% - Accent3 3 2" xfId="6568" xr:uid="{00000000-0005-0000-0000-0000320D0000}"/>
    <cellStyle name="40% - Accent3 3 2 2" xfId="6569" xr:uid="{00000000-0005-0000-0000-0000330D0000}"/>
    <cellStyle name="40% - Accent3 3 2 2 2" xfId="6570" xr:uid="{00000000-0005-0000-0000-0000340D0000}"/>
    <cellStyle name="40% - Accent3 3 2 2 2 2" xfId="6571" xr:uid="{00000000-0005-0000-0000-0000350D0000}"/>
    <cellStyle name="40% - Accent3 3 2 2 2 2 2" xfId="6572" xr:uid="{00000000-0005-0000-0000-0000360D0000}"/>
    <cellStyle name="40% - Accent3 3 2 2 2 2 2 2" xfId="24198" xr:uid="{F61FA5E2-9DFC-47D8-AA6B-6FF7E96E3522}"/>
    <cellStyle name="40% - Accent3 3 2 2 2 2 2 2 2" xfId="39169" xr:uid="{263BE15A-888A-429B-BCDE-8FC17EF84332}"/>
    <cellStyle name="40% - Accent3 3 2 2 2 2 2 3" xfId="31566" xr:uid="{46B96859-8D4B-4278-AB3B-31C3CCEA17AD}"/>
    <cellStyle name="40% - Accent3 3 2 2 2 2 3" xfId="6573" xr:uid="{00000000-0005-0000-0000-0000370D0000}"/>
    <cellStyle name="40% - Accent3 3 2 2 2 2 3 2" xfId="24199" xr:uid="{39B5A276-4268-48AB-B829-BD0785C19FF7}"/>
    <cellStyle name="40% - Accent3 3 2 2 2 2 3 2 2" xfId="39170" xr:uid="{11CCB15B-C6A5-44BE-8826-FDE9C639BECA}"/>
    <cellStyle name="40% - Accent3 3 2 2 2 2 3 3" xfId="31567" xr:uid="{79505077-5822-4DAA-BBDC-DFE73BDB3344}"/>
    <cellStyle name="40% - Accent3 3 2 2 2 2 4" xfId="24197" xr:uid="{980ED164-8BC3-44F4-9556-B381CD7798EA}"/>
    <cellStyle name="40% - Accent3 3 2 2 2 2 4 2" xfId="39168" xr:uid="{73D6F13C-F488-4405-BA5E-6D808C3F31B3}"/>
    <cellStyle name="40% - Accent3 3 2 2 2 2 5" xfId="31565" xr:uid="{ED2669D9-8BC9-4FA4-A51D-572D55F3DFCA}"/>
    <cellStyle name="40% - Accent3 3 2 2 2 3" xfId="6574" xr:uid="{00000000-0005-0000-0000-0000380D0000}"/>
    <cellStyle name="40% - Accent3 3 2 2 2 3 2" xfId="6575" xr:uid="{00000000-0005-0000-0000-0000390D0000}"/>
    <cellStyle name="40% - Accent3 3 2 2 2 3 2 2" xfId="24201" xr:uid="{86309F87-3EF3-49F8-9299-25F45CD34DB6}"/>
    <cellStyle name="40% - Accent3 3 2 2 2 3 2 2 2" xfId="39172" xr:uid="{3367B23D-7ACF-4710-85FF-DDE6743601D1}"/>
    <cellStyle name="40% - Accent3 3 2 2 2 3 2 3" xfId="31569" xr:uid="{A641FD87-7D71-494D-A0C6-9B52615D1057}"/>
    <cellStyle name="40% - Accent3 3 2 2 2 3 3" xfId="24200" xr:uid="{CDCF5C72-2C22-45F8-B57B-FF28A92717C4}"/>
    <cellStyle name="40% - Accent3 3 2 2 2 3 3 2" xfId="39171" xr:uid="{CA03E27C-6166-4A4C-8AD8-32394D25C56D}"/>
    <cellStyle name="40% - Accent3 3 2 2 2 3 4" xfId="31568" xr:uid="{91C3E6FC-734E-452C-A649-77B2CEBFB60B}"/>
    <cellStyle name="40% - Accent3 3 2 2 2 4" xfId="6576" xr:uid="{00000000-0005-0000-0000-00003A0D0000}"/>
    <cellStyle name="40% - Accent3 3 2 2 2 4 2" xfId="24202" xr:uid="{21368D9C-CF1B-4343-9408-DDEA4A30D9A8}"/>
    <cellStyle name="40% - Accent3 3 2 2 2 4 2 2" xfId="39173" xr:uid="{4BDDE067-389D-4D07-B591-3CF85DA999FE}"/>
    <cellStyle name="40% - Accent3 3 2 2 2 4 3" xfId="31570" xr:uid="{976E6250-E080-45FA-ABD2-1A7B173419E9}"/>
    <cellStyle name="40% - Accent3 3 2 2 2 5" xfId="24196" xr:uid="{4212E94B-4E29-4D38-AB57-C9B5E51ACD0D}"/>
    <cellStyle name="40% - Accent3 3 2 2 2 5 2" xfId="39167" xr:uid="{20E9A4EC-4333-4DEF-95F5-0E4A6CF67AE7}"/>
    <cellStyle name="40% - Accent3 3 2 2 2 6" xfId="31564" xr:uid="{F7E3B16C-3B64-4679-BDA2-8A453118FF39}"/>
    <cellStyle name="40% - Accent3 3 2 2 3" xfId="6577" xr:uid="{00000000-0005-0000-0000-00003B0D0000}"/>
    <cellStyle name="40% - Accent3 3 2 2 3 2" xfId="6578" xr:uid="{00000000-0005-0000-0000-00003C0D0000}"/>
    <cellStyle name="40% - Accent3 3 2 2 3 2 2" xfId="24204" xr:uid="{EDDACFEA-54D6-471F-98B9-CF2891ECB942}"/>
    <cellStyle name="40% - Accent3 3 2 2 3 2 2 2" xfId="39175" xr:uid="{0732D3FE-1384-4C7A-A762-636A1A69B2CD}"/>
    <cellStyle name="40% - Accent3 3 2 2 3 2 3" xfId="31572" xr:uid="{4E48E81B-E434-40FF-9008-748DD6C26975}"/>
    <cellStyle name="40% - Accent3 3 2 2 3 3" xfId="6579" xr:uid="{00000000-0005-0000-0000-00003D0D0000}"/>
    <cellStyle name="40% - Accent3 3 2 2 3 3 2" xfId="24205" xr:uid="{2EFE80DA-9814-4F59-B440-F1C7D875F5DF}"/>
    <cellStyle name="40% - Accent3 3 2 2 3 3 2 2" xfId="39176" xr:uid="{10C31235-63A9-4FD1-AEEF-99F232417954}"/>
    <cellStyle name="40% - Accent3 3 2 2 3 3 3" xfId="31573" xr:uid="{C8B8D87B-B60A-4E0C-A5BA-49DB456AB20F}"/>
    <cellStyle name="40% - Accent3 3 2 2 3 4" xfId="24203" xr:uid="{AB5CBDBD-B455-4D17-904F-7A112CB547A8}"/>
    <cellStyle name="40% - Accent3 3 2 2 3 4 2" xfId="39174" xr:uid="{0C2AD6D6-E506-4BE1-B7B6-0BE567A0782A}"/>
    <cellStyle name="40% - Accent3 3 2 2 3 5" xfId="31571" xr:uid="{C5914977-A1DA-4276-9269-C3BFFB19E1C4}"/>
    <cellStyle name="40% - Accent3 3 2 2 4" xfId="6580" xr:uid="{00000000-0005-0000-0000-00003E0D0000}"/>
    <cellStyle name="40% - Accent3 3 2 2 4 2" xfId="24206" xr:uid="{1D787E63-08EF-4A23-BBA7-17B558F85446}"/>
    <cellStyle name="40% - Accent3 3 2 2 4 2 2" xfId="39177" xr:uid="{40986C34-F113-4847-BDE2-E3EBE50401F7}"/>
    <cellStyle name="40% - Accent3 3 2 2 4 3" xfId="31574" xr:uid="{49299B50-2A74-4159-867D-00BD59E60FBE}"/>
    <cellStyle name="40% - Accent3 3 2 2 5" xfId="6581" xr:uid="{00000000-0005-0000-0000-00003F0D0000}"/>
    <cellStyle name="40% - Accent3 3 2 2 5 2" xfId="6582" xr:uid="{00000000-0005-0000-0000-0000400D0000}"/>
    <cellStyle name="40% - Accent3 3 2 2 5 2 2" xfId="24208" xr:uid="{362D22A3-8C37-47F4-B1E7-4F78EFFACD07}"/>
    <cellStyle name="40% - Accent3 3 2 2 5 2 2 2" xfId="39179" xr:uid="{8953F6F7-F6F1-4411-8A66-D930E75E397F}"/>
    <cellStyle name="40% - Accent3 3 2 2 5 2 3" xfId="31576" xr:uid="{52FEC709-6CA9-4A28-85B2-8FED5B8689E5}"/>
    <cellStyle name="40% - Accent3 3 2 2 5 3" xfId="24207" xr:uid="{6BCA7768-820F-4115-8471-54B86AFBCA37}"/>
    <cellStyle name="40% - Accent3 3 2 2 5 3 2" xfId="39178" xr:uid="{AF938DB5-5962-43D3-A23F-AC72A18AEF0F}"/>
    <cellStyle name="40% - Accent3 3 2 2 5 4" xfId="31575" xr:uid="{2CC094FE-2067-4DCA-8187-2D9E0EBE0651}"/>
    <cellStyle name="40% - Accent3 3 2 2 6" xfId="6583" xr:uid="{00000000-0005-0000-0000-0000410D0000}"/>
    <cellStyle name="40% - Accent3 3 2 2 6 2" xfId="24209" xr:uid="{272063B4-9BE8-415E-9AD2-C9EB09003F05}"/>
    <cellStyle name="40% - Accent3 3 2 2 6 2 2" xfId="39180" xr:uid="{3B93A24F-4800-441E-9289-738FBBD6337A}"/>
    <cellStyle name="40% - Accent3 3 2 2 6 3" xfId="31577" xr:uid="{2D21449E-FE79-4009-8DE5-F56ED8337E90}"/>
    <cellStyle name="40% - Accent3 3 2 2 7" xfId="24195" xr:uid="{774C44BA-499F-41AE-95B0-28BFAD206F5F}"/>
    <cellStyle name="40% - Accent3 3 2 2 7 2" xfId="39166" xr:uid="{8D55E1F3-2FBC-4948-ACFF-3D4B853E295E}"/>
    <cellStyle name="40% - Accent3 3 2 2 8" xfId="31563" xr:uid="{35A3593E-1C6E-4CE2-A32C-5846ECDE5420}"/>
    <cellStyle name="40% - Accent3 3 2 3" xfId="6584" xr:uid="{00000000-0005-0000-0000-0000420D0000}"/>
    <cellStyle name="40% - Accent3 3 2 3 2" xfId="6585" xr:uid="{00000000-0005-0000-0000-0000430D0000}"/>
    <cellStyle name="40% - Accent3 3 2 3 2 2" xfId="6586" xr:uid="{00000000-0005-0000-0000-0000440D0000}"/>
    <cellStyle name="40% - Accent3 3 2 3 2 2 2" xfId="24212" xr:uid="{06CB4521-5DEF-4FE9-8314-A87184475431}"/>
    <cellStyle name="40% - Accent3 3 2 3 2 2 2 2" xfId="39183" xr:uid="{B0D587D8-B70E-4F37-988C-3BCE8D2FC9CC}"/>
    <cellStyle name="40% - Accent3 3 2 3 2 2 3" xfId="31580" xr:uid="{FCC597CF-ED24-4392-B475-A83AAC0455C0}"/>
    <cellStyle name="40% - Accent3 3 2 3 2 3" xfId="6587" xr:uid="{00000000-0005-0000-0000-0000450D0000}"/>
    <cellStyle name="40% - Accent3 3 2 3 2 3 2" xfId="24213" xr:uid="{4ED36619-B2D8-464E-AA71-D87D224F7C35}"/>
    <cellStyle name="40% - Accent3 3 2 3 2 3 2 2" xfId="39184" xr:uid="{2113E196-0EB9-48E6-807C-1D77082BF810}"/>
    <cellStyle name="40% - Accent3 3 2 3 2 3 3" xfId="31581" xr:uid="{3D667CBF-EFC1-4118-A1DA-D9F8D34771A7}"/>
    <cellStyle name="40% - Accent3 3 2 3 2 4" xfId="24211" xr:uid="{4070FA00-DFDD-45F4-AF3D-B4A54DF81EFF}"/>
    <cellStyle name="40% - Accent3 3 2 3 2 4 2" xfId="39182" xr:uid="{E20F75FF-AC3D-4826-AA0A-EDD788820F39}"/>
    <cellStyle name="40% - Accent3 3 2 3 2 5" xfId="31579" xr:uid="{025AD3B6-3A5D-4B54-9DD1-4BFC3C617242}"/>
    <cellStyle name="40% - Accent3 3 2 3 3" xfId="6588" xr:uid="{00000000-0005-0000-0000-0000460D0000}"/>
    <cellStyle name="40% - Accent3 3 2 3 3 2" xfId="6589" xr:uid="{00000000-0005-0000-0000-0000470D0000}"/>
    <cellStyle name="40% - Accent3 3 2 3 3 2 2" xfId="24215" xr:uid="{4F0C2AE9-58C3-4138-9DB6-DCDEE6218BFD}"/>
    <cellStyle name="40% - Accent3 3 2 3 3 2 2 2" xfId="39186" xr:uid="{4F2F618F-90B6-4ECE-8A8A-A8F2BD27BE80}"/>
    <cellStyle name="40% - Accent3 3 2 3 3 2 3" xfId="31583" xr:uid="{8380ED39-C89B-4733-BCE3-DE16838C86A6}"/>
    <cellStyle name="40% - Accent3 3 2 3 3 3" xfId="24214" xr:uid="{83534465-6E41-478C-B0D8-E1D3677E2D44}"/>
    <cellStyle name="40% - Accent3 3 2 3 3 3 2" xfId="39185" xr:uid="{573B10FF-A563-4022-AA5F-C0EA34A474C4}"/>
    <cellStyle name="40% - Accent3 3 2 3 3 4" xfId="31582" xr:uid="{02DD7D8F-39EE-437E-9D63-9D6B560F9453}"/>
    <cellStyle name="40% - Accent3 3 2 3 4" xfId="6590" xr:uid="{00000000-0005-0000-0000-0000480D0000}"/>
    <cellStyle name="40% - Accent3 3 2 3 4 2" xfId="24216" xr:uid="{DD56A2CC-6A67-4A39-94CF-1B162DF4A99D}"/>
    <cellStyle name="40% - Accent3 3 2 3 4 2 2" xfId="39187" xr:uid="{A31F45ED-F833-4AC1-8518-4D43A678BB57}"/>
    <cellStyle name="40% - Accent3 3 2 3 4 3" xfId="31584" xr:uid="{FE53B628-CE1D-4B31-B47F-BFD5B8DF21A7}"/>
    <cellStyle name="40% - Accent3 3 2 3 5" xfId="24210" xr:uid="{2DB122DE-5F0F-46F9-A986-881E0BF56BC6}"/>
    <cellStyle name="40% - Accent3 3 2 3 5 2" xfId="39181" xr:uid="{7FD9098E-E3E4-4111-B9C7-1FF8655C57A1}"/>
    <cellStyle name="40% - Accent3 3 2 3 6" xfId="31578" xr:uid="{953DBF90-366E-4CB9-9596-EB02C89A0FBD}"/>
    <cellStyle name="40% - Accent3 3 2 4" xfId="6591" xr:uid="{00000000-0005-0000-0000-0000490D0000}"/>
    <cellStyle name="40% - Accent3 3 2 5" xfId="6592" xr:uid="{00000000-0005-0000-0000-00004A0D0000}"/>
    <cellStyle name="40% - Accent3 3 2 5 2" xfId="24217" xr:uid="{23C756E4-AF80-4BBB-BAB1-F34C00F38B37}"/>
    <cellStyle name="40% - Accent3 3 2 5 2 2" xfId="39188" xr:uid="{1F6633D2-B6F6-49FC-A931-D8188667C613}"/>
    <cellStyle name="40% - Accent3 3 2 5 3" xfId="31585" xr:uid="{96DC07C7-D220-493A-A005-D8EB5F26146B}"/>
    <cellStyle name="40% - Accent3 3 3" xfId="6593" xr:uid="{00000000-0005-0000-0000-00004B0D0000}"/>
    <cellStyle name="40% - Accent3 3 3 2" xfId="6594" xr:uid="{00000000-0005-0000-0000-00004C0D0000}"/>
    <cellStyle name="40% - Accent3 3 3 2 2" xfId="6595" xr:uid="{00000000-0005-0000-0000-00004D0D0000}"/>
    <cellStyle name="40% - Accent3 3 3 2 2 2" xfId="24220" xr:uid="{EE8870AF-0D87-4833-99D7-E0284AEDFC8D}"/>
    <cellStyle name="40% - Accent3 3 3 2 2 2 2" xfId="39191" xr:uid="{0AD0D07A-397E-4819-B625-C300D6BB0CFE}"/>
    <cellStyle name="40% - Accent3 3 3 2 2 3" xfId="31588" xr:uid="{837F0180-46F3-4555-A5C5-46A5EE3736CF}"/>
    <cellStyle name="40% - Accent3 3 3 2 3" xfId="6596" xr:uid="{00000000-0005-0000-0000-00004E0D0000}"/>
    <cellStyle name="40% - Accent3 3 3 2 3 2" xfId="6597" xr:uid="{00000000-0005-0000-0000-00004F0D0000}"/>
    <cellStyle name="40% - Accent3 3 3 2 3 2 2" xfId="24222" xr:uid="{F5BC156F-1F8D-4C35-AD0D-A9C4CAC1CD62}"/>
    <cellStyle name="40% - Accent3 3 3 2 3 2 2 2" xfId="39193" xr:uid="{15589FE6-03EA-4319-A5BB-2E831FA7B925}"/>
    <cellStyle name="40% - Accent3 3 3 2 3 2 3" xfId="31590" xr:uid="{57239136-E751-4F64-A090-29562AB72097}"/>
    <cellStyle name="40% - Accent3 3 3 2 3 3" xfId="24221" xr:uid="{84346896-10A1-4B11-BB98-89BB8F749F2C}"/>
    <cellStyle name="40% - Accent3 3 3 2 3 3 2" xfId="39192" xr:uid="{FC5CB4B3-FDC8-4620-9DFB-E63432EABD98}"/>
    <cellStyle name="40% - Accent3 3 3 2 3 4" xfId="31589" xr:uid="{792CC85B-521F-43B6-A895-A1D6F9C0E9FF}"/>
    <cellStyle name="40% - Accent3 3 3 2 4" xfId="24219" xr:uid="{0E7D16CE-FE83-4501-9C75-6C8E6DE35F30}"/>
    <cellStyle name="40% - Accent3 3 3 2 4 2" xfId="39190" xr:uid="{1A794572-3460-4440-B84B-CAD870C28FFB}"/>
    <cellStyle name="40% - Accent3 3 3 2 5" xfId="31587" xr:uid="{A3A872C9-C467-48DD-A40A-E6C7EBC17E32}"/>
    <cellStyle name="40% - Accent3 3 3 3" xfId="6598" xr:uid="{00000000-0005-0000-0000-0000500D0000}"/>
    <cellStyle name="40% - Accent3 3 3 3 2" xfId="24223" xr:uid="{97C0FE85-A19B-4AD0-AF32-38C71032E292}"/>
    <cellStyle name="40% - Accent3 3 3 3 2 2" xfId="39194" xr:uid="{37010D6B-D2BD-4CA1-8918-38D94B495800}"/>
    <cellStyle name="40% - Accent3 3 3 3 3" xfId="31591" xr:uid="{A8F07B3D-36F3-49CD-9CD7-944086D5DFDE}"/>
    <cellStyle name="40% - Accent3 3 3 4" xfId="6599" xr:uid="{00000000-0005-0000-0000-0000510D0000}"/>
    <cellStyle name="40% - Accent3 3 3 4 2" xfId="6600" xr:uid="{00000000-0005-0000-0000-0000520D0000}"/>
    <cellStyle name="40% - Accent3 3 3 4 2 2" xfId="24225" xr:uid="{9BE4EFB0-EBEF-4A55-B4E2-FB5F1ADB3796}"/>
    <cellStyle name="40% - Accent3 3 3 4 2 2 2" xfId="39196" xr:uid="{31EFEAAD-71D4-4F16-8C21-5E0536C99B10}"/>
    <cellStyle name="40% - Accent3 3 3 4 2 3" xfId="31593" xr:uid="{086450D4-A0AB-4FE4-AC39-C6F6A7ADCCC3}"/>
    <cellStyle name="40% - Accent3 3 3 4 3" xfId="24224" xr:uid="{ABBBCE46-7726-4C4F-A26B-EB10D5D04458}"/>
    <cellStyle name="40% - Accent3 3 3 4 3 2" xfId="39195" xr:uid="{E9DF5C2A-ABBD-4EEC-A42D-D5BD44122904}"/>
    <cellStyle name="40% - Accent3 3 3 4 4" xfId="31592" xr:uid="{15B1E10F-3888-41DF-8C5F-233C2372E603}"/>
    <cellStyle name="40% - Accent3 3 3 5" xfId="6601" xr:uid="{00000000-0005-0000-0000-0000530D0000}"/>
    <cellStyle name="40% - Accent3 3 3 5 2" xfId="24226" xr:uid="{6B2759F1-9488-49E7-85BB-B90E22FD76BE}"/>
    <cellStyle name="40% - Accent3 3 3 5 2 2" xfId="39197" xr:uid="{D76D9362-EE99-4167-96CB-7329FC171507}"/>
    <cellStyle name="40% - Accent3 3 3 5 3" xfId="31594" xr:uid="{2EDE600E-ECE8-408A-9E88-3E2B6D3BE74C}"/>
    <cellStyle name="40% - Accent3 3 3 6" xfId="24218" xr:uid="{C8434688-4748-490B-BE95-5BA8364EE273}"/>
    <cellStyle name="40% - Accent3 3 3 6 2" xfId="39189" xr:uid="{B76C6327-7550-478D-9646-39BACE08184C}"/>
    <cellStyle name="40% - Accent3 3 3 7" xfId="31586" xr:uid="{9AB9E417-844E-43DD-A389-A88B1BA027A7}"/>
    <cellStyle name="40% - Accent3 3 4" xfId="6602" xr:uid="{00000000-0005-0000-0000-0000540D0000}"/>
    <cellStyle name="40% - Accent3 3 4 2" xfId="6603" xr:uid="{00000000-0005-0000-0000-0000550D0000}"/>
    <cellStyle name="40% - Accent3 3 4 2 2" xfId="6604" xr:uid="{00000000-0005-0000-0000-0000560D0000}"/>
    <cellStyle name="40% - Accent3 3 4 2 2 2" xfId="24229" xr:uid="{5E603AD1-4E68-40FF-8FA8-35E4CEEF4CA3}"/>
    <cellStyle name="40% - Accent3 3 4 2 2 2 2" xfId="39200" xr:uid="{3B291017-4000-445A-AA77-17D281010A4C}"/>
    <cellStyle name="40% - Accent3 3 4 2 2 3" xfId="31597" xr:uid="{7E9DB9A4-FDF0-499C-B7BF-AC543688E792}"/>
    <cellStyle name="40% - Accent3 3 4 2 3" xfId="6605" xr:uid="{00000000-0005-0000-0000-0000570D0000}"/>
    <cellStyle name="40% - Accent3 3 4 2 3 2" xfId="24230" xr:uid="{98E82680-559C-450B-9E41-8492F9039F06}"/>
    <cellStyle name="40% - Accent3 3 4 2 3 2 2" xfId="39201" xr:uid="{A1AC28AB-F797-4556-96FD-2E3714A324CA}"/>
    <cellStyle name="40% - Accent3 3 4 2 3 3" xfId="31598" xr:uid="{DF1BAD33-CE09-439E-A974-C3BED7CDC70D}"/>
    <cellStyle name="40% - Accent3 3 4 2 4" xfId="24228" xr:uid="{95482C63-4084-4B7A-8E7A-90DE2F947DCF}"/>
    <cellStyle name="40% - Accent3 3 4 2 4 2" xfId="39199" xr:uid="{36B4EE10-3AAC-4297-8E77-08D6EA454A49}"/>
    <cellStyle name="40% - Accent3 3 4 2 5" xfId="31596" xr:uid="{34D0DA03-81FD-4A22-A933-52198A30A7DA}"/>
    <cellStyle name="40% - Accent3 3 4 3" xfId="6606" xr:uid="{00000000-0005-0000-0000-0000580D0000}"/>
    <cellStyle name="40% - Accent3 3 4 3 2" xfId="24231" xr:uid="{344955A3-0EEF-498B-9B39-02F8CC18E901}"/>
    <cellStyle name="40% - Accent3 3 4 3 2 2" xfId="39202" xr:uid="{AEC37E78-3692-485D-8ECD-BDC772DE6D9B}"/>
    <cellStyle name="40% - Accent3 3 4 3 3" xfId="31599" xr:uid="{99847CDE-844D-448C-8BBF-F63BE26B6CB6}"/>
    <cellStyle name="40% - Accent3 3 4 4" xfId="6607" xr:uid="{00000000-0005-0000-0000-0000590D0000}"/>
    <cellStyle name="40% - Accent3 3 4 4 2" xfId="6608" xr:uid="{00000000-0005-0000-0000-00005A0D0000}"/>
    <cellStyle name="40% - Accent3 3 4 4 2 2" xfId="24233" xr:uid="{179E3CA1-38C9-4E97-8782-CF90D939EA56}"/>
    <cellStyle name="40% - Accent3 3 4 4 2 2 2" xfId="39204" xr:uid="{2AEC3882-584F-45B7-898F-496FFF66DE16}"/>
    <cellStyle name="40% - Accent3 3 4 4 2 3" xfId="31601" xr:uid="{6778663A-F3BA-42D3-AAD5-998E1A8116E5}"/>
    <cellStyle name="40% - Accent3 3 4 4 3" xfId="24232" xr:uid="{9B76E7A0-3FE8-44FC-9ECF-320CF6FCE7C5}"/>
    <cellStyle name="40% - Accent3 3 4 4 3 2" xfId="39203" xr:uid="{9409D5BA-31A7-4115-94B3-6E7707B43C3C}"/>
    <cellStyle name="40% - Accent3 3 4 4 4" xfId="31600" xr:uid="{B899D342-F177-4A38-A0EF-0F1B080AADC1}"/>
    <cellStyle name="40% - Accent3 3 4 5" xfId="6609" xr:uid="{00000000-0005-0000-0000-00005B0D0000}"/>
    <cellStyle name="40% - Accent3 3 4 5 2" xfId="24234" xr:uid="{9CB40078-526F-46B2-AFBB-E88CAE55969A}"/>
    <cellStyle name="40% - Accent3 3 4 5 2 2" xfId="39205" xr:uid="{605F9007-E17B-47F5-803A-5CF7A642B75C}"/>
    <cellStyle name="40% - Accent3 3 4 5 3" xfId="31602" xr:uid="{F9EF7EC5-B6A7-49D5-86E2-408E9AF6B14C}"/>
    <cellStyle name="40% - Accent3 3 4 6" xfId="24227" xr:uid="{65B2EEF6-63C5-4515-9A19-F07F4D8ACAAA}"/>
    <cellStyle name="40% - Accent3 3 4 6 2" xfId="39198" xr:uid="{9B7E5538-706D-4F6E-982A-62CD07D02971}"/>
    <cellStyle name="40% - Accent3 3 4 7" xfId="31595" xr:uid="{7A679E0C-0786-43F5-BF11-F135AA9C5B92}"/>
    <cellStyle name="40% - Accent3 3 5" xfId="6610" xr:uid="{00000000-0005-0000-0000-00005C0D0000}"/>
    <cellStyle name="40% - Accent3 3 5 2" xfId="6611" xr:uid="{00000000-0005-0000-0000-00005D0D0000}"/>
    <cellStyle name="40% - Accent3 3 5 2 2" xfId="6612" xr:uid="{00000000-0005-0000-0000-00005E0D0000}"/>
    <cellStyle name="40% - Accent3 3 5 2 2 2" xfId="24237" xr:uid="{E2C9A75C-5EAE-4C46-8B29-BACB6E9236A2}"/>
    <cellStyle name="40% - Accent3 3 5 2 2 2 2" xfId="39208" xr:uid="{EA6B0DAB-FCFB-4BF0-A0A7-F49AC485501F}"/>
    <cellStyle name="40% - Accent3 3 5 2 2 3" xfId="31605" xr:uid="{F7DC1351-1051-4B7F-9EC4-0C4AD091F978}"/>
    <cellStyle name="40% - Accent3 3 5 2 3" xfId="6613" xr:uid="{00000000-0005-0000-0000-00005F0D0000}"/>
    <cellStyle name="40% - Accent3 3 5 2 3 2" xfId="24238" xr:uid="{EE514F62-0A76-4D81-9FAB-C1EE6DED1FEF}"/>
    <cellStyle name="40% - Accent3 3 5 2 3 2 2" xfId="39209" xr:uid="{45763F1F-9637-49F3-9294-1A1B03211E56}"/>
    <cellStyle name="40% - Accent3 3 5 2 3 3" xfId="31606" xr:uid="{51E5FCCE-78CE-40A0-ACCE-CF717313E20A}"/>
    <cellStyle name="40% - Accent3 3 5 2 4" xfId="24236" xr:uid="{74A4610F-B7E2-4E5E-A24B-E46D11CBC0AA}"/>
    <cellStyle name="40% - Accent3 3 5 2 4 2" xfId="39207" xr:uid="{9C144F0A-490C-4749-AD8C-297F6DB33E99}"/>
    <cellStyle name="40% - Accent3 3 5 2 5" xfId="31604" xr:uid="{34F9042D-F761-46C0-AE17-3E3EBB7473A2}"/>
    <cellStyle name="40% - Accent3 3 5 3" xfId="6614" xr:uid="{00000000-0005-0000-0000-0000600D0000}"/>
    <cellStyle name="40% - Accent3 3 5 3 2" xfId="6615" xr:uid="{00000000-0005-0000-0000-0000610D0000}"/>
    <cellStyle name="40% - Accent3 3 5 3 2 2" xfId="24240" xr:uid="{16D2C7A5-509C-48FE-88D8-B1ED63AAE80A}"/>
    <cellStyle name="40% - Accent3 3 5 3 2 2 2" xfId="39211" xr:uid="{83682713-E973-44BD-8D69-D0952134DF7D}"/>
    <cellStyle name="40% - Accent3 3 5 3 2 3" xfId="31608" xr:uid="{4243CEED-34CF-4C85-9BD9-ED00650063C4}"/>
    <cellStyle name="40% - Accent3 3 5 3 3" xfId="24239" xr:uid="{7E78F3D7-58EA-4E2F-9C7C-EB834FB89BEE}"/>
    <cellStyle name="40% - Accent3 3 5 3 3 2" xfId="39210" xr:uid="{AD257A77-6063-4A18-8FFE-4AC1B58E14F1}"/>
    <cellStyle name="40% - Accent3 3 5 3 4" xfId="31607" xr:uid="{C760DE9D-7673-4831-8630-AA01C2B2B579}"/>
    <cellStyle name="40% - Accent3 3 5 4" xfId="6616" xr:uid="{00000000-0005-0000-0000-0000620D0000}"/>
    <cellStyle name="40% - Accent3 3 5 4 2" xfId="24241" xr:uid="{7D86CE96-944C-482E-AA00-66CA5FDA184B}"/>
    <cellStyle name="40% - Accent3 3 5 4 2 2" xfId="39212" xr:uid="{F49E6428-7A89-4CD4-89EC-6AAE3E3F8A97}"/>
    <cellStyle name="40% - Accent3 3 5 4 3" xfId="31609" xr:uid="{4768A95D-6859-4245-BAE5-89A24C19E164}"/>
    <cellStyle name="40% - Accent3 3 5 5" xfId="24235" xr:uid="{CCE988DE-CF24-400B-83DF-26673BB25382}"/>
    <cellStyle name="40% - Accent3 3 5 5 2" xfId="39206" xr:uid="{2A7F2AB8-612A-40F2-AA21-1BD6B0BFC815}"/>
    <cellStyle name="40% - Accent3 3 5 6" xfId="31603" xr:uid="{B9F3EE2A-2466-4045-B36F-507F1103C180}"/>
    <cellStyle name="40% - Accent3 3 6" xfId="6617" xr:uid="{00000000-0005-0000-0000-0000630D0000}"/>
    <cellStyle name="40% - Accent3 3 6 2" xfId="6618" xr:uid="{00000000-0005-0000-0000-0000640D0000}"/>
    <cellStyle name="40% - Accent3 3 6 2 2" xfId="24243" xr:uid="{1CB3AA51-82F3-49FA-BE6D-14038BF68968}"/>
    <cellStyle name="40% - Accent3 3 6 2 2 2" xfId="39214" xr:uid="{AD33BA39-E91E-4BCF-8914-2D141E9F8C77}"/>
    <cellStyle name="40% - Accent3 3 6 2 3" xfId="31611" xr:uid="{A479EB5C-C417-4324-8414-002586E9EF95}"/>
    <cellStyle name="40% - Accent3 3 6 3" xfId="6619" xr:uid="{00000000-0005-0000-0000-0000650D0000}"/>
    <cellStyle name="40% - Accent3 3 6 3 2" xfId="24244" xr:uid="{7DF44235-E4B6-4123-9A7F-259E27EAE926}"/>
    <cellStyle name="40% - Accent3 3 6 3 2 2" xfId="39215" xr:uid="{4A66DEF5-3A5B-4C4A-B8A4-05E720F73AC9}"/>
    <cellStyle name="40% - Accent3 3 6 3 3" xfId="31612" xr:uid="{61B954A3-32E3-4E3A-8C0B-945C8DAB2850}"/>
    <cellStyle name="40% - Accent3 3 6 4" xfId="24242" xr:uid="{D6994F13-5D5B-4448-8DBA-C24088AC5E41}"/>
    <cellStyle name="40% - Accent3 3 6 4 2" xfId="39213" xr:uid="{19822604-AD66-4710-81C2-5B041011A3BD}"/>
    <cellStyle name="40% - Accent3 3 6 5" xfId="31610" xr:uid="{B3BE744A-DCE9-4F25-B1A8-B4C29ECC5D72}"/>
    <cellStyle name="40% - Accent3 3 7" xfId="6620" xr:uid="{00000000-0005-0000-0000-0000660D0000}"/>
    <cellStyle name="40% - Accent3 3 7 2" xfId="24245" xr:uid="{524C2081-C3DB-46EB-A46D-5DD899733C9F}"/>
    <cellStyle name="40% - Accent3 3 7 2 2" xfId="39216" xr:uid="{F1C0A66C-68C4-46C0-9928-ACDDD26C17A2}"/>
    <cellStyle name="40% - Accent3 3 7 3" xfId="31613" xr:uid="{C4FE6AE2-D8D1-437A-8B2C-A649575947F8}"/>
    <cellStyle name="40% - Accent3 3 8" xfId="6621" xr:uid="{00000000-0005-0000-0000-0000670D0000}"/>
    <cellStyle name="40% - Accent3 3 8 2" xfId="6622" xr:uid="{00000000-0005-0000-0000-0000680D0000}"/>
    <cellStyle name="40% - Accent3 3 8 2 2" xfId="24247" xr:uid="{8F2252BA-8481-4658-9673-2A7995264916}"/>
    <cellStyle name="40% - Accent3 3 8 2 2 2" xfId="39218" xr:uid="{2B5E555F-EEFD-4279-84BB-0054D2FC0E4E}"/>
    <cellStyle name="40% - Accent3 3 8 2 3" xfId="31615" xr:uid="{5F9CAF96-20E8-4D9E-A5D4-B652EDE3F9EC}"/>
    <cellStyle name="40% - Accent3 3 8 3" xfId="24246" xr:uid="{0E2CED06-0DCB-42BD-8715-50A84C9EBB44}"/>
    <cellStyle name="40% - Accent3 3 8 3 2" xfId="39217" xr:uid="{219AC143-0CD1-4F46-BC4E-112874B40420}"/>
    <cellStyle name="40% - Accent3 3 8 4" xfId="31614" xr:uid="{66819755-3FB4-4133-BCE5-5EA66731FB9F}"/>
    <cellStyle name="40% - Accent3 3 9" xfId="6623" xr:uid="{00000000-0005-0000-0000-0000690D0000}"/>
    <cellStyle name="40% - Accent3 3 9 2" xfId="24248" xr:uid="{55D34211-9579-4133-9CFF-24ECD2CEDDAE}"/>
    <cellStyle name="40% - Accent3 3 9 2 2" xfId="39219" xr:uid="{5B383110-5179-42B8-9139-5FB17E51C06D}"/>
    <cellStyle name="40% - Accent3 3 9 3" xfId="31616" xr:uid="{6FAF64C9-5CBD-42A4-9FC0-C3E100E5E951}"/>
    <cellStyle name="40% - Accent3 4" xfId="235" xr:uid="{00000000-0005-0000-0000-00004A000000}"/>
    <cellStyle name="40% - Accent3 4 10" xfId="6624" xr:uid="{00000000-0005-0000-0000-00006A0D0000}"/>
    <cellStyle name="40% - Accent3 4 10 2" xfId="24249" xr:uid="{C0D35B3E-AC5E-4985-8B90-5B46D841020F}"/>
    <cellStyle name="40% - Accent3 4 10 2 2" xfId="39220" xr:uid="{9D34B409-E978-4C8F-8BA3-5BF2EFAD4F21}"/>
    <cellStyle name="40% - Accent3 4 10 3" xfId="31617" xr:uid="{4617C867-79DF-4B4D-90CF-446D76E3D0BD}"/>
    <cellStyle name="40% - Accent3 4 2" xfId="6625" xr:uid="{00000000-0005-0000-0000-00006B0D0000}"/>
    <cellStyle name="40% - Accent3 4 2 2" xfId="6626" xr:uid="{00000000-0005-0000-0000-00006C0D0000}"/>
    <cellStyle name="40% - Accent3 4 2 2 2" xfId="6627" xr:uid="{00000000-0005-0000-0000-00006D0D0000}"/>
    <cellStyle name="40% - Accent3 4 2 2 2 2" xfId="6628" xr:uid="{00000000-0005-0000-0000-00006E0D0000}"/>
    <cellStyle name="40% - Accent3 4 2 2 2 2 2" xfId="6629" xr:uid="{00000000-0005-0000-0000-00006F0D0000}"/>
    <cellStyle name="40% - Accent3 4 2 2 2 2 2 2" xfId="24253" xr:uid="{242642E4-BFB3-4362-8727-424805412306}"/>
    <cellStyle name="40% - Accent3 4 2 2 2 2 2 2 2" xfId="39224" xr:uid="{08E0C3FB-0C8C-4D5F-8F34-B19BEB38B692}"/>
    <cellStyle name="40% - Accent3 4 2 2 2 2 2 3" xfId="31621" xr:uid="{AEA8FBD6-C68C-4E28-BB3E-AFE29079A036}"/>
    <cellStyle name="40% - Accent3 4 2 2 2 2 3" xfId="6630" xr:uid="{00000000-0005-0000-0000-0000700D0000}"/>
    <cellStyle name="40% - Accent3 4 2 2 2 2 3 2" xfId="24254" xr:uid="{4247132A-DFBA-4410-899C-C8BA6F53CECD}"/>
    <cellStyle name="40% - Accent3 4 2 2 2 2 3 2 2" xfId="39225" xr:uid="{7AECABD1-1A8F-4899-980D-5C719ED69CF4}"/>
    <cellStyle name="40% - Accent3 4 2 2 2 2 3 3" xfId="31622" xr:uid="{5FED6911-2786-4CE1-A2F3-D83BC56E5680}"/>
    <cellStyle name="40% - Accent3 4 2 2 2 2 4" xfId="24252" xr:uid="{D41A7099-20EF-4AA0-BFE9-9A9E235B40F1}"/>
    <cellStyle name="40% - Accent3 4 2 2 2 2 4 2" xfId="39223" xr:uid="{6F52B933-4D1C-429B-ABA6-3A01DBE052F9}"/>
    <cellStyle name="40% - Accent3 4 2 2 2 2 5" xfId="31620" xr:uid="{9D114FB5-3DE4-4331-9019-3B5482EACB3F}"/>
    <cellStyle name="40% - Accent3 4 2 2 2 3" xfId="6631" xr:uid="{00000000-0005-0000-0000-0000710D0000}"/>
    <cellStyle name="40% - Accent3 4 2 2 2 3 2" xfId="6632" xr:uid="{00000000-0005-0000-0000-0000720D0000}"/>
    <cellStyle name="40% - Accent3 4 2 2 2 3 2 2" xfId="24256" xr:uid="{190F1B90-1388-4700-9895-F6242A4273A7}"/>
    <cellStyle name="40% - Accent3 4 2 2 2 3 2 2 2" xfId="39227" xr:uid="{EF9E596C-D7E3-4836-8B2F-F9D78CE723CF}"/>
    <cellStyle name="40% - Accent3 4 2 2 2 3 2 3" xfId="31624" xr:uid="{377556F5-DC8F-4E05-8B1B-D83575FC3049}"/>
    <cellStyle name="40% - Accent3 4 2 2 2 3 3" xfId="24255" xr:uid="{D1D3BCA3-71C2-4EAA-A574-607065CFF169}"/>
    <cellStyle name="40% - Accent3 4 2 2 2 3 3 2" xfId="39226" xr:uid="{74E6C20B-33F5-4E56-B0BF-D94022C65FE1}"/>
    <cellStyle name="40% - Accent3 4 2 2 2 3 4" xfId="31623" xr:uid="{333DB5F3-BEA1-48EB-A5EA-9D51AC6A8198}"/>
    <cellStyle name="40% - Accent3 4 2 2 2 4" xfId="6633" xr:uid="{00000000-0005-0000-0000-0000730D0000}"/>
    <cellStyle name="40% - Accent3 4 2 2 2 4 2" xfId="24257" xr:uid="{BE704F22-2FF4-443A-A73D-7D6D8B981417}"/>
    <cellStyle name="40% - Accent3 4 2 2 2 4 2 2" xfId="39228" xr:uid="{2B0FE8B0-2E01-4FE6-8ECF-1AC4A6DF8EAF}"/>
    <cellStyle name="40% - Accent3 4 2 2 2 4 3" xfId="31625" xr:uid="{5330027F-F1ED-4F26-B06E-B9333D34FA39}"/>
    <cellStyle name="40% - Accent3 4 2 2 2 5" xfId="24251" xr:uid="{C7A88E1B-5BEB-468A-8D70-D36744F8936F}"/>
    <cellStyle name="40% - Accent3 4 2 2 2 5 2" xfId="39222" xr:uid="{938B34DE-3C9D-43DB-8E2B-CF75B806FD75}"/>
    <cellStyle name="40% - Accent3 4 2 2 2 6" xfId="31619" xr:uid="{2DD198B5-577A-4F02-AE94-8882CC5944DE}"/>
    <cellStyle name="40% - Accent3 4 2 2 3" xfId="6634" xr:uid="{00000000-0005-0000-0000-0000740D0000}"/>
    <cellStyle name="40% - Accent3 4 2 2 3 2" xfId="6635" xr:uid="{00000000-0005-0000-0000-0000750D0000}"/>
    <cellStyle name="40% - Accent3 4 2 2 3 2 2" xfId="24259" xr:uid="{F078D378-A22F-430F-B6A1-37DE27B50712}"/>
    <cellStyle name="40% - Accent3 4 2 2 3 2 2 2" xfId="39230" xr:uid="{92099572-9E24-489D-B9C1-77EF5EBCBCB4}"/>
    <cellStyle name="40% - Accent3 4 2 2 3 2 3" xfId="31627" xr:uid="{ADFE74C5-CD95-4030-8511-050EE90D53C0}"/>
    <cellStyle name="40% - Accent3 4 2 2 3 3" xfId="6636" xr:uid="{00000000-0005-0000-0000-0000760D0000}"/>
    <cellStyle name="40% - Accent3 4 2 2 3 3 2" xfId="24260" xr:uid="{FEF56287-7EC0-4302-84D2-77C1F15865A0}"/>
    <cellStyle name="40% - Accent3 4 2 2 3 3 2 2" xfId="39231" xr:uid="{2F7AA07D-60E7-451E-90C9-E6D408F18DFE}"/>
    <cellStyle name="40% - Accent3 4 2 2 3 3 3" xfId="31628" xr:uid="{CFED2581-77E6-4DA2-A835-D9F47633703C}"/>
    <cellStyle name="40% - Accent3 4 2 2 3 4" xfId="24258" xr:uid="{E0E697A7-4C37-4E13-922F-FE30A80D17D8}"/>
    <cellStyle name="40% - Accent3 4 2 2 3 4 2" xfId="39229" xr:uid="{979356F5-C323-4C69-948A-57F39747F191}"/>
    <cellStyle name="40% - Accent3 4 2 2 3 5" xfId="31626" xr:uid="{3D10A230-80F4-421E-9C17-86B045CFC8D3}"/>
    <cellStyle name="40% - Accent3 4 2 2 4" xfId="6637" xr:uid="{00000000-0005-0000-0000-0000770D0000}"/>
    <cellStyle name="40% - Accent3 4 2 2 4 2" xfId="24261" xr:uid="{083D9857-3BCC-4313-9486-7D47B5301054}"/>
    <cellStyle name="40% - Accent3 4 2 2 4 2 2" xfId="39232" xr:uid="{026522DF-DE7D-4F37-AEFD-21A4E087F703}"/>
    <cellStyle name="40% - Accent3 4 2 2 4 3" xfId="31629" xr:uid="{B6F5D235-39B4-4B46-9812-67928BA4C124}"/>
    <cellStyle name="40% - Accent3 4 2 2 5" xfId="6638" xr:uid="{00000000-0005-0000-0000-0000780D0000}"/>
    <cellStyle name="40% - Accent3 4 2 2 5 2" xfId="6639" xr:uid="{00000000-0005-0000-0000-0000790D0000}"/>
    <cellStyle name="40% - Accent3 4 2 2 5 2 2" xfId="24263" xr:uid="{D2CED828-157C-4223-99C0-DE1AE8C4B360}"/>
    <cellStyle name="40% - Accent3 4 2 2 5 2 2 2" xfId="39234" xr:uid="{F5BCC06C-9DC7-4AEC-A5E5-2EACAB420885}"/>
    <cellStyle name="40% - Accent3 4 2 2 5 2 3" xfId="31631" xr:uid="{1B0576CD-9CA8-48CD-A531-2FBC529E2C79}"/>
    <cellStyle name="40% - Accent3 4 2 2 5 3" xfId="24262" xr:uid="{7218928C-751B-4E75-9898-45B88C57D4C1}"/>
    <cellStyle name="40% - Accent3 4 2 2 5 3 2" xfId="39233" xr:uid="{18B181F2-F618-4124-8F17-95EBB2FAAD6B}"/>
    <cellStyle name="40% - Accent3 4 2 2 5 4" xfId="31630" xr:uid="{F577666B-7992-4729-B22E-913C44597AD9}"/>
    <cellStyle name="40% - Accent3 4 2 2 6" xfId="6640" xr:uid="{00000000-0005-0000-0000-00007A0D0000}"/>
    <cellStyle name="40% - Accent3 4 2 2 6 2" xfId="24264" xr:uid="{18CEDC87-C1CD-49EF-B190-043D1C6DFFCF}"/>
    <cellStyle name="40% - Accent3 4 2 2 6 2 2" xfId="39235" xr:uid="{14AC8511-FEC5-4717-B371-A4EA952A64E0}"/>
    <cellStyle name="40% - Accent3 4 2 2 6 3" xfId="31632" xr:uid="{01DE3057-0EE8-4F1B-9FC8-4FC65EF83F0E}"/>
    <cellStyle name="40% - Accent3 4 2 2 7" xfId="24250" xr:uid="{3DA67F4F-D507-4E9B-AF9D-97C2A694612A}"/>
    <cellStyle name="40% - Accent3 4 2 2 7 2" xfId="39221" xr:uid="{B8CEF2D8-55BA-4395-941A-A252D96ED52B}"/>
    <cellStyle name="40% - Accent3 4 2 2 8" xfId="31618" xr:uid="{C4B34C48-0451-4BC6-9FBF-81740D375615}"/>
    <cellStyle name="40% - Accent3 4 2 3" xfId="6641" xr:uid="{00000000-0005-0000-0000-00007B0D0000}"/>
    <cellStyle name="40% - Accent3 4 2 3 2" xfId="6642" xr:uid="{00000000-0005-0000-0000-00007C0D0000}"/>
    <cellStyle name="40% - Accent3 4 2 3 2 2" xfId="6643" xr:uid="{00000000-0005-0000-0000-00007D0D0000}"/>
    <cellStyle name="40% - Accent3 4 2 3 2 2 2" xfId="24267" xr:uid="{5789289B-3860-4F85-B71E-06B370D18315}"/>
    <cellStyle name="40% - Accent3 4 2 3 2 2 2 2" xfId="39238" xr:uid="{3FB232A5-9C44-48A2-B843-7BC78045DA26}"/>
    <cellStyle name="40% - Accent3 4 2 3 2 2 3" xfId="31635" xr:uid="{7D89B125-66DB-4183-BF46-7D539C9F9A8E}"/>
    <cellStyle name="40% - Accent3 4 2 3 2 3" xfId="6644" xr:uid="{00000000-0005-0000-0000-00007E0D0000}"/>
    <cellStyle name="40% - Accent3 4 2 3 2 3 2" xfId="24268" xr:uid="{5F0FC64C-432F-454D-B1F0-06374EAE0382}"/>
    <cellStyle name="40% - Accent3 4 2 3 2 3 2 2" xfId="39239" xr:uid="{B7F0F26C-E171-460F-B154-DD2C20C9B41B}"/>
    <cellStyle name="40% - Accent3 4 2 3 2 3 3" xfId="31636" xr:uid="{9EE57ACB-519D-438E-BA2D-82A03354CD5E}"/>
    <cellStyle name="40% - Accent3 4 2 3 2 4" xfId="24266" xr:uid="{CAC23DF4-19DC-45F8-BD7F-172614D8A4C9}"/>
    <cellStyle name="40% - Accent3 4 2 3 2 4 2" xfId="39237" xr:uid="{C5FDAF6E-91B3-4F64-85E5-C23D01930A4F}"/>
    <cellStyle name="40% - Accent3 4 2 3 2 5" xfId="31634" xr:uid="{88A5937C-8EC6-4394-8C44-5FB523D78E26}"/>
    <cellStyle name="40% - Accent3 4 2 3 3" xfId="6645" xr:uid="{00000000-0005-0000-0000-00007F0D0000}"/>
    <cellStyle name="40% - Accent3 4 2 3 3 2" xfId="6646" xr:uid="{00000000-0005-0000-0000-0000800D0000}"/>
    <cellStyle name="40% - Accent3 4 2 3 3 2 2" xfId="24270" xr:uid="{20102F99-8C9F-4E9D-A5B0-79D50A0A653E}"/>
    <cellStyle name="40% - Accent3 4 2 3 3 2 2 2" xfId="39241" xr:uid="{CAB25E93-009D-4ECF-9F75-43784BC024E4}"/>
    <cellStyle name="40% - Accent3 4 2 3 3 2 3" xfId="31638" xr:uid="{A11E1295-7681-4D92-95BD-8D5234B96D8E}"/>
    <cellStyle name="40% - Accent3 4 2 3 3 3" xfId="24269" xr:uid="{D3E14F1D-75E0-48A7-95F9-54F4A5DCE388}"/>
    <cellStyle name="40% - Accent3 4 2 3 3 3 2" xfId="39240" xr:uid="{223C45CF-333E-4122-BAC8-490A78199B37}"/>
    <cellStyle name="40% - Accent3 4 2 3 3 4" xfId="31637" xr:uid="{11B7FE71-813C-4B4F-867D-EB3D71D53CAD}"/>
    <cellStyle name="40% - Accent3 4 2 3 4" xfId="6647" xr:uid="{00000000-0005-0000-0000-0000810D0000}"/>
    <cellStyle name="40% - Accent3 4 2 3 4 2" xfId="24271" xr:uid="{EE7A4FBF-D5BF-4D62-A20F-B4C1403B30F0}"/>
    <cellStyle name="40% - Accent3 4 2 3 4 2 2" xfId="39242" xr:uid="{507D2399-590E-42AD-93FB-FD53D1339B6F}"/>
    <cellStyle name="40% - Accent3 4 2 3 4 3" xfId="31639" xr:uid="{DFE57220-9B21-4D16-82E7-D085970B2C3D}"/>
    <cellStyle name="40% - Accent3 4 2 3 5" xfId="24265" xr:uid="{88A7E10A-63D7-431B-83BE-64AB1F7E9811}"/>
    <cellStyle name="40% - Accent3 4 2 3 5 2" xfId="39236" xr:uid="{907B5480-6D69-449B-B635-71E3545D9A19}"/>
    <cellStyle name="40% - Accent3 4 2 3 6" xfId="31633" xr:uid="{FBE40032-07BF-4BF5-94D9-921F11D1EA40}"/>
    <cellStyle name="40% - Accent3 4 2 4" xfId="6648" xr:uid="{00000000-0005-0000-0000-0000820D0000}"/>
    <cellStyle name="40% - Accent3 4 2 5" xfId="6649" xr:uid="{00000000-0005-0000-0000-0000830D0000}"/>
    <cellStyle name="40% - Accent3 4 2 5 2" xfId="24272" xr:uid="{1654944F-DC28-4B7F-B40D-59CB0C553D6E}"/>
    <cellStyle name="40% - Accent3 4 2 5 2 2" xfId="39243" xr:uid="{0F509446-2791-4F99-847B-DCC6CD27BDD4}"/>
    <cellStyle name="40% - Accent3 4 2 5 3" xfId="31640" xr:uid="{6BB3A410-42C0-47B2-BC09-8679A1BAF6F4}"/>
    <cellStyle name="40% - Accent3 4 3" xfId="6650" xr:uid="{00000000-0005-0000-0000-0000840D0000}"/>
    <cellStyle name="40% - Accent3 4 3 2" xfId="6651" xr:uid="{00000000-0005-0000-0000-0000850D0000}"/>
    <cellStyle name="40% - Accent3 4 3 2 2" xfId="6652" xr:uid="{00000000-0005-0000-0000-0000860D0000}"/>
    <cellStyle name="40% - Accent3 4 3 2 2 2" xfId="24275" xr:uid="{8E5AC915-FA7A-4F88-93B2-C515C3FB35F2}"/>
    <cellStyle name="40% - Accent3 4 3 2 2 2 2" xfId="39246" xr:uid="{2CC8D760-0244-41CA-8CA8-A3BF643AA6A4}"/>
    <cellStyle name="40% - Accent3 4 3 2 2 3" xfId="31643" xr:uid="{26FBCCA7-9724-4074-A53B-38DFB4160699}"/>
    <cellStyle name="40% - Accent3 4 3 2 3" xfId="6653" xr:uid="{00000000-0005-0000-0000-0000870D0000}"/>
    <cellStyle name="40% - Accent3 4 3 2 3 2" xfId="24276" xr:uid="{CD4FCE2F-54FE-4872-A5FB-4900746C939C}"/>
    <cellStyle name="40% - Accent3 4 3 2 3 2 2" xfId="39247" xr:uid="{B5CABD1D-37B7-4C7C-81D6-C9E5CB3955C4}"/>
    <cellStyle name="40% - Accent3 4 3 2 3 3" xfId="31644" xr:uid="{1EA2F910-A743-4CA1-94B3-045D6FAFD3DD}"/>
    <cellStyle name="40% - Accent3 4 3 2 4" xfId="24274" xr:uid="{EB38ABF7-E701-4C84-8093-5ACA62AD9DDC}"/>
    <cellStyle name="40% - Accent3 4 3 2 4 2" xfId="39245" xr:uid="{02473697-5C71-4F7D-BC67-0A6E3A0FCAE3}"/>
    <cellStyle name="40% - Accent3 4 3 2 5" xfId="31642" xr:uid="{8350651F-8E4B-4334-AA50-9636D14F5293}"/>
    <cellStyle name="40% - Accent3 4 3 3" xfId="6654" xr:uid="{00000000-0005-0000-0000-0000880D0000}"/>
    <cellStyle name="40% - Accent3 4 3 3 2" xfId="24277" xr:uid="{0758DB13-44DA-4064-9844-3C9585E76AA1}"/>
    <cellStyle name="40% - Accent3 4 3 3 2 2" xfId="39248" xr:uid="{88BFB054-6109-40C8-BB82-0B1ACD188194}"/>
    <cellStyle name="40% - Accent3 4 3 3 3" xfId="31645" xr:uid="{5224F05E-1E67-423F-BC70-474281738E2E}"/>
    <cellStyle name="40% - Accent3 4 3 4" xfId="6655" xr:uid="{00000000-0005-0000-0000-0000890D0000}"/>
    <cellStyle name="40% - Accent3 4 3 4 2" xfId="6656" xr:uid="{00000000-0005-0000-0000-00008A0D0000}"/>
    <cellStyle name="40% - Accent3 4 3 4 2 2" xfId="24279" xr:uid="{638973FA-8D3B-4CC9-A31C-D4A60189A068}"/>
    <cellStyle name="40% - Accent3 4 3 4 2 2 2" xfId="39250" xr:uid="{BB599341-273E-41D1-BC1D-706F577E259A}"/>
    <cellStyle name="40% - Accent3 4 3 4 2 3" xfId="31647" xr:uid="{35E55992-7E52-4744-B3BD-984D8719113D}"/>
    <cellStyle name="40% - Accent3 4 3 4 3" xfId="24278" xr:uid="{A8764BEA-3504-4185-81C1-3FF5DCFBF13C}"/>
    <cellStyle name="40% - Accent3 4 3 4 3 2" xfId="39249" xr:uid="{8ECA938F-E9A5-4565-89E9-5E214E6F91CA}"/>
    <cellStyle name="40% - Accent3 4 3 4 4" xfId="31646" xr:uid="{1C5D6232-FC81-4BFC-BAB9-E13A7B214503}"/>
    <cellStyle name="40% - Accent3 4 3 5" xfId="6657" xr:uid="{00000000-0005-0000-0000-00008B0D0000}"/>
    <cellStyle name="40% - Accent3 4 3 5 2" xfId="24280" xr:uid="{DDAB8996-834F-4C38-8295-C298BDB4775A}"/>
    <cellStyle name="40% - Accent3 4 3 5 2 2" xfId="39251" xr:uid="{B3C9B773-8C38-43B2-95D4-F0AE013BA262}"/>
    <cellStyle name="40% - Accent3 4 3 5 3" xfId="31648" xr:uid="{02EDB9EB-346A-4C58-B2BF-B2D3C79F1512}"/>
    <cellStyle name="40% - Accent3 4 3 6" xfId="24273" xr:uid="{8ADC023C-BD56-44FF-9B4F-338D3F8F9DA0}"/>
    <cellStyle name="40% - Accent3 4 3 6 2" xfId="39244" xr:uid="{D141B477-3617-423B-8B4C-EE39F2AD1EB8}"/>
    <cellStyle name="40% - Accent3 4 3 7" xfId="31641" xr:uid="{0A83DA73-3EA5-4E2A-B509-6475F57BAC5D}"/>
    <cellStyle name="40% - Accent3 4 4" xfId="6658" xr:uid="{00000000-0005-0000-0000-00008C0D0000}"/>
    <cellStyle name="40% - Accent3 4 4 2" xfId="6659" xr:uid="{00000000-0005-0000-0000-00008D0D0000}"/>
    <cellStyle name="40% - Accent3 4 4 2 2" xfId="6660" xr:uid="{00000000-0005-0000-0000-00008E0D0000}"/>
    <cellStyle name="40% - Accent3 4 4 2 2 2" xfId="24283" xr:uid="{6DF62350-7975-43C3-977A-7E668D664074}"/>
    <cellStyle name="40% - Accent3 4 4 2 2 2 2" xfId="39254" xr:uid="{5329158E-101C-4549-90A3-F8F28DD057B0}"/>
    <cellStyle name="40% - Accent3 4 4 2 2 3" xfId="31651" xr:uid="{6C9CC4A8-C443-462C-9681-C594BDA3B23D}"/>
    <cellStyle name="40% - Accent3 4 4 2 3" xfId="6661" xr:uid="{00000000-0005-0000-0000-00008F0D0000}"/>
    <cellStyle name="40% - Accent3 4 4 2 3 2" xfId="24284" xr:uid="{31A7F043-7108-4C59-BC46-50CFBE844D50}"/>
    <cellStyle name="40% - Accent3 4 4 2 3 2 2" xfId="39255" xr:uid="{E7D3BFC5-EAE0-40F4-9E5A-B19608CA8028}"/>
    <cellStyle name="40% - Accent3 4 4 2 3 3" xfId="31652" xr:uid="{A99B322B-F153-4FB2-8950-31793237897E}"/>
    <cellStyle name="40% - Accent3 4 4 2 4" xfId="24282" xr:uid="{0809E228-6725-433D-B357-F89DA9FCDE49}"/>
    <cellStyle name="40% - Accent3 4 4 2 4 2" xfId="39253" xr:uid="{61C6B57A-8EB3-45E1-AD64-6212DB042052}"/>
    <cellStyle name="40% - Accent3 4 4 2 5" xfId="31650" xr:uid="{D9020DB8-59D2-43BD-B601-D537987B9046}"/>
    <cellStyle name="40% - Accent3 4 4 3" xfId="6662" xr:uid="{00000000-0005-0000-0000-0000900D0000}"/>
    <cellStyle name="40% - Accent3 4 4 3 2" xfId="6663" xr:uid="{00000000-0005-0000-0000-0000910D0000}"/>
    <cellStyle name="40% - Accent3 4 4 3 2 2" xfId="24286" xr:uid="{48530761-C771-455F-A3F9-895897BAAA94}"/>
    <cellStyle name="40% - Accent3 4 4 3 2 2 2" xfId="39257" xr:uid="{E72FF2D1-8659-4E1B-B94F-FD52AFBAEEED}"/>
    <cellStyle name="40% - Accent3 4 4 3 2 3" xfId="31654" xr:uid="{BCD67360-528C-48AC-B6B4-336988AAA8C2}"/>
    <cellStyle name="40% - Accent3 4 4 3 3" xfId="24285" xr:uid="{DEC68DDD-3A7E-4FCF-AC7D-4250972B1A76}"/>
    <cellStyle name="40% - Accent3 4 4 3 3 2" xfId="39256" xr:uid="{17275500-82CB-472F-8C2B-501E2C7C093F}"/>
    <cellStyle name="40% - Accent3 4 4 3 4" xfId="31653" xr:uid="{A00451B4-2FCD-429E-97BF-55E6F0B953DE}"/>
    <cellStyle name="40% - Accent3 4 4 4" xfId="6664" xr:uid="{00000000-0005-0000-0000-0000920D0000}"/>
    <cellStyle name="40% - Accent3 4 4 4 2" xfId="24287" xr:uid="{AD6E3476-92D1-4C85-ADE3-C9AE372EC7FB}"/>
    <cellStyle name="40% - Accent3 4 4 4 2 2" xfId="39258" xr:uid="{2025B94B-9A9A-4392-831A-39F6856F0E3F}"/>
    <cellStyle name="40% - Accent3 4 4 4 3" xfId="31655" xr:uid="{3493C6C7-08F8-47BF-8F75-62EA8967C7D0}"/>
    <cellStyle name="40% - Accent3 4 4 5" xfId="24281" xr:uid="{A3BBB25C-093D-48F3-90E6-EDB68478574B}"/>
    <cellStyle name="40% - Accent3 4 4 5 2" xfId="39252" xr:uid="{9700D78A-B8CE-4CF4-BA03-F525025BAB6A}"/>
    <cellStyle name="40% - Accent3 4 4 6" xfId="31649" xr:uid="{452012BE-13E8-4D0B-BE50-09D4C770AC35}"/>
    <cellStyle name="40% - Accent3 4 5" xfId="6665" xr:uid="{00000000-0005-0000-0000-0000930D0000}"/>
    <cellStyle name="40% - Accent3 4 5 2" xfId="6666" xr:uid="{00000000-0005-0000-0000-0000940D0000}"/>
    <cellStyle name="40% - Accent3 4 5 2 2" xfId="6667" xr:uid="{00000000-0005-0000-0000-0000950D0000}"/>
    <cellStyle name="40% - Accent3 4 5 2 2 2" xfId="24290" xr:uid="{8D8106AC-7526-4B0B-8972-2A2206A4095E}"/>
    <cellStyle name="40% - Accent3 4 5 2 2 2 2" xfId="39261" xr:uid="{289893D7-5A71-4269-ADA9-AE28FBF95DAD}"/>
    <cellStyle name="40% - Accent3 4 5 2 2 3" xfId="31658" xr:uid="{1CC0BAF1-4F47-489D-91E9-FF852D8F6A25}"/>
    <cellStyle name="40% - Accent3 4 5 2 3" xfId="6668" xr:uid="{00000000-0005-0000-0000-0000960D0000}"/>
    <cellStyle name="40% - Accent3 4 5 2 3 2" xfId="24291" xr:uid="{FCC351B0-45E0-43DF-8ED3-F2FD913AA113}"/>
    <cellStyle name="40% - Accent3 4 5 2 3 2 2" xfId="39262" xr:uid="{EEA4516B-BF67-4C06-AD39-F372402046E7}"/>
    <cellStyle name="40% - Accent3 4 5 2 3 3" xfId="31659" xr:uid="{F87DD863-C829-492C-9396-83B168F09047}"/>
    <cellStyle name="40% - Accent3 4 5 2 4" xfId="24289" xr:uid="{B2EE7D39-D4EC-4C9E-8048-8D6AA55EF7FB}"/>
    <cellStyle name="40% - Accent3 4 5 2 4 2" xfId="39260" xr:uid="{B8DF7BB0-3A38-4A71-A719-32ADF71463F0}"/>
    <cellStyle name="40% - Accent3 4 5 2 5" xfId="31657" xr:uid="{6278381F-1EA5-450B-A5E8-397C99AEE08C}"/>
    <cellStyle name="40% - Accent3 4 5 3" xfId="6669" xr:uid="{00000000-0005-0000-0000-0000970D0000}"/>
    <cellStyle name="40% - Accent3 4 5 3 2" xfId="6670" xr:uid="{00000000-0005-0000-0000-0000980D0000}"/>
    <cellStyle name="40% - Accent3 4 5 3 2 2" xfId="24293" xr:uid="{2613BE37-E341-4D1D-BEE4-5CF3CCE006FF}"/>
    <cellStyle name="40% - Accent3 4 5 3 2 2 2" xfId="39264" xr:uid="{04D11434-DE29-47EA-8A22-3164D7688F7B}"/>
    <cellStyle name="40% - Accent3 4 5 3 2 3" xfId="31661" xr:uid="{BF5CCD77-C300-4B09-A3B2-DF5BD9FBF935}"/>
    <cellStyle name="40% - Accent3 4 5 3 3" xfId="24292" xr:uid="{D99B9C2D-7C99-4660-A3C9-A96A1F0D2159}"/>
    <cellStyle name="40% - Accent3 4 5 3 3 2" xfId="39263" xr:uid="{8938D967-8351-42F9-8B73-068A6F75D2D0}"/>
    <cellStyle name="40% - Accent3 4 5 3 4" xfId="31660" xr:uid="{B2164AC0-771A-48B3-8F55-EB23CC25A6DD}"/>
    <cellStyle name="40% - Accent3 4 5 4" xfId="6671" xr:uid="{00000000-0005-0000-0000-0000990D0000}"/>
    <cellStyle name="40% - Accent3 4 5 4 2" xfId="24294" xr:uid="{692649EE-2760-487F-9ECF-0DA012AFB879}"/>
    <cellStyle name="40% - Accent3 4 5 4 2 2" xfId="39265" xr:uid="{6B34FEFA-6378-4F7D-9804-EA3434611AED}"/>
    <cellStyle name="40% - Accent3 4 5 4 3" xfId="31662" xr:uid="{30F448A1-3AEE-44A3-9BCB-D2FCA11A3B4E}"/>
    <cellStyle name="40% - Accent3 4 5 5" xfId="24288" xr:uid="{91B09F5B-2439-4049-B325-96895F554F1C}"/>
    <cellStyle name="40% - Accent3 4 5 5 2" xfId="39259" xr:uid="{089A4F89-46AE-4281-8CA3-83E51102A2FD}"/>
    <cellStyle name="40% - Accent3 4 5 6" xfId="31656" xr:uid="{1AF7C5D7-EE4A-42F7-8BF3-BE90352FD25D}"/>
    <cellStyle name="40% - Accent3 4 6" xfId="6672" xr:uid="{00000000-0005-0000-0000-00009A0D0000}"/>
    <cellStyle name="40% - Accent3 4 6 2" xfId="6673" xr:uid="{00000000-0005-0000-0000-00009B0D0000}"/>
    <cellStyle name="40% - Accent3 4 6 2 2" xfId="24296" xr:uid="{A56E287D-D4E0-4159-AD7B-8B0541A2D02E}"/>
    <cellStyle name="40% - Accent3 4 6 2 2 2" xfId="39267" xr:uid="{A262D029-959A-4DCB-BC08-E8EA38BC138B}"/>
    <cellStyle name="40% - Accent3 4 6 2 3" xfId="31664" xr:uid="{FA83FD27-0A6F-4FAF-92A3-6BB81F475B67}"/>
    <cellStyle name="40% - Accent3 4 6 3" xfId="6674" xr:uid="{00000000-0005-0000-0000-00009C0D0000}"/>
    <cellStyle name="40% - Accent3 4 6 3 2" xfId="24297" xr:uid="{9E8ED778-F067-4294-A0D7-D49065101E62}"/>
    <cellStyle name="40% - Accent3 4 6 3 2 2" xfId="39268" xr:uid="{D22C5F72-AAE9-453A-9F66-FBFC73A3E9CE}"/>
    <cellStyle name="40% - Accent3 4 6 3 3" xfId="31665" xr:uid="{EDE5052E-C8E6-4CE0-B555-CE7F1E31E39B}"/>
    <cellStyle name="40% - Accent3 4 6 4" xfId="24295" xr:uid="{D0693BB6-5687-4743-8477-14C04CE3BA6F}"/>
    <cellStyle name="40% - Accent3 4 6 4 2" xfId="39266" xr:uid="{38DEB8EC-794D-4FF8-A7B1-F2A944E73AEA}"/>
    <cellStyle name="40% - Accent3 4 6 5" xfId="31663" xr:uid="{9101A2F5-98AF-4C06-A671-F256A2374FE1}"/>
    <cellStyle name="40% - Accent3 4 7" xfId="6675" xr:uid="{00000000-0005-0000-0000-00009D0D0000}"/>
    <cellStyle name="40% - Accent3 4 7 2" xfId="24298" xr:uid="{CAABEC34-0BD8-406C-B0FB-B66BFBC9A600}"/>
    <cellStyle name="40% - Accent3 4 7 2 2" xfId="39269" xr:uid="{6638EDA5-7FEE-41F0-9F73-43BAFFF9ACFB}"/>
    <cellStyle name="40% - Accent3 4 7 3" xfId="31666" xr:uid="{C7DD08FE-A2BD-496E-A402-D2CC7E7D99F9}"/>
    <cellStyle name="40% - Accent3 4 8" xfId="6676" xr:uid="{00000000-0005-0000-0000-00009E0D0000}"/>
    <cellStyle name="40% - Accent3 4 8 2" xfId="6677" xr:uid="{00000000-0005-0000-0000-00009F0D0000}"/>
    <cellStyle name="40% - Accent3 4 8 2 2" xfId="24300" xr:uid="{E9A2811C-B1AE-418E-851F-D4324CC6278E}"/>
    <cellStyle name="40% - Accent3 4 8 2 2 2" xfId="39271" xr:uid="{C3EB4EEA-F79F-4ECB-AB3A-7297F0C8AF37}"/>
    <cellStyle name="40% - Accent3 4 8 2 3" xfId="31668" xr:uid="{67304CB1-A78E-431F-9395-E4B17AD4FBBB}"/>
    <cellStyle name="40% - Accent3 4 8 3" xfId="24299" xr:uid="{E5F9D139-CBBC-4D70-8F02-AA0BC5248A3E}"/>
    <cellStyle name="40% - Accent3 4 8 3 2" xfId="39270" xr:uid="{83E5FD32-D652-44A2-BF72-5A8BE3178B61}"/>
    <cellStyle name="40% - Accent3 4 8 4" xfId="31667" xr:uid="{4BBA3D44-F652-4675-8935-8F6FE06C39D3}"/>
    <cellStyle name="40% - Accent3 4 9" xfId="6678" xr:uid="{00000000-0005-0000-0000-0000A00D0000}"/>
    <cellStyle name="40% - Accent3 4 9 2" xfId="24301" xr:uid="{BC20BED0-56C6-48FF-909D-3AC92D28EEC3}"/>
    <cellStyle name="40% - Accent3 4 9 2 2" xfId="39272" xr:uid="{AC17E76A-1EE0-483C-887F-2AFE70DDD27A}"/>
    <cellStyle name="40% - Accent3 4 9 3" xfId="31669" xr:uid="{5C1B8B99-EC9F-40B1-A5DF-24A27C3CB44B}"/>
    <cellStyle name="40% - Accent3 5" xfId="236" xr:uid="{00000000-0005-0000-0000-00004B000000}"/>
    <cellStyle name="40% - Accent3 5 2" xfId="6680" xr:uid="{00000000-0005-0000-0000-0000A20D0000}"/>
    <cellStyle name="40% - Accent3 5 2 2" xfId="6681" xr:uid="{00000000-0005-0000-0000-0000A30D0000}"/>
    <cellStyle name="40% - Accent3 5 2 2 2" xfId="6682" xr:uid="{00000000-0005-0000-0000-0000A40D0000}"/>
    <cellStyle name="40% - Accent3 5 2 2 2 2" xfId="6683" xr:uid="{00000000-0005-0000-0000-0000A50D0000}"/>
    <cellStyle name="40% - Accent3 5 2 2 2 2 2" xfId="6684" xr:uid="{00000000-0005-0000-0000-0000A60D0000}"/>
    <cellStyle name="40% - Accent3 5 2 2 2 2 2 2" xfId="24306" xr:uid="{91B5894F-F0FC-4899-AD56-CD623FA2DAA8}"/>
    <cellStyle name="40% - Accent3 5 2 2 2 2 2 2 2" xfId="39277" xr:uid="{47CAAD94-33D5-4722-8480-E7FA0A602519}"/>
    <cellStyle name="40% - Accent3 5 2 2 2 2 2 3" xfId="31674" xr:uid="{786D7FFF-0A8C-4199-8BC3-FE4816593A6E}"/>
    <cellStyle name="40% - Accent3 5 2 2 2 2 3" xfId="6685" xr:uid="{00000000-0005-0000-0000-0000A70D0000}"/>
    <cellStyle name="40% - Accent3 5 2 2 2 2 3 2" xfId="24307" xr:uid="{8B29AB7A-8318-4423-9ACD-76B6F391CAC5}"/>
    <cellStyle name="40% - Accent3 5 2 2 2 2 3 2 2" xfId="39278" xr:uid="{4B9D5FC5-25B2-47FC-B936-85EA0A25644A}"/>
    <cellStyle name="40% - Accent3 5 2 2 2 2 3 3" xfId="31675" xr:uid="{D09C4D5B-C50E-46C7-ADA0-EE60A589C3B8}"/>
    <cellStyle name="40% - Accent3 5 2 2 2 2 4" xfId="24305" xr:uid="{75AE8DB5-33E0-49EE-A05F-B62D141020CF}"/>
    <cellStyle name="40% - Accent3 5 2 2 2 2 4 2" xfId="39276" xr:uid="{0438AC21-CEE9-46E7-92F7-5A37F7B10E04}"/>
    <cellStyle name="40% - Accent3 5 2 2 2 2 5" xfId="31673" xr:uid="{46EFA6CF-6EC1-4EA4-A7C9-863AEC03B66F}"/>
    <cellStyle name="40% - Accent3 5 2 2 2 3" xfId="6686" xr:uid="{00000000-0005-0000-0000-0000A80D0000}"/>
    <cellStyle name="40% - Accent3 5 2 2 2 3 2" xfId="6687" xr:uid="{00000000-0005-0000-0000-0000A90D0000}"/>
    <cellStyle name="40% - Accent3 5 2 2 2 3 2 2" xfId="24309" xr:uid="{20B0D64F-920C-467E-8019-4C788BD7BB18}"/>
    <cellStyle name="40% - Accent3 5 2 2 2 3 2 2 2" xfId="39280" xr:uid="{F88F2BE2-7944-4761-B527-D50499365EAE}"/>
    <cellStyle name="40% - Accent3 5 2 2 2 3 2 3" xfId="31677" xr:uid="{CFF43D01-2EDC-4380-9123-E6F6A9C60117}"/>
    <cellStyle name="40% - Accent3 5 2 2 2 3 3" xfId="24308" xr:uid="{E2923AF3-4F41-49D5-AFB3-9AD4C8126AD7}"/>
    <cellStyle name="40% - Accent3 5 2 2 2 3 3 2" xfId="39279" xr:uid="{3D8CD8E9-A1B0-48EE-983B-0B7964D80CD1}"/>
    <cellStyle name="40% - Accent3 5 2 2 2 3 4" xfId="31676" xr:uid="{360344A9-8073-4406-A4B7-3E6FD0A1E20A}"/>
    <cellStyle name="40% - Accent3 5 2 2 2 4" xfId="6688" xr:uid="{00000000-0005-0000-0000-0000AA0D0000}"/>
    <cellStyle name="40% - Accent3 5 2 2 2 4 2" xfId="24310" xr:uid="{2F85F286-67FB-42ED-BDB7-D072E24B4894}"/>
    <cellStyle name="40% - Accent3 5 2 2 2 4 2 2" xfId="39281" xr:uid="{B9EDDE83-47E4-4786-B0B0-1A7D5E7321B5}"/>
    <cellStyle name="40% - Accent3 5 2 2 2 4 3" xfId="31678" xr:uid="{FCB4FCF1-854C-4CF3-99F1-74608D2F2EAB}"/>
    <cellStyle name="40% - Accent3 5 2 2 2 5" xfId="24304" xr:uid="{B0945CBA-676D-4E61-8534-E14ABFF9D53C}"/>
    <cellStyle name="40% - Accent3 5 2 2 2 5 2" xfId="39275" xr:uid="{FC454CFB-2FA0-41F8-BA58-BD70CBE07874}"/>
    <cellStyle name="40% - Accent3 5 2 2 2 6" xfId="31672" xr:uid="{A760665C-0774-414F-A2DC-E930D5A107ED}"/>
    <cellStyle name="40% - Accent3 5 2 2 3" xfId="6689" xr:uid="{00000000-0005-0000-0000-0000AB0D0000}"/>
    <cellStyle name="40% - Accent3 5 2 2 3 2" xfId="6690" xr:uid="{00000000-0005-0000-0000-0000AC0D0000}"/>
    <cellStyle name="40% - Accent3 5 2 2 3 2 2" xfId="24312" xr:uid="{3AE42A25-07B1-4ECB-9FBF-8882AC11B8CB}"/>
    <cellStyle name="40% - Accent3 5 2 2 3 2 2 2" xfId="39283" xr:uid="{CB5EB361-F077-4D09-BDAB-79562FA8D344}"/>
    <cellStyle name="40% - Accent3 5 2 2 3 2 3" xfId="31680" xr:uid="{1AA1D508-7B73-499B-9B80-B13808B3CFCE}"/>
    <cellStyle name="40% - Accent3 5 2 2 3 3" xfId="6691" xr:uid="{00000000-0005-0000-0000-0000AD0D0000}"/>
    <cellStyle name="40% - Accent3 5 2 2 3 3 2" xfId="24313" xr:uid="{DF351A0F-B7B0-480F-BB9F-5C77F538FFD5}"/>
    <cellStyle name="40% - Accent3 5 2 2 3 3 2 2" xfId="39284" xr:uid="{161FDA82-42FB-48A3-8DAB-286B393DADB6}"/>
    <cellStyle name="40% - Accent3 5 2 2 3 3 3" xfId="31681" xr:uid="{C496FB1E-FEDC-4CA6-9215-BC1B31F04AE6}"/>
    <cellStyle name="40% - Accent3 5 2 2 3 4" xfId="24311" xr:uid="{0C2ECC82-0456-4A2E-9EC1-6254B8CF5DC4}"/>
    <cellStyle name="40% - Accent3 5 2 2 3 4 2" xfId="39282" xr:uid="{7F104E67-C725-45D3-B778-78993FC20C7A}"/>
    <cellStyle name="40% - Accent3 5 2 2 3 5" xfId="31679" xr:uid="{40D32289-F8F5-4AB1-B98B-105B01EA0306}"/>
    <cellStyle name="40% - Accent3 5 2 2 4" xfId="6692" xr:uid="{00000000-0005-0000-0000-0000AE0D0000}"/>
    <cellStyle name="40% - Accent3 5 2 2 4 2" xfId="24314" xr:uid="{4DDC4E83-9800-4761-9DB9-0D241D69501C}"/>
    <cellStyle name="40% - Accent3 5 2 2 4 2 2" xfId="39285" xr:uid="{A9838F8A-AAC8-46A8-81E2-642B7E5F1360}"/>
    <cellStyle name="40% - Accent3 5 2 2 4 3" xfId="31682" xr:uid="{5E47DBF9-5F2A-457D-B12C-125CC4CEFCA3}"/>
    <cellStyle name="40% - Accent3 5 2 2 5" xfId="6693" xr:uid="{00000000-0005-0000-0000-0000AF0D0000}"/>
    <cellStyle name="40% - Accent3 5 2 2 5 2" xfId="6694" xr:uid="{00000000-0005-0000-0000-0000B00D0000}"/>
    <cellStyle name="40% - Accent3 5 2 2 5 2 2" xfId="24316" xr:uid="{5309B121-5962-4867-8D28-0E7776ED1603}"/>
    <cellStyle name="40% - Accent3 5 2 2 5 2 2 2" xfId="39287" xr:uid="{1DE0F7E0-E5E2-4F0B-B7B3-5084FD9E180D}"/>
    <cellStyle name="40% - Accent3 5 2 2 5 2 3" xfId="31684" xr:uid="{2CEFB59E-357A-434B-B474-7584290B266C}"/>
    <cellStyle name="40% - Accent3 5 2 2 5 3" xfId="24315" xr:uid="{71928EC6-C405-4784-8B75-264664856D33}"/>
    <cellStyle name="40% - Accent3 5 2 2 5 3 2" xfId="39286" xr:uid="{DE8C9624-4FCD-4578-845A-BCE3F69A4DA2}"/>
    <cellStyle name="40% - Accent3 5 2 2 5 4" xfId="31683" xr:uid="{57B08CC9-3AB6-4F58-ABD2-8A4DFFDDA269}"/>
    <cellStyle name="40% - Accent3 5 2 2 6" xfId="6695" xr:uid="{00000000-0005-0000-0000-0000B10D0000}"/>
    <cellStyle name="40% - Accent3 5 2 2 6 2" xfId="24317" xr:uid="{D0922F40-EFD8-46FD-AA3E-AFA38292F38A}"/>
    <cellStyle name="40% - Accent3 5 2 2 6 2 2" xfId="39288" xr:uid="{D706DCBB-1D09-45F1-8C31-2E22BFCB8EFF}"/>
    <cellStyle name="40% - Accent3 5 2 2 6 3" xfId="31685" xr:uid="{0A875DD5-1581-4E4A-8A4F-1A501146E129}"/>
    <cellStyle name="40% - Accent3 5 2 2 7" xfId="24303" xr:uid="{07BABE3A-622F-45DD-8F06-6AE46FC4BB2C}"/>
    <cellStyle name="40% - Accent3 5 2 2 7 2" xfId="39274" xr:uid="{549004EA-8FE2-45AF-80D3-84B8715AC50F}"/>
    <cellStyle name="40% - Accent3 5 2 2 8" xfId="31671" xr:uid="{A1A9E787-FD52-4AD5-8CDA-DA8A74CD656F}"/>
    <cellStyle name="40% - Accent3 5 2 3" xfId="6696" xr:uid="{00000000-0005-0000-0000-0000B20D0000}"/>
    <cellStyle name="40% - Accent3 5 2 3 2" xfId="6697" xr:uid="{00000000-0005-0000-0000-0000B30D0000}"/>
    <cellStyle name="40% - Accent3 5 2 3 2 2" xfId="6698" xr:uid="{00000000-0005-0000-0000-0000B40D0000}"/>
    <cellStyle name="40% - Accent3 5 2 3 2 2 2" xfId="24320" xr:uid="{60FEAC6C-70D6-422D-93E4-79BA785AE6AB}"/>
    <cellStyle name="40% - Accent3 5 2 3 2 2 2 2" xfId="39291" xr:uid="{19ACEC90-48C7-4E8E-AF14-69EEF5899EBD}"/>
    <cellStyle name="40% - Accent3 5 2 3 2 2 3" xfId="31688" xr:uid="{D99CE7DE-6741-4A76-9A7F-1134C0683A4D}"/>
    <cellStyle name="40% - Accent3 5 2 3 2 3" xfId="6699" xr:uid="{00000000-0005-0000-0000-0000B50D0000}"/>
    <cellStyle name="40% - Accent3 5 2 3 2 3 2" xfId="24321" xr:uid="{7C803F65-7A23-4D9D-B4CE-4D45339C12AA}"/>
    <cellStyle name="40% - Accent3 5 2 3 2 3 2 2" xfId="39292" xr:uid="{71675A2F-B472-4E29-9BB9-8A3256BB3E9D}"/>
    <cellStyle name="40% - Accent3 5 2 3 2 3 3" xfId="31689" xr:uid="{E68BA75A-AF6D-4862-99BC-F07DFE492A69}"/>
    <cellStyle name="40% - Accent3 5 2 3 2 4" xfId="24319" xr:uid="{7C005FD1-6763-4431-9ACC-22BD341F3248}"/>
    <cellStyle name="40% - Accent3 5 2 3 2 4 2" xfId="39290" xr:uid="{6514D99D-90F3-4F2B-AC8C-04C349669166}"/>
    <cellStyle name="40% - Accent3 5 2 3 2 5" xfId="31687" xr:uid="{7CADF9FD-810B-46BD-BDF9-7D3FC53124E6}"/>
    <cellStyle name="40% - Accent3 5 2 3 3" xfId="6700" xr:uid="{00000000-0005-0000-0000-0000B60D0000}"/>
    <cellStyle name="40% - Accent3 5 2 3 3 2" xfId="6701" xr:uid="{00000000-0005-0000-0000-0000B70D0000}"/>
    <cellStyle name="40% - Accent3 5 2 3 3 2 2" xfId="24323" xr:uid="{4E2D901B-1B58-4A1C-86D8-AA9D5628F9AE}"/>
    <cellStyle name="40% - Accent3 5 2 3 3 2 2 2" xfId="39294" xr:uid="{32CBC339-7416-4389-B937-4EFB782DFB70}"/>
    <cellStyle name="40% - Accent3 5 2 3 3 2 3" xfId="31691" xr:uid="{4A13FCBF-7B41-4D59-8E64-02662F52BFDC}"/>
    <cellStyle name="40% - Accent3 5 2 3 3 3" xfId="24322" xr:uid="{01F84D50-3F84-43B7-9611-637344C782E1}"/>
    <cellStyle name="40% - Accent3 5 2 3 3 3 2" xfId="39293" xr:uid="{709B9830-08AA-463F-88FD-EB26F7B9188A}"/>
    <cellStyle name="40% - Accent3 5 2 3 3 4" xfId="31690" xr:uid="{AF3437C2-FC8A-4D9E-A15C-8EEDF5B4A3E8}"/>
    <cellStyle name="40% - Accent3 5 2 3 4" xfId="6702" xr:uid="{00000000-0005-0000-0000-0000B80D0000}"/>
    <cellStyle name="40% - Accent3 5 2 3 4 2" xfId="24324" xr:uid="{C667E8F2-AFD5-41F7-BD8F-593532653BF3}"/>
    <cellStyle name="40% - Accent3 5 2 3 4 2 2" xfId="39295" xr:uid="{D09673CF-48D5-4EFD-A714-4B2E4E8544CC}"/>
    <cellStyle name="40% - Accent3 5 2 3 4 3" xfId="31692" xr:uid="{3E24B868-3640-44D0-A37A-598771743171}"/>
    <cellStyle name="40% - Accent3 5 2 3 5" xfId="24318" xr:uid="{2C124EAA-BD06-4F0A-8BB6-866964C48081}"/>
    <cellStyle name="40% - Accent3 5 2 3 5 2" xfId="39289" xr:uid="{0006F620-A233-483E-847F-9FF2C167D60C}"/>
    <cellStyle name="40% - Accent3 5 2 3 6" xfId="31686" xr:uid="{F15CB3DF-1A00-4492-8C86-3E59DB4F0A86}"/>
    <cellStyle name="40% - Accent3 5 2 4" xfId="6703" xr:uid="{00000000-0005-0000-0000-0000B90D0000}"/>
    <cellStyle name="40% - Accent3 5 2 5" xfId="6704" xr:uid="{00000000-0005-0000-0000-0000BA0D0000}"/>
    <cellStyle name="40% - Accent3 5 2 5 2" xfId="24325" xr:uid="{F462C1DB-C78D-4D2E-9DE9-38BB1DC8CB42}"/>
    <cellStyle name="40% - Accent3 5 2 5 2 2" xfId="39296" xr:uid="{15E1776E-8B4A-4A44-87D5-8CB14CC8FB27}"/>
    <cellStyle name="40% - Accent3 5 2 5 3" xfId="31693" xr:uid="{B180D483-3E79-4776-A496-A8F57A85C9E4}"/>
    <cellStyle name="40% - Accent3 5 3" xfId="6705" xr:uid="{00000000-0005-0000-0000-0000BB0D0000}"/>
    <cellStyle name="40% - Accent3 5 3 2" xfId="6706" xr:uid="{00000000-0005-0000-0000-0000BC0D0000}"/>
    <cellStyle name="40% - Accent3 5 3 2 2" xfId="6707" xr:uid="{00000000-0005-0000-0000-0000BD0D0000}"/>
    <cellStyle name="40% - Accent3 5 3 2 2 2" xfId="24328" xr:uid="{525E2783-B883-4D5F-B2D6-F2DC71EE4437}"/>
    <cellStyle name="40% - Accent3 5 3 2 2 2 2" xfId="39299" xr:uid="{B52BB7D9-C185-445D-B426-3136D765C00C}"/>
    <cellStyle name="40% - Accent3 5 3 2 2 3" xfId="31696" xr:uid="{529F10FE-FAA1-45A7-BA72-19BAD7ED5A0C}"/>
    <cellStyle name="40% - Accent3 5 3 2 3" xfId="6708" xr:uid="{00000000-0005-0000-0000-0000BE0D0000}"/>
    <cellStyle name="40% - Accent3 5 3 2 3 2" xfId="24329" xr:uid="{5ECD8C1F-5C61-427E-89B5-40F2FC10BBDA}"/>
    <cellStyle name="40% - Accent3 5 3 2 3 2 2" xfId="39300" xr:uid="{D58D073B-0C24-49E5-8653-C35998D23DAD}"/>
    <cellStyle name="40% - Accent3 5 3 2 3 3" xfId="31697" xr:uid="{789670EF-15D4-4347-8425-2D789D93B84F}"/>
    <cellStyle name="40% - Accent3 5 3 2 4" xfId="24327" xr:uid="{D3CBC39D-848F-4B12-AB2F-AE36D83EC0D7}"/>
    <cellStyle name="40% - Accent3 5 3 2 4 2" xfId="39298" xr:uid="{E1C31958-2F8D-4A44-8B7A-5E942D518229}"/>
    <cellStyle name="40% - Accent3 5 3 2 5" xfId="31695" xr:uid="{582CD96C-64E0-47BA-A91C-8586C5938BC1}"/>
    <cellStyle name="40% - Accent3 5 3 3" xfId="6709" xr:uid="{00000000-0005-0000-0000-0000BF0D0000}"/>
    <cellStyle name="40% - Accent3 5 3 3 2" xfId="24330" xr:uid="{96E99FA6-67F8-4E97-9A07-F49E077FD4F9}"/>
    <cellStyle name="40% - Accent3 5 3 3 2 2" xfId="39301" xr:uid="{488BBC7F-8B75-4535-81FB-BA8D92F64DB1}"/>
    <cellStyle name="40% - Accent3 5 3 3 3" xfId="31698" xr:uid="{C95BC977-93AC-4354-B3CF-6D0C597CADE1}"/>
    <cellStyle name="40% - Accent3 5 3 4" xfId="6710" xr:uid="{00000000-0005-0000-0000-0000C00D0000}"/>
    <cellStyle name="40% - Accent3 5 3 4 2" xfId="6711" xr:uid="{00000000-0005-0000-0000-0000C10D0000}"/>
    <cellStyle name="40% - Accent3 5 3 4 2 2" xfId="24332" xr:uid="{871CF7ED-398F-4A49-911B-0BD9D27DD375}"/>
    <cellStyle name="40% - Accent3 5 3 4 2 2 2" xfId="39303" xr:uid="{6F212A79-BD83-4E2A-9756-9C16923A4524}"/>
    <cellStyle name="40% - Accent3 5 3 4 2 3" xfId="31700" xr:uid="{D8C0FE39-D657-42D7-8C43-090696141C9D}"/>
    <cellStyle name="40% - Accent3 5 3 4 3" xfId="24331" xr:uid="{795AE0C3-A307-49C4-AD2F-913070DDFE23}"/>
    <cellStyle name="40% - Accent3 5 3 4 3 2" xfId="39302" xr:uid="{91694318-B046-4C0B-B9F2-F183D92C1FE8}"/>
    <cellStyle name="40% - Accent3 5 3 4 4" xfId="31699" xr:uid="{6962E3E3-656A-4020-A9EB-7FFDED08E402}"/>
    <cellStyle name="40% - Accent3 5 3 5" xfId="6712" xr:uid="{00000000-0005-0000-0000-0000C20D0000}"/>
    <cellStyle name="40% - Accent3 5 3 5 2" xfId="24333" xr:uid="{30FF8EBD-CD41-41A1-A8A8-642B20C64110}"/>
    <cellStyle name="40% - Accent3 5 3 5 2 2" xfId="39304" xr:uid="{8ED90234-4D24-409E-84A0-AD94A5544D34}"/>
    <cellStyle name="40% - Accent3 5 3 5 3" xfId="31701" xr:uid="{E7201862-5E43-4D54-9B8D-11D17240C351}"/>
    <cellStyle name="40% - Accent3 5 3 6" xfId="24326" xr:uid="{3787BFF1-D5B0-4242-A753-CBAAEDA0F8BB}"/>
    <cellStyle name="40% - Accent3 5 3 6 2" xfId="39297" xr:uid="{7ED7905B-206D-4CEE-890C-28B6C2CECC05}"/>
    <cellStyle name="40% - Accent3 5 3 7" xfId="31694" xr:uid="{1FE2FB34-8052-4B07-B7E0-DCFE5CAE50C9}"/>
    <cellStyle name="40% - Accent3 5 4" xfId="6713" xr:uid="{00000000-0005-0000-0000-0000C30D0000}"/>
    <cellStyle name="40% - Accent3 5 4 2" xfId="6714" xr:uid="{00000000-0005-0000-0000-0000C40D0000}"/>
    <cellStyle name="40% - Accent3 5 4 2 2" xfId="6715" xr:uid="{00000000-0005-0000-0000-0000C50D0000}"/>
    <cellStyle name="40% - Accent3 5 4 2 2 2" xfId="24336" xr:uid="{14708972-96B1-44CF-99B6-29EC48BEB430}"/>
    <cellStyle name="40% - Accent3 5 4 2 2 2 2" xfId="39307" xr:uid="{5B38E2B7-F705-464E-9F7F-2E0787E9238A}"/>
    <cellStyle name="40% - Accent3 5 4 2 2 3" xfId="31704" xr:uid="{61F06176-71FA-4E17-8B8D-5FF5756777CC}"/>
    <cellStyle name="40% - Accent3 5 4 2 3" xfId="6716" xr:uid="{00000000-0005-0000-0000-0000C60D0000}"/>
    <cellStyle name="40% - Accent3 5 4 2 3 2" xfId="24337" xr:uid="{AC8F5A73-CEFC-42FC-AD9B-882483D431A3}"/>
    <cellStyle name="40% - Accent3 5 4 2 3 2 2" xfId="39308" xr:uid="{5E4B410B-9352-4DF8-BB39-19E7AADB775F}"/>
    <cellStyle name="40% - Accent3 5 4 2 3 3" xfId="31705" xr:uid="{D8158172-12D1-4629-BEA2-40E3834AD275}"/>
    <cellStyle name="40% - Accent3 5 4 2 4" xfId="24335" xr:uid="{8F13D1AD-1E0B-4B53-868E-F6CA117DA86E}"/>
    <cellStyle name="40% - Accent3 5 4 2 4 2" xfId="39306" xr:uid="{20C08CD6-DE41-4316-8F34-5AB33C64017F}"/>
    <cellStyle name="40% - Accent3 5 4 2 5" xfId="31703" xr:uid="{AEE4C023-136E-4BE3-8632-2A0D5DD7CAB0}"/>
    <cellStyle name="40% - Accent3 5 4 3" xfId="6717" xr:uid="{00000000-0005-0000-0000-0000C70D0000}"/>
    <cellStyle name="40% - Accent3 5 4 3 2" xfId="6718" xr:uid="{00000000-0005-0000-0000-0000C80D0000}"/>
    <cellStyle name="40% - Accent3 5 4 3 2 2" xfId="24339" xr:uid="{6A86658A-3DF4-454D-B4B7-23692F6BACCD}"/>
    <cellStyle name="40% - Accent3 5 4 3 2 2 2" xfId="39310" xr:uid="{BEC0DC81-76DC-4FCF-9A90-CB2E821801B8}"/>
    <cellStyle name="40% - Accent3 5 4 3 2 3" xfId="31707" xr:uid="{B8BD3061-0641-460A-A696-8D9DF2B6C9FA}"/>
    <cellStyle name="40% - Accent3 5 4 3 3" xfId="24338" xr:uid="{B862C94E-D8AB-4042-8DBF-D5169D457F2D}"/>
    <cellStyle name="40% - Accent3 5 4 3 3 2" xfId="39309" xr:uid="{0245ABB1-F931-4800-B483-79ADE4E40B03}"/>
    <cellStyle name="40% - Accent3 5 4 3 4" xfId="31706" xr:uid="{5136BECE-3DA0-4D6F-962D-3E49588B5DAE}"/>
    <cellStyle name="40% - Accent3 5 4 4" xfId="6719" xr:uid="{00000000-0005-0000-0000-0000C90D0000}"/>
    <cellStyle name="40% - Accent3 5 4 4 2" xfId="24340" xr:uid="{0703D00C-2356-43C5-9E91-354EBFAF310B}"/>
    <cellStyle name="40% - Accent3 5 4 4 2 2" xfId="39311" xr:uid="{11B49B5A-0564-40BD-8F01-DE3DEEBA0C6C}"/>
    <cellStyle name="40% - Accent3 5 4 4 3" xfId="31708" xr:uid="{C939B22C-E5FA-4010-9DC8-241F453D0225}"/>
    <cellStyle name="40% - Accent3 5 4 5" xfId="24334" xr:uid="{F15D858F-AD2A-446B-B8C0-03AF1F1D6E4A}"/>
    <cellStyle name="40% - Accent3 5 4 5 2" xfId="39305" xr:uid="{1B556F40-C893-4460-ADDC-FC6DDD82C487}"/>
    <cellStyle name="40% - Accent3 5 4 6" xfId="31702" xr:uid="{9445E832-0DFC-4DCA-9E2F-D09FFBB8BF15}"/>
    <cellStyle name="40% - Accent3 5 5" xfId="6720" xr:uid="{00000000-0005-0000-0000-0000CA0D0000}"/>
    <cellStyle name="40% - Accent3 5 5 2" xfId="6721" xr:uid="{00000000-0005-0000-0000-0000CB0D0000}"/>
    <cellStyle name="40% - Accent3 5 5 2 2" xfId="24342" xr:uid="{97B7AFE3-9C82-4E9C-9B24-AF81B77DD6AE}"/>
    <cellStyle name="40% - Accent3 5 5 2 2 2" xfId="39313" xr:uid="{952DD276-5B01-4440-A2AE-63EA90B7E85C}"/>
    <cellStyle name="40% - Accent3 5 5 2 3" xfId="31710" xr:uid="{79597F47-289A-415D-9EB4-C9B3C36049DB}"/>
    <cellStyle name="40% - Accent3 5 5 3" xfId="6722" xr:uid="{00000000-0005-0000-0000-0000CC0D0000}"/>
    <cellStyle name="40% - Accent3 5 5 3 2" xfId="24343" xr:uid="{CE47F764-2837-41D2-A1ED-6001F2A0F8B5}"/>
    <cellStyle name="40% - Accent3 5 5 3 2 2" xfId="39314" xr:uid="{8EFF5C59-DEE0-4A37-B6DC-5789C2F83DCA}"/>
    <cellStyle name="40% - Accent3 5 5 3 3" xfId="31711" xr:uid="{D276C7BA-D30C-4963-B207-9738361E952B}"/>
    <cellStyle name="40% - Accent3 5 5 4" xfId="24341" xr:uid="{5CAF1BAD-7740-4E74-AD3F-7F4C60ED88DC}"/>
    <cellStyle name="40% - Accent3 5 5 4 2" xfId="39312" xr:uid="{22913F9C-49F6-4BE1-9717-3C7C149EDA31}"/>
    <cellStyle name="40% - Accent3 5 5 5" xfId="31709" xr:uid="{6A04473F-EF16-472B-B716-D7637FB93627}"/>
    <cellStyle name="40% - Accent3 5 6" xfId="6723" xr:uid="{00000000-0005-0000-0000-0000CD0D0000}"/>
    <cellStyle name="40% - Accent3 5 6 2" xfId="24344" xr:uid="{89B3D4C1-9A86-4CFA-A4B5-BA6F08B91574}"/>
    <cellStyle name="40% - Accent3 5 6 2 2" xfId="39315" xr:uid="{45A2C41B-475A-4783-B203-92D21B24835E}"/>
    <cellStyle name="40% - Accent3 5 6 3" xfId="31712" xr:uid="{C1D57A78-6D75-4A18-A9BD-87955830E895}"/>
    <cellStyle name="40% - Accent3 5 7" xfId="6724" xr:uid="{00000000-0005-0000-0000-0000CE0D0000}"/>
    <cellStyle name="40% - Accent3 5 7 2" xfId="6725" xr:uid="{00000000-0005-0000-0000-0000CF0D0000}"/>
    <cellStyle name="40% - Accent3 5 7 2 2" xfId="24346" xr:uid="{CD8A7ADB-5759-46BA-B1F3-EDE9BEA0C622}"/>
    <cellStyle name="40% - Accent3 5 7 2 2 2" xfId="39317" xr:uid="{B97E5548-87C9-4483-BA0E-D99BED840B83}"/>
    <cellStyle name="40% - Accent3 5 7 2 3" xfId="31714" xr:uid="{253BE590-C16A-4D7F-8FED-6A2559BCEA00}"/>
    <cellStyle name="40% - Accent3 5 7 3" xfId="24345" xr:uid="{3E99FE53-E95A-4D1A-88CA-5D7CE8BF87C4}"/>
    <cellStyle name="40% - Accent3 5 7 3 2" xfId="39316" xr:uid="{209A085F-C01A-48C1-A00D-750C8596E5BC}"/>
    <cellStyle name="40% - Accent3 5 7 4" xfId="31713" xr:uid="{73FD5B31-83FF-436D-9411-0DB869A592F7}"/>
    <cellStyle name="40% - Accent3 5 8" xfId="6726" xr:uid="{00000000-0005-0000-0000-0000D00D0000}"/>
    <cellStyle name="40% - Accent3 5 8 2" xfId="24347" xr:uid="{83556173-C319-4BE9-9235-8882EFCBEAD2}"/>
    <cellStyle name="40% - Accent3 5 8 2 2" xfId="39318" xr:uid="{35924CD2-C4D1-45A1-B22C-06188524E9F4}"/>
    <cellStyle name="40% - Accent3 5 8 3" xfId="31715" xr:uid="{7C2932E5-B8AD-4D9B-A78A-66C802755378}"/>
    <cellStyle name="40% - Accent3 5 9" xfId="6679" xr:uid="{00000000-0005-0000-0000-0000A10D0000}"/>
    <cellStyle name="40% - Accent3 5 9 2" xfId="24302" xr:uid="{54ECA00C-ACE3-461E-A7F5-8E338C4B9054}"/>
    <cellStyle name="40% - Accent3 5 9 2 2" xfId="39273" xr:uid="{B53F19CD-B2CE-4E64-BCC0-84CFDF98BDFF}"/>
    <cellStyle name="40% - Accent3 5 9 3" xfId="31670" xr:uid="{202F3954-BD29-4410-88D2-F733A13E1D8E}"/>
    <cellStyle name="40% - Accent3 6" xfId="237" xr:uid="{00000000-0005-0000-0000-00004C000000}"/>
    <cellStyle name="40% - Accent3 6 2" xfId="6727" xr:uid="{00000000-0005-0000-0000-0000D20D0000}"/>
    <cellStyle name="40% - Accent3 6 2 2" xfId="6728" xr:uid="{00000000-0005-0000-0000-0000D30D0000}"/>
    <cellStyle name="40% - Accent3 6 2 2 2" xfId="6729" xr:uid="{00000000-0005-0000-0000-0000D40D0000}"/>
    <cellStyle name="40% - Accent3 6 2 2 2 2" xfId="6730" xr:uid="{00000000-0005-0000-0000-0000D50D0000}"/>
    <cellStyle name="40% - Accent3 6 2 2 2 2 2" xfId="24351" xr:uid="{74392CE4-B78D-4861-BF55-04C946295998}"/>
    <cellStyle name="40% - Accent3 6 2 2 2 2 2 2" xfId="39322" xr:uid="{0A923C88-9863-4E37-9BCA-705F0A822B16}"/>
    <cellStyle name="40% - Accent3 6 2 2 2 2 3" xfId="31719" xr:uid="{8C190BD7-7394-4276-A07F-827FC2872C32}"/>
    <cellStyle name="40% - Accent3 6 2 2 2 3" xfId="6731" xr:uid="{00000000-0005-0000-0000-0000D60D0000}"/>
    <cellStyle name="40% - Accent3 6 2 2 2 3 2" xfId="24352" xr:uid="{E00A204D-95DC-4C48-BF11-DD2EA9C5A005}"/>
    <cellStyle name="40% - Accent3 6 2 2 2 3 2 2" xfId="39323" xr:uid="{22B3DA9E-1BA4-4109-907F-0F2D8492889C}"/>
    <cellStyle name="40% - Accent3 6 2 2 2 3 3" xfId="31720" xr:uid="{84447E98-F282-4A2A-948E-DA9A0CA1F5C7}"/>
    <cellStyle name="40% - Accent3 6 2 2 2 4" xfId="24350" xr:uid="{5BB3E440-E761-4592-8CCC-2FFB9F652A9A}"/>
    <cellStyle name="40% - Accent3 6 2 2 2 4 2" xfId="39321" xr:uid="{E2E0D395-5BA0-4847-8CDC-ED082F8285F7}"/>
    <cellStyle name="40% - Accent3 6 2 2 2 5" xfId="31718" xr:uid="{A07AD42A-93D6-475F-872F-950380AE8D47}"/>
    <cellStyle name="40% - Accent3 6 2 2 3" xfId="6732" xr:uid="{00000000-0005-0000-0000-0000D70D0000}"/>
    <cellStyle name="40% - Accent3 6 2 2 3 2" xfId="6733" xr:uid="{00000000-0005-0000-0000-0000D80D0000}"/>
    <cellStyle name="40% - Accent3 6 2 2 3 2 2" xfId="24354" xr:uid="{20D8A74C-CEFE-403D-A34C-A8BC65E0B0BE}"/>
    <cellStyle name="40% - Accent3 6 2 2 3 2 2 2" xfId="39325" xr:uid="{C41AE5E8-8A90-4B71-ABC4-6ECEFBA303FD}"/>
    <cellStyle name="40% - Accent3 6 2 2 3 2 3" xfId="31722" xr:uid="{8049D77F-5B4A-423B-AA12-BFAD3917D603}"/>
    <cellStyle name="40% - Accent3 6 2 2 3 3" xfId="24353" xr:uid="{BCBAB69B-6CAC-4EFE-9A83-B79B09273AE6}"/>
    <cellStyle name="40% - Accent3 6 2 2 3 3 2" xfId="39324" xr:uid="{8389422D-CC1F-4AC3-B74C-50AF511ED621}"/>
    <cellStyle name="40% - Accent3 6 2 2 3 4" xfId="31721" xr:uid="{4845E217-7A72-42BB-B3A6-5A02B8E32643}"/>
    <cellStyle name="40% - Accent3 6 2 2 4" xfId="6734" xr:uid="{00000000-0005-0000-0000-0000D90D0000}"/>
    <cellStyle name="40% - Accent3 6 2 2 4 2" xfId="24355" xr:uid="{67CA1268-E46A-46BE-AEB5-89FB158F29AF}"/>
    <cellStyle name="40% - Accent3 6 2 2 4 2 2" xfId="39326" xr:uid="{E12D9D0D-CA0C-44CB-92A5-27B3B5720DB9}"/>
    <cellStyle name="40% - Accent3 6 2 2 4 3" xfId="31723" xr:uid="{64DF5D77-0C36-41C2-9EBF-23719598D388}"/>
    <cellStyle name="40% - Accent3 6 2 2 5" xfId="24349" xr:uid="{DDCCDBA4-062C-42F3-9F43-5401E2D2C5E1}"/>
    <cellStyle name="40% - Accent3 6 2 2 5 2" xfId="39320" xr:uid="{4EDB74E1-EDB0-4B41-BFE7-532A5D691F52}"/>
    <cellStyle name="40% - Accent3 6 2 2 6" xfId="31717" xr:uid="{E28F3AEC-5B1F-4796-9592-C6ECD417DB13}"/>
    <cellStyle name="40% - Accent3 6 2 3" xfId="6735" xr:uid="{00000000-0005-0000-0000-0000DA0D0000}"/>
    <cellStyle name="40% - Accent3 6 2 3 2" xfId="6736" xr:uid="{00000000-0005-0000-0000-0000DB0D0000}"/>
    <cellStyle name="40% - Accent3 6 2 3 2 2" xfId="24357" xr:uid="{B16B91B9-0DD0-4579-9BCE-4BE45B8213C9}"/>
    <cellStyle name="40% - Accent3 6 2 3 2 2 2" xfId="39328" xr:uid="{DF39AE53-459C-46F1-BEEB-9843EEF2253F}"/>
    <cellStyle name="40% - Accent3 6 2 3 2 3" xfId="31725" xr:uid="{1EF4CB12-3AD1-4671-8B58-D9F868F60918}"/>
    <cellStyle name="40% - Accent3 6 2 3 3" xfId="6737" xr:uid="{00000000-0005-0000-0000-0000DC0D0000}"/>
    <cellStyle name="40% - Accent3 6 2 3 3 2" xfId="24358" xr:uid="{70564CBB-E7FD-4256-BBA5-E35A97576FB5}"/>
    <cellStyle name="40% - Accent3 6 2 3 3 2 2" xfId="39329" xr:uid="{3F655B4E-4E8B-49BD-B1A0-8FD319F14B02}"/>
    <cellStyle name="40% - Accent3 6 2 3 3 3" xfId="31726" xr:uid="{C3A10008-1E89-4C0A-8FB7-97E5B38B040A}"/>
    <cellStyle name="40% - Accent3 6 2 3 4" xfId="24356" xr:uid="{C0973CFF-4A1A-4698-B9A8-410BD58E38BE}"/>
    <cellStyle name="40% - Accent3 6 2 3 4 2" xfId="39327" xr:uid="{8D8D7AF6-0C01-4088-A0C6-1BC645C5EEF3}"/>
    <cellStyle name="40% - Accent3 6 2 3 5" xfId="31724" xr:uid="{0192BCB1-C33F-47C2-A2E0-9C3206692DC5}"/>
    <cellStyle name="40% - Accent3 6 2 4" xfId="6738" xr:uid="{00000000-0005-0000-0000-0000DD0D0000}"/>
    <cellStyle name="40% - Accent3 6 2 4 2" xfId="24359" xr:uid="{C542EEAA-DC5F-4DEA-ACCF-E3B469777135}"/>
    <cellStyle name="40% - Accent3 6 2 4 2 2" xfId="39330" xr:uid="{20BFFEC7-AB6B-40E5-9CC2-9E5428BA744E}"/>
    <cellStyle name="40% - Accent3 6 2 4 3" xfId="31727" xr:uid="{375F49F7-E8EA-425F-8DB0-E1302B55A3EA}"/>
    <cellStyle name="40% - Accent3 6 2 5" xfId="6739" xr:uid="{00000000-0005-0000-0000-0000DE0D0000}"/>
    <cellStyle name="40% - Accent3 6 2 5 2" xfId="6740" xr:uid="{00000000-0005-0000-0000-0000DF0D0000}"/>
    <cellStyle name="40% - Accent3 6 2 5 2 2" xfId="24361" xr:uid="{8AAC8748-0B65-4C4D-BE11-35316E1439B6}"/>
    <cellStyle name="40% - Accent3 6 2 5 2 2 2" xfId="39332" xr:uid="{2AAED28E-0242-4575-8DA9-19A018895D53}"/>
    <cellStyle name="40% - Accent3 6 2 5 2 3" xfId="31729" xr:uid="{9F3C1BAF-DFE4-4811-B19F-4C91C6264373}"/>
    <cellStyle name="40% - Accent3 6 2 5 3" xfId="24360" xr:uid="{BE31C17F-4E3D-45AA-B87F-3F59605068A8}"/>
    <cellStyle name="40% - Accent3 6 2 5 3 2" xfId="39331" xr:uid="{26693ED1-0484-4E2F-992E-5D15F2ABE65E}"/>
    <cellStyle name="40% - Accent3 6 2 5 4" xfId="31728" xr:uid="{4BC20EB2-C592-4667-B9E4-486B3E15434E}"/>
    <cellStyle name="40% - Accent3 6 2 6" xfId="6741" xr:uid="{00000000-0005-0000-0000-0000E00D0000}"/>
    <cellStyle name="40% - Accent3 6 2 6 2" xfId="24362" xr:uid="{7C269D1F-0743-4C89-8B82-A6C467FC1CD3}"/>
    <cellStyle name="40% - Accent3 6 2 6 2 2" xfId="39333" xr:uid="{0BECAAD2-52D5-442F-B97E-406D2DAFAEB7}"/>
    <cellStyle name="40% - Accent3 6 2 6 3" xfId="31730" xr:uid="{1D1EF1B2-260A-469B-8583-4B5A3DE2C4F3}"/>
    <cellStyle name="40% - Accent3 6 2 7" xfId="24348" xr:uid="{16F49F90-90E1-4F08-B593-2BD85D659BE1}"/>
    <cellStyle name="40% - Accent3 6 2 7 2" xfId="39319" xr:uid="{65025DC5-36F2-40F6-BC5F-ACA7A5DDE9ED}"/>
    <cellStyle name="40% - Accent3 6 2 8" xfId="31716" xr:uid="{914A7034-D813-40FC-8D7A-BCD2A654A188}"/>
    <cellStyle name="40% - Accent3 6 3" xfId="6742" xr:uid="{00000000-0005-0000-0000-0000E10D0000}"/>
    <cellStyle name="40% - Accent3 6 3 2" xfId="6743" xr:uid="{00000000-0005-0000-0000-0000E20D0000}"/>
    <cellStyle name="40% - Accent3 6 3 2 2" xfId="6744" xr:uid="{00000000-0005-0000-0000-0000E30D0000}"/>
    <cellStyle name="40% - Accent3 6 3 2 2 2" xfId="24365" xr:uid="{9AD11D44-C51E-4AA0-A330-2607086651D1}"/>
    <cellStyle name="40% - Accent3 6 3 2 2 2 2" xfId="39336" xr:uid="{5713D726-E384-460B-A9C1-BE6A0B7124A8}"/>
    <cellStyle name="40% - Accent3 6 3 2 2 3" xfId="31733" xr:uid="{EC7264DE-B627-4A58-A44E-61AC6273EB4F}"/>
    <cellStyle name="40% - Accent3 6 3 2 3" xfId="6745" xr:uid="{00000000-0005-0000-0000-0000E40D0000}"/>
    <cellStyle name="40% - Accent3 6 3 2 3 2" xfId="24366" xr:uid="{182331D0-B752-449E-8783-225E3E194837}"/>
    <cellStyle name="40% - Accent3 6 3 2 3 2 2" xfId="39337" xr:uid="{A381B90E-15AB-4A57-B04F-67FB7AF370D9}"/>
    <cellStyle name="40% - Accent3 6 3 2 3 3" xfId="31734" xr:uid="{133D0470-3392-4962-B94C-E73F2AD7E559}"/>
    <cellStyle name="40% - Accent3 6 3 2 4" xfId="24364" xr:uid="{6182F06F-3E5A-4604-8BDE-C0669917180A}"/>
    <cellStyle name="40% - Accent3 6 3 2 4 2" xfId="39335" xr:uid="{C596F168-3B49-45F9-BF45-AE172A81EC50}"/>
    <cellStyle name="40% - Accent3 6 3 2 5" xfId="31732" xr:uid="{FF756575-76E0-4891-A14A-94F7007D6179}"/>
    <cellStyle name="40% - Accent3 6 3 3" xfId="6746" xr:uid="{00000000-0005-0000-0000-0000E50D0000}"/>
    <cellStyle name="40% - Accent3 6 3 3 2" xfId="6747" xr:uid="{00000000-0005-0000-0000-0000E60D0000}"/>
    <cellStyle name="40% - Accent3 6 3 3 2 2" xfId="24368" xr:uid="{755E0EE8-E767-469A-9B8E-42D958A8A80B}"/>
    <cellStyle name="40% - Accent3 6 3 3 2 2 2" xfId="39339" xr:uid="{753E307F-9D04-4FF9-AAFE-03BF2EA07CAD}"/>
    <cellStyle name="40% - Accent3 6 3 3 2 3" xfId="31736" xr:uid="{12862864-337F-4FB8-B885-8D7EF3DC0C89}"/>
    <cellStyle name="40% - Accent3 6 3 3 3" xfId="24367" xr:uid="{D543598B-6BAC-4313-A7FB-4FD55D737730}"/>
    <cellStyle name="40% - Accent3 6 3 3 3 2" xfId="39338" xr:uid="{3ECA2BE6-2D8A-4680-95A6-F50E53ED31CA}"/>
    <cellStyle name="40% - Accent3 6 3 3 4" xfId="31735" xr:uid="{FB6333DB-64D0-430F-9881-ADCF098E1960}"/>
    <cellStyle name="40% - Accent3 6 3 4" xfId="6748" xr:uid="{00000000-0005-0000-0000-0000E70D0000}"/>
    <cellStyle name="40% - Accent3 6 3 4 2" xfId="24369" xr:uid="{93596C4D-4D7A-4B03-BC66-475AF921F0B4}"/>
    <cellStyle name="40% - Accent3 6 3 4 2 2" xfId="39340" xr:uid="{2224D269-F1D5-4B5F-BDBC-505BCECF0A82}"/>
    <cellStyle name="40% - Accent3 6 3 4 3" xfId="31737" xr:uid="{9190B9A8-06C3-4AB1-8B0A-C3C60BF242FF}"/>
    <cellStyle name="40% - Accent3 6 3 5" xfId="24363" xr:uid="{666C89A5-F7AC-4CEC-823B-CBD695A18953}"/>
    <cellStyle name="40% - Accent3 6 3 5 2" xfId="39334" xr:uid="{9699E755-33AB-4BE5-AC68-781B373F8094}"/>
    <cellStyle name="40% - Accent3 6 3 6" xfId="31731" xr:uid="{953F7D96-A04B-4B26-932D-2EDD2498B303}"/>
    <cellStyle name="40% - Accent3 6 4" xfId="6749" xr:uid="{00000000-0005-0000-0000-0000E80D0000}"/>
    <cellStyle name="40% - Accent3 6 5" xfId="6750" xr:uid="{00000000-0005-0000-0000-0000E90D0000}"/>
    <cellStyle name="40% - Accent3 6 5 2" xfId="24370" xr:uid="{FCE4AB78-117F-4D14-9DE7-AA8444ECDB91}"/>
    <cellStyle name="40% - Accent3 6 5 2 2" xfId="39341" xr:uid="{002AB04D-9825-43D4-A57A-DFDE6EFABFAB}"/>
    <cellStyle name="40% - Accent3 6 5 3" xfId="31738" xr:uid="{E8A2A678-213F-4D11-A0C9-DE7E03E0CDE6}"/>
    <cellStyle name="40% - Accent3 7" xfId="238" xr:uid="{00000000-0005-0000-0000-00004D000000}"/>
    <cellStyle name="40% - Accent3 7 2" xfId="6751" xr:uid="{00000000-0005-0000-0000-0000EB0D0000}"/>
    <cellStyle name="40% - Accent3 7 2 2" xfId="24371" xr:uid="{C8D0D25E-9F9E-44C8-B66D-AEE8180FF393}"/>
    <cellStyle name="40% - Accent3 7 2 2 2" xfId="39342" xr:uid="{34E54C3C-F4BC-4806-8406-5E418C324389}"/>
    <cellStyle name="40% - Accent3 7 2 3" xfId="31739" xr:uid="{AC8250A7-1E17-4A0B-849B-E167CA3D3FC3}"/>
    <cellStyle name="40% - Accent3 7 3" xfId="6752" xr:uid="{00000000-0005-0000-0000-0000EC0D0000}"/>
    <cellStyle name="40% - Accent3 7 4" xfId="6753" xr:uid="{00000000-0005-0000-0000-0000ED0D0000}"/>
    <cellStyle name="40% - Accent3 7 4 2" xfId="24372" xr:uid="{C49FE770-576C-4184-812A-B0FFEE492F56}"/>
    <cellStyle name="40% - Accent3 7 4 2 2" xfId="39343" xr:uid="{D93ADDCC-ADA3-4D1D-9DEF-0295EB4CD1F8}"/>
    <cellStyle name="40% - Accent3 7 4 3" xfId="31740" xr:uid="{77E65BAF-9B2D-4D07-AEB6-9F8D4EBE12D5}"/>
    <cellStyle name="40% - Accent3 8" xfId="6754" xr:uid="{00000000-0005-0000-0000-0000EE0D0000}"/>
    <cellStyle name="40% - Accent3 8 2" xfId="6755" xr:uid="{00000000-0005-0000-0000-0000EF0D0000}"/>
    <cellStyle name="40% - Accent3 8 2 2" xfId="6756" xr:uid="{00000000-0005-0000-0000-0000F00D0000}"/>
    <cellStyle name="40% - Accent3 8 2 2 2" xfId="24375" xr:uid="{A45E5B80-9A9A-4757-861D-18DB439C53F1}"/>
    <cellStyle name="40% - Accent3 8 2 2 2 2" xfId="39346" xr:uid="{E3FC6EF6-60CB-4D82-A881-2654AED36AF7}"/>
    <cellStyle name="40% - Accent3 8 2 2 3" xfId="31743" xr:uid="{56697297-E9AA-4CB8-966F-C7DABBB5858D}"/>
    <cellStyle name="40% - Accent3 8 2 3" xfId="6757" xr:uid="{00000000-0005-0000-0000-0000F10D0000}"/>
    <cellStyle name="40% - Accent3 8 2 3 2" xfId="6758" xr:uid="{00000000-0005-0000-0000-0000F20D0000}"/>
    <cellStyle name="40% - Accent3 8 2 3 2 2" xfId="24377" xr:uid="{9212D837-7C6F-4F60-B24E-0E7BADECECEA}"/>
    <cellStyle name="40% - Accent3 8 2 3 2 2 2" xfId="39348" xr:uid="{7E3CFE68-A357-4B98-B0E1-2F7652B17126}"/>
    <cellStyle name="40% - Accent3 8 2 3 2 3" xfId="31745" xr:uid="{C40A197E-B647-4D8D-BF4B-50F5648F3E60}"/>
    <cellStyle name="40% - Accent3 8 2 3 3" xfId="24376" xr:uid="{A6400F0B-194D-4758-8282-BE08A8F60EBF}"/>
    <cellStyle name="40% - Accent3 8 2 3 3 2" xfId="39347" xr:uid="{5C50DCBE-FA36-4C64-88F6-9D80F0006F67}"/>
    <cellStyle name="40% - Accent3 8 2 3 4" xfId="31744" xr:uid="{2AE1CA31-1A76-4A79-8EC4-E5972B7F042A}"/>
    <cellStyle name="40% - Accent3 8 2 4" xfId="24374" xr:uid="{29D95D2E-890F-4192-8887-EE9779890368}"/>
    <cellStyle name="40% - Accent3 8 2 4 2" xfId="39345" xr:uid="{A579201B-EE21-4666-9585-D003B0144DD9}"/>
    <cellStyle name="40% - Accent3 8 2 5" xfId="31742" xr:uid="{971D9C41-ABE1-4ECE-AD60-9A4ABF65914F}"/>
    <cellStyle name="40% - Accent3 8 3" xfId="6759" xr:uid="{00000000-0005-0000-0000-0000F30D0000}"/>
    <cellStyle name="40% - Accent3 8 3 2" xfId="24378" xr:uid="{75A1A0FF-A620-49A9-9A1D-BFA4D2F42E2C}"/>
    <cellStyle name="40% - Accent3 8 3 2 2" xfId="39349" xr:uid="{06418FF8-7097-4E30-BADA-6E0A46E119DA}"/>
    <cellStyle name="40% - Accent3 8 3 3" xfId="31746" xr:uid="{DAC9EAB3-5ECE-4C73-8A10-7489779C666D}"/>
    <cellStyle name="40% - Accent3 8 4" xfId="6760" xr:uid="{00000000-0005-0000-0000-0000F40D0000}"/>
    <cellStyle name="40% - Accent3 8 4 2" xfId="6761" xr:uid="{00000000-0005-0000-0000-0000F50D0000}"/>
    <cellStyle name="40% - Accent3 8 4 2 2" xfId="24380" xr:uid="{7BAB7A79-FEA1-4E87-819A-AA9E0C62F17B}"/>
    <cellStyle name="40% - Accent3 8 4 2 2 2" xfId="39351" xr:uid="{E1EAD45B-ED4A-4280-94D1-D813FE94729C}"/>
    <cellStyle name="40% - Accent3 8 4 2 3" xfId="31748" xr:uid="{F332F466-A79A-48E4-B733-207BC3EB28C2}"/>
    <cellStyle name="40% - Accent3 8 4 3" xfId="24379" xr:uid="{27FAD6A2-5E33-4B23-A64C-F354F226BB96}"/>
    <cellStyle name="40% - Accent3 8 4 3 2" xfId="39350" xr:uid="{D651EC8F-2C42-4EDE-A8ED-9484DC54B988}"/>
    <cellStyle name="40% - Accent3 8 4 4" xfId="31747" xr:uid="{BDBF58E7-8777-4476-A3DC-CCFE5E087B1F}"/>
    <cellStyle name="40% - Accent3 8 5" xfId="6762" xr:uid="{00000000-0005-0000-0000-0000F60D0000}"/>
    <cellStyle name="40% - Accent3 8 5 2" xfId="24381" xr:uid="{14987E10-B672-4C6F-934D-2C5D1DF2E3F1}"/>
    <cellStyle name="40% - Accent3 8 5 2 2" xfId="39352" xr:uid="{295F833F-D26F-4793-BBFF-D309DA995BE5}"/>
    <cellStyle name="40% - Accent3 8 5 3" xfId="31749" xr:uid="{764DCF5D-8536-4EF9-8333-D218B5FCFBA8}"/>
    <cellStyle name="40% - Accent3 8 6" xfId="24373" xr:uid="{C019B9B1-031E-4E99-97A2-84C26BEAC4CF}"/>
    <cellStyle name="40% - Accent3 8 6 2" xfId="39344" xr:uid="{8E877453-7FEB-4A6A-978C-027D25334BC5}"/>
    <cellStyle name="40% - Accent3 8 7" xfId="31741" xr:uid="{FB721FAE-E29E-4A12-BAEC-B70E9B6433C3}"/>
    <cellStyle name="40% - Accent3 9" xfId="6763" xr:uid="{00000000-0005-0000-0000-0000F70D0000}"/>
    <cellStyle name="40% - Accent3 9 2" xfId="6764" xr:uid="{00000000-0005-0000-0000-0000F80D0000}"/>
    <cellStyle name="40% - Accent3 9 2 2" xfId="6765" xr:uid="{00000000-0005-0000-0000-0000F90D0000}"/>
    <cellStyle name="40% - Accent3 9 2 2 2" xfId="24384" xr:uid="{DC472AD7-4520-4616-829F-8AA674BBC235}"/>
    <cellStyle name="40% - Accent3 9 2 2 2 2" xfId="39355" xr:uid="{01B9FF45-579D-43E7-8494-302704DE824B}"/>
    <cellStyle name="40% - Accent3 9 2 2 3" xfId="31752" xr:uid="{AB2A4D1C-1132-4D1F-B79E-D7999392D810}"/>
    <cellStyle name="40% - Accent3 9 2 3" xfId="6766" xr:uid="{00000000-0005-0000-0000-0000FA0D0000}"/>
    <cellStyle name="40% - Accent3 9 2 3 2" xfId="24385" xr:uid="{D0394FC6-E391-4C68-AB5F-5CC2041EB72C}"/>
    <cellStyle name="40% - Accent3 9 2 3 2 2" xfId="39356" xr:uid="{8F5C37BC-BBE3-4830-AC86-610D91F78840}"/>
    <cellStyle name="40% - Accent3 9 2 3 3" xfId="31753" xr:uid="{95B21CE4-E3BB-4040-8F1A-84E54B735185}"/>
    <cellStyle name="40% - Accent3 9 2 4" xfId="24383" xr:uid="{7E179B40-A350-4F0F-9857-178F31E60984}"/>
    <cellStyle name="40% - Accent3 9 2 4 2" xfId="39354" xr:uid="{C2FC6D8D-184C-4DFB-8003-7F6C27E69A69}"/>
    <cellStyle name="40% - Accent3 9 2 5" xfId="31751" xr:uid="{D7BA1B44-8E75-44DA-A28F-B02A5A3D075B}"/>
    <cellStyle name="40% - Accent3 9 3" xfId="6767" xr:uid="{00000000-0005-0000-0000-0000FB0D0000}"/>
    <cellStyle name="40% - Accent3 9 3 2" xfId="24386" xr:uid="{95DB73E2-1CBB-46F3-8990-93166F46F6F7}"/>
    <cellStyle name="40% - Accent3 9 3 2 2" xfId="39357" xr:uid="{F58E4424-83BF-4A95-AB55-E0E81A3C74AF}"/>
    <cellStyle name="40% - Accent3 9 3 3" xfId="31754" xr:uid="{65A799A1-5CEC-4244-B312-5CBC35CD0EC3}"/>
    <cellStyle name="40% - Accent3 9 4" xfId="6768" xr:uid="{00000000-0005-0000-0000-0000FC0D0000}"/>
    <cellStyle name="40% - Accent3 9 4 2" xfId="6769" xr:uid="{00000000-0005-0000-0000-0000FD0D0000}"/>
    <cellStyle name="40% - Accent3 9 4 2 2" xfId="24388" xr:uid="{812940D0-1FC3-4650-BA37-D8E603B56437}"/>
    <cellStyle name="40% - Accent3 9 4 2 2 2" xfId="39359" xr:uid="{53F7F257-DBC8-42E6-AE55-6CB80303D56C}"/>
    <cellStyle name="40% - Accent3 9 4 2 3" xfId="31756" xr:uid="{B08A9796-0E40-4390-AEC8-FEEFDE35BB09}"/>
    <cellStyle name="40% - Accent3 9 4 3" xfId="24387" xr:uid="{27A62871-63DC-4483-ABAE-98D113702016}"/>
    <cellStyle name="40% - Accent3 9 4 3 2" xfId="39358" xr:uid="{2A939778-54E1-43BF-B856-A617FC9AB2AB}"/>
    <cellStyle name="40% - Accent3 9 4 4" xfId="31755" xr:uid="{E0CD9852-3CF8-4312-B6A3-37D9C38CE0DA}"/>
    <cellStyle name="40% - Accent3 9 5" xfId="6770" xr:uid="{00000000-0005-0000-0000-0000FE0D0000}"/>
    <cellStyle name="40% - Accent3 9 5 2" xfId="24389" xr:uid="{788073F1-D425-4FC1-A0FB-4E45AE165641}"/>
    <cellStyle name="40% - Accent3 9 5 2 2" xfId="39360" xr:uid="{A9D80025-D86E-4C54-A9BD-9E6DDC08D6CC}"/>
    <cellStyle name="40% - Accent3 9 5 3" xfId="31757" xr:uid="{39768718-75A3-4D39-9D63-EFCE433D4DEF}"/>
    <cellStyle name="40% - Accent3 9 6" xfId="24382" xr:uid="{B6DA6F58-D3F0-4B23-A4C9-EB33D9D69DB2}"/>
    <cellStyle name="40% - Accent3 9 6 2" xfId="39353" xr:uid="{BB944F9E-C1F0-4D31-A6F4-47DC871A0687}"/>
    <cellStyle name="40% - Accent3 9 7" xfId="31750" xr:uid="{A6719DAD-3A38-47DD-9106-86BACB21068B}"/>
    <cellStyle name="40% - Accent4" xfId="95" builtinId="43" customBuiltin="1"/>
    <cellStyle name="40% - Accent4 10" xfId="6771" xr:uid="{00000000-0005-0000-0000-0000FF0D0000}"/>
    <cellStyle name="40% - Accent4 10 2" xfId="6772" xr:uid="{00000000-0005-0000-0000-0000000E0000}"/>
    <cellStyle name="40% - Accent4 10 2 2" xfId="6773" xr:uid="{00000000-0005-0000-0000-0000010E0000}"/>
    <cellStyle name="40% - Accent4 10 2 2 2" xfId="24392" xr:uid="{FAF30F6C-8F48-40B6-9C7F-D7E5446A12B0}"/>
    <cellStyle name="40% - Accent4 10 2 2 2 2" xfId="39363" xr:uid="{0B029D04-1E6F-473A-B343-C7BCDCA92B22}"/>
    <cellStyle name="40% - Accent4 10 2 2 3" xfId="31760" xr:uid="{015AEF0C-B829-4CA5-9D97-34E709E59D14}"/>
    <cellStyle name="40% - Accent4 10 2 3" xfId="6774" xr:uid="{00000000-0005-0000-0000-0000020E0000}"/>
    <cellStyle name="40% - Accent4 10 2 3 2" xfId="24393" xr:uid="{A28EFCF1-648C-405B-9AB8-8461714E1118}"/>
    <cellStyle name="40% - Accent4 10 2 3 2 2" xfId="39364" xr:uid="{71E2134D-1DD9-42A3-B255-B97482DFCA55}"/>
    <cellStyle name="40% - Accent4 10 2 3 3" xfId="31761" xr:uid="{044F37A7-7BA5-4E87-A904-D143D103F053}"/>
    <cellStyle name="40% - Accent4 10 2 4" xfId="24391" xr:uid="{A2A35C9A-3617-4C74-AAB5-7FD6DBD4D96F}"/>
    <cellStyle name="40% - Accent4 10 2 4 2" xfId="39362" xr:uid="{468E6204-42CA-41AE-BAE2-9E06EB5C09BA}"/>
    <cellStyle name="40% - Accent4 10 2 5" xfId="31759" xr:uid="{453FA890-198D-4858-BD34-E75D1355E182}"/>
    <cellStyle name="40% - Accent4 10 3" xfId="6775" xr:uid="{00000000-0005-0000-0000-0000030E0000}"/>
    <cellStyle name="40% - Accent4 10 3 2" xfId="24394" xr:uid="{6A76CEC8-8EBE-4C56-8702-1781B7D4B13A}"/>
    <cellStyle name="40% - Accent4 10 3 2 2" xfId="39365" xr:uid="{E830DA0D-8EB5-4AB6-B58F-68E25C54DC41}"/>
    <cellStyle name="40% - Accent4 10 3 3" xfId="31762" xr:uid="{D648F99F-A4DD-4251-86D8-18901F9F0512}"/>
    <cellStyle name="40% - Accent4 10 4" xfId="6776" xr:uid="{00000000-0005-0000-0000-0000040E0000}"/>
    <cellStyle name="40% - Accent4 10 4 2" xfId="6777" xr:uid="{00000000-0005-0000-0000-0000050E0000}"/>
    <cellStyle name="40% - Accent4 10 4 2 2" xfId="24396" xr:uid="{E1D6E31E-4CBF-4F38-AEC9-9E320372B769}"/>
    <cellStyle name="40% - Accent4 10 4 2 2 2" xfId="39367" xr:uid="{D652AF57-C6B8-4C25-8EFA-E3A73249C765}"/>
    <cellStyle name="40% - Accent4 10 4 2 3" xfId="31764" xr:uid="{A992BB53-DC12-433B-AC9E-41FBF9FE25D2}"/>
    <cellStyle name="40% - Accent4 10 4 3" xfId="24395" xr:uid="{F1E2EFBD-E051-4102-905B-2ABEDF249028}"/>
    <cellStyle name="40% - Accent4 10 4 3 2" xfId="39366" xr:uid="{2FA03546-E516-4DAB-AA7E-581354076D11}"/>
    <cellStyle name="40% - Accent4 10 4 4" xfId="31763" xr:uid="{35C6915C-94D4-451C-A379-FBFC97A1FACC}"/>
    <cellStyle name="40% - Accent4 10 5" xfId="6778" xr:uid="{00000000-0005-0000-0000-0000060E0000}"/>
    <cellStyle name="40% - Accent4 10 5 2" xfId="24397" xr:uid="{F0966977-63BC-4AA5-822A-34E0855DDEA8}"/>
    <cellStyle name="40% - Accent4 10 5 2 2" xfId="39368" xr:uid="{3C006EE8-DFC7-41F5-A3C3-E27ABD87354B}"/>
    <cellStyle name="40% - Accent4 10 5 3" xfId="31765" xr:uid="{D49D0B72-834D-42DD-A14B-74B0EB11A122}"/>
    <cellStyle name="40% - Accent4 10 6" xfId="24390" xr:uid="{AFE540FB-FEA1-4213-956E-D158ECA337B4}"/>
    <cellStyle name="40% - Accent4 10 6 2" xfId="39361" xr:uid="{6B670754-AEB6-4FBA-A4E3-4D9741C50FC1}"/>
    <cellStyle name="40% - Accent4 10 7" xfId="31758" xr:uid="{4B803BA6-FDF9-4A53-BAB8-6A17810BC46A}"/>
    <cellStyle name="40% - Accent4 11" xfId="6779" xr:uid="{00000000-0005-0000-0000-0000070E0000}"/>
    <cellStyle name="40% - Accent4 11 2" xfId="6780" xr:uid="{00000000-0005-0000-0000-0000080E0000}"/>
    <cellStyle name="40% - Accent4 11 2 2" xfId="24399" xr:uid="{03A87B70-E470-484B-B257-38063E4695C7}"/>
    <cellStyle name="40% - Accent4 11 2 2 2" xfId="39370" xr:uid="{00466143-55AF-4CF2-A1BA-965CBB856BD7}"/>
    <cellStyle name="40% - Accent4 11 2 3" xfId="31767" xr:uid="{92D78ED6-B992-450B-A0D2-A88B4F483A63}"/>
    <cellStyle name="40% - Accent4 11 3" xfId="6781" xr:uid="{00000000-0005-0000-0000-0000090E0000}"/>
    <cellStyle name="40% - Accent4 11 3 2" xfId="6782" xr:uid="{00000000-0005-0000-0000-00000A0E0000}"/>
    <cellStyle name="40% - Accent4 11 3 2 2" xfId="24401" xr:uid="{6F45BC59-38EE-4984-8F81-9341131C7D02}"/>
    <cellStyle name="40% - Accent4 11 3 2 2 2" xfId="39372" xr:uid="{CE7E24FC-1BEC-4941-8F13-5D52020305CC}"/>
    <cellStyle name="40% - Accent4 11 3 2 3" xfId="31769" xr:uid="{121D0F0F-EDF8-4D98-BACB-44E0D44FBE60}"/>
    <cellStyle name="40% - Accent4 11 3 3" xfId="24400" xr:uid="{F1439BD6-060C-4AF9-B4F3-7B0E422D642D}"/>
    <cellStyle name="40% - Accent4 11 3 3 2" xfId="39371" xr:uid="{C3B4B1E2-C96C-4686-93F6-B32679C2213F}"/>
    <cellStyle name="40% - Accent4 11 3 4" xfId="31768" xr:uid="{C8F53EB5-00C4-4B87-AF85-5E425E61E1E2}"/>
    <cellStyle name="40% - Accent4 11 4" xfId="24398" xr:uid="{599448BD-BFB3-45EE-8070-94612B2C67C1}"/>
    <cellStyle name="40% - Accent4 11 4 2" xfId="39369" xr:uid="{2336BAD7-C718-41EE-830B-10E02E504B20}"/>
    <cellStyle name="40% - Accent4 11 5" xfId="31766" xr:uid="{ADBA3325-92DC-4C34-B080-33D4403C0C96}"/>
    <cellStyle name="40% - Accent4 12" xfId="6783" xr:uid="{00000000-0005-0000-0000-00000B0E0000}"/>
    <cellStyle name="40% - Accent4 12 2" xfId="6784" xr:uid="{00000000-0005-0000-0000-00000C0E0000}"/>
    <cellStyle name="40% - Accent4 12 2 2" xfId="24403" xr:uid="{BBE9AFE8-527A-4DF3-A2AC-0EE92EF591BB}"/>
    <cellStyle name="40% - Accent4 12 2 2 2" xfId="39374" xr:uid="{1EA7CF9F-BE22-4E84-805E-9469C725133B}"/>
    <cellStyle name="40% - Accent4 12 2 3" xfId="31771" xr:uid="{A1F153EC-B204-468E-86BB-78E43E0A452C}"/>
    <cellStyle name="40% - Accent4 12 3" xfId="6785" xr:uid="{00000000-0005-0000-0000-00000D0E0000}"/>
    <cellStyle name="40% - Accent4 12 3 2" xfId="24404" xr:uid="{64EFE298-B75D-4125-ADCF-D89561A74C93}"/>
    <cellStyle name="40% - Accent4 12 3 2 2" xfId="39375" xr:uid="{D7B92525-6184-4854-813A-DA4D69533158}"/>
    <cellStyle name="40% - Accent4 12 3 3" xfId="31772" xr:uid="{84189DAC-4634-4A03-BEFE-44BB49F2490B}"/>
    <cellStyle name="40% - Accent4 12 4" xfId="24402" xr:uid="{3B433410-3F0C-4C12-B558-0E62B68FEA42}"/>
    <cellStyle name="40% - Accent4 12 4 2" xfId="39373" xr:uid="{2756066E-942F-4CEA-86FF-36091C66CFE8}"/>
    <cellStyle name="40% - Accent4 12 5" xfId="31770" xr:uid="{D3F4C002-451A-49C4-A467-B51C79950054}"/>
    <cellStyle name="40% - Accent4 13" xfId="6786" xr:uid="{00000000-0005-0000-0000-00000E0E0000}"/>
    <cellStyle name="40% - Accent4 13 2" xfId="6787" xr:uid="{00000000-0005-0000-0000-00000F0E0000}"/>
    <cellStyle name="40% - Accent4 13 2 2" xfId="24406" xr:uid="{9280DB9C-D4D3-4A3C-8CC6-CD6C04320FBA}"/>
    <cellStyle name="40% - Accent4 13 2 2 2" xfId="39377" xr:uid="{9B942775-9A12-4012-BCD8-86E0C2ADFD47}"/>
    <cellStyle name="40% - Accent4 13 2 3" xfId="31774" xr:uid="{4672F66D-2808-4C58-9FBE-00AD6779DB5E}"/>
    <cellStyle name="40% - Accent4 13 3" xfId="6788" xr:uid="{00000000-0005-0000-0000-0000100E0000}"/>
    <cellStyle name="40% - Accent4 13 3 2" xfId="24407" xr:uid="{40D54A2C-4DD2-4A62-9521-0178AC9E4887}"/>
    <cellStyle name="40% - Accent4 13 3 2 2" xfId="39378" xr:uid="{DD236222-0B2D-497E-A023-F9AF48ECF8BE}"/>
    <cellStyle name="40% - Accent4 13 3 3" xfId="31775" xr:uid="{BFEEADF4-2A97-4CE5-A8E7-BD763CA14A46}"/>
    <cellStyle name="40% - Accent4 13 4" xfId="24405" xr:uid="{4E6BA32B-69F1-4842-BD11-079587E0C61F}"/>
    <cellStyle name="40% - Accent4 13 4 2" xfId="39376" xr:uid="{486D56AA-6A29-48F5-A88F-7AAC209678B0}"/>
    <cellStyle name="40% - Accent4 13 5" xfId="31773" xr:uid="{24531D58-A50E-4553-A6FA-2D7223F0651D}"/>
    <cellStyle name="40% - Accent4 14" xfId="6789" xr:uid="{00000000-0005-0000-0000-0000110E0000}"/>
    <cellStyle name="40% - Accent4 14 2" xfId="6790" xr:uid="{00000000-0005-0000-0000-0000120E0000}"/>
    <cellStyle name="40% - Accent4 14 2 2" xfId="24408" xr:uid="{B9E492D8-F86F-45F4-BF7C-71A353743094}"/>
    <cellStyle name="40% - Accent4 14 2 2 2" xfId="39379" xr:uid="{17CE9FD9-97FE-42FA-B253-23D7D93A6376}"/>
    <cellStyle name="40% - Accent4 14 2 3" xfId="31776" xr:uid="{A682668C-3E9F-4C75-AD72-7B537065D4EE}"/>
    <cellStyle name="40% - Accent4 15" xfId="6791" xr:uid="{00000000-0005-0000-0000-0000130E0000}"/>
    <cellStyle name="40% - Accent4 15 2" xfId="24409" xr:uid="{5B199CCE-BD70-48AD-89ED-01D54A8871AE}"/>
    <cellStyle name="40% - Accent4 15 2 2" xfId="39380" xr:uid="{D36A9D8E-EC06-441C-A62C-3C5F63908D6A}"/>
    <cellStyle name="40% - Accent4 15 3" xfId="31777" xr:uid="{41C2DA46-DB7C-4043-B13F-555C34C00B7A}"/>
    <cellStyle name="40% - Accent4 16" xfId="6792" xr:uid="{00000000-0005-0000-0000-0000140E0000}"/>
    <cellStyle name="40% - Accent4 17" xfId="20652" xr:uid="{02CAE004-F412-48F3-95D6-533B2298D02A}"/>
    <cellStyle name="40% - Accent4 17 2" xfId="35653" xr:uid="{0C0BE37E-AD9D-4F6F-8CF9-F50D7F0755E3}"/>
    <cellStyle name="40% - Accent4 18" xfId="27956" xr:uid="{8AD27E2A-091A-4586-B32C-7CD4D6C29647}"/>
    <cellStyle name="40% - Accent4 2" xfId="239" xr:uid="{00000000-0005-0000-0000-00004E000000}"/>
    <cellStyle name="40% - Accent4 2 2" xfId="6793" xr:uid="{00000000-0005-0000-0000-0000160E0000}"/>
    <cellStyle name="40% - Accent4 2 3" xfId="6794" xr:uid="{00000000-0005-0000-0000-0000170E0000}"/>
    <cellStyle name="40% - Accent4 2 3 10" xfId="31778" xr:uid="{5F3B7C40-59DA-41DC-B6EE-7F4C92013D76}"/>
    <cellStyle name="40% - Accent4 2 3 2" xfId="6795" xr:uid="{00000000-0005-0000-0000-0000180E0000}"/>
    <cellStyle name="40% - Accent4 2 3 2 2" xfId="6796" xr:uid="{00000000-0005-0000-0000-0000190E0000}"/>
    <cellStyle name="40% - Accent4 2 3 2 2 2" xfId="6797" xr:uid="{00000000-0005-0000-0000-00001A0E0000}"/>
    <cellStyle name="40% - Accent4 2 3 2 2 2 2" xfId="6798" xr:uid="{00000000-0005-0000-0000-00001B0E0000}"/>
    <cellStyle name="40% - Accent4 2 3 2 2 2 2 2" xfId="24414" xr:uid="{3E5D7C45-B55F-4B0E-B512-09C3024C70AB}"/>
    <cellStyle name="40% - Accent4 2 3 2 2 2 2 2 2" xfId="39385" xr:uid="{0530D6ED-7BA5-49C8-B081-70A390B3AA2D}"/>
    <cellStyle name="40% - Accent4 2 3 2 2 2 2 3" xfId="31782" xr:uid="{AA5F0043-F7C6-4A1E-827F-FF18D98005E9}"/>
    <cellStyle name="40% - Accent4 2 3 2 2 2 3" xfId="6799" xr:uid="{00000000-0005-0000-0000-00001C0E0000}"/>
    <cellStyle name="40% - Accent4 2 3 2 2 2 3 2" xfId="24415" xr:uid="{665156FD-AEEB-4387-843D-54B48DD69AC7}"/>
    <cellStyle name="40% - Accent4 2 3 2 2 2 3 2 2" xfId="39386" xr:uid="{A5E89855-878C-498E-83B9-113C72936195}"/>
    <cellStyle name="40% - Accent4 2 3 2 2 2 3 3" xfId="31783" xr:uid="{3403B82B-49B6-489B-8984-16F7B60046DB}"/>
    <cellStyle name="40% - Accent4 2 3 2 2 2 4" xfId="24413" xr:uid="{31F86A7C-1D24-418E-806D-184A22E56DD2}"/>
    <cellStyle name="40% - Accent4 2 3 2 2 2 4 2" xfId="39384" xr:uid="{56CCB1FB-EABB-48E4-8473-6F44CBD8D6D0}"/>
    <cellStyle name="40% - Accent4 2 3 2 2 2 5" xfId="31781" xr:uid="{015E6857-21D1-4C04-9995-C2702D2E4C7C}"/>
    <cellStyle name="40% - Accent4 2 3 2 2 3" xfId="6800" xr:uid="{00000000-0005-0000-0000-00001D0E0000}"/>
    <cellStyle name="40% - Accent4 2 3 2 2 3 2" xfId="6801" xr:uid="{00000000-0005-0000-0000-00001E0E0000}"/>
    <cellStyle name="40% - Accent4 2 3 2 2 3 2 2" xfId="24417" xr:uid="{F6E27474-14C6-4CB7-BDAE-BB50DD4F8F94}"/>
    <cellStyle name="40% - Accent4 2 3 2 2 3 2 2 2" xfId="39388" xr:uid="{C49E3DF0-C69A-471B-B44F-3F3203E546EE}"/>
    <cellStyle name="40% - Accent4 2 3 2 2 3 2 3" xfId="31785" xr:uid="{910E7A71-7198-40A2-99BC-E6D4D91BB931}"/>
    <cellStyle name="40% - Accent4 2 3 2 2 3 3" xfId="24416" xr:uid="{678E20B8-B2A1-4C0F-9321-D03937EB416F}"/>
    <cellStyle name="40% - Accent4 2 3 2 2 3 3 2" xfId="39387" xr:uid="{7DF8FFDC-5CFF-4718-81DF-4B09119D5795}"/>
    <cellStyle name="40% - Accent4 2 3 2 2 3 4" xfId="31784" xr:uid="{CEA2C274-B58A-40B7-B598-5F4FEF96E705}"/>
    <cellStyle name="40% - Accent4 2 3 2 2 4" xfId="6802" xr:uid="{00000000-0005-0000-0000-00001F0E0000}"/>
    <cellStyle name="40% - Accent4 2 3 2 2 4 2" xfId="24418" xr:uid="{71E433CE-7D28-40D1-9B17-7E9DE608060E}"/>
    <cellStyle name="40% - Accent4 2 3 2 2 4 2 2" xfId="39389" xr:uid="{5DAC7C22-DB80-41E8-803D-0511A8BA271D}"/>
    <cellStyle name="40% - Accent4 2 3 2 2 4 3" xfId="31786" xr:uid="{1FF0C987-A69B-4F0A-BA3E-E330B206C337}"/>
    <cellStyle name="40% - Accent4 2 3 2 2 5" xfId="24412" xr:uid="{241BD9E3-97EF-4021-B2A4-8FEB7B404D02}"/>
    <cellStyle name="40% - Accent4 2 3 2 2 5 2" xfId="39383" xr:uid="{042584EA-6775-4D69-8952-8453722D7A19}"/>
    <cellStyle name="40% - Accent4 2 3 2 2 6" xfId="31780" xr:uid="{42B2ECA5-D822-4AAF-A37A-C470998C9DF7}"/>
    <cellStyle name="40% - Accent4 2 3 2 3" xfId="6803" xr:uid="{00000000-0005-0000-0000-0000200E0000}"/>
    <cellStyle name="40% - Accent4 2 3 2 3 2" xfId="6804" xr:uid="{00000000-0005-0000-0000-0000210E0000}"/>
    <cellStyle name="40% - Accent4 2 3 2 3 2 2" xfId="6805" xr:uid="{00000000-0005-0000-0000-0000220E0000}"/>
    <cellStyle name="40% - Accent4 2 3 2 3 2 2 2" xfId="24421" xr:uid="{9B3A39C0-0558-48AC-A2B3-00B4FF5B7075}"/>
    <cellStyle name="40% - Accent4 2 3 2 3 2 2 2 2" xfId="39392" xr:uid="{4B9F1150-6E0D-4908-A6C2-80DF1DF940A1}"/>
    <cellStyle name="40% - Accent4 2 3 2 3 2 2 3" xfId="31789" xr:uid="{BDD3A935-601A-4313-8182-C9FE7A60E080}"/>
    <cellStyle name="40% - Accent4 2 3 2 3 2 3" xfId="6806" xr:uid="{00000000-0005-0000-0000-0000230E0000}"/>
    <cellStyle name="40% - Accent4 2 3 2 3 2 3 2" xfId="24422" xr:uid="{D1B0EEE5-9E37-488B-85EC-6EED3FB30FA1}"/>
    <cellStyle name="40% - Accent4 2 3 2 3 2 3 2 2" xfId="39393" xr:uid="{E4F55E07-4A75-4770-BCBC-1CD3F26F89F0}"/>
    <cellStyle name="40% - Accent4 2 3 2 3 2 3 3" xfId="31790" xr:uid="{2198F06B-F01F-4286-8CCF-07DC9047FF83}"/>
    <cellStyle name="40% - Accent4 2 3 2 3 2 4" xfId="24420" xr:uid="{8B764019-1507-4A34-A7F4-CB050FD38C1C}"/>
    <cellStyle name="40% - Accent4 2 3 2 3 2 4 2" xfId="39391" xr:uid="{B6D1CC7F-A7F8-4CCC-808D-004190E3F239}"/>
    <cellStyle name="40% - Accent4 2 3 2 3 2 5" xfId="31788" xr:uid="{22ACBA95-178E-41D1-A981-4C869F32911F}"/>
    <cellStyle name="40% - Accent4 2 3 2 3 3" xfId="6807" xr:uid="{00000000-0005-0000-0000-0000240E0000}"/>
    <cellStyle name="40% - Accent4 2 3 2 3 3 2" xfId="6808" xr:uid="{00000000-0005-0000-0000-0000250E0000}"/>
    <cellStyle name="40% - Accent4 2 3 2 3 3 2 2" xfId="24424" xr:uid="{D8F5B3C0-9B94-40C9-A542-233251C8C3DD}"/>
    <cellStyle name="40% - Accent4 2 3 2 3 3 2 2 2" xfId="39395" xr:uid="{EC48C776-3F25-4E44-B4BE-405BBC98B411}"/>
    <cellStyle name="40% - Accent4 2 3 2 3 3 2 3" xfId="31792" xr:uid="{5688061B-F2D0-4CED-BA18-6A7AB61F8C7D}"/>
    <cellStyle name="40% - Accent4 2 3 2 3 3 3" xfId="24423" xr:uid="{3197356B-4346-4EB9-A8AD-2B7EC6DB9CC2}"/>
    <cellStyle name="40% - Accent4 2 3 2 3 3 3 2" xfId="39394" xr:uid="{1A97A1CF-49B1-41BD-9639-610FCC84DDCD}"/>
    <cellStyle name="40% - Accent4 2 3 2 3 3 4" xfId="31791" xr:uid="{40DFF725-3198-4FCC-9314-84D2AE97654A}"/>
    <cellStyle name="40% - Accent4 2 3 2 3 4" xfId="6809" xr:uid="{00000000-0005-0000-0000-0000260E0000}"/>
    <cellStyle name="40% - Accent4 2 3 2 3 4 2" xfId="24425" xr:uid="{CE76B2B0-2E2F-4028-A814-ECD2C589A739}"/>
    <cellStyle name="40% - Accent4 2 3 2 3 4 2 2" xfId="39396" xr:uid="{EDCE9D49-F7DD-4AA4-8EFD-6CF60F5CFC17}"/>
    <cellStyle name="40% - Accent4 2 3 2 3 4 3" xfId="31793" xr:uid="{3816F960-6930-4E90-A6D8-A6565E8989DB}"/>
    <cellStyle name="40% - Accent4 2 3 2 3 5" xfId="24419" xr:uid="{955157DB-1F77-402C-BC9D-B45C7953B0A3}"/>
    <cellStyle name="40% - Accent4 2 3 2 3 5 2" xfId="39390" xr:uid="{267A72C7-2866-4074-B9A1-06AB5B66E366}"/>
    <cellStyle name="40% - Accent4 2 3 2 3 6" xfId="31787" xr:uid="{58D522AA-A5D6-49FE-B718-501013CD026C}"/>
    <cellStyle name="40% - Accent4 2 3 2 4" xfId="6810" xr:uid="{00000000-0005-0000-0000-0000270E0000}"/>
    <cellStyle name="40% - Accent4 2 3 2 4 2" xfId="6811" xr:uid="{00000000-0005-0000-0000-0000280E0000}"/>
    <cellStyle name="40% - Accent4 2 3 2 4 2 2" xfId="24427" xr:uid="{7401BA44-FEF8-41D3-ABBA-819F2C19706E}"/>
    <cellStyle name="40% - Accent4 2 3 2 4 2 2 2" xfId="39398" xr:uid="{8AB5E195-7B7A-4DBA-AF82-F759123F8A97}"/>
    <cellStyle name="40% - Accent4 2 3 2 4 2 3" xfId="31795" xr:uid="{01EE7694-3010-4476-96F0-861B36E78EB3}"/>
    <cellStyle name="40% - Accent4 2 3 2 4 3" xfId="6812" xr:uid="{00000000-0005-0000-0000-0000290E0000}"/>
    <cellStyle name="40% - Accent4 2 3 2 4 3 2" xfId="24428" xr:uid="{6D958411-BE6B-4F9F-9A18-1297F29A5193}"/>
    <cellStyle name="40% - Accent4 2 3 2 4 3 2 2" xfId="39399" xr:uid="{AA1F8AF9-338E-419A-A54F-54A3566A055E}"/>
    <cellStyle name="40% - Accent4 2 3 2 4 3 3" xfId="31796" xr:uid="{6B8FF713-D952-4B69-9F33-0E727B2C2DA4}"/>
    <cellStyle name="40% - Accent4 2 3 2 4 4" xfId="24426" xr:uid="{C95220B2-7BEA-4615-9078-D44F2C5E1698}"/>
    <cellStyle name="40% - Accent4 2 3 2 4 4 2" xfId="39397" xr:uid="{44F8893A-0A16-4A8E-B4B9-FC485CFBED1D}"/>
    <cellStyle name="40% - Accent4 2 3 2 4 5" xfId="31794" xr:uid="{D8EAAB8F-9331-48E6-BB42-AD0D1948FF3E}"/>
    <cellStyle name="40% - Accent4 2 3 2 5" xfId="6813" xr:uid="{00000000-0005-0000-0000-00002A0E0000}"/>
    <cellStyle name="40% - Accent4 2 3 2 5 2" xfId="24429" xr:uid="{89CCDA80-E8EB-4208-B28B-C77FD49F54BF}"/>
    <cellStyle name="40% - Accent4 2 3 2 5 2 2" xfId="39400" xr:uid="{6F1D4DE7-B2FD-4D99-B7AB-9BAF24105922}"/>
    <cellStyle name="40% - Accent4 2 3 2 5 3" xfId="31797" xr:uid="{490B9E51-1B07-4DEA-BBF1-D21DD8EA2816}"/>
    <cellStyle name="40% - Accent4 2 3 2 6" xfId="6814" xr:uid="{00000000-0005-0000-0000-00002B0E0000}"/>
    <cellStyle name="40% - Accent4 2 3 2 6 2" xfId="6815" xr:uid="{00000000-0005-0000-0000-00002C0E0000}"/>
    <cellStyle name="40% - Accent4 2 3 2 6 2 2" xfId="24431" xr:uid="{FA68C9B3-4366-41AB-8077-D2BC754B7DFC}"/>
    <cellStyle name="40% - Accent4 2 3 2 6 2 2 2" xfId="39402" xr:uid="{F2C519B7-BC34-4F59-B8A9-F780E4F42908}"/>
    <cellStyle name="40% - Accent4 2 3 2 6 2 3" xfId="31799" xr:uid="{4C9CE495-C8F8-44D5-B72F-D8E7639AA44A}"/>
    <cellStyle name="40% - Accent4 2 3 2 6 3" xfId="24430" xr:uid="{1087EA8A-CC79-4BF1-A715-C1C20274E67E}"/>
    <cellStyle name="40% - Accent4 2 3 2 6 3 2" xfId="39401" xr:uid="{75740B2D-352A-492E-B839-3AC09BBF9500}"/>
    <cellStyle name="40% - Accent4 2 3 2 6 4" xfId="31798" xr:uid="{B7ECEB0D-8CF7-44E3-8F57-006060F7185F}"/>
    <cellStyle name="40% - Accent4 2 3 2 7" xfId="6816" xr:uid="{00000000-0005-0000-0000-00002D0E0000}"/>
    <cellStyle name="40% - Accent4 2 3 2 7 2" xfId="24432" xr:uid="{C317CA6E-B47F-4ED4-A297-98DE25948142}"/>
    <cellStyle name="40% - Accent4 2 3 2 7 2 2" xfId="39403" xr:uid="{85BA2345-065A-4D5E-A128-05EC1160B54E}"/>
    <cellStyle name="40% - Accent4 2 3 2 7 3" xfId="31800" xr:uid="{200524D9-AF39-455A-B987-0E8A4F720537}"/>
    <cellStyle name="40% - Accent4 2 3 2 8" xfId="24411" xr:uid="{D18BE8E1-8943-45B3-B58D-068190B98219}"/>
    <cellStyle name="40% - Accent4 2 3 2 8 2" xfId="39382" xr:uid="{1FB4E16F-8403-4CE3-B3D5-B148405E660A}"/>
    <cellStyle name="40% - Accent4 2 3 2 9" xfId="31779" xr:uid="{E6F1F2EC-D637-4EDB-B985-ABDBCC44F866}"/>
    <cellStyle name="40% - Accent4 2 3 3" xfId="6817" xr:uid="{00000000-0005-0000-0000-00002E0E0000}"/>
    <cellStyle name="40% - Accent4 2 3 3 2" xfId="6818" xr:uid="{00000000-0005-0000-0000-00002F0E0000}"/>
    <cellStyle name="40% - Accent4 2 3 3 2 2" xfId="6819" xr:uid="{00000000-0005-0000-0000-0000300E0000}"/>
    <cellStyle name="40% - Accent4 2 3 3 2 2 2" xfId="24435" xr:uid="{43BF93ED-68BC-43E0-BA6E-AA71EA369DD6}"/>
    <cellStyle name="40% - Accent4 2 3 3 2 2 2 2" xfId="39406" xr:uid="{F4C2D2C2-E26F-482C-AEB5-787B3798DFFF}"/>
    <cellStyle name="40% - Accent4 2 3 3 2 2 3" xfId="31803" xr:uid="{6DC2F78F-C58C-4ADC-AAE8-3C37243FEB3B}"/>
    <cellStyle name="40% - Accent4 2 3 3 2 3" xfId="6820" xr:uid="{00000000-0005-0000-0000-0000310E0000}"/>
    <cellStyle name="40% - Accent4 2 3 3 2 3 2" xfId="24436" xr:uid="{B882354F-1FF3-409A-93D0-A7AE352E747F}"/>
    <cellStyle name="40% - Accent4 2 3 3 2 3 2 2" xfId="39407" xr:uid="{59E49EF3-34F2-43AA-96F9-3108545777D0}"/>
    <cellStyle name="40% - Accent4 2 3 3 2 3 3" xfId="31804" xr:uid="{C0D18313-2D6F-425B-AA84-5693FB47C40E}"/>
    <cellStyle name="40% - Accent4 2 3 3 2 4" xfId="24434" xr:uid="{6B220138-9FFC-44F8-9373-93E2A5F82465}"/>
    <cellStyle name="40% - Accent4 2 3 3 2 4 2" xfId="39405" xr:uid="{5C6399FC-D087-4086-9871-06CD392B9C2E}"/>
    <cellStyle name="40% - Accent4 2 3 3 2 5" xfId="31802" xr:uid="{B2E876CA-B3FE-45B8-8F40-049AB43DEEE5}"/>
    <cellStyle name="40% - Accent4 2 3 3 3" xfId="6821" xr:uid="{00000000-0005-0000-0000-0000320E0000}"/>
    <cellStyle name="40% - Accent4 2 3 3 3 2" xfId="6822" xr:uid="{00000000-0005-0000-0000-0000330E0000}"/>
    <cellStyle name="40% - Accent4 2 3 3 3 2 2" xfId="24438" xr:uid="{841F1CBC-2EA3-42FE-92C0-C3E74E56DFB3}"/>
    <cellStyle name="40% - Accent4 2 3 3 3 2 2 2" xfId="39409" xr:uid="{A076CF62-D9DE-452B-A3FF-AB31C345FEEE}"/>
    <cellStyle name="40% - Accent4 2 3 3 3 2 3" xfId="31806" xr:uid="{AF5C41DB-95AA-4840-9535-01859F6B4706}"/>
    <cellStyle name="40% - Accent4 2 3 3 3 3" xfId="24437" xr:uid="{6C5E039A-1BFE-4FC3-9C14-C2D19C77AE4D}"/>
    <cellStyle name="40% - Accent4 2 3 3 3 3 2" xfId="39408" xr:uid="{907A278F-1B19-401F-BFA6-34B11A6F0CDC}"/>
    <cellStyle name="40% - Accent4 2 3 3 3 4" xfId="31805" xr:uid="{590861A8-E57C-4897-AD35-E15080E09F89}"/>
    <cellStyle name="40% - Accent4 2 3 3 4" xfId="6823" xr:uid="{00000000-0005-0000-0000-0000340E0000}"/>
    <cellStyle name="40% - Accent4 2 3 3 4 2" xfId="24439" xr:uid="{C139537F-2322-4526-AA4D-9D7B42089A44}"/>
    <cellStyle name="40% - Accent4 2 3 3 4 2 2" xfId="39410" xr:uid="{5521ACFC-9A3B-4491-954A-DB5B9FA5C8BA}"/>
    <cellStyle name="40% - Accent4 2 3 3 4 3" xfId="31807" xr:uid="{353D6280-E3D6-4ADF-B428-0881BF7DFFD5}"/>
    <cellStyle name="40% - Accent4 2 3 3 5" xfId="24433" xr:uid="{985FDC4F-B162-4F0D-9559-DAC35634A184}"/>
    <cellStyle name="40% - Accent4 2 3 3 5 2" xfId="39404" xr:uid="{C72F23EA-0B57-4F6A-830C-3C6380367798}"/>
    <cellStyle name="40% - Accent4 2 3 3 6" xfId="31801" xr:uid="{2A0821D4-395B-4B3A-943B-7CEEEB4C570A}"/>
    <cellStyle name="40% - Accent4 2 3 4" xfId="6824" xr:uid="{00000000-0005-0000-0000-0000350E0000}"/>
    <cellStyle name="40% - Accent4 2 3 4 2" xfId="6825" xr:uid="{00000000-0005-0000-0000-0000360E0000}"/>
    <cellStyle name="40% - Accent4 2 3 4 2 2" xfId="6826" xr:uid="{00000000-0005-0000-0000-0000370E0000}"/>
    <cellStyle name="40% - Accent4 2 3 4 2 2 2" xfId="24442" xr:uid="{563DFE03-D6F0-48C4-B430-A5734F65269C}"/>
    <cellStyle name="40% - Accent4 2 3 4 2 2 2 2" xfId="39413" xr:uid="{2B7C331C-CC50-4CD6-869F-376999151101}"/>
    <cellStyle name="40% - Accent4 2 3 4 2 2 3" xfId="31810" xr:uid="{6EBCB2AD-06D9-44D5-B435-E47F9E9B9DEC}"/>
    <cellStyle name="40% - Accent4 2 3 4 2 3" xfId="6827" xr:uid="{00000000-0005-0000-0000-0000380E0000}"/>
    <cellStyle name="40% - Accent4 2 3 4 2 3 2" xfId="24443" xr:uid="{85C7EF42-2B99-4BDA-8B41-87343BD68582}"/>
    <cellStyle name="40% - Accent4 2 3 4 2 3 2 2" xfId="39414" xr:uid="{EEAE6B72-480D-4883-969C-5B849850006F}"/>
    <cellStyle name="40% - Accent4 2 3 4 2 3 3" xfId="31811" xr:uid="{7A7BA531-AE8B-4C5E-9456-8AA2C9EA6CAE}"/>
    <cellStyle name="40% - Accent4 2 3 4 2 4" xfId="24441" xr:uid="{CB70C379-7356-4E84-AD58-AB881F00C75A}"/>
    <cellStyle name="40% - Accent4 2 3 4 2 4 2" xfId="39412" xr:uid="{860CB5F5-27C0-444D-9F9D-49A03FBF57D9}"/>
    <cellStyle name="40% - Accent4 2 3 4 2 5" xfId="31809" xr:uid="{28653FE6-F731-4907-B368-FFA0A9D016BB}"/>
    <cellStyle name="40% - Accent4 2 3 4 3" xfId="6828" xr:uid="{00000000-0005-0000-0000-0000390E0000}"/>
    <cellStyle name="40% - Accent4 2 3 4 3 2" xfId="6829" xr:uid="{00000000-0005-0000-0000-00003A0E0000}"/>
    <cellStyle name="40% - Accent4 2 3 4 3 2 2" xfId="24445" xr:uid="{AD17B7D4-E37D-48EF-9A58-B13291E2ECED}"/>
    <cellStyle name="40% - Accent4 2 3 4 3 2 2 2" xfId="39416" xr:uid="{19B8FD4E-D392-42B1-8C74-D6FDF47F7D60}"/>
    <cellStyle name="40% - Accent4 2 3 4 3 2 3" xfId="31813" xr:uid="{18A2E348-8994-47B9-BD8C-FFA3FAA44EC0}"/>
    <cellStyle name="40% - Accent4 2 3 4 3 3" xfId="24444" xr:uid="{772B4CF2-39F2-4929-9E48-129237801394}"/>
    <cellStyle name="40% - Accent4 2 3 4 3 3 2" xfId="39415" xr:uid="{AFDB4860-D355-4554-9A0E-7CD595CBA5FB}"/>
    <cellStyle name="40% - Accent4 2 3 4 3 4" xfId="31812" xr:uid="{324A3D00-77CE-46BF-9D64-A446D15243DC}"/>
    <cellStyle name="40% - Accent4 2 3 4 4" xfId="6830" xr:uid="{00000000-0005-0000-0000-00003B0E0000}"/>
    <cellStyle name="40% - Accent4 2 3 4 4 2" xfId="24446" xr:uid="{81816708-D34B-41AD-9257-2EFDEF127900}"/>
    <cellStyle name="40% - Accent4 2 3 4 4 2 2" xfId="39417" xr:uid="{EFBF9FA9-CB97-48D7-8608-0D7F004DDB7C}"/>
    <cellStyle name="40% - Accent4 2 3 4 4 3" xfId="31814" xr:uid="{F6B5DA7C-208F-4330-BCE1-C4AB8064A058}"/>
    <cellStyle name="40% - Accent4 2 3 4 5" xfId="24440" xr:uid="{8040FDBC-A903-4151-9AC4-8D5C35EFAA2F}"/>
    <cellStyle name="40% - Accent4 2 3 4 5 2" xfId="39411" xr:uid="{9D32BB93-7DE9-47FF-970E-1AA01C471BA9}"/>
    <cellStyle name="40% - Accent4 2 3 4 6" xfId="31808" xr:uid="{273A2E7D-B08E-4DD5-AA59-EB0F99D4E23B}"/>
    <cellStyle name="40% - Accent4 2 3 5" xfId="6831" xr:uid="{00000000-0005-0000-0000-00003C0E0000}"/>
    <cellStyle name="40% - Accent4 2 3 5 2" xfId="6832" xr:uid="{00000000-0005-0000-0000-00003D0E0000}"/>
    <cellStyle name="40% - Accent4 2 3 5 2 2" xfId="24448" xr:uid="{57E0134A-6CC8-4886-9B3D-9D2060454AE7}"/>
    <cellStyle name="40% - Accent4 2 3 5 2 2 2" xfId="39419" xr:uid="{C91113E4-7813-4845-B6B2-C7C93A76CFF9}"/>
    <cellStyle name="40% - Accent4 2 3 5 2 3" xfId="31816" xr:uid="{3F0DE502-6400-48BA-919B-DB9709294D8B}"/>
    <cellStyle name="40% - Accent4 2 3 5 3" xfId="6833" xr:uid="{00000000-0005-0000-0000-00003E0E0000}"/>
    <cellStyle name="40% - Accent4 2 3 5 3 2" xfId="24449" xr:uid="{7F3F537D-1993-4DC2-8B78-014F0259D892}"/>
    <cellStyle name="40% - Accent4 2 3 5 3 2 2" xfId="39420" xr:uid="{C45A4842-DFB6-48FE-BEED-D10EA88B34A6}"/>
    <cellStyle name="40% - Accent4 2 3 5 3 3" xfId="31817" xr:uid="{5B5352CD-47EE-4D22-BA45-C0CFD7FFC4EE}"/>
    <cellStyle name="40% - Accent4 2 3 5 4" xfId="24447" xr:uid="{A01DF378-8846-462F-B4FA-7B3D969B7381}"/>
    <cellStyle name="40% - Accent4 2 3 5 4 2" xfId="39418" xr:uid="{6FCE8B9C-B5B0-40EE-9E29-6CB49DFF3771}"/>
    <cellStyle name="40% - Accent4 2 3 5 5" xfId="31815" xr:uid="{CF409601-9CC4-4435-BE55-0E7F116F4FF7}"/>
    <cellStyle name="40% - Accent4 2 3 6" xfId="6834" xr:uid="{00000000-0005-0000-0000-00003F0E0000}"/>
    <cellStyle name="40% - Accent4 2 3 6 2" xfId="24450" xr:uid="{E276264C-283D-411B-9AA9-73D5C75290D5}"/>
    <cellStyle name="40% - Accent4 2 3 6 2 2" xfId="39421" xr:uid="{CE128360-51E9-4223-8E3E-82CDAC9133D1}"/>
    <cellStyle name="40% - Accent4 2 3 6 3" xfId="31818" xr:uid="{D4682A1C-46F9-409E-9790-6DC9903C5531}"/>
    <cellStyle name="40% - Accent4 2 3 7" xfId="6835" xr:uid="{00000000-0005-0000-0000-0000400E0000}"/>
    <cellStyle name="40% - Accent4 2 3 7 2" xfId="6836" xr:uid="{00000000-0005-0000-0000-0000410E0000}"/>
    <cellStyle name="40% - Accent4 2 3 7 2 2" xfId="24452" xr:uid="{8263F527-1334-4A63-92C7-E25725FDF348}"/>
    <cellStyle name="40% - Accent4 2 3 7 2 2 2" xfId="39423" xr:uid="{E6F1E44E-6A44-44AB-AD78-DA804791082B}"/>
    <cellStyle name="40% - Accent4 2 3 7 2 3" xfId="31820" xr:uid="{66C9AC6F-E300-4D4F-8B9A-3E8B065690C2}"/>
    <cellStyle name="40% - Accent4 2 3 7 3" xfId="24451" xr:uid="{5782A877-FC37-4A73-9CC4-90D255924EF9}"/>
    <cellStyle name="40% - Accent4 2 3 7 3 2" xfId="39422" xr:uid="{71E65BE7-5AFC-448E-B13A-ECC66CFC31B2}"/>
    <cellStyle name="40% - Accent4 2 3 7 4" xfId="31819" xr:uid="{6655FECE-82F5-40F4-8A26-43C7317FA4AC}"/>
    <cellStyle name="40% - Accent4 2 3 8" xfId="6837" xr:uid="{00000000-0005-0000-0000-0000420E0000}"/>
    <cellStyle name="40% - Accent4 2 3 8 2" xfId="24453" xr:uid="{3288E9E0-5F86-4E99-B54B-FB854137F5C7}"/>
    <cellStyle name="40% - Accent4 2 3 8 2 2" xfId="39424" xr:uid="{579770EF-1C60-4853-A611-9FA97D2DB906}"/>
    <cellStyle name="40% - Accent4 2 3 8 3" xfId="31821" xr:uid="{DDBA5B15-F377-44C6-BC3D-0A6E87FDBE11}"/>
    <cellStyle name="40% - Accent4 2 3 9" xfId="24410" xr:uid="{BD1B36A3-8108-482A-A6BF-9D370B5F01B1}"/>
    <cellStyle name="40% - Accent4 2 3 9 2" xfId="39381" xr:uid="{6CBF65D4-FA0D-4C99-93B7-8D5EF50B390B}"/>
    <cellStyle name="40% - Accent4 2 4" xfId="6838" xr:uid="{00000000-0005-0000-0000-0000430E0000}"/>
    <cellStyle name="40% - Accent4 2 4 10" xfId="31822" xr:uid="{0417AD25-B7AE-4DE0-92B9-278A16511FAF}"/>
    <cellStyle name="40% - Accent4 2 4 2" xfId="6839" xr:uid="{00000000-0005-0000-0000-0000440E0000}"/>
    <cellStyle name="40% - Accent4 2 4 2 2" xfId="6840" xr:uid="{00000000-0005-0000-0000-0000450E0000}"/>
    <cellStyle name="40% - Accent4 2 4 2 2 2" xfId="6841" xr:uid="{00000000-0005-0000-0000-0000460E0000}"/>
    <cellStyle name="40% - Accent4 2 4 2 2 2 2" xfId="6842" xr:uid="{00000000-0005-0000-0000-0000470E0000}"/>
    <cellStyle name="40% - Accent4 2 4 2 2 2 2 2" xfId="24458" xr:uid="{BDF12430-C8D1-46E8-AE3A-69157D953739}"/>
    <cellStyle name="40% - Accent4 2 4 2 2 2 2 2 2" xfId="39429" xr:uid="{877D3D84-354F-4715-ACD7-F3D1637FF634}"/>
    <cellStyle name="40% - Accent4 2 4 2 2 2 2 3" xfId="31826" xr:uid="{F6405612-2557-49D1-918A-D7785FD9681E}"/>
    <cellStyle name="40% - Accent4 2 4 2 2 2 3" xfId="6843" xr:uid="{00000000-0005-0000-0000-0000480E0000}"/>
    <cellStyle name="40% - Accent4 2 4 2 2 2 3 2" xfId="24459" xr:uid="{92B8648A-30D9-47D3-AB45-456B9A902372}"/>
    <cellStyle name="40% - Accent4 2 4 2 2 2 3 2 2" xfId="39430" xr:uid="{20C5E478-5FAA-4EE5-8FE4-BB4FAED36F4C}"/>
    <cellStyle name="40% - Accent4 2 4 2 2 2 3 3" xfId="31827" xr:uid="{16E127E4-E4A0-4BD4-8375-43C9D2B2369B}"/>
    <cellStyle name="40% - Accent4 2 4 2 2 2 4" xfId="24457" xr:uid="{744AD643-32F7-4A1E-B2A5-BDCF89FE19AD}"/>
    <cellStyle name="40% - Accent4 2 4 2 2 2 4 2" xfId="39428" xr:uid="{0AAAF6DA-3230-4162-8143-117D8C982D2B}"/>
    <cellStyle name="40% - Accent4 2 4 2 2 2 5" xfId="31825" xr:uid="{30206903-9828-46D9-8ED4-25A6E38DA898}"/>
    <cellStyle name="40% - Accent4 2 4 2 2 3" xfId="6844" xr:uid="{00000000-0005-0000-0000-0000490E0000}"/>
    <cellStyle name="40% - Accent4 2 4 2 2 3 2" xfId="6845" xr:uid="{00000000-0005-0000-0000-00004A0E0000}"/>
    <cellStyle name="40% - Accent4 2 4 2 2 3 2 2" xfId="24461" xr:uid="{252D2D5A-520B-4575-A493-E1F9CDED22DD}"/>
    <cellStyle name="40% - Accent4 2 4 2 2 3 2 2 2" xfId="39432" xr:uid="{824EAFA8-9BCB-4B90-9AC8-150301073231}"/>
    <cellStyle name="40% - Accent4 2 4 2 2 3 2 3" xfId="31829" xr:uid="{AD839881-F657-4825-A5D8-5AD5328AAAF3}"/>
    <cellStyle name="40% - Accent4 2 4 2 2 3 3" xfId="24460" xr:uid="{762E4744-4118-40CC-8A7B-C77128508AE9}"/>
    <cellStyle name="40% - Accent4 2 4 2 2 3 3 2" xfId="39431" xr:uid="{167591B8-C917-4B55-95E2-B509020D08C5}"/>
    <cellStyle name="40% - Accent4 2 4 2 2 3 4" xfId="31828" xr:uid="{2BE66FED-C32C-4608-829F-81D2C938A760}"/>
    <cellStyle name="40% - Accent4 2 4 2 2 4" xfId="6846" xr:uid="{00000000-0005-0000-0000-00004B0E0000}"/>
    <cellStyle name="40% - Accent4 2 4 2 2 4 2" xfId="24462" xr:uid="{22C7AC9C-77C2-43DA-A7BF-AC961F3308A9}"/>
    <cellStyle name="40% - Accent4 2 4 2 2 4 2 2" xfId="39433" xr:uid="{B46115EA-9226-4C1E-8DA8-B08DD353FA98}"/>
    <cellStyle name="40% - Accent4 2 4 2 2 4 3" xfId="31830" xr:uid="{FF3303E3-503E-44D8-877B-D30D65114458}"/>
    <cellStyle name="40% - Accent4 2 4 2 2 5" xfId="24456" xr:uid="{00C900C8-3DB8-4486-A98B-716FC6C3BF97}"/>
    <cellStyle name="40% - Accent4 2 4 2 2 5 2" xfId="39427" xr:uid="{7197B7DC-44AF-496F-868F-4D29A1DF4075}"/>
    <cellStyle name="40% - Accent4 2 4 2 2 6" xfId="31824" xr:uid="{7BB88C51-BD38-4741-B9D5-85FF31BEA965}"/>
    <cellStyle name="40% - Accent4 2 4 2 3" xfId="6847" xr:uid="{00000000-0005-0000-0000-00004C0E0000}"/>
    <cellStyle name="40% - Accent4 2 4 2 3 2" xfId="6848" xr:uid="{00000000-0005-0000-0000-00004D0E0000}"/>
    <cellStyle name="40% - Accent4 2 4 2 3 2 2" xfId="6849" xr:uid="{00000000-0005-0000-0000-00004E0E0000}"/>
    <cellStyle name="40% - Accent4 2 4 2 3 2 2 2" xfId="24465" xr:uid="{60701FB2-CAFE-4341-922E-8FA355BA00C5}"/>
    <cellStyle name="40% - Accent4 2 4 2 3 2 2 2 2" xfId="39436" xr:uid="{A9BBB77E-119B-44B5-9DEA-0D7E999FE3BA}"/>
    <cellStyle name="40% - Accent4 2 4 2 3 2 2 3" xfId="31833" xr:uid="{871F9A33-0BC0-4990-A1AC-8214ED81B86E}"/>
    <cellStyle name="40% - Accent4 2 4 2 3 2 3" xfId="6850" xr:uid="{00000000-0005-0000-0000-00004F0E0000}"/>
    <cellStyle name="40% - Accent4 2 4 2 3 2 3 2" xfId="24466" xr:uid="{275C517C-48B4-4EA0-94F0-930F7FE7117A}"/>
    <cellStyle name="40% - Accent4 2 4 2 3 2 3 2 2" xfId="39437" xr:uid="{A804587E-5938-4DC8-B94F-98623D9EEFCF}"/>
    <cellStyle name="40% - Accent4 2 4 2 3 2 3 3" xfId="31834" xr:uid="{292ECD46-3439-47D4-B399-AB6CF2E6E1FC}"/>
    <cellStyle name="40% - Accent4 2 4 2 3 2 4" xfId="24464" xr:uid="{D0AD8489-039B-4A80-A781-98915217B60D}"/>
    <cellStyle name="40% - Accent4 2 4 2 3 2 4 2" xfId="39435" xr:uid="{CA9A64D9-E558-4975-863C-12FE0E066383}"/>
    <cellStyle name="40% - Accent4 2 4 2 3 2 5" xfId="31832" xr:uid="{547A4CBA-2AE4-4CAA-BD54-2D91F4216DB1}"/>
    <cellStyle name="40% - Accent4 2 4 2 3 3" xfId="6851" xr:uid="{00000000-0005-0000-0000-0000500E0000}"/>
    <cellStyle name="40% - Accent4 2 4 2 3 3 2" xfId="6852" xr:uid="{00000000-0005-0000-0000-0000510E0000}"/>
    <cellStyle name="40% - Accent4 2 4 2 3 3 2 2" xfId="24468" xr:uid="{3B98CDB9-9FC0-4F41-A4F4-C508D63D512E}"/>
    <cellStyle name="40% - Accent4 2 4 2 3 3 2 2 2" xfId="39439" xr:uid="{83B08052-B337-4B29-A4E7-EF67AF3AF312}"/>
    <cellStyle name="40% - Accent4 2 4 2 3 3 2 3" xfId="31836" xr:uid="{B604654A-D21F-478D-A78A-80F17AD11831}"/>
    <cellStyle name="40% - Accent4 2 4 2 3 3 3" xfId="24467" xr:uid="{5785B7A2-737F-43C2-A235-AACE885F87C9}"/>
    <cellStyle name="40% - Accent4 2 4 2 3 3 3 2" xfId="39438" xr:uid="{97A55E7E-23E1-4996-8C06-E3C682094A42}"/>
    <cellStyle name="40% - Accent4 2 4 2 3 3 4" xfId="31835" xr:uid="{A80060AB-7771-4531-A3BE-828A38AE036D}"/>
    <cellStyle name="40% - Accent4 2 4 2 3 4" xfId="6853" xr:uid="{00000000-0005-0000-0000-0000520E0000}"/>
    <cellStyle name="40% - Accent4 2 4 2 3 4 2" xfId="24469" xr:uid="{0818EA49-2F12-4F42-BAE8-1875CE1DFDCB}"/>
    <cellStyle name="40% - Accent4 2 4 2 3 4 2 2" xfId="39440" xr:uid="{BE72860B-D617-43EA-BE27-3764278D2577}"/>
    <cellStyle name="40% - Accent4 2 4 2 3 4 3" xfId="31837" xr:uid="{6C5AD762-CD61-4464-A725-E0B0BC8880D6}"/>
    <cellStyle name="40% - Accent4 2 4 2 3 5" xfId="24463" xr:uid="{F4C0BD93-E750-471D-92CD-25EBB215B0A9}"/>
    <cellStyle name="40% - Accent4 2 4 2 3 5 2" xfId="39434" xr:uid="{597697C7-70C0-401C-8C3A-645EA33CAE88}"/>
    <cellStyle name="40% - Accent4 2 4 2 3 6" xfId="31831" xr:uid="{5977BCF3-0F0F-4D11-86D3-E6142C228EE7}"/>
    <cellStyle name="40% - Accent4 2 4 2 4" xfId="6854" xr:uid="{00000000-0005-0000-0000-0000530E0000}"/>
    <cellStyle name="40% - Accent4 2 4 2 4 2" xfId="6855" xr:uid="{00000000-0005-0000-0000-0000540E0000}"/>
    <cellStyle name="40% - Accent4 2 4 2 4 2 2" xfId="24471" xr:uid="{66091EDF-2F21-4CAF-BCAF-8B290D4FF27F}"/>
    <cellStyle name="40% - Accent4 2 4 2 4 2 2 2" xfId="39442" xr:uid="{482493E9-2BD4-45F5-B9B9-6E8883D814FC}"/>
    <cellStyle name="40% - Accent4 2 4 2 4 2 3" xfId="31839" xr:uid="{7FF8094F-1ECD-487A-93BC-FB57A4B429BB}"/>
    <cellStyle name="40% - Accent4 2 4 2 4 3" xfId="6856" xr:uid="{00000000-0005-0000-0000-0000550E0000}"/>
    <cellStyle name="40% - Accent4 2 4 2 4 3 2" xfId="24472" xr:uid="{D1145916-B633-4472-8278-0B33CE480547}"/>
    <cellStyle name="40% - Accent4 2 4 2 4 3 2 2" xfId="39443" xr:uid="{93708AF4-2C11-4009-8BEB-6E7CBC7B95A5}"/>
    <cellStyle name="40% - Accent4 2 4 2 4 3 3" xfId="31840" xr:uid="{75B4D963-5C25-47C0-921A-F9FD774BC955}"/>
    <cellStyle name="40% - Accent4 2 4 2 4 4" xfId="24470" xr:uid="{FCEEE8EF-24E7-4B99-A78C-C487D554EFF0}"/>
    <cellStyle name="40% - Accent4 2 4 2 4 4 2" xfId="39441" xr:uid="{DCB10912-B533-4253-BE85-AA47D618DEC0}"/>
    <cellStyle name="40% - Accent4 2 4 2 4 5" xfId="31838" xr:uid="{60C04BAA-5BE9-4CFC-AF58-117D25EF595A}"/>
    <cellStyle name="40% - Accent4 2 4 2 5" xfId="6857" xr:uid="{00000000-0005-0000-0000-0000560E0000}"/>
    <cellStyle name="40% - Accent4 2 4 2 5 2" xfId="24473" xr:uid="{0E622A46-A9A3-4C40-9B09-ADACDF589FB3}"/>
    <cellStyle name="40% - Accent4 2 4 2 5 2 2" xfId="39444" xr:uid="{668CD7B8-943B-4294-8E25-6E8DA5442001}"/>
    <cellStyle name="40% - Accent4 2 4 2 5 3" xfId="31841" xr:uid="{2AC81C6C-E9C8-497C-B094-E3669B1EB7C3}"/>
    <cellStyle name="40% - Accent4 2 4 2 6" xfId="6858" xr:uid="{00000000-0005-0000-0000-0000570E0000}"/>
    <cellStyle name="40% - Accent4 2 4 2 6 2" xfId="6859" xr:uid="{00000000-0005-0000-0000-0000580E0000}"/>
    <cellStyle name="40% - Accent4 2 4 2 6 2 2" xfId="24475" xr:uid="{9D14AA83-C72A-4BA2-8B62-5BF8C58B9837}"/>
    <cellStyle name="40% - Accent4 2 4 2 6 2 2 2" xfId="39446" xr:uid="{EE9F8BA5-6627-46C4-9755-8953DCD2C610}"/>
    <cellStyle name="40% - Accent4 2 4 2 6 2 3" xfId="31843" xr:uid="{270EF9C7-90D5-48A9-8844-99AED7B0CADA}"/>
    <cellStyle name="40% - Accent4 2 4 2 6 3" xfId="24474" xr:uid="{A2A92897-2905-4F41-97D2-BDEEF3823692}"/>
    <cellStyle name="40% - Accent4 2 4 2 6 3 2" xfId="39445" xr:uid="{2CCE252F-1103-47A1-BBCF-5A5B6DD60083}"/>
    <cellStyle name="40% - Accent4 2 4 2 6 4" xfId="31842" xr:uid="{65734243-E9B7-418C-B326-1D206175C5F1}"/>
    <cellStyle name="40% - Accent4 2 4 2 7" xfId="6860" xr:uid="{00000000-0005-0000-0000-0000590E0000}"/>
    <cellStyle name="40% - Accent4 2 4 2 7 2" xfId="24476" xr:uid="{AA727A34-9F08-4356-8C4E-066614776749}"/>
    <cellStyle name="40% - Accent4 2 4 2 7 2 2" xfId="39447" xr:uid="{72010AD3-F10A-4EBB-A4A8-EAA8BF13E426}"/>
    <cellStyle name="40% - Accent4 2 4 2 7 3" xfId="31844" xr:uid="{2E592BF1-1CDD-4F86-A53A-39107AF02F00}"/>
    <cellStyle name="40% - Accent4 2 4 2 8" xfId="24455" xr:uid="{00720112-7A02-4B2F-9753-4E4CB944B3D0}"/>
    <cellStyle name="40% - Accent4 2 4 2 8 2" xfId="39426" xr:uid="{DA18E6AF-565A-4F5E-BB46-5B94900D14C2}"/>
    <cellStyle name="40% - Accent4 2 4 2 9" xfId="31823" xr:uid="{5DC46BDE-06DF-4D6E-AB86-2D3E004C3C32}"/>
    <cellStyle name="40% - Accent4 2 4 3" xfId="6861" xr:uid="{00000000-0005-0000-0000-00005A0E0000}"/>
    <cellStyle name="40% - Accent4 2 4 3 2" xfId="6862" xr:uid="{00000000-0005-0000-0000-00005B0E0000}"/>
    <cellStyle name="40% - Accent4 2 4 3 2 2" xfId="6863" xr:uid="{00000000-0005-0000-0000-00005C0E0000}"/>
    <cellStyle name="40% - Accent4 2 4 3 2 2 2" xfId="24479" xr:uid="{3484544D-AA5E-4EC3-8B19-5A5EFC866720}"/>
    <cellStyle name="40% - Accent4 2 4 3 2 2 2 2" xfId="39450" xr:uid="{3E3A2756-9967-4EC5-8558-D445363965B9}"/>
    <cellStyle name="40% - Accent4 2 4 3 2 2 3" xfId="31847" xr:uid="{7C518BC2-9E44-4FF4-B31E-032045987C9B}"/>
    <cellStyle name="40% - Accent4 2 4 3 2 3" xfId="6864" xr:uid="{00000000-0005-0000-0000-00005D0E0000}"/>
    <cellStyle name="40% - Accent4 2 4 3 2 3 2" xfId="24480" xr:uid="{CE45BA33-E6E9-49ED-8FD3-AAC8FBB0EC96}"/>
    <cellStyle name="40% - Accent4 2 4 3 2 3 2 2" xfId="39451" xr:uid="{1B39D597-9ED5-4AEA-B989-014A45D573C7}"/>
    <cellStyle name="40% - Accent4 2 4 3 2 3 3" xfId="31848" xr:uid="{B8CE453F-9267-448B-8217-21C0E0B67416}"/>
    <cellStyle name="40% - Accent4 2 4 3 2 4" xfId="24478" xr:uid="{DCB768BD-32A7-42B5-AB0C-17151A57E90E}"/>
    <cellStyle name="40% - Accent4 2 4 3 2 4 2" xfId="39449" xr:uid="{1C83E58A-B64D-4FA8-84DD-2598567E34F7}"/>
    <cellStyle name="40% - Accent4 2 4 3 2 5" xfId="31846" xr:uid="{553BA76D-236F-45B4-8B46-FAB63003AFC2}"/>
    <cellStyle name="40% - Accent4 2 4 3 3" xfId="6865" xr:uid="{00000000-0005-0000-0000-00005E0E0000}"/>
    <cellStyle name="40% - Accent4 2 4 3 3 2" xfId="6866" xr:uid="{00000000-0005-0000-0000-00005F0E0000}"/>
    <cellStyle name="40% - Accent4 2 4 3 3 2 2" xfId="24482" xr:uid="{5C4AB73B-8F56-47AD-9DE6-7AF391154212}"/>
    <cellStyle name="40% - Accent4 2 4 3 3 2 2 2" xfId="39453" xr:uid="{1A5C8994-A18E-46ED-B43C-AFF28905440D}"/>
    <cellStyle name="40% - Accent4 2 4 3 3 2 3" xfId="31850" xr:uid="{E699B4AE-45A8-49B2-9406-08BD7BC72CDB}"/>
    <cellStyle name="40% - Accent4 2 4 3 3 3" xfId="24481" xr:uid="{31685617-2C81-4C39-A860-AE4738A61F53}"/>
    <cellStyle name="40% - Accent4 2 4 3 3 3 2" xfId="39452" xr:uid="{406D7B3A-1D31-4E4D-8A50-00FDE2A0697C}"/>
    <cellStyle name="40% - Accent4 2 4 3 3 4" xfId="31849" xr:uid="{C41D02F5-A269-4B4D-A926-39DBF3CE454C}"/>
    <cellStyle name="40% - Accent4 2 4 3 4" xfId="6867" xr:uid="{00000000-0005-0000-0000-0000600E0000}"/>
    <cellStyle name="40% - Accent4 2 4 3 4 2" xfId="24483" xr:uid="{B77683FC-1A64-400E-A518-2F72BEEFC148}"/>
    <cellStyle name="40% - Accent4 2 4 3 4 2 2" xfId="39454" xr:uid="{15DFFD83-58B5-434D-8C74-FE04953C1D8F}"/>
    <cellStyle name="40% - Accent4 2 4 3 4 3" xfId="31851" xr:uid="{FA7EACD0-2D99-498E-818D-3B6A33D5CFDA}"/>
    <cellStyle name="40% - Accent4 2 4 3 5" xfId="24477" xr:uid="{E1CAEE9F-9F57-46FD-A9EB-CD421661EB88}"/>
    <cellStyle name="40% - Accent4 2 4 3 5 2" xfId="39448" xr:uid="{2DFAE005-F78F-4D38-847D-B50FB474FF73}"/>
    <cellStyle name="40% - Accent4 2 4 3 6" xfId="31845" xr:uid="{D9C8F496-F992-43A8-9509-82E246718644}"/>
    <cellStyle name="40% - Accent4 2 4 4" xfId="6868" xr:uid="{00000000-0005-0000-0000-0000610E0000}"/>
    <cellStyle name="40% - Accent4 2 4 4 2" xfId="6869" xr:uid="{00000000-0005-0000-0000-0000620E0000}"/>
    <cellStyle name="40% - Accent4 2 4 4 2 2" xfId="6870" xr:uid="{00000000-0005-0000-0000-0000630E0000}"/>
    <cellStyle name="40% - Accent4 2 4 4 2 2 2" xfId="24486" xr:uid="{35B5D900-348B-4379-9684-792ADF8D098B}"/>
    <cellStyle name="40% - Accent4 2 4 4 2 2 2 2" xfId="39457" xr:uid="{B6CADBD5-6C8B-4831-B9F5-CEB1433C2630}"/>
    <cellStyle name="40% - Accent4 2 4 4 2 2 3" xfId="31854" xr:uid="{E7A2035E-0D7F-444C-9663-19BCD131A18D}"/>
    <cellStyle name="40% - Accent4 2 4 4 2 3" xfId="6871" xr:uid="{00000000-0005-0000-0000-0000640E0000}"/>
    <cellStyle name="40% - Accent4 2 4 4 2 3 2" xfId="24487" xr:uid="{BEFD087F-B653-41B3-9A5F-C42CF08F091F}"/>
    <cellStyle name="40% - Accent4 2 4 4 2 3 2 2" xfId="39458" xr:uid="{676A54C3-73F9-46D7-B426-B07ABF17D893}"/>
    <cellStyle name="40% - Accent4 2 4 4 2 3 3" xfId="31855" xr:uid="{A15FD6BE-8E6E-4318-BA83-DE4AABEF7B55}"/>
    <cellStyle name="40% - Accent4 2 4 4 2 4" xfId="24485" xr:uid="{9284FCF1-6C37-4B74-86E8-C38F66FA53E5}"/>
    <cellStyle name="40% - Accent4 2 4 4 2 4 2" xfId="39456" xr:uid="{099FCC74-03AF-46A4-BED2-867B216BF872}"/>
    <cellStyle name="40% - Accent4 2 4 4 2 5" xfId="31853" xr:uid="{EB7D66DF-FDD8-47C5-859B-B0D3FE8C5B96}"/>
    <cellStyle name="40% - Accent4 2 4 4 3" xfId="6872" xr:uid="{00000000-0005-0000-0000-0000650E0000}"/>
    <cellStyle name="40% - Accent4 2 4 4 3 2" xfId="6873" xr:uid="{00000000-0005-0000-0000-0000660E0000}"/>
    <cellStyle name="40% - Accent4 2 4 4 3 2 2" xfId="24489" xr:uid="{7903055B-635C-4F24-B642-0D6DEB0EB79C}"/>
    <cellStyle name="40% - Accent4 2 4 4 3 2 2 2" xfId="39460" xr:uid="{500D1707-21A6-45C9-8268-B0B92E7951EF}"/>
    <cellStyle name="40% - Accent4 2 4 4 3 2 3" xfId="31857" xr:uid="{39889FEE-1530-452B-A94B-581BB641DED8}"/>
    <cellStyle name="40% - Accent4 2 4 4 3 3" xfId="24488" xr:uid="{D9D0F9E1-DCB6-490C-B358-C3C70104EFA7}"/>
    <cellStyle name="40% - Accent4 2 4 4 3 3 2" xfId="39459" xr:uid="{77FD2783-411B-45B3-8715-E4173F1AA427}"/>
    <cellStyle name="40% - Accent4 2 4 4 3 4" xfId="31856" xr:uid="{386A4046-846A-4ECE-AFE3-AD216EAF10CF}"/>
    <cellStyle name="40% - Accent4 2 4 4 4" xfId="6874" xr:uid="{00000000-0005-0000-0000-0000670E0000}"/>
    <cellStyle name="40% - Accent4 2 4 4 4 2" xfId="24490" xr:uid="{360A23DB-1099-48D3-A9DB-DCCEFB8438C8}"/>
    <cellStyle name="40% - Accent4 2 4 4 4 2 2" xfId="39461" xr:uid="{79E759CC-539C-4034-99BC-DE7DDAD38CB2}"/>
    <cellStyle name="40% - Accent4 2 4 4 4 3" xfId="31858" xr:uid="{2D2134D2-4347-437F-A7CE-2B6DCD81BCBD}"/>
    <cellStyle name="40% - Accent4 2 4 4 5" xfId="24484" xr:uid="{F296A0EC-E5E7-43C6-B72F-AAB9DD412AD7}"/>
    <cellStyle name="40% - Accent4 2 4 4 5 2" xfId="39455" xr:uid="{D8861AD5-C9FF-4DCE-981E-D652BE81140A}"/>
    <cellStyle name="40% - Accent4 2 4 4 6" xfId="31852" xr:uid="{C00A8C4C-4DFF-49F0-93EE-6E64636230FD}"/>
    <cellStyle name="40% - Accent4 2 4 5" xfId="6875" xr:uid="{00000000-0005-0000-0000-0000680E0000}"/>
    <cellStyle name="40% - Accent4 2 4 5 2" xfId="6876" xr:uid="{00000000-0005-0000-0000-0000690E0000}"/>
    <cellStyle name="40% - Accent4 2 4 5 2 2" xfId="24492" xr:uid="{118905C2-4632-45C5-BF18-461D9DFC94FB}"/>
    <cellStyle name="40% - Accent4 2 4 5 2 2 2" xfId="39463" xr:uid="{FCFFADB1-1DD9-4913-B437-212D91BB7A2F}"/>
    <cellStyle name="40% - Accent4 2 4 5 2 3" xfId="31860" xr:uid="{E61667D0-1246-4540-A07F-C8D0A87E263F}"/>
    <cellStyle name="40% - Accent4 2 4 5 3" xfId="6877" xr:uid="{00000000-0005-0000-0000-00006A0E0000}"/>
    <cellStyle name="40% - Accent4 2 4 5 3 2" xfId="24493" xr:uid="{F245BE1F-820F-4CC0-8CA3-CA50EAD6CF33}"/>
    <cellStyle name="40% - Accent4 2 4 5 3 2 2" xfId="39464" xr:uid="{A64F61B3-B97B-473A-BB86-33FC4EE85FC1}"/>
    <cellStyle name="40% - Accent4 2 4 5 3 3" xfId="31861" xr:uid="{EB0187B3-2D79-413C-AB4B-51E305E60FAA}"/>
    <cellStyle name="40% - Accent4 2 4 5 4" xfId="24491" xr:uid="{9B6CD085-726A-48B8-8CB0-7F954E1781F4}"/>
    <cellStyle name="40% - Accent4 2 4 5 4 2" xfId="39462" xr:uid="{83A72873-0B22-4B54-B7E5-C9B7657EEA42}"/>
    <cellStyle name="40% - Accent4 2 4 5 5" xfId="31859" xr:uid="{52109729-A5D4-4FFA-996F-174B775BAACF}"/>
    <cellStyle name="40% - Accent4 2 4 6" xfId="6878" xr:uid="{00000000-0005-0000-0000-00006B0E0000}"/>
    <cellStyle name="40% - Accent4 2 4 6 2" xfId="24494" xr:uid="{30C0FF91-4637-42F5-82C1-B45B28D325CB}"/>
    <cellStyle name="40% - Accent4 2 4 6 2 2" xfId="39465" xr:uid="{76CC1835-D04E-4D8A-B103-41D91A409EFC}"/>
    <cellStyle name="40% - Accent4 2 4 6 3" xfId="31862" xr:uid="{78DB4699-F504-4A77-B3AF-44DA3A13F156}"/>
    <cellStyle name="40% - Accent4 2 4 7" xfId="6879" xr:uid="{00000000-0005-0000-0000-00006C0E0000}"/>
    <cellStyle name="40% - Accent4 2 4 7 2" xfId="6880" xr:uid="{00000000-0005-0000-0000-00006D0E0000}"/>
    <cellStyle name="40% - Accent4 2 4 7 2 2" xfId="24496" xr:uid="{07B2C5BC-84E6-4E17-A682-29DA150BFCB4}"/>
    <cellStyle name="40% - Accent4 2 4 7 2 2 2" xfId="39467" xr:uid="{AD1B201D-2459-4EBC-8625-AA21F66756C5}"/>
    <cellStyle name="40% - Accent4 2 4 7 2 3" xfId="31864" xr:uid="{3744BB98-7156-4A98-B078-9D910FAA26DC}"/>
    <cellStyle name="40% - Accent4 2 4 7 3" xfId="24495" xr:uid="{534CE00F-6FC1-4325-8113-C925B747F4AE}"/>
    <cellStyle name="40% - Accent4 2 4 7 3 2" xfId="39466" xr:uid="{FD8D6AE8-9877-4E4E-B0A6-36382AF7FF8B}"/>
    <cellStyle name="40% - Accent4 2 4 7 4" xfId="31863" xr:uid="{44ADED3B-E326-46FF-9690-E54D8FE988F5}"/>
    <cellStyle name="40% - Accent4 2 4 8" xfId="6881" xr:uid="{00000000-0005-0000-0000-00006E0E0000}"/>
    <cellStyle name="40% - Accent4 2 4 8 2" xfId="24497" xr:uid="{A19B49D2-0724-4A36-9B52-EBE76106BBE4}"/>
    <cellStyle name="40% - Accent4 2 4 8 2 2" xfId="39468" xr:uid="{703CCA57-4A7E-474A-B436-9B9F1488507D}"/>
    <cellStyle name="40% - Accent4 2 4 8 3" xfId="31865" xr:uid="{461B6856-4EF9-4A19-AA49-1C9536F47A65}"/>
    <cellStyle name="40% - Accent4 2 4 9" xfId="24454" xr:uid="{FC5EDF98-D86A-4AC5-B4CA-C6854ECA69C0}"/>
    <cellStyle name="40% - Accent4 2 4 9 2" xfId="39425" xr:uid="{05B37489-952B-44D8-97A7-036F76DB6AF5}"/>
    <cellStyle name="40% - Accent4 2 5" xfId="6882" xr:uid="{00000000-0005-0000-0000-00006F0E0000}"/>
    <cellStyle name="40% - Accent4 2 5 10" xfId="31866" xr:uid="{35600D8B-FF59-4C3B-AB07-C7208441FC00}"/>
    <cellStyle name="40% - Accent4 2 5 2" xfId="6883" xr:uid="{00000000-0005-0000-0000-0000700E0000}"/>
    <cellStyle name="40% - Accent4 2 5 2 2" xfId="6884" xr:uid="{00000000-0005-0000-0000-0000710E0000}"/>
    <cellStyle name="40% - Accent4 2 5 2 2 2" xfId="6885" xr:uid="{00000000-0005-0000-0000-0000720E0000}"/>
    <cellStyle name="40% - Accent4 2 5 2 2 2 2" xfId="6886" xr:uid="{00000000-0005-0000-0000-0000730E0000}"/>
    <cellStyle name="40% - Accent4 2 5 2 2 2 2 2" xfId="24502" xr:uid="{1A1BEEDD-B5D9-435B-9E4C-54D9B76AB577}"/>
    <cellStyle name="40% - Accent4 2 5 2 2 2 2 2 2" xfId="39473" xr:uid="{00470FCF-129F-48B4-9A12-1C22E3E82C58}"/>
    <cellStyle name="40% - Accent4 2 5 2 2 2 2 3" xfId="31870" xr:uid="{96750159-1DC4-4915-A3DB-9516934AF33E}"/>
    <cellStyle name="40% - Accent4 2 5 2 2 2 3" xfId="6887" xr:uid="{00000000-0005-0000-0000-0000740E0000}"/>
    <cellStyle name="40% - Accent4 2 5 2 2 2 3 2" xfId="24503" xr:uid="{84E7959A-B8CD-496E-867E-317F1486B4BB}"/>
    <cellStyle name="40% - Accent4 2 5 2 2 2 3 2 2" xfId="39474" xr:uid="{200168E3-2604-48B8-B727-B57F703740D0}"/>
    <cellStyle name="40% - Accent4 2 5 2 2 2 3 3" xfId="31871" xr:uid="{8A25D1F8-325B-490F-9FFD-B4B0E24DAB04}"/>
    <cellStyle name="40% - Accent4 2 5 2 2 2 4" xfId="24501" xr:uid="{9C3AC6F4-6655-42DA-813A-CC1F970C9604}"/>
    <cellStyle name="40% - Accent4 2 5 2 2 2 4 2" xfId="39472" xr:uid="{DA706E9D-49B7-4858-B233-584088346121}"/>
    <cellStyle name="40% - Accent4 2 5 2 2 2 5" xfId="31869" xr:uid="{098B39A4-9AE5-4C6B-90EA-C47EF234CA32}"/>
    <cellStyle name="40% - Accent4 2 5 2 2 3" xfId="6888" xr:uid="{00000000-0005-0000-0000-0000750E0000}"/>
    <cellStyle name="40% - Accent4 2 5 2 2 3 2" xfId="6889" xr:uid="{00000000-0005-0000-0000-0000760E0000}"/>
    <cellStyle name="40% - Accent4 2 5 2 2 3 2 2" xfId="24505" xr:uid="{062F901D-E8CA-4C21-98E1-34CDEF7AE579}"/>
    <cellStyle name="40% - Accent4 2 5 2 2 3 2 2 2" xfId="39476" xr:uid="{66ABE5BA-C2DB-4F7B-BC98-D686FE2CAD2D}"/>
    <cellStyle name="40% - Accent4 2 5 2 2 3 2 3" xfId="31873" xr:uid="{7738F0EA-4C6B-464D-BB9D-C4B2693F5066}"/>
    <cellStyle name="40% - Accent4 2 5 2 2 3 3" xfId="24504" xr:uid="{EA8F9F18-CB9E-44B7-B841-A0069599A75B}"/>
    <cellStyle name="40% - Accent4 2 5 2 2 3 3 2" xfId="39475" xr:uid="{174837DB-47BF-45BE-85D5-84A49FA4AB3A}"/>
    <cellStyle name="40% - Accent4 2 5 2 2 3 4" xfId="31872" xr:uid="{38CFCF07-59BF-4612-8045-7EA349F66438}"/>
    <cellStyle name="40% - Accent4 2 5 2 2 4" xfId="6890" xr:uid="{00000000-0005-0000-0000-0000770E0000}"/>
    <cellStyle name="40% - Accent4 2 5 2 2 4 2" xfId="24506" xr:uid="{82CED418-CCA7-445B-AC72-C69C639EF1A5}"/>
    <cellStyle name="40% - Accent4 2 5 2 2 4 2 2" xfId="39477" xr:uid="{E020EC9A-A12A-4CA7-AD83-2C577D6D6594}"/>
    <cellStyle name="40% - Accent4 2 5 2 2 4 3" xfId="31874" xr:uid="{C0B568B0-D320-42C2-AD00-558ABE5E1E8D}"/>
    <cellStyle name="40% - Accent4 2 5 2 2 5" xfId="24500" xr:uid="{F5B437ED-8C02-4D9C-91E3-1F73FA526BB4}"/>
    <cellStyle name="40% - Accent4 2 5 2 2 5 2" xfId="39471" xr:uid="{077779AD-750A-4336-8BD4-05975D9CDC4B}"/>
    <cellStyle name="40% - Accent4 2 5 2 2 6" xfId="31868" xr:uid="{8651C7F5-8849-46A4-ADBA-A841366F0939}"/>
    <cellStyle name="40% - Accent4 2 5 2 3" xfId="6891" xr:uid="{00000000-0005-0000-0000-0000780E0000}"/>
    <cellStyle name="40% - Accent4 2 5 2 3 2" xfId="6892" xr:uid="{00000000-0005-0000-0000-0000790E0000}"/>
    <cellStyle name="40% - Accent4 2 5 2 3 2 2" xfId="6893" xr:uid="{00000000-0005-0000-0000-00007A0E0000}"/>
    <cellStyle name="40% - Accent4 2 5 2 3 2 2 2" xfId="24509" xr:uid="{B6C3D80A-E75C-4C13-886D-EB50AA9AA3A6}"/>
    <cellStyle name="40% - Accent4 2 5 2 3 2 2 2 2" xfId="39480" xr:uid="{5CE3AEE1-3FBF-42BA-8644-FA386E31AB4A}"/>
    <cellStyle name="40% - Accent4 2 5 2 3 2 2 3" xfId="31877" xr:uid="{F7E37050-173F-4D7E-89C9-01B57B65FF6A}"/>
    <cellStyle name="40% - Accent4 2 5 2 3 2 3" xfId="6894" xr:uid="{00000000-0005-0000-0000-00007B0E0000}"/>
    <cellStyle name="40% - Accent4 2 5 2 3 2 3 2" xfId="24510" xr:uid="{5B4870CD-6B5E-43EB-B623-953F96A17E4F}"/>
    <cellStyle name="40% - Accent4 2 5 2 3 2 3 2 2" xfId="39481" xr:uid="{A6EBC424-4E9A-40CA-8160-26B14D45FF38}"/>
    <cellStyle name="40% - Accent4 2 5 2 3 2 3 3" xfId="31878" xr:uid="{6D5EA212-1AA7-4D9E-BE2A-E99D1A89F81E}"/>
    <cellStyle name="40% - Accent4 2 5 2 3 2 4" xfId="24508" xr:uid="{74536723-4B3D-49A9-9EF0-6D924967AD88}"/>
    <cellStyle name="40% - Accent4 2 5 2 3 2 4 2" xfId="39479" xr:uid="{4FC932F6-DF95-4528-BC91-14FA1033B8C9}"/>
    <cellStyle name="40% - Accent4 2 5 2 3 2 5" xfId="31876" xr:uid="{C95FE097-05A3-4EEC-A281-DEEA4875AED5}"/>
    <cellStyle name="40% - Accent4 2 5 2 3 3" xfId="6895" xr:uid="{00000000-0005-0000-0000-00007C0E0000}"/>
    <cellStyle name="40% - Accent4 2 5 2 3 3 2" xfId="6896" xr:uid="{00000000-0005-0000-0000-00007D0E0000}"/>
    <cellStyle name="40% - Accent4 2 5 2 3 3 2 2" xfId="24512" xr:uid="{15BDC378-CAB1-4314-A2EF-71C1EFBBDB19}"/>
    <cellStyle name="40% - Accent4 2 5 2 3 3 2 2 2" xfId="39483" xr:uid="{9BB7F2CB-4EA2-4588-A278-8DE965C43777}"/>
    <cellStyle name="40% - Accent4 2 5 2 3 3 2 3" xfId="31880" xr:uid="{57A21281-D314-4462-8A90-4BD5259843FE}"/>
    <cellStyle name="40% - Accent4 2 5 2 3 3 3" xfId="24511" xr:uid="{635AE929-5226-480E-8BC5-55B0E026DA8B}"/>
    <cellStyle name="40% - Accent4 2 5 2 3 3 3 2" xfId="39482" xr:uid="{E8DABB6C-293B-4412-9E4B-3359525A531C}"/>
    <cellStyle name="40% - Accent4 2 5 2 3 3 4" xfId="31879" xr:uid="{A155F8C8-25B0-4D99-A72A-5698DFD6C5E7}"/>
    <cellStyle name="40% - Accent4 2 5 2 3 4" xfId="6897" xr:uid="{00000000-0005-0000-0000-00007E0E0000}"/>
    <cellStyle name="40% - Accent4 2 5 2 3 4 2" xfId="24513" xr:uid="{02C03D0A-C701-4EB8-89BD-05F5892337FB}"/>
    <cellStyle name="40% - Accent4 2 5 2 3 4 2 2" xfId="39484" xr:uid="{06B941CB-826E-4910-A627-DFFF00151FD7}"/>
    <cellStyle name="40% - Accent4 2 5 2 3 4 3" xfId="31881" xr:uid="{D407D7B3-5883-4D78-B154-31F232D0AB1B}"/>
    <cellStyle name="40% - Accent4 2 5 2 3 5" xfId="24507" xr:uid="{6289F735-32BF-4D4C-B3A5-62C90637B7B4}"/>
    <cellStyle name="40% - Accent4 2 5 2 3 5 2" xfId="39478" xr:uid="{BC8369BB-8716-4F65-B886-5C6C9A62E6B4}"/>
    <cellStyle name="40% - Accent4 2 5 2 3 6" xfId="31875" xr:uid="{FCBF0B26-19F1-43AB-9B0D-FCF1EE973A91}"/>
    <cellStyle name="40% - Accent4 2 5 2 4" xfId="6898" xr:uid="{00000000-0005-0000-0000-00007F0E0000}"/>
    <cellStyle name="40% - Accent4 2 5 2 4 2" xfId="6899" xr:uid="{00000000-0005-0000-0000-0000800E0000}"/>
    <cellStyle name="40% - Accent4 2 5 2 4 2 2" xfId="24515" xr:uid="{ECCE3ADD-517B-4DA5-8DD1-5273A36C86F9}"/>
    <cellStyle name="40% - Accent4 2 5 2 4 2 2 2" xfId="39486" xr:uid="{C1053862-C5FF-4D9C-8651-12F9B2A6E764}"/>
    <cellStyle name="40% - Accent4 2 5 2 4 2 3" xfId="31883" xr:uid="{F0568D78-E3F0-4C84-A033-0F0F23E10373}"/>
    <cellStyle name="40% - Accent4 2 5 2 4 3" xfId="6900" xr:uid="{00000000-0005-0000-0000-0000810E0000}"/>
    <cellStyle name="40% - Accent4 2 5 2 4 3 2" xfId="24516" xr:uid="{10C4CDE1-C31C-4A08-92AC-DD4CD08CFF39}"/>
    <cellStyle name="40% - Accent4 2 5 2 4 3 2 2" xfId="39487" xr:uid="{0F8FD186-4CFA-401F-AD11-C3E30AF58425}"/>
    <cellStyle name="40% - Accent4 2 5 2 4 3 3" xfId="31884" xr:uid="{737EF1E2-DEAE-49D6-A290-9F638BFF7633}"/>
    <cellStyle name="40% - Accent4 2 5 2 4 4" xfId="24514" xr:uid="{BB66ED0C-21B7-4950-84FD-90BB5646492D}"/>
    <cellStyle name="40% - Accent4 2 5 2 4 4 2" xfId="39485" xr:uid="{F3B011D0-3AF8-4955-B1C7-E0021AC64A79}"/>
    <cellStyle name="40% - Accent4 2 5 2 4 5" xfId="31882" xr:uid="{2FA713AA-C52D-4EC0-BF67-0369D6121E36}"/>
    <cellStyle name="40% - Accent4 2 5 2 5" xfId="6901" xr:uid="{00000000-0005-0000-0000-0000820E0000}"/>
    <cellStyle name="40% - Accent4 2 5 2 5 2" xfId="24517" xr:uid="{CB50F6B3-5387-4087-9022-B60D54BC855F}"/>
    <cellStyle name="40% - Accent4 2 5 2 5 2 2" xfId="39488" xr:uid="{2E6B5615-A125-40AE-9A86-28F05280FB9B}"/>
    <cellStyle name="40% - Accent4 2 5 2 5 3" xfId="31885" xr:uid="{CD20D092-1C58-410A-8464-3119059065BA}"/>
    <cellStyle name="40% - Accent4 2 5 2 6" xfId="6902" xr:uid="{00000000-0005-0000-0000-0000830E0000}"/>
    <cellStyle name="40% - Accent4 2 5 2 6 2" xfId="6903" xr:uid="{00000000-0005-0000-0000-0000840E0000}"/>
    <cellStyle name="40% - Accent4 2 5 2 6 2 2" xfId="24519" xr:uid="{CE8B11D4-EECC-4903-9AB3-CA1D5930B70B}"/>
    <cellStyle name="40% - Accent4 2 5 2 6 2 2 2" xfId="39490" xr:uid="{D71D87C4-55F0-4E04-926A-BCA2A6467088}"/>
    <cellStyle name="40% - Accent4 2 5 2 6 2 3" xfId="31887" xr:uid="{4F052AFD-659B-4EA2-992D-0B80DEC41C28}"/>
    <cellStyle name="40% - Accent4 2 5 2 6 3" xfId="24518" xr:uid="{A69A20C0-C761-4ACC-8601-5575A943F8B4}"/>
    <cellStyle name="40% - Accent4 2 5 2 6 3 2" xfId="39489" xr:uid="{E338F704-1E4D-4BB7-8A42-893E2E99129F}"/>
    <cellStyle name="40% - Accent4 2 5 2 6 4" xfId="31886" xr:uid="{81D98304-DD87-4C8A-9C63-066B8AA4937B}"/>
    <cellStyle name="40% - Accent4 2 5 2 7" xfId="6904" xr:uid="{00000000-0005-0000-0000-0000850E0000}"/>
    <cellStyle name="40% - Accent4 2 5 2 7 2" xfId="24520" xr:uid="{1F11B27B-60B7-409B-95DD-F94B534861FC}"/>
    <cellStyle name="40% - Accent4 2 5 2 7 2 2" xfId="39491" xr:uid="{7202D8F0-4482-41E9-BB49-7E4155BBDF83}"/>
    <cellStyle name="40% - Accent4 2 5 2 7 3" xfId="31888" xr:uid="{DFA28E54-1946-4167-8C13-212B931B2EF8}"/>
    <cellStyle name="40% - Accent4 2 5 2 8" xfId="24499" xr:uid="{225365AD-A8D9-4019-BD0A-759B8DFAE216}"/>
    <cellStyle name="40% - Accent4 2 5 2 8 2" xfId="39470" xr:uid="{1884566A-C69A-4C5C-BA65-84787CEC6587}"/>
    <cellStyle name="40% - Accent4 2 5 2 9" xfId="31867" xr:uid="{F6725495-5AAD-4F28-92A6-F404AD3C3547}"/>
    <cellStyle name="40% - Accent4 2 5 3" xfId="6905" xr:uid="{00000000-0005-0000-0000-0000860E0000}"/>
    <cellStyle name="40% - Accent4 2 5 3 2" xfId="6906" xr:uid="{00000000-0005-0000-0000-0000870E0000}"/>
    <cellStyle name="40% - Accent4 2 5 3 2 2" xfId="6907" xr:uid="{00000000-0005-0000-0000-0000880E0000}"/>
    <cellStyle name="40% - Accent4 2 5 3 2 2 2" xfId="24523" xr:uid="{7D5496A7-742C-4A16-AD08-51639790185F}"/>
    <cellStyle name="40% - Accent4 2 5 3 2 2 2 2" xfId="39494" xr:uid="{061F96E5-13AD-4EF2-9B6D-109AC1C42308}"/>
    <cellStyle name="40% - Accent4 2 5 3 2 2 3" xfId="31891" xr:uid="{773D32C9-8D16-447A-BC45-E8FF20EFB925}"/>
    <cellStyle name="40% - Accent4 2 5 3 2 3" xfId="6908" xr:uid="{00000000-0005-0000-0000-0000890E0000}"/>
    <cellStyle name="40% - Accent4 2 5 3 2 3 2" xfId="24524" xr:uid="{78E95F80-334D-4B2A-9246-2DDF01CAB332}"/>
    <cellStyle name="40% - Accent4 2 5 3 2 3 2 2" xfId="39495" xr:uid="{82075B09-9129-4999-8945-56A84843633F}"/>
    <cellStyle name="40% - Accent4 2 5 3 2 3 3" xfId="31892" xr:uid="{C5CB668B-CA53-45B9-8E3C-E28DDE9810F3}"/>
    <cellStyle name="40% - Accent4 2 5 3 2 4" xfId="24522" xr:uid="{A057D53B-2DDB-4991-AA98-DAA438B87670}"/>
    <cellStyle name="40% - Accent4 2 5 3 2 4 2" xfId="39493" xr:uid="{163EB94F-A6B1-4635-8F24-F142DA291552}"/>
    <cellStyle name="40% - Accent4 2 5 3 2 5" xfId="31890" xr:uid="{10FA58D0-5397-4A02-9601-9527D697350D}"/>
    <cellStyle name="40% - Accent4 2 5 3 3" xfId="6909" xr:uid="{00000000-0005-0000-0000-00008A0E0000}"/>
    <cellStyle name="40% - Accent4 2 5 3 3 2" xfId="6910" xr:uid="{00000000-0005-0000-0000-00008B0E0000}"/>
    <cellStyle name="40% - Accent4 2 5 3 3 2 2" xfId="24526" xr:uid="{AF391436-B3FB-41A7-A318-33E93D1A49AC}"/>
    <cellStyle name="40% - Accent4 2 5 3 3 2 2 2" xfId="39497" xr:uid="{49C0BC93-A10E-4BDF-8471-1181BB1781D4}"/>
    <cellStyle name="40% - Accent4 2 5 3 3 2 3" xfId="31894" xr:uid="{ED7FF2B4-EE9C-4E88-AA5F-E47617D336E4}"/>
    <cellStyle name="40% - Accent4 2 5 3 3 3" xfId="24525" xr:uid="{1397FDDA-0814-4BFB-A6CA-6C61145EA901}"/>
    <cellStyle name="40% - Accent4 2 5 3 3 3 2" xfId="39496" xr:uid="{AE2FB09D-08C7-4AF1-B194-B6064B261E29}"/>
    <cellStyle name="40% - Accent4 2 5 3 3 4" xfId="31893" xr:uid="{905944C8-7245-4F51-9D46-159E225901F9}"/>
    <cellStyle name="40% - Accent4 2 5 3 4" xfId="6911" xr:uid="{00000000-0005-0000-0000-00008C0E0000}"/>
    <cellStyle name="40% - Accent4 2 5 3 4 2" xfId="24527" xr:uid="{63EABBCC-865D-4598-B5A6-4D34BAC9EF10}"/>
    <cellStyle name="40% - Accent4 2 5 3 4 2 2" xfId="39498" xr:uid="{1104FFB5-2ABA-478E-8230-35588CC334F0}"/>
    <cellStyle name="40% - Accent4 2 5 3 4 3" xfId="31895" xr:uid="{85552050-FF93-48CB-80AB-1F9412B8DF5D}"/>
    <cellStyle name="40% - Accent4 2 5 3 5" xfId="24521" xr:uid="{8311763B-D5A3-424B-8C3D-9B928BF5C81D}"/>
    <cellStyle name="40% - Accent4 2 5 3 5 2" xfId="39492" xr:uid="{F9B26F38-83B9-456A-8F3F-DA564A35970D}"/>
    <cellStyle name="40% - Accent4 2 5 3 6" xfId="31889" xr:uid="{6A9B35AE-5A4C-4904-8F86-FCBF0337101F}"/>
    <cellStyle name="40% - Accent4 2 5 4" xfId="6912" xr:uid="{00000000-0005-0000-0000-00008D0E0000}"/>
    <cellStyle name="40% - Accent4 2 5 4 2" xfId="6913" xr:uid="{00000000-0005-0000-0000-00008E0E0000}"/>
    <cellStyle name="40% - Accent4 2 5 4 2 2" xfId="6914" xr:uid="{00000000-0005-0000-0000-00008F0E0000}"/>
    <cellStyle name="40% - Accent4 2 5 4 2 2 2" xfId="24530" xr:uid="{5417B757-8ADA-4D8E-AB70-CECDF289F4CF}"/>
    <cellStyle name="40% - Accent4 2 5 4 2 2 2 2" xfId="39501" xr:uid="{2971F2BA-5D04-4379-A651-58ADAC7E007A}"/>
    <cellStyle name="40% - Accent4 2 5 4 2 2 3" xfId="31898" xr:uid="{426EFF26-E957-4B02-BECE-1E4BFF2EAD0B}"/>
    <cellStyle name="40% - Accent4 2 5 4 2 3" xfId="6915" xr:uid="{00000000-0005-0000-0000-0000900E0000}"/>
    <cellStyle name="40% - Accent4 2 5 4 2 3 2" xfId="24531" xr:uid="{43C175B7-F8C1-4AB1-AD17-1E0ED4BCC3A2}"/>
    <cellStyle name="40% - Accent4 2 5 4 2 3 2 2" xfId="39502" xr:uid="{97FCD71B-B2D9-4F34-978A-F37D67391F37}"/>
    <cellStyle name="40% - Accent4 2 5 4 2 3 3" xfId="31899" xr:uid="{5B4AE89E-A667-451F-BCED-C84C3335A01E}"/>
    <cellStyle name="40% - Accent4 2 5 4 2 4" xfId="24529" xr:uid="{BD5F0343-01E6-489D-8C2A-C6EDCD57C62D}"/>
    <cellStyle name="40% - Accent4 2 5 4 2 4 2" xfId="39500" xr:uid="{BAB31FE5-CD4B-4DDB-8919-56F5BF23109B}"/>
    <cellStyle name="40% - Accent4 2 5 4 2 5" xfId="31897" xr:uid="{2C040568-211E-4E45-8084-695660000BF0}"/>
    <cellStyle name="40% - Accent4 2 5 4 3" xfId="6916" xr:uid="{00000000-0005-0000-0000-0000910E0000}"/>
    <cellStyle name="40% - Accent4 2 5 4 3 2" xfId="6917" xr:uid="{00000000-0005-0000-0000-0000920E0000}"/>
    <cellStyle name="40% - Accent4 2 5 4 3 2 2" xfId="24533" xr:uid="{D08CFF33-7582-4AE0-A045-4C72443873C7}"/>
    <cellStyle name="40% - Accent4 2 5 4 3 2 2 2" xfId="39504" xr:uid="{A3278E69-0BED-4771-8B78-F575A58249CC}"/>
    <cellStyle name="40% - Accent4 2 5 4 3 2 3" xfId="31901" xr:uid="{02EB2680-A523-47C5-9CBE-7A85C102A2AB}"/>
    <cellStyle name="40% - Accent4 2 5 4 3 3" xfId="24532" xr:uid="{0F952B49-6B77-4FE2-B0FB-730A6C816593}"/>
    <cellStyle name="40% - Accent4 2 5 4 3 3 2" xfId="39503" xr:uid="{5AE7C714-0F2A-49D6-83E9-531062E578FE}"/>
    <cellStyle name="40% - Accent4 2 5 4 3 4" xfId="31900" xr:uid="{C33A1C0E-C5B5-4177-B0F9-69BA2560FAB1}"/>
    <cellStyle name="40% - Accent4 2 5 4 4" xfId="6918" xr:uid="{00000000-0005-0000-0000-0000930E0000}"/>
    <cellStyle name="40% - Accent4 2 5 4 4 2" xfId="24534" xr:uid="{8DBA9352-02CB-4CD8-B43D-8A14BAF84C88}"/>
    <cellStyle name="40% - Accent4 2 5 4 4 2 2" xfId="39505" xr:uid="{57922B1F-D692-4093-B485-0A097501028D}"/>
    <cellStyle name="40% - Accent4 2 5 4 4 3" xfId="31902" xr:uid="{240F9737-B09D-4184-A92D-2FDEA2E44D1F}"/>
    <cellStyle name="40% - Accent4 2 5 4 5" xfId="24528" xr:uid="{B3648ECF-1188-49BE-815E-757E71B0C487}"/>
    <cellStyle name="40% - Accent4 2 5 4 5 2" xfId="39499" xr:uid="{B7E0D723-14E6-4863-9FA6-D1313DC24B6B}"/>
    <cellStyle name="40% - Accent4 2 5 4 6" xfId="31896" xr:uid="{81450BF7-6A50-4EFD-AC35-F71BD9315D0B}"/>
    <cellStyle name="40% - Accent4 2 5 5" xfId="6919" xr:uid="{00000000-0005-0000-0000-0000940E0000}"/>
    <cellStyle name="40% - Accent4 2 5 5 2" xfId="6920" xr:uid="{00000000-0005-0000-0000-0000950E0000}"/>
    <cellStyle name="40% - Accent4 2 5 5 2 2" xfId="24536" xr:uid="{888B53AB-8720-4C6C-B4B6-A8A538FE4B37}"/>
    <cellStyle name="40% - Accent4 2 5 5 2 2 2" xfId="39507" xr:uid="{846419B7-F3FC-4C3F-A3DE-9544885641F2}"/>
    <cellStyle name="40% - Accent4 2 5 5 2 3" xfId="31904" xr:uid="{9EE9F4B9-D79F-4A8E-B564-396805C166F5}"/>
    <cellStyle name="40% - Accent4 2 5 5 3" xfId="6921" xr:uid="{00000000-0005-0000-0000-0000960E0000}"/>
    <cellStyle name="40% - Accent4 2 5 5 3 2" xfId="24537" xr:uid="{C12493EF-F944-42EA-8D89-D293F24FDE0C}"/>
    <cellStyle name="40% - Accent4 2 5 5 3 2 2" xfId="39508" xr:uid="{659E8F49-CFDD-4003-B476-6888761049D8}"/>
    <cellStyle name="40% - Accent4 2 5 5 3 3" xfId="31905" xr:uid="{A6EBA5BB-9547-42EE-9EBD-E5B090FE28D5}"/>
    <cellStyle name="40% - Accent4 2 5 5 4" xfId="24535" xr:uid="{360747CB-BBF0-46DE-93E7-384385460711}"/>
    <cellStyle name="40% - Accent4 2 5 5 4 2" xfId="39506" xr:uid="{74830A1C-A8D8-4522-86D1-E8E2856A3842}"/>
    <cellStyle name="40% - Accent4 2 5 5 5" xfId="31903" xr:uid="{5B245BB8-45E5-4331-BEF9-5534F50CF144}"/>
    <cellStyle name="40% - Accent4 2 5 6" xfId="6922" xr:uid="{00000000-0005-0000-0000-0000970E0000}"/>
    <cellStyle name="40% - Accent4 2 5 6 2" xfId="24538" xr:uid="{A3B3F3BF-7526-4FA4-AF6F-D885BCE36507}"/>
    <cellStyle name="40% - Accent4 2 5 6 2 2" xfId="39509" xr:uid="{3D7E5E99-8C7D-4795-8E76-CB97B23C896F}"/>
    <cellStyle name="40% - Accent4 2 5 6 3" xfId="31906" xr:uid="{82F04718-A936-41FB-994D-2A5B227C1F96}"/>
    <cellStyle name="40% - Accent4 2 5 7" xfId="6923" xr:uid="{00000000-0005-0000-0000-0000980E0000}"/>
    <cellStyle name="40% - Accent4 2 5 7 2" xfId="6924" xr:uid="{00000000-0005-0000-0000-0000990E0000}"/>
    <cellStyle name="40% - Accent4 2 5 7 2 2" xfId="24540" xr:uid="{28C0795F-CC5E-400C-918C-4BE8D5CDA915}"/>
    <cellStyle name="40% - Accent4 2 5 7 2 2 2" xfId="39511" xr:uid="{843989BE-7C51-4C74-8DCF-8BE5CD90248E}"/>
    <cellStyle name="40% - Accent4 2 5 7 2 3" xfId="31908" xr:uid="{19BBB7D2-E214-43FA-829D-3B7C22AE9475}"/>
    <cellStyle name="40% - Accent4 2 5 7 3" xfId="24539" xr:uid="{4818A302-15BF-44BA-9BE5-BC682444493D}"/>
    <cellStyle name="40% - Accent4 2 5 7 3 2" xfId="39510" xr:uid="{5EA5A56E-180A-4219-B9C0-5C448A971CD2}"/>
    <cellStyle name="40% - Accent4 2 5 7 4" xfId="31907" xr:uid="{C27704DC-ED87-4458-9026-B1CFAAF3044F}"/>
    <cellStyle name="40% - Accent4 2 5 8" xfId="6925" xr:uid="{00000000-0005-0000-0000-00009A0E0000}"/>
    <cellStyle name="40% - Accent4 2 5 8 2" xfId="24541" xr:uid="{8C0C4DD6-D815-4871-B021-4672B1A07999}"/>
    <cellStyle name="40% - Accent4 2 5 8 2 2" xfId="39512" xr:uid="{DBE545D7-AC6E-4F05-A7CA-EA5B089CCEAB}"/>
    <cellStyle name="40% - Accent4 2 5 8 3" xfId="31909" xr:uid="{025952A6-23B1-46DC-B15A-DEA5473CFD94}"/>
    <cellStyle name="40% - Accent4 2 5 9" xfId="24498" xr:uid="{55D9425C-9304-46C9-B7AB-082A9EB0A380}"/>
    <cellStyle name="40% - Accent4 2 5 9 2" xfId="39469" xr:uid="{9A9F852A-CA4C-4AE5-BF29-D65579BFDA20}"/>
    <cellStyle name="40% - Accent4 2 6" xfId="6926" xr:uid="{00000000-0005-0000-0000-00009B0E0000}"/>
    <cellStyle name="40% - Accent4 2 6 10" xfId="31910" xr:uid="{D91DCCF7-CC79-4076-936D-68AF41325450}"/>
    <cellStyle name="40% - Accent4 2 6 2" xfId="6927" xr:uid="{00000000-0005-0000-0000-00009C0E0000}"/>
    <cellStyle name="40% - Accent4 2 6 2 2" xfId="6928" xr:uid="{00000000-0005-0000-0000-00009D0E0000}"/>
    <cellStyle name="40% - Accent4 2 6 2 2 2" xfId="6929" xr:uid="{00000000-0005-0000-0000-00009E0E0000}"/>
    <cellStyle name="40% - Accent4 2 6 2 2 2 2" xfId="6930" xr:uid="{00000000-0005-0000-0000-00009F0E0000}"/>
    <cellStyle name="40% - Accent4 2 6 2 2 2 2 2" xfId="24546" xr:uid="{E8D348F9-9AB9-4AA9-B0C2-EE4EC1EAF165}"/>
    <cellStyle name="40% - Accent4 2 6 2 2 2 2 2 2" xfId="39517" xr:uid="{082C8CC2-C6CD-4C02-931E-D5902EA2FD26}"/>
    <cellStyle name="40% - Accent4 2 6 2 2 2 2 3" xfId="31914" xr:uid="{CC513338-B92B-4F89-B3C1-8244EEFDEFB7}"/>
    <cellStyle name="40% - Accent4 2 6 2 2 2 3" xfId="6931" xr:uid="{00000000-0005-0000-0000-0000A00E0000}"/>
    <cellStyle name="40% - Accent4 2 6 2 2 2 3 2" xfId="24547" xr:uid="{A1999CB0-9CBC-4B3B-9571-36289EF90008}"/>
    <cellStyle name="40% - Accent4 2 6 2 2 2 3 2 2" xfId="39518" xr:uid="{DC277F47-B00A-4521-8443-14575D3B2378}"/>
    <cellStyle name="40% - Accent4 2 6 2 2 2 3 3" xfId="31915" xr:uid="{A6AC4FDD-AD4C-461E-BF57-575F2B8FB623}"/>
    <cellStyle name="40% - Accent4 2 6 2 2 2 4" xfId="24545" xr:uid="{2FA3A657-890B-4124-BBDB-5272AC13FA2A}"/>
    <cellStyle name="40% - Accent4 2 6 2 2 2 4 2" xfId="39516" xr:uid="{22F1014B-A227-40FD-B482-F09CEE9C3E8D}"/>
    <cellStyle name="40% - Accent4 2 6 2 2 2 5" xfId="31913" xr:uid="{E529EA25-D10C-473E-90D7-65B1CDB58278}"/>
    <cellStyle name="40% - Accent4 2 6 2 2 3" xfId="6932" xr:uid="{00000000-0005-0000-0000-0000A10E0000}"/>
    <cellStyle name="40% - Accent4 2 6 2 2 3 2" xfId="6933" xr:uid="{00000000-0005-0000-0000-0000A20E0000}"/>
    <cellStyle name="40% - Accent4 2 6 2 2 3 2 2" xfId="24549" xr:uid="{DEDEBD04-4646-4D60-8209-1518C58954B2}"/>
    <cellStyle name="40% - Accent4 2 6 2 2 3 2 2 2" xfId="39520" xr:uid="{E53B9240-8BA3-4CC1-8E88-FD67ADF1E560}"/>
    <cellStyle name="40% - Accent4 2 6 2 2 3 2 3" xfId="31917" xr:uid="{B60FEB30-096C-422C-AB7E-27CFCBBAD1EB}"/>
    <cellStyle name="40% - Accent4 2 6 2 2 3 3" xfId="24548" xr:uid="{8FD6E074-2AAE-46CD-8717-1880408A52F3}"/>
    <cellStyle name="40% - Accent4 2 6 2 2 3 3 2" xfId="39519" xr:uid="{3B4F8478-9834-49DD-90FB-7C038E62A82A}"/>
    <cellStyle name="40% - Accent4 2 6 2 2 3 4" xfId="31916" xr:uid="{1C3F8CD4-C72E-4D33-93FE-659483685A08}"/>
    <cellStyle name="40% - Accent4 2 6 2 2 4" xfId="6934" xr:uid="{00000000-0005-0000-0000-0000A30E0000}"/>
    <cellStyle name="40% - Accent4 2 6 2 2 4 2" xfId="24550" xr:uid="{77D7B6AF-EC67-48A6-81FF-EFA120F9C252}"/>
    <cellStyle name="40% - Accent4 2 6 2 2 4 2 2" xfId="39521" xr:uid="{97F518A5-3098-45CF-B116-6A96FF04C1E5}"/>
    <cellStyle name="40% - Accent4 2 6 2 2 4 3" xfId="31918" xr:uid="{12FCAFBD-5FEC-4003-8A0F-445998671C10}"/>
    <cellStyle name="40% - Accent4 2 6 2 2 5" xfId="24544" xr:uid="{CAB4C4AC-7F09-4876-A979-94E0E04BBB3B}"/>
    <cellStyle name="40% - Accent4 2 6 2 2 5 2" xfId="39515" xr:uid="{F78CA80F-A922-4992-8B46-EB2D6F7EBDA9}"/>
    <cellStyle name="40% - Accent4 2 6 2 2 6" xfId="31912" xr:uid="{747740CB-2CE6-4E8D-926F-7D215713F7B1}"/>
    <cellStyle name="40% - Accent4 2 6 2 3" xfId="6935" xr:uid="{00000000-0005-0000-0000-0000A40E0000}"/>
    <cellStyle name="40% - Accent4 2 6 2 3 2" xfId="6936" xr:uid="{00000000-0005-0000-0000-0000A50E0000}"/>
    <cellStyle name="40% - Accent4 2 6 2 3 2 2" xfId="6937" xr:uid="{00000000-0005-0000-0000-0000A60E0000}"/>
    <cellStyle name="40% - Accent4 2 6 2 3 2 2 2" xfId="24553" xr:uid="{0FA83AA3-50E7-4146-9AE2-FF27DF677737}"/>
    <cellStyle name="40% - Accent4 2 6 2 3 2 2 2 2" xfId="39524" xr:uid="{EA1EB38A-4FBB-4F36-B01C-9F164C25625B}"/>
    <cellStyle name="40% - Accent4 2 6 2 3 2 2 3" xfId="31921" xr:uid="{F8304A14-C213-47E0-8666-274DB3FE5919}"/>
    <cellStyle name="40% - Accent4 2 6 2 3 2 3" xfId="6938" xr:uid="{00000000-0005-0000-0000-0000A70E0000}"/>
    <cellStyle name="40% - Accent4 2 6 2 3 2 3 2" xfId="24554" xr:uid="{03DF910B-834E-4D02-8281-25AF2AC683EC}"/>
    <cellStyle name="40% - Accent4 2 6 2 3 2 3 2 2" xfId="39525" xr:uid="{87EF1187-D896-45AA-8B1A-1DA030D59CDC}"/>
    <cellStyle name="40% - Accent4 2 6 2 3 2 3 3" xfId="31922" xr:uid="{B84C4318-05CA-4F3E-A2DE-FE77E20134EE}"/>
    <cellStyle name="40% - Accent4 2 6 2 3 2 4" xfId="24552" xr:uid="{A447CAAE-1D68-4727-B46D-70944DF764F4}"/>
    <cellStyle name="40% - Accent4 2 6 2 3 2 4 2" xfId="39523" xr:uid="{F56E869D-25FB-4646-802A-A3BF42BC190E}"/>
    <cellStyle name="40% - Accent4 2 6 2 3 2 5" xfId="31920" xr:uid="{83CFD53C-E144-45EC-B174-AABCD8CA7586}"/>
    <cellStyle name="40% - Accent4 2 6 2 3 3" xfId="6939" xr:uid="{00000000-0005-0000-0000-0000A80E0000}"/>
    <cellStyle name="40% - Accent4 2 6 2 3 3 2" xfId="6940" xr:uid="{00000000-0005-0000-0000-0000A90E0000}"/>
    <cellStyle name="40% - Accent4 2 6 2 3 3 2 2" xfId="24556" xr:uid="{BC209E4C-59B4-4E09-AB31-7C4920BA065B}"/>
    <cellStyle name="40% - Accent4 2 6 2 3 3 2 2 2" xfId="39527" xr:uid="{024806C6-C8D5-475C-AA56-1B69B56FE72C}"/>
    <cellStyle name="40% - Accent4 2 6 2 3 3 2 3" xfId="31924" xr:uid="{610ACF52-3B60-44E7-960D-429DCC78E275}"/>
    <cellStyle name="40% - Accent4 2 6 2 3 3 3" xfId="24555" xr:uid="{22EB059D-638E-4DB0-9B9E-E78A06B58DBC}"/>
    <cellStyle name="40% - Accent4 2 6 2 3 3 3 2" xfId="39526" xr:uid="{80E8FE69-3F9B-400D-A837-0D956768ED4F}"/>
    <cellStyle name="40% - Accent4 2 6 2 3 3 4" xfId="31923" xr:uid="{54614B25-0A09-47C9-B9AC-94AF1026F065}"/>
    <cellStyle name="40% - Accent4 2 6 2 3 4" xfId="6941" xr:uid="{00000000-0005-0000-0000-0000AA0E0000}"/>
    <cellStyle name="40% - Accent4 2 6 2 3 4 2" xfId="24557" xr:uid="{EA652B9A-09BD-49E8-A01D-F29DA55B9860}"/>
    <cellStyle name="40% - Accent4 2 6 2 3 4 2 2" xfId="39528" xr:uid="{220EE9A9-2068-42E1-9D45-2A6153E7C123}"/>
    <cellStyle name="40% - Accent4 2 6 2 3 4 3" xfId="31925" xr:uid="{35674010-FB13-41DE-8CE9-B8FA36C21722}"/>
    <cellStyle name="40% - Accent4 2 6 2 3 5" xfId="24551" xr:uid="{5A677D56-4C79-4248-B858-171F4A712CE9}"/>
    <cellStyle name="40% - Accent4 2 6 2 3 5 2" xfId="39522" xr:uid="{CE35B731-88F8-49A1-92B6-8BF47CE594F9}"/>
    <cellStyle name="40% - Accent4 2 6 2 3 6" xfId="31919" xr:uid="{C4616E38-DB04-4DF6-B948-9796559EFE0A}"/>
    <cellStyle name="40% - Accent4 2 6 2 4" xfId="6942" xr:uid="{00000000-0005-0000-0000-0000AB0E0000}"/>
    <cellStyle name="40% - Accent4 2 6 2 4 2" xfId="6943" xr:uid="{00000000-0005-0000-0000-0000AC0E0000}"/>
    <cellStyle name="40% - Accent4 2 6 2 4 2 2" xfId="24559" xr:uid="{59644511-7788-4ED6-AA6D-DD7786D87FF8}"/>
    <cellStyle name="40% - Accent4 2 6 2 4 2 2 2" xfId="39530" xr:uid="{85042A12-88F4-4384-82E2-13F837CCF044}"/>
    <cellStyle name="40% - Accent4 2 6 2 4 2 3" xfId="31927" xr:uid="{0D418D69-4CA4-495C-99AD-22D53C9D6161}"/>
    <cellStyle name="40% - Accent4 2 6 2 4 3" xfId="6944" xr:uid="{00000000-0005-0000-0000-0000AD0E0000}"/>
    <cellStyle name="40% - Accent4 2 6 2 4 3 2" xfId="24560" xr:uid="{8F0A22E7-7D22-483C-B48A-E0B3EDD2EDF3}"/>
    <cellStyle name="40% - Accent4 2 6 2 4 3 2 2" xfId="39531" xr:uid="{2650167E-9B55-4645-8496-F7441EDF17CF}"/>
    <cellStyle name="40% - Accent4 2 6 2 4 3 3" xfId="31928" xr:uid="{FBE7242E-7BB9-4829-9D5E-7786C6B1915C}"/>
    <cellStyle name="40% - Accent4 2 6 2 4 4" xfId="24558" xr:uid="{746920A2-CF3D-4C8C-AF97-66D779D3166A}"/>
    <cellStyle name="40% - Accent4 2 6 2 4 4 2" xfId="39529" xr:uid="{EF8200FD-1AA0-4768-885D-9385B99EF6E7}"/>
    <cellStyle name="40% - Accent4 2 6 2 4 5" xfId="31926" xr:uid="{4C86DFC3-F905-4470-93E7-AFE72A745B28}"/>
    <cellStyle name="40% - Accent4 2 6 2 5" xfId="6945" xr:uid="{00000000-0005-0000-0000-0000AE0E0000}"/>
    <cellStyle name="40% - Accent4 2 6 2 5 2" xfId="24561" xr:uid="{D3AFEE5D-6819-4FA9-8668-F0A82F029302}"/>
    <cellStyle name="40% - Accent4 2 6 2 5 2 2" xfId="39532" xr:uid="{D63D1374-A085-4A80-BAA0-AA743345AF1A}"/>
    <cellStyle name="40% - Accent4 2 6 2 5 3" xfId="31929" xr:uid="{88C7E7C5-DBD3-4D59-B5EA-E1663418B04E}"/>
    <cellStyle name="40% - Accent4 2 6 2 6" xfId="6946" xr:uid="{00000000-0005-0000-0000-0000AF0E0000}"/>
    <cellStyle name="40% - Accent4 2 6 2 6 2" xfId="6947" xr:uid="{00000000-0005-0000-0000-0000B00E0000}"/>
    <cellStyle name="40% - Accent4 2 6 2 6 2 2" xfId="24563" xr:uid="{B9CA27AA-13EF-43BA-9ACA-5EEB984D7DF9}"/>
    <cellStyle name="40% - Accent4 2 6 2 6 2 2 2" xfId="39534" xr:uid="{D0769939-033A-4C60-8065-B306DAD2F000}"/>
    <cellStyle name="40% - Accent4 2 6 2 6 2 3" xfId="31931" xr:uid="{802AF4E1-8BC0-4D99-931A-8408182188DF}"/>
    <cellStyle name="40% - Accent4 2 6 2 6 3" xfId="24562" xr:uid="{1E23403A-6138-41DE-85BB-25F6023C9297}"/>
    <cellStyle name="40% - Accent4 2 6 2 6 3 2" xfId="39533" xr:uid="{FC9B2F3C-0452-4D60-8998-DDD4B4435573}"/>
    <cellStyle name="40% - Accent4 2 6 2 6 4" xfId="31930" xr:uid="{6F93D683-CF99-4DFE-972B-2904034612C6}"/>
    <cellStyle name="40% - Accent4 2 6 2 7" xfId="6948" xr:uid="{00000000-0005-0000-0000-0000B10E0000}"/>
    <cellStyle name="40% - Accent4 2 6 2 7 2" xfId="24564" xr:uid="{70021DC1-8D0C-4237-9957-F2EA6E6D669F}"/>
    <cellStyle name="40% - Accent4 2 6 2 7 2 2" xfId="39535" xr:uid="{F444665B-2108-4BEE-8BEE-1FA1E4181AE5}"/>
    <cellStyle name="40% - Accent4 2 6 2 7 3" xfId="31932" xr:uid="{A9C2E9B8-7506-479B-AFAB-946243797139}"/>
    <cellStyle name="40% - Accent4 2 6 2 8" xfId="24543" xr:uid="{E4B318B8-177F-4148-893E-03D2FCB307B2}"/>
    <cellStyle name="40% - Accent4 2 6 2 8 2" xfId="39514" xr:uid="{91EAB2F8-C735-418D-AEB2-6B89C0BCC50A}"/>
    <cellStyle name="40% - Accent4 2 6 2 9" xfId="31911" xr:uid="{BCCBB972-2E2C-4910-8DDB-BD97228D394B}"/>
    <cellStyle name="40% - Accent4 2 6 3" xfId="6949" xr:uid="{00000000-0005-0000-0000-0000B20E0000}"/>
    <cellStyle name="40% - Accent4 2 6 3 2" xfId="6950" xr:uid="{00000000-0005-0000-0000-0000B30E0000}"/>
    <cellStyle name="40% - Accent4 2 6 3 2 2" xfId="6951" xr:uid="{00000000-0005-0000-0000-0000B40E0000}"/>
    <cellStyle name="40% - Accent4 2 6 3 2 2 2" xfId="24567" xr:uid="{BFED7AF7-2E69-45C2-B3C4-0B6001EEF005}"/>
    <cellStyle name="40% - Accent4 2 6 3 2 2 2 2" xfId="39538" xr:uid="{85AFF297-BA7D-4574-BAF9-36FA2617C26E}"/>
    <cellStyle name="40% - Accent4 2 6 3 2 2 3" xfId="31935" xr:uid="{B0D5BD0C-926D-49D3-9997-3FF18A6427CB}"/>
    <cellStyle name="40% - Accent4 2 6 3 2 3" xfId="6952" xr:uid="{00000000-0005-0000-0000-0000B50E0000}"/>
    <cellStyle name="40% - Accent4 2 6 3 2 3 2" xfId="24568" xr:uid="{B280C545-40D7-437B-BF69-0CFDD7CD29A1}"/>
    <cellStyle name="40% - Accent4 2 6 3 2 3 2 2" xfId="39539" xr:uid="{E06E77B4-F016-4987-8DE3-4FDA41D7F216}"/>
    <cellStyle name="40% - Accent4 2 6 3 2 3 3" xfId="31936" xr:uid="{F499984C-2680-4F9D-B3BF-1AE1E00B2574}"/>
    <cellStyle name="40% - Accent4 2 6 3 2 4" xfId="24566" xr:uid="{2C15BF98-4782-48FC-B69D-397CF5D0A351}"/>
    <cellStyle name="40% - Accent4 2 6 3 2 4 2" xfId="39537" xr:uid="{F0FABC43-EB85-4D84-913D-A246E274307A}"/>
    <cellStyle name="40% - Accent4 2 6 3 2 5" xfId="31934" xr:uid="{B1153722-06F7-4005-B147-EB489C6BCC5A}"/>
    <cellStyle name="40% - Accent4 2 6 3 3" xfId="6953" xr:uid="{00000000-0005-0000-0000-0000B60E0000}"/>
    <cellStyle name="40% - Accent4 2 6 3 3 2" xfId="6954" xr:uid="{00000000-0005-0000-0000-0000B70E0000}"/>
    <cellStyle name="40% - Accent4 2 6 3 3 2 2" xfId="24570" xr:uid="{F8B13E91-BB7C-456D-B262-1D470437D1C6}"/>
    <cellStyle name="40% - Accent4 2 6 3 3 2 2 2" xfId="39541" xr:uid="{3A7C4241-F4A3-40F2-A6C0-33F3E12C194A}"/>
    <cellStyle name="40% - Accent4 2 6 3 3 2 3" xfId="31938" xr:uid="{D3A89DFE-616C-4499-845E-AC9940D76DB7}"/>
    <cellStyle name="40% - Accent4 2 6 3 3 3" xfId="24569" xr:uid="{0D6032E8-BB96-450C-B3CC-FDE9B34AF36C}"/>
    <cellStyle name="40% - Accent4 2 6 3 3 3 2" xfId="39540" xr:uid="{2CC94FA2-9DAD-4DE2-9B07-CB4BAAA3061D}"/>
    <cellStyle name="40% - Accent4 2 6 3 3 4" xfId="31937" xr:uid="{C9E91FA3-54F1-4E9E-A2C3-0EB251DF494E}"/>
    <cellStyle name="40% - Accent4 2 6 3 4" xfId="6955" xr:uid="{00000000-0005-0000-0000-0000B80E0000}"/>
    <cellStyle name="40% - Accent4 2 6 3 4 2" xfId="24571" xr:uid="{1217BD88-EEB8-4ED1-B63E-F98492A78BA7}"/>
    <cellStyle name="40% - Accent4 2 6 3 4 2 2" xfId="39542" xr:uid="{893CC303-1AF5-4ECE-AF4F-6E390B379100}"/>
    <cellStyle name="40% - Accent4 2 6 3 4 3" xfId="31939" xr:uid="{B5091CCD-D0D4-4C6B-A2C9-7AA466E4655F}"/>
    <cellStyle name="40% - Accent4 2 6 3 5" xfId="24565" xr:uid="{28117525-AEED-4D46-A945-138E02780158}"/>
    <cellStyle name="40% - Accent4 2 6 3 5 2" xfId="39536" xr:uid="{8DB3434C-5CBB-4024-AFAD-456A72227255}"/>
    <cellStyle name="40% - Accent4 2 6 3 6" xfId="31933" xr:uid="{6FBCE6CA-8BDA-4F17-8778-E5ABF3C4AA1E}"/>
    <cellStyle name="40% - Accent4 2 6 4" xfId="6956" xr:uid="{00000000-0005-0000-0000-0000B90E0000}"/>
    <cellStyle name="40% - Accent4 2 6 4 2" xfId="6957" xr:uid="{00000000-0005-0000-0000-0000BA0E0000}"/>
    <cellStyle name="40% - Accent4 2 6 4 2 2" xfId="6958" xr:uid="{00000000-0005-0000-0000-0000BB0E0000}"/>
    <cellStyle name="40% - Accent4 2 6 4 2 2 2" xfId="24574" xr:uid="{9698E47C-EE6E-4A9F-A5C4-87818087BE77}"/>
    <cellStyle name="40% - Accent4 2 6 4 2 2 2 2" xfId="39545" xr:uid="{8439A484-C770-4E01-B4F1-07E915A7C89C}"/>
    <cellStyle name="40% - Accent4 2 6 4 2 2 3" xfId="31942" xr:uid="{DD7AD864-0B73-4A8F-9641-6643FFE2154E}"/>
    <cellStyle name="40% - Accent4 2 6 4 2 3" xfId="6959" xr:uid="{00000000-0005-0000-0000-0000BC0E0000}"/>
    <cellStyle name="40% - Accent4 2 6 4 2 3 2" xfId="24575" xr:uid="{7DA14FA1-CB9A-4793-8154-E60D19A3C282}"/>
    <cellStyle name="40% - Accent4 2 6 4 2 3 2 2" xfId="39546" xr:uid="{4BA272F0-72C0-4D39-B98A-D6801E2D7FD8}"/>
    <cellStyle name="40% - Accent4 2 6 4 2 3 3" xfId="31943" xr:uid="{FB1873A3-AF7C-46C2-9CE3-E5DEE4D243CB}"/>
    <cellStyle name="40% - Accent4 2 6 4 2 4" xfId="24573" xr:uid="{354072CD-B22F-4C4D-B0F3-BB52701D68A1}"/>
    <cellStyle name="40% - Accent4 2 6 4 2 4 2" xfId="39544" xr:uid="{0FF578C3-2762-419C-9EAD-DDDEDDFF19A6}"/>
    <cellStyle name="40% - Accent4 2 6 4 2 5" xfId="31941" xr:uid="{DCBC6190-412E-421E-A4DC-A77456C319A7}"/>
    <cellStyle name="40% - Accent4 2 6 4 3" xfId="6960" xr:uid="{00000000-0005-0000-0000-0000BD0E0000}"/>
    <cellStyle name="40% - Accent4 2 6 4 3 2" xfId="6961" xr:uid="{00000000-0005-0000-0000-0000BE0E0000}"/>
    <cellStyle name="40% - Accent4 2 6 4 3 2 2" xfId="24577" xr:uid="{FE9BD1BE-6F8F-411F-89ED-7D9ACB7392CE}"/>
    <cellStyle name="40% - Accent4 2 6 4 3 2 2 2" xfId="39548" xr:uid="{21856D8E-D48E-4AE2-BC4A-9B5B0766528D}"/>
    <cellStyle name="40% - Accent4 2 6 4 3 2 3" xfId="31945" xr:uid="{AD4421D7-6DBF-4EEC-9869-E8A7BBB81699}"/>
    <cellStyle name="40% - Accent4 2 6 4 3 3" xfId="24576" xr:uid="{611FCEBE-8B94-4C7C-B732-6521E8BBD079}"/>
    <cellStyle name="40% - Accent4 2 6 4 3 3 2" xfId="39547" xr:uid="{58D8CAC2-313C-46AD-A9A5-D802B1D47C8E}"/>
    <cellStyle name="40% - Accent4 2 6 4 3 4" xfId="31944" xr:uid="{E27A04B1-1F79-4359-B5C7-A80FE4459C54}"/>
    <cellStyle name="40% - Accent4 2 6 4 4" xfId="6962" xr:uid="{00000000-0005-0000-0000-0000BF0E0000}"/>
    <cellStyle name="40% - Accent4 2 6 4 4 2" xfId="24578" xr:uid="{E48DA7FE-2B9C-4AE9-A56D-CE5293A3F205}"/>
    <cellStyle name="40% - Accent4 2 6 4 4 2 2" xfId="39549" xr:uid="{875B765D-4B01-41FF-819C-B9FE2E1083B0}"/>
    <cellStyle name="40% - Accent4 2 6 4 4 3" xfId="31946" xr:uid="{4EFAFFB8-345E-43B7-9F01-E14605A2B061}"/>
    <cellStyle name="40% - Accent4 2 6 4 5" xfId="24572" xr:uid="{EB577C9F-4E57-4642-AC7F-915A00563004}"/>
    <cellStyle name="40% - Accent4 2 6 4 5 2" xfId="39543" xr:uid="{016DDF5C-93F5-4556-8867-999E671EB263}"/>
    <cellStyle name="40% - Accent4 2 6 4 6" xfId="31940" xr:uid="{4ECF532F-94BA-46DD-96C7-6D4E78565DA9}"/>
    <cellStyle name="40% - Accent4 2 6 5" xfId="6963" xr:uid="{00000000-0005-0000-0000-0000C00E0000}"/>
    <cellStyle name="40% - Accent4 2 6 5 2" xfId="6964" xr:uid="{00000000-0005-0000-0000-0000C10E0000}"/>
    <cellStyle name="40% - Accent4 2 6 5 2 2" xfId="24580" xr:uid="{986E896B-9981-410C-9376-D5B9496EE035}"/>
    <cellStyle name="40% - Accent4 2 6 5 2 2 2" xfId="39551" xr:uid="{57CF6EE4-4600-4EE6-805A-6F7408010A07}"/>
    <cellStyle name="40% - Accent4 2 6 5 2 3" xfId="31948" xr:uid="{11CBD17F-1CBD-4A4A-8BBA-97F6AE2CB199}"/>
    <cellStyle name="40% - Accent4 2 6 5 3" xfId="6965" xr:uid="{00000000-0005-0000-0000-0000C20E0000}"/>
    <cellStyle name="40% - Accent4 2 6 5 3 2" xfId="24581" xr:uid="{0A6B6372-E3E5-43DA-8CB7-8A4C8D8E3A5A}"/>
    <cellStyle name="40% - Accent4 2 6 5 3 2 2" xfId="39552" xr:uid="{9BEAE65E-D67B-4CB1-915D-2DB8BA398459}"/>
    <cellStyle name="40% - Accent4 2 6 5 3 3" xfId="31949" xr:uid="{2C1A14F2-162D-46AF-A284-83468B0527D7}"/>
    <cellStyle name="40% - Accent4 2 6 5 4" xfId="24579" xr:uid="{DB044E56-2482-427D-944C-3D956AD73D83}"/>
    <cellStyle name="40% - Accent4 2 6 5 4 2" xfId="39550" xr:uid="{84597DDE-5231-462A-A1A8-7E60B19B5679}"/>
    <cellStyle name="40% - Accent4 2 6 5 5" xfId="31947" xr:uid="{E6AC7863-4583-40B6-95B3-227280DAE3B2}"/>
    <cellStyle name="40% - Accent4 2 6 6" xfId="6966" xr:uid="{00000000-0005-0000-0000-0000C30E0000}"/>
    <cellStyle name="40% - Accent4 2 6 6 2" xfId="24582" xr:uid="{6925438D-4FFF-46FE-8B09-BA1EB0B6A244}"/>
    <cellStyle name="40% - Accent4 2 6 6 2 2" xfId="39553" xr:uid="{23081FBC-4C59-45AB-AF36-C427DE260E06}"/>
    <cellStyle name="40% - Accent4 2 6 6 3" xfId="31950" xr:uid="{8D29D004-48B8-4BEE-837D-9B5171BCF3A0}"/>
    <cellStyle name="40% - Accent4 2 6 7" xfId="6967" xr:uid="{00000000-0005-0000-0000-0000C40E0000}"/>
    <cellStyle name="40% - Accent4 2 6 7 2" xfId="6968" xr:uid="{00000000-0005-0000-0000-0000C50E0000}"/>
    <cellStyle name="40% - Accent4 2 6 7 2 2" xfId="24584" xr:uid="{B9BF608F-0390-4DF5-833C-50094DA3E78A}"/>
    <cellStyle name="40% - Accent4 2 6 7 2 2 2" xfId="39555" xr:uid="{B2B64D0E-14B6-4934-8ECE-9E4CEBCE6909}"/>
    <cellStyle name="40% - Accent4 2 6 7 2 3" xfId="31952" xr:uid="{7CE8E387-9D36-45C6-88C8-A07F912C6AAD}"/>
    <cellStyle name="40% - Accent4 2 6 7 3" xfId="24583" xr:uid="{CFDE9C83-CD43-47E8-AFA0-5DA1225C3C69}"/>
    <cellStyle name="40% - Accent4 2 6 7 3 2" xfId="39554" xr:uid="{CA16AD7A-D71B-4D89-8F16-11C09B486174}"/>
    <cellStyle name="40% - Accent4 2 6 7 4" xfId="31951" xr:uid="{A3C83A92-E635-42EF-9763-E5AD96250BFB}"/>
    <cellStyle name="40% - Accent4 2 6 8" xfId="6969" xr:uid="{00000000-0005-0000-0000-0000C60E0000}"/>
    <cellStyle name="40% - Accent4 2 6 8 2" xfId="24585" xr:uid="{3F1AE3AD-89BC-492E-958F-E5D6287F9363}"/>
    <cellStyle name="40% - Accent4 2 6 8 2 2" xfId="39556" xr:uid="{9942E112-9B75-4403-81D0-75B4DFFDB6CD}"/>
    <cellStyle name="40% - Accent4 2 6 8 3" xfId="31953" xr:uid="{1CC6221E-299E-4B76-9069-D4616F0C894C}"/>
    <cellStyle name="40% - Accent4 2 6 9" xfId="24542" xr:uid="{E28DE4E4-1648-4A20-BE38-183033A9EF3B}"/>
    <cellStyle name="40% - Accent4 2 6 9 2" xfId="39513" xr:uid="{2F4A132B-0FD0-4B4E-8598-2718A05E45A8}"/>
    <cellStyle name="40% - Accent4 2 7" xfId="6970" xr:uid="{00000000-0005-0000-0000-0000C70E0000}"/>
    <cellStyle name="40% - Accent4 2 7 2" xfId="6971" xr:uid="{00000000-0005-0000-0000-0000C80E0000}"/>
    <cellStyle name="40% - Accent4 2 7 2 2" xfId="6972" xr:uid="{00000000-0005-0000-0000-0000C90E0000}"/>
    <cellStyle name="40% - Accent4 2 7 2 2 2" xfId="24588" xr:uid="{AFA973AF-AF7F-45B2-B1D3-E39199FCB0A6}"/>
    <cellStyle name="40% - Accent4 2 7 2 2 2 2" xfId="39559" xr:uid="{8360B554-0726-43C6-B71C-F8489D12E802}"/>
    <cellStyle name="40% - Accent4 2 7 2 2 3" xfId="31956" xr:uid="{237ED17D-EEDC-423C-9591-B0FEDE95DD68}"/>
    <cellStyle name="40% - Accent4 2 7 2 3" xfId="6973" xr:uid="{00000000-0005-0000-0000-0000CA0E0000}"/>
    <cellStyle name="40% - Accent4 2 7 2 3 2" xfId="24589" xr:uid="{9256ABF5-40C6-4FFB-9005-175974ECD97B}"/>
    <cellStyle name="40% - Accent4 2 7 2 3 2 2" xfId="39560" xr:uid="{893A000A-7450-46A3-8024-EE29CCAF4292}"/>
    <cellStyle name="40% - Accent4 2 7 2 3 3" xfId="31957" xr:uid="{875DA568-E972-4DB2-ABBE-064EBCE800B7}"/>
    <cellStyle name="40% - Accent4 2 7 2 4" xfId="24587" xr:uid="{61230CCF-58EA-4B75-AF83-AE0375EF2610}"/>
    <cellStyle name="40% - Accent4 2 7 2 4 2" xfId="39558" xr:uid="{D62C27D4-DFF2-4089-B086-ED48041BB5C2}"/>
    <cellStyle name="40% - Accent4 2 7 2 5" xfId="31955" xr:uid="{155C8346-3326-4501-936D-AD3C0DCF42E7}"/>
    <cellStyle name="40% - Accent4 2 7 3" xfId="6974" xr:uid="{00000000-0005-0000-0000-0000CB0E0000}"/>
    <cellStyle name="40% - Accent4 2 7 3 2" xfId="6975" xr:uid="{00000000-0005-0000-0000-0000CC0E0000}"/>
    <cellStyle name="40% - Accent4 2 7 3 2 2" xfId="24591" xr:uid="{364DC017-6F77-4D04-A45C-C4991A037A35}"/>
    <cellStyle name="40% - Accent4 2 7 3 2 2 2" xfId="39562" xr:uid="{F956932D-A770-4572-88A4-3C6A3DF3D891}"/>
    <cellStyle name="40% - Accent4 2 7 3 2 3" xfId="31959" xr:uid="{5A71CC3C-8944-456B-81C6-F2E69D8C7F27}"/>
    <cellStyle name="40% - Accent4 2 7 3 3" xfId="24590" xr:uid="{15A55FBC-50E7-472B-B593-AF2B5E10F951}"/>
    <cellStyle name="40% - Accent4 2 7 3 3 2" xfId="39561" xr:uid="{56BBE4C4-2D85-450C-932A-C814FDFAD3D9}"/>
    <cellStyle name="40% - Accent4 2 7 3 4" xfId="31958" xr:uid="{CCE8B100-CCEA-43F3-9921-72EFEB28A19C}"/>
    <cellStyle name="40% - Accent4 2 7 4" xfId="6976" xr:uid="{00000000-0005-0000-0000-0000CD0E0000}"/>
    <cellStyle name="40% - Accent4 2 7 4 2" xfId="24592" xr:uid="{CACFDF38-DA53-44E2-AA41-F80332FE9636}"/>
    <cellStyle name="40% - Accent4 2 7 4 2 2" xfId="39563" xr:uid="{CB5364BC-0A1B-4938-BFB4-D8E4D6A22DA8}"/>
    <cellStyle name="40% - Accent4 2 7 4 3" xfId="31960" xr:uid="{10F73B52-5ED1-4ED6-8A4A-4BDC9775B06E}"/>
    <cellStyle name="40% - Accent4 2 7 5" xfId="24586" xr:uid="{BCB5A5F2-4CFC-4741-8EDE-A4324BB34608}"/>
    <cellStyle name="40% - Accent4 2 7 5 2" xfId="39557" xr:uid="{6EEB9022-5ACD-49A7-9F52-6B57E33FEF2E}"/>
    <cellStyle name="40% - Accent4 2 7 6" xfId="31954" xr:uid="{2260B0CF-2621-4AEA-AD8A-BCFBC60F4CF6}"/>
    <cellStyle name="40% - Accent4 3" xfId="240" xr:uid="{00000000-0005-0000-0000-00004F000000}"/>
    <cellStyle name="40% - Accent4 3 10" xfId="6977" xr:uid="{00000000-0005-0000-0000-0000CE0E0000}"/>
    <cellStyle name="40% - Accent4 3 10 2" xfId="24593" xr:uid="{41300EC2-F304-4181-9954-45A409AA8C3B}"/>
    <cellStyle name="40% - Accent4 3 10 2 2" xfId="39564" xr:uid="{40A9D6D1-0066-45CB-8C1D-0D4417E01B20}"/>
    <cellStyle name="40% - Accent4 3 10 3" xfId="31961" xr:uid="{7446803F-7A7B-4C25-B746-5170B9CDCB60}"/>
    <cellStyle name="40% - Accent4 3 2" xfId="6978" xr:uid="{00000000-0005-0000-0000-0000CF0E0000}"/>
    <cellStyle name="40% - Accent4 3 2 2" xfId="6979" xr:uid="{00000000-0005-0000-0000-0000D00E0000}"/>
    <cellStyle name="40% - Accent4 3 2 2 2" xfId="6980" xr:uid="{00000000-0005-0000-0000-0000D10E0000}"/>
    <cellStyle name="40% - Accent4 3 2 2 2 2" xfId="6981" xr:uid="{00000000-0005-0000-0000-0000D20E0000}"/>
    <cellStyle name="40% - Accent4 3 2 2 2 2 2" xfId="6982" xr:uid="{00000000-0005-0000-0000-0000D30E0000}"/>
    <cellStyle name="40% - Accent4 3 2 2 2 2 2 2" xfId="24597" xr:uid="{8BF73C08-75EF-437F-B138-126654685B7E}"/>
    <cellStyle name="40% - Accent4 3 2 2 2 2 2 2 2" xfId="39568" xr:uid="{76C2F2DE-999C-45B4-B4BF-9417280EE580}"/>
    <cellStyle name="40% - Accent4 3 2 2 2 2 2 3" xfId="31965" xr:uid="{413F7F11-4DD7-4BDB-973F-35423946AC02}"/>
    <cellStyle name="40% - Accent4 3 2 2 2 2 3" xfId="6983" xr:uid="{00000000-0005-0000-0000-0000D40E0000}"/>
    <cellStyle name="40% - Accent4 3 2 2 2 2 3 2" xfId="24598" xr:uid="{E42474B3-FD5A-4CA5-9077-C210C512B143}"/>
    <cellStyle name="40% - Accent4 3 2 2 2 2 3 2 2" xfId="39569" xr:uid="{8E8D2881-3217-4513-9D06-1F0A0D70D047}"/>
    <cellStyle name="40% - Accent4 3 2 2 2 2 3 3" xfId="31966" xr:uid="{B5FAD4FD-3315-49F6-A7E8-0BE0921971E6}"/>
    <cellStyle name="40% - Accent4 3 2 2 2 2 4" xfId="24596" xr:uid="{A30BCB87-E9E9-4F2B-B2A5-F77F50044EE8}"/>
    <cellStyle name="40% - Accent4 3 2 2 2 2 4 2" xfId="39567" xr:uid="{39AFA046-30E6-4613-A88B-B43D1B33DB19}"/>
    <cellStyle name="40% - Accent4 3 2 2 2 2 5" xfId="31964" xr:uid="{A67EBBB5-8485-4AF2-BBD8-E6884844E119}"/>
    <cellStyle name="40% - Accent4 3 2 2 2 3" xfId="6984" xr:uid="{00000000-0005-0000-0000-0000D50E0000}"/>
    <cellStyle name="40% - Accent4 3 2 2 2 3 2" xfId="6985" xr:uid="{00000000-0005-0000-0000-0000D60E0000}"/>
    <cellStyle name="40% - Accent4 3 2 2 2 3 2 2" xfId="24600" xr:uid="{AE43C2F3-0C37-462F-B8DC-C8E475A5C397}"/>
    <cellStyle name="40% - Accent4 3 2 2 2 3 2 2 2" xfId="39571" xr:uid="{CFE7799D-633F-414F-AA9D-EB2B2366A59E}"/>
    <cellStyle name="40% - Accent4 3 2 2 2 3 2 3" xfId="31968" xr:uid="{1C40EBAD-BBB2-4A9A-BF7D-24A19223F06F}"/>
    <cellStyle name="40% - Accent4 3 2 2 2 3 3" xfId="24599" xr:uid="{01BFFC89-FBFC-43AC-B728-07E0BE820ED4}"/>
    <cellStyle name="40% - Accent4 3 2 2 2 3 3 2" xfId="39570" xr:uid="{838DFA4F-CBC9-4FBA-A33D-0C0369F0AC34}"/>
    <cellStyle name="40% - Accent4 3 2 2 2 3 4" xfId="31967" xr:uid="{EDB1530D-09BB-4B47-9154-F6CEB94E5D11}"/>
    <cellStyle name="40% - Accent4 3 2 2 2 4" xfId="6986" xr:uid="{00000000-0005-0000-0000-0000D70E0000}"/>
    <cellStyle name="40% - Accent4 3 2 2 2 4 2" xfId="24601" xr:uid="{5C633F0E-42FA-461D-A309-F4622EBC0C6E}"/>
    <cellStyle name="40% - Accent4 3 2 2 2 4 2 2" xfId="39572" xr:uid="{3EBE2D4B-2729-42B6-9BB6-25853545ACF5}"/>
    <cellStyle name="40% - Accent4 3 2 2 2 4 3" xfId="31969" xr:uid="{C6764727-0A79-41F7-9289-F0557B8C6ABE}"/>
    <cellStyle name="40% - Accent4 3 2 2 2 5" xfId="24595" xr:uid="{EF963632-E40D-4CE6-9E2D-B07FE97E22EB}"/>
    <cellStyle name="40% - Accent4 3 2 2 2 5 2" xfId="39566" xr:uid="{D72576E5-672F-4F0F-A1D8-0681FCE246F6}"/>
    <cellStyle name="40% - Accent4 3 2 2 2 6" xfId="31963" xr:uid="{4A980B0D-1A59-4739-983C-018AF6DF83D9}"/>
    <cellStyle name="40% - Accent4 3 2 2 3" xfId="6987" xr:uid="{00000000-0005-0000-0000-0000D80E0000}"/>
    <cellStyle name="40% - Accent4 3 2 2 3 2" xfId="6988" xr:uid="{00000000-0005-0000-0000-0000D90E0000}"/>
    <cellStyle name="40% - Accent4 3 2 2 3 2 2" xfId="24603" xr:uid="{AE32F245-EDBA-4514-A29D-6D32C3C4FE28}"/>
    <cellStyle name="40% - Accent4 3 2 2 3 2 2 2" xfId="39574" xr:uid="{F480F628-9E9A-473A-A1F4-87E15047956E}"/>
    <cellStyle name="40% - Accent4 3 2 2 3 2 3" xfId="31971" xr:uid="{E34A1B01-59DB-4244-8C67-9F56C3949F31}"/>
    <cellStyle name="40% - Accent4 3 2 2 3 3" xfId="6989" xr:uid="{00000000-0005-0000-0000-0000DA0E0000}"/>
    <cellStyle name="40% - Accent4 3 2 2 3 3 2" xfId="24604" xr:uid="{8734B5E6-12E0-4938-B087-E9C8955A0329}"/>
    <cellStyle name="40% - Accent4 3 2 2 3 3 2 2" xfId="39575" xr:uid="{DF224D97-BDD1-4432-9839-0A61B7E7D195}"/>
    <cellStyle name="40% - Accent4 3 2 2 3 3 3" xfId="31972" xr:uid="{DCCA9964-8F4E-4A1F-A641-E269D760ED12}"/>
    <cellStyle name="40% - Accent4 3 2 2 3 4" xfId="24602" xr:uid="{7FCB0AD1-180F-40FB-940C-FDB2EC727DA0}"/>
    <cellStyle name="40% - Accent4 3 2 2 3 4 2" xfId="39573" xr:uid="{13364E19-28E6-4D00-8288-11660B058A7D}"/>
    <cellStyle name="40% - Accent4 3 2 2 3 5" xfId="31970" xr:uid="{F6DCB0CF-E802-4260-9D7C-D7FF292649CB}"/>
    <cellStyle name="40% - Accent4 3 2 2 4" xfId="6990" xr:uid="{00000000-0005-0000-0000-0000DB0E0000}"/>
    <cellStyle name="40% - Accent4 3 2 2 4 2" xfId="24605" xr:uid="{15424E82-C44A-44F8-B15A-0CF2EB9B80EF}"/>
    <cellStyle name="40% - Accent4 3 2 2 4 2 2" xfId="39576" xr:uid="{B955FBF9-09E9-4AB3-A866-679C8A236F69}"/>
    <cellStyle name="40% - Accent4 3 2 2 4 3" xfId="31973" xr:uid="{3915E810-A022-4691-9776-B179F7A099F2}"/>
    <cellStyle name="40% - Accent4 3 2 2 5" xfId="6991" xr:uid="{00000000-0005-0000-0000-0000DC0E0000}"/>
    <cellStyle name="40% - Accent4 3 2 2 5 2" xfId="6992" xr:uid="{00000000-0005-0000-0000-0000DD0E0000}"/>
    <cellStyle name="40% - Accent4 3 2 2 5 2 2" xfId="24607" xr:uid="{F726716A-6EFD-4F8F-A492-9FC2781E6A9C}"/>
    <cellStyle name="40% - Accent4 3 2 2 5 2 2 2" xfId="39578" xr:uid="{104EF8C5-1CE3-4B55-BF93-DF85577F39E0}"/>
    <cellStyle name="40% - Accent4 3 2 2 5 2 3" xfId="31975" xr:uid="{9F8A9E99-47FA-4954-9A6F-7218FF0C2854}"/>
    <cellStyle name="40% - Accent4 3 2 2 5 3" xfId="24606" xr:uid="{D4B5CB56-8C3D-4157-8D69-248C89C8A5D2}"/>
    <cellStyle name="40% - Accent4 3 2 2 5 3 2" xfId="39577" xr:uid="{F99FB2E4-AC72-441D-AEF9-33E457531419}"/>
    <cellStyle name="40% - Accent4 3 2 2 5 4" xfId="31974" xr:uid="{CC16879E-FE3D-44BC-ADA5-5122445105D9}"/>
    <cellStyle name="40% - Accent4 3 2 2 6" xfId="6993" xr:uid="{00000000-0005-0000-0000-0000DE0E0000}"/>
    <cellStyle name="40% - Accent4 3 2 2 6 2" xfId="24608" xr:uid="{E7CB3DF8-80DA-4BBD-A5DB-A045426DA43F}"/>
    <cellStyle name="40% - Accent4 3 2 2 6 2 2" xfId="39579" xr:uid="{14613A58-3E99-4483-AEB0-2AAD578CEF0A}"/>
    <cellStyle name="40% - Accent4 3 2 2 6 3" xfId="31976" xr:uid="{045E06D1-240D-4FAE-A85A-3C74DE56F987}"/>
    <cellStyle name="40% - Accent4 3 2 2 7" xfId="24594" xr:uid="{CFD4F536-29D8-4CDC-BC94-93B191D7F805}"/>
    <cellStyle name="40% - Accent4 3 2 2 7 2" xfId="39565" xr:uid="{2F394B67-4B03-4049-86A4-9B1A54960B4B}"/>
    <cellStyle name="40% - Accent4 3 2 2 8" xfId="31962" xr:uid="{11BFC197-7DA3-45E2-92A7-D3D158B995BF}"/>
    <cellStyle name="40% - Accent4 3 2 3" xfId="6994" xr:uid="{00000000-0005-0000-0000-0000DF0E0000}"/>
    <cellStyle name="40% - Accent4 3 2 3 2" xfId="6995" xr:uid="{00000000-0005-0000-0000-0000E00E0000}"/>
    <cellStyle name="40% - Accent4 3 2 3 2 2" xfId="6996" xr:uid="{00000000-0005-0000-0000-0000E10E0000}"/>
    <cellStyle name="40% - Accent4 3 2 3 2 2 2" xfId="24611" xr:uid="{975C1CF8-1ED5-492B-8132-47563B480269}"/>
    <cellStyle name="40% - Accent4 3 2 3 2 2 2 2" xfId="39582" xr:uid="{B218BB33-163B-4F4D-A867-B35EC8B5DAEB}"/>
    <cellStyle name="40% - Accent4 3 2 3 2 2 3" xfId="31979" xr:uid="{E40E277D-DE34-4DD4-AC66-D368701EC025}"/>
    <cellStyle name="40% - Accent4 3 2 3 2 3" xfId="6997" xr:uid="{00000000-0005-0000-0000-0000E20E0000}"/>
    <cellStyle name="40% - Accent4 3 2 3 2 3 2" xfId="24612" xr:uid="{39CA9386-ED8B-4C0B-92A4-5AF78B165E63}"/>
    <cellStyle name="40% - Accent4 3 2 3 2 3 2 2" xfId="39583" xr:uid="{24EDB870-A968-4219-A8E9-42ABE5A3A6C7}"/>
    <cellStyle name="40% - Accent4 3 2 3 2 3 3" xfId="31980" xr:uid="{4E5C5A53-1BEC-4AB1-AF4C-D71D9C348429}"/>
    <cellStyle name="40% - Accent4 3 2 3 2 4" xfId="24610" xr:uid="{C94D2417-40E0-4C74-A46C-E2C106710AA2}"/>
    <cellStyle name="40% - Accent4 3 2 3 2 4 2" xfId="39581" xr:uid="{DECD3071-11A6-492A-84CE-B91C1B71172E}"/>
    <cellStyle name="40% - Accent4 3 2 3 2 5" xfId="31978" xr:uid="{97A73667-0B78-4C50-8F29-8FD4164F4176}"/>
    <cellStyle name="40% - Accent4 3 2 3 3" xfId="6998" xr:uid="{00000000-0005-0000-0000-0000E30E0000}"/>
    <cellStyle name="40% - Accent4 3 2 3 3 2" xfId="6999" xr:uid="{00000000-0005-0000-0000-0000E40E0000}"/>
    <cellStyle name="40% - Accent4 3 2 3 3 2 2" xfId="24614" xr:uid="{89E4BD25-70AF-4BC9-8EA7-576EC6569F8F}"/>
    <cellStyle name="40% - Accent4 3 2 3 3 2 2 2" xfId="39585" xr:uid="{1FBB5B32-E057-4CB1-B601-DD3ADF182183}"/>
    <cellStyle name="40% - Accent4 3 2 3 3 2 3" xfId="31982" xr:uid="{5E6983BE-2815-4352-B11C-7D1AFF17D5D3}"/>
    <cellStyle name="40% - Accent4 3 2 3 3 3" xfId="24613" xr:uid="{EC2364F4-634C-46C0-8A9E-7374C211EBE6}"/>
    <cellStyle name="40% - Accent4 3 2 3 3 3 2" xfId="39584" xr:uid="{F5C11C07-9524-4602-B6CB-D7EB884664A3}"/>
    <cellStyle name="40% - Accent4 3 2 3 3 4" xfId="31981" xr:uid="{8F8BC311-CBD4-4AC6-A4DB-9ABDA39F8084}"/>
    <cellStyle name="40% - Accent4 3 2 3 4" xfId="7000" xr:uid="{00000000-0005-0000-0000-0000E50E0000}"/>
    <cellStyle name="40% - Accent4 3 2 3 4 2" xfId="24615" xr:uid="{DF117B56-D54B-4A7A-973F-3CB39C6801D5}"/>
    <cellStyle name="40% - Accent4 3 2 3 4 2 2" xfId="39586" xr:uid="{4032F550-7B4F-4772-AB0E-DAC34795584F}"/>
    <cellStyle name="40% - Accent4 3 2 3 4 3" xfId="31983" xr:uid="{223DEAA4-BEAC-4BE7-8A46-23BF5B7D3F87}"/>
    <cellStyle name="40% - Accent4 3 2 3 5" xfId="24609" xr:uid="{370365B1-A8DE-4524-9530-1E53F6A25C72}"/>
    <cellStyle name="40% - Accent4 3 2 3 5 2" xfId="39580" xr:uid="{081B07C8-D134-4FE7-8197-C7172CD1009A}"/>
    <cellStyle name="40% - Accent4 3 2 3 6" xfId="31977" xr:uid="{49E267CF-C3F9-4AAB-8662-38DA14E787FB}"/>
    <cellStyle name="40% - Accent4 3 2 4" xfId="7001" xr:uid="{00000000-0005-0000-0000-0000E60E0000}"/>
    <cellStyle name="40% - Accent4 3 2 5" xfId="7002" xr:uid="{00000000-0005-0000-0000-0000E70E0000}"/>
    <cellStyle name="40% - Accent4 3 2 5 2" xfId="24616" xr:uid="{7DF6679D-B191-4C94-95FC-9D828642EA90}"/>
    <cellStyle name="40% - Accent4 3 2 5 2 2" xfId="39587" xr:uid="{B7B299AA-5A93-4FDF-9516-C893C91E3BB3}"/>
    <cellStyle name="40% - Accent4 3 2 5 3" xfId="31984" xr:uid="{ACB995C4-54B8-48EF-A2B8-04BED6EFFFC8}"/>
    <cellStyle name="40% - Accent4 3 3" xfId="7003" xr:uid="{00000000-0005-0000-0000-0000E80E0000}"/>
    <cellStyle name="40% - Accent4 3 3 2" xfId="7004" xr:uid="{00000000-0005-0000-0000-0000E90E0000}"/>
    <cellStyle name="40% - Accent4 3 3 2 2" xfId="7005" xr:uid="{00000000-0005-0000-0000-0000EA0E0000}"/>
    <cellStyle name="40% - Accent4 3 3 2 2 2" xfId="24619" xr:uid="{99E757C5-BFC2-48F0-B9E3-5BE95A6A9045}"/>
    <cellStyle name="40% - Accent4 3 3 2 2 2 2" xfId="39590" xr:uid="{B4044BCB-682E-4127-A0B3-4B2E52F627A0}"/>
    <cellStyle name="40% - Accent4 3 3 2 2 3" xfId="31987" xr:uid="{1FEEED2F-3830-4BAB-B58A-B5D19C9461F4}"/>
    <cellStyle name="40% - Accent4 3 3 2 3" xfId="7006" xr:uid="{00000000-0005-0000-0000-0000EB0E0000}"/>
    <cellStyle name="40% - Accent4 3 3 2 3 2" xfId="7007" xr:uid="{00000000-0005-0000-0000-0000EC0E0000}"/>
    <cellStyle name="40% - Accent4 3 3 2 3 2 2" xfId="24621" xr:uid="{FF6D007E-582D-48F1-910F-940E14CE75F0}"/>
    <cellStyle name="40% - Accent4 3 3 2 3 2 2 2" xfId="39592" xr:uid="{16E9C0A0-4F9A-47EB-8E77-BF352BAD9FC8}"/>
    <cellStyle name="40% - Accent4 3 3 2 3 2 3" xfId="31989" xr:uid="{80C76EB8-F1E4-4523-8AF6-480509651B2A}"/>
    <cellStyle name="40% - Accent4 3 3 2 3 3" xfId="24620" xr:uid="{E6660D05-0B65-4E42-B1B2-6412829E991E}"/>
    <cellStyle name="40% - Accent4 3 3 2 3 3 2" xfId="39591" xr:uid="{E2A094E9-DBA6-4BB9-8804-A212D3B47B41}"/>
    <cellStyle name="40% - Accent4 3 3 2 3 4" xfId="31988" xr:uid="{43205536-62F0-438D-A173-1CC51C06D4B1}"/>
    <cellStyle name="40% - Accent4 3 3 2 4" xfId="24618" xr:uid="{144A95A3-10A3-4C98-9FD7-F1EEFA2B6595}"/>
    <cellStyle name="40% - Accent4 3 3 2 4 2" xfId="39589" xr:uid="{0F9B1562-A591-4062-BF6E-2D31C9B75E28}"/>
    <cellStyle name="40% - Accent4 3 3 2 5" xfId="31986" xr:uid="{215956AF-087F-4745-9031-CC23C24E13CD}"/>
    <cellStyle name="40% - Accent4 3 3 3" xfId="7008" xr:uid="{00000000-0005-0000-0000-0000ED0E0000}"/>
    <cellStyle name="40% - Accent4 3 3 3 2" xfId="24622" xr:uid="{BA6D158F-BDAA-4F74-94F4-043FDAD2AD97}"/>
    <cellStyle name="40% - Accent4 3 3 3 2 2" xfId="39593" xr:uid="{E1B4CD40-C959-4A6C-8A94-687195E6586A}"/>
    <cellStyle name="40% - Accent4 3 3 3 3" xfId="31990" xr:uid="{150659E1-7A60-4C51-B72B-974C76425FD6}"/>
    <cellStyle name="40% - Accent4 3 3 4" xfId="7009" xr:uid="{00000000-0005-0000-0000-0000EE0E0000}"/>
    <cellStyle name="40% - Accent4 3 3 4 2" xfId="7010" xr:uid="{00000000-0005-0000-0000-0000EF0E0000}"/>
    <cellStyle name="40% - Accent4 3 3 4 2 2" xfId="24624" xr:uid="{9E2F77A9-B8C8-4D38-8A76-2374BAB71761}"/>
    <cellStyle name="40% - Accent4 3 3 4 2 2 2" xfId="39595" xr:uid="{CD6B92E7-A0C0-4031-BE84-FA496374C447}"/>
    <cellStyle name="40% - Accent4 3 3 4 2 3" xfId="31992" xr:uid="{AA489378-8F4B-4A62-B6A2-29A66BC5ADEB}"/>
    <cellStyle name="40% - Accent4 3 3 4 3" xfId="24623" xr:uid="{9BA6B89B-0DEA-40D9-9AB4-5E37F2F386F6}"/>
    <cellStyle name="40% - Accent4 3 3 4 3 2" xfId="39594" xr:uid="{E394A332-ED0B-45C7-9DC9-39FA5C06B74D}"/>
    <cellStyle name="40% - Accent4 3 3 4 4" xfId="31991" xr:uid="{E23E28FA-308E-473D-8B8A-107785497B23}"/>
    <cellStyle name="40% - Accent4 3 3 5" xfId="7011" xr:uid="{00000000-0005-0000-0000-0000F00E0000}"/>
    <cellStyle name="40% - Accent4 3 3 5 2" xfId="24625" xr:uid="{46DDF24F-55C4-4E42-B592-1EC2E9C37BB8}"/>
    <cellStyle name="40% - Accent4 3 3 5 2 2" xfId="39596" xr:uid="{221AD192-230D-4CB7-BA3F-2568ECE2173E}"/>
    <cellStyle name="40% - Accent4 3 3 5 3" xfId="31993" xr:uid="{A42EA906-D31C-4E4A-9DAD-3F02093EC212}"/>
    <cellStyle name="40% - Accent4 3 3 6" xfId="24617" xr:uid="{3B5F7B48-EA6C-4638-8626-0525D2061D79}"/>
    <cellStyle name="40% - Accent4 3 3 6 2" xfId="39588" xr:uid="{BBE0A93B-54FD-4F63-85AF-962EEA247CF6}"/>
    <cellStyle name="40% - Accent4 3 3 7" xfId="31985" xr:uid="{AE77C2B5-23DF-4356-9B11-2A59D58892CB}"/>
    <cellStyle name="40% - Accent4 3 4" xfId="7012" xr:uid="{00000000-0005-0000-0000-0000F10E0000}"/>
    <cellStyle name="40% - Accent4 3 4 2" xfId="7013" xr:uid="{00000000-0005-0000-0000-0000F20E0000}"/>
    <cellStyle name="40% - Accent4 3 4 2 2" xfId="7014" xr:uid="{00000000-0005-0000-0000-0000F30E0000}"/>
    <cellStyle name="40% - Accent4 3 4 2 2 2" xfId="24628" xr:uid="{8AFB8FE1-1CC6-4064-90D3-C67FF9972AB1}"/>
    <cellStyle name="40% - Accent4 3 4 2 2 2 2" xfId="39599" xr:uid="{7DE69524-BE64-41D5-A5D6-8AC4568438E9}"/>
    <cellStyle name="40% - Accent4 3 4 2 2 3" xfId="31996" xr:uid="{87971D55-55ED-4821-ABED-A4FBE6FC63B6}"/>
    <cellStyle name="40% - Accent4 3 4 2 3" xfId="7015" xr:uid="{00000000-0005-0000-0000-0000F40E0000}"/>
    <cellStyle name="40% - Accent4 3 4 2 3 2" xfId="24629" xr:uid="{FF8689EF-AC65-412C-9C75-E38CFC2B2EF5}"/>
    <cellStyle name="40% - Accent4 3 4 2 3 2 2" xfId="39600" xr:uid="{8DB9D6A4-2AED-49F9-8F10-5ED8D243D6FB}"/>
    <cellStyle name="40% - Accent4 3 4 2 3 3" xfId="31997" xr:uid="{86927FEB-4465-453A-8BCC-1F923BA0F9C5}"/>
    <cellStyle name="40% - Accent4 3 4 2 4" xfId="24627" xr:uid="{9EEE5A74-1E4F-44E0-9F7C-C8CDE32E12C7}"/>
    <cellStyle name="40% - Accent4 3 4 2 4 2" xfId="39598" xr:uid="{DDC6ACCD-EBF7-4425-8EFB-D622A5837621}"/>
    <cellStyle name="40% - Accent4 3 4 2 5" xfId="31995" xr:uid="{F1389F06-E96A-40BD-A07D-2F890ACB0A63}"/>
    <cellStyle name="40% - Accent4 3 4 3" xfId="7016" xr:uid="{00000000-0005-0000-0000-0000F50E0000}"/>
    <cellStyle name="40% - Accent4 3 4 3 2" xfId="24630" xr:uid="{1815931F-C3B8-4FB6-8FB9-A4D00B2FBB2A}"/>
    <cellStyle name="40% - Accent4 3 4 3 2 2" xfId="39601" xr:uid="{9C5C325C-C2A9-4DA9-BBCD-577910A84BA0}"/>
    <cellStyle name="40% - Accent4 3 4 3 3" xfId="31998" xr:uid="{A6830FD0-CEA6-4967-B1ED-657A8F601697}"/>
    <cellStyle name="40% - Accent4 3 4 4" xfId="7017" xr:uid="{00000000-0005-0000-0000-0000F60E0000}"/>
    <cellStyle name="40% - Accent4 3 4 4 2" xfId="7018" xr:uid="{00000000-0005-0000-0000-0000F70E0000}"/>
    <cellStyle name="40% - Accent4 3 4 4 2 2" xfId="24632" xr:uid="{B4225EA7-2091-4EB1-84C4-FF8768BF9849}"/>
    <cellStyle name="40% - Accent4 3 4 4 2 2 2" xfId="39603" xr:uid="{9647B03E-5686-455F-A899-EB2CE2D85156}"/>
    <cellStyle name="40% - Accent4 3 4 4 2 3" xfId="32000" xr:uid="{0068A961-4475-4446-9873-F2E1834CFE2B}"/>
    <cellStyle name="40% - Accent4 3 4 4 3" xfId="24631" xr:uid="{2B79EF23-E755-4031-978B-42270507B301}"/>
    <cellStyle name="40% - Accent4 3 4 4 3 2" xfId="39602" xr:uid="{6FA2205A-5AF3-4621-ACB3-9D358CA592CA}"/>
    <cellStyle name="40% - Accent4 3 4 4 4" xfId="31999" xr:uid="{CF256B9E-4655-434C-9623-4432A6F4F5D6}"/>
    <cellStyle name="40% - Accent4 3 4 5" xfId="7019" xr:uid="{00000000-0005-0000-0000-0000F80E0000}"/>
    <cellStyle name="40% - Accent4 3 4 5 2" xfId="24633" xr:uid="{1461E200-AB60-415F-A059-582DB681435D}"/>
    <cellStyle name="40% - Accent4 3 4 5 2 2" xfId="39604" xr:uid="{E0EA5D2A-5EB9-44FC-8F69-6007B0C16FB1}"/>
    <cellStyle name="40% - Accent4 3 4 5 3" xfId="32001" xr:uid="{3A20C02B-BE6D-4FA2-9835-DFA0062BA3DF}"/>
    <cellStyle name="40% - Accent4 3 4 6" xfId="24626" xr:uid="{9757822C-A836-481A-B1D3-6E16369CC525}"/>
    <cellStyle name="40% - Accent4 3 4 6 2" xfId="39597" xr:uid="{7A1268BB-8D06-40DF-A713-C577138A1BAE}"/>
    <cellStyle name="40% - Accent4 3 4 7" xfId="31994" xr:uid="{F2E56D5B-F25C-42A6-987D-283E3D4E68E3}"/>
    <cellStyle name="40% - Accent4 3 5" xfId="7020" xr:uid="{00000000-0005-0000-0000-0000F90E0000}"/>
    <cellStyle name="40% - Accent4 3 5 2" xfId="7021" xr:uid="{00000000-0005-0000-0000-0000FA0E0000}"/>
    <cellStyle name="40% - Accent4 3 5 2 2" xfId="7022" xr:uid="{00000000-0005-0000-0000-0000FB0E0000}"/>
    <cellStyle name="40% - Accent4 3 5 2 2 2" xfId="24636" xr:uid="{D2A53EA6-9788-4B29-A638-7551B4E5EAAF}"/>
    <cellStyle name="40% - Accent4 3 5 2 2 2 2" xfId="39607" xr:uid="{00D05E0E-A4C3-4C11-80E8-962BD99F184A}"/>
    <cellStyle name="40% - Accent4 3 5 2 2 3" xfId="32004" xr:uid="{AD7157ED-722A-45AA-AF39-ABB9F3FCB0A4}"/>
    <cellStyle name="40% - Accent4 3 5 2 3" xfId="7023" xr:uid="{00000000-0005-0000-0000-0000FC0E0000}"/>
    <cellStyle name="40% - Accent4 3 5 2 3 2" xfId="24637" xr:uid="{AEAC998C-56E5-40CB-BC42-D5C78EDD6DAC}"/>
    <cellStyle name="40% - Accent4 3 5 2 3 2 2" xfId="39608" xr:uid="{0FBD92C4-DB2E-421F-92B9-3CD910A19962}"/>
    <cellStyle name="40% - Accent4 3 5 2 3 3" xfId="32005" xr:uid="{7B69B72D-513E-4643-89D7-4A8E68A6B903}"/>
    <cellStyle name="40% - Accent4 3 5 2 4" xfId="24635" xr:uid="{CB682227-905C-47F0-958D-3171D32DD885}"/>
    <cellStyle name="40% - Accent4 3 5 2 4 2" xfId="39606" xr:uid="{63D901ED-7046-490B-93D2-B1C0C87A4BF9}"/>
    <cellStyle name="40% - Accent4 3 5 2 5" xfId="32003" xr:uid="{FABE5A54-CFEB-4B2F-A37C-7DC7723E305A}"/>
    <cellStyle name="40% - Accent4 3 5 3" xfId="7024" xr:uid="{00000000-0005-0000-0000-0000FD0E0000}"/>
    <cellStyle name="40% - Accent4 3 5 3 2" xfId="7025" xr:uid="{00000000-0005-0000-0000-0000FE0E0000}"/>
    <cellStyle name="40% - Accent4 3 5 3 2 2" xfId="24639" xr:uid="{6A41EA94-F205-430D-9E92-150833746F9A}"/>
    <cellStyle name="40% - Accent4 3 5 3 2 2 2" xfId="39610" xr:uid="{592A7501-2907-449E-9D00-60839C407856}"/>
    <cellStyle name="40% - Accent4 3 5 3 2 3" xfId="32007" xr:uid="{734F8C41-AFB6-4EB1-802D-F335816213A6}"/>
    <cellStyle name="40% - Accent4 3 5 3 3" xfId="24638" xr:uid="{DAA313B0-C0B2-412C-A05D-E833B3A634F6}"/>
    <cellStyle name="40% - Accent4 3 5 3 3 2" xfId="39609" xr:uid="{82B73FFC-94DE-45D7-810F-04D1839ADC31}"/>
    <cellStyle name="40% - Accent4 3 5 3 4" xfId="32006" xr:uid="{0B3CDDCF-5BDF-441B-B34E-0C8B9A0CB644}"/>
    <cellStyle name="40% - Accent4 3 5 4" xfId="7026" xr:uid="{00000000-0005-0000-0000-0000FF0E0000}"/>
    <cellStyle name="40% - Accent4 3 5 4 2" xfId="24640" xr:uid="{DB1D757E-6502-4C5C-BCB0-50066F15A117}"/>
    <cellStyle name="40% - Accent4 3 5 4 2 2" xfId="39611" xr:uid="{95FE3376-F7B9-43F1-9889-43DEF71F1DE1}"/>
    <cellStyle name="40% - Accent4 3 5 4 3" xfId="32008" xr:uid="{FF52AF0A-BD78-4EBC-A65F-6356F5A7C2EF}"/>
    <cellStyle name="40% - Accent4 3 5 5" xfId="24634" xr:uid="{77010F02-757F-491E-A02F-E2DCD0B72D45}"/>
    <cellStyle name="40% - Accent4 3 5 5 2" xfId="39605" xr:uid="{EAB9D673-A312-40EA-B59E-DA120EED6358}"/>
    <cellStyle name="40% - Accent4 3 5 6" xfId="32002" xr:uid="{76EDA2E8-BEBB-41C3-BB58-BEDB80B7EB4E}"/>
    <cellStyle name="40% - Accent4 3 6" xfId="7027" xr:uid="{00000000-0005-0000-0000-0000000F0000}"/>
    <cellStyle name="40% - Accent4 3 6 2" xfId="7028" xr:uid="{00000000-0005-0000-0000-0000010F0000}"/>
    <cellStyle name="40% - Accent4 3 6 2 2" xfId="24642" xr:uid="{52AB5210-05F5-4130-917F-F33D293000A2}"/>
    <cellStyle name="40% - Accent4 3 6 2 2 2" xfId="39613" xr:uid="{5B8B98F6-2849-4877-83DE-0E2B5F529E40}"/>
    <cellStyle name="40% - Accent4 3 6 2 3" xfId="32010" xr:uid="{53080184-4D37-41C1-B60D-1D24C3E262D7}"/>
    <cellStyle name="40% - Accent4 3 6 3" xfId="7029" xr:uid="{00000000-0005-0000-0000-0000020F0000}"/>
    <cellStyle name="40% - Accent4 3 6 3 2" xfId="24643" xr:uid="{30BF470A-000D-4C4B-8225-04CD43ED1A55}"/>
    <cellStyle name="40% - Accent4 3 6 3 2 2" xfId="39614" xr:uid="{834A2C8A-F8C8-4358-AF0E-6A4B7399C27A}"/>
    <cellStyle name="40% - Accent4 3 6 3 3" xfId="32011" xr:uid="{BEBD4034-6922-4D2A-9642-A2095D0D7E15}"/>
    <cellStyle name="40% - Accent4 3 6 4" xfId="24641" xr:uid="{ABD8505F-0870-4BC2-8599-EA8156C08DD4}"/>
    <cellStyle name="40% - Accent4 3 6 4 2" xfId="39612" xr:uid="{FC02B670-F233-455A-8E7A-4531F00AF0F4}"/>
    <cellStyle name="40% - Accent4 3 6 5" xfId="32009" xr:uid="{A3B8BCDB-9D9F-4305-8047-9EDE9041C2C0}"/>
    <cellStyle name="40% - Accent4 3 7" xfId="7030" xr:uid="{00000000-0005-0000-0000-0000030F0000}"/>
    <cellStyle name="40% - Accent4 3 7 2" xfId="24644" xr:uid="{80935398-3E95-4104-93CB-1B439ED3DF47}"/>
    <cellStyle name="40% - Accent4 3 7 2 2" xfId="39615" xr:uid="{4F80101D-C2F2-4692-88C0-9DAEBD2EB93C}"/>
    <cellStyle name="40% - Accent4 3 7 3" xfId="32012" xr:uid="{AB2627AC-0AD7-41DA-9EBC-13A51E28ADCD}"/>
    <cellStyle name="40% - Accent4 3 8" xfId="7031" xr:uid="{00000000-0005-0000-0000-0000040F0000}"/>
    <cellStyle name="40% - Accent4 3 8 2" xfId="7032" xr:uid="{00000000-0005-0000-0000-0000050F0000}"/>
    <cellStyle name="40% - Accent4 3 8 2 2" xfId="24646" xr:uid="{32EA55F9-0837-4623-B3C4-0F8D394C9B5E}"/>
    <cellStyle name="40% - Accent4 3 8 2 2 2" xfId="39617" xr:uid="{63F3FD62-EFC0-400F-B70D-98BBD7977D87}"/>
    <cellStyle name="40% - Accent4 3 8 2 3" xfId="32014" xr:uid="{DBBB473F-43BB-497B-B6D2-4D24D679A725}"/>
    <cellStyle name="40% - Accent4 3 8 3" xfId="24645" xr:uid="{02D41C24-87E5-445B-A130-7A8F753081AC}"/>
    <cellStyle name="40% - Accent4 3 8 3 2" xfId="39616" xr:uid="{962954AE-E664-4455-8707-5EBA7FF82726}"/>
    <cellStyle name="40% - Accent4 3 8 4" xfId="32013" xr:uid="{C85C49F9-28C1-4E25-A824-E63FF6C525D7}"/>
    <cellStyle name="40% - Accent4 3 9" xfId="7033" xr:uid="{00000000-0005-0000-0000-0000060F0000}"/>
    <cellStyle name="40% - Accent4 3 9 2" xfId="24647" xr:uid="{0FF93AD5-CFDF-4BA6-BC91-58AEDEA3E044}"/>
    <cellStyle name="40% - Accent4 3 9 2 2" xfId="39618" xr:uid="{4B02508C-7BE0-461A-A783-BCD364E8F2B2}"/>
    <cellStyle name="40% - Accent4 3 9 3" xfId="32015" xr:uid="{D0871BBF-4881-4B1C-884E-996E96088F72}"/>
    <cellStyle name="40% - Accent4 4" xfId="241" xr:uid="{00000000-0005-0000-0000-000050000000}"/>
    <cellStyle name="40% - Accent4 4 10" xfId="7034" xr:uid="{00000000-0005-0000-0000-0000070F0000}"/>
    <cellStyle name="40% - Accent4 4 10 2" xfId="24648" xr:uid="{8C54AC74-7E95-49E6-8C1F-3224FFCD1C8D}"/>
    <cellStyle name="40% - Accent4 4 10 2 2" xfId="39619" xr:uid="{08076D4E-53B6-4C7C-B7E8-F7FFC4F43387}"/>
    <cellStyle name="40% - Accent4 4 10 3" xfId="32016" xr:uid="{1FCBE620-CCB0-4AAE-B97D-47AC64EE66EA}"/>
    <cellStyle name="40% - Accent4 4 2" xfId="7035" xr:uid="{00000000-0005-0000-0000-0000080F0000}"/>
    <cellStyle name="40% - Accent4 4 2 2" xfId="7036" xr:uid="{00000000-0005-0000-0000-0000090F0000}"/>
    <cellStyle name="40% - Accent4 4 2 2 2" xfId="7037" xr:uid="{00000000-0005-0000-0000-00000A0F0000}"/>
    <cellStyle name="40% - Accent4 4 2 2 2 2" xfId="7038" xr:uid="{00000000-0005-0000-0000-00000B0F0000}"/>
    <cellStyle name="40% - Accent4 4 2 2 2 2 2" xfId="7039" xr:uid="{00000000-0005-0000-0000-00000C0F0000}"/>
    <cellStyle name="40% - Accent4 4 2 2 2 2 2 2" xfId="24652" xr:uid="{607BB77E-AFC5-4A39-AA02-7753268C67C2}"/>
    <cellStyle name="40% - Accent4 4 2 2 2 2 2 2 2" xfId="39623" xr:uid="{FE81D45D-8139-4D6D-BB9B-E136925AF0AF}"/>
    <cellStyle name="40% - Accent4 4 2 2 2 2 2 3" xfId="32020" xr:uid="{91FFEB12-E299-4D05-A11A-FAC957C46EF3}"/>
    <cellStyle name="40% - Accent4 4 2 2 2 2 3" xfId="7040" xr:uid="{00000000-0005-0000-0000-00000D0F0000}"/>
    <cellStyle name="40% - Accent4 4 2 2 2 2 3 2" xfId="24653" xr:uid="{DA272813-B82D-492F-A9FB-B7E52BC86A02}"/>
    <cellStyle name="40% - Accent4 4 2 2 2 2 3 2 2" xfId="39624" xr:uid="{0DE28C56-D77A-4126-B103-D4E8F108ACAB}"/>
    <cellStyle name="40% - Accent4 4 2 2 2 2 3 3" xfId="32021" xr:uid="{7D855969-D32F-4A13-A10F-CEB015A36E01}"/>
    <cellStyle name="40% - Accent4 4 2 2 2 2 4" xfId="24651" xr:uid="{7989AAA3-AE03-4B68-B050-D351311A398A}"/>
    <cellStyle name="40% - Accent4 4 2 2 2 2 4 2" xfId="39622" xr:uid="{CEC1E6DF-71E9-4A9F-9DFB-AB1BD5E714F8}"/>
    <cellStyle name="40% - Accent4 4 2 2 2 2 5" xfId="32019" xr:uid="{C04E1B60-C35E-4D0A-8B39-7D06E94B7883}"/>
    <cellStyle name="40% - Accent4 4 2 2 2 3" xfId="7041" xr:uid="{00000000-0005-0000-0000-00000E0F0000}"/>
    <cellStyle name="40% - Accent4 4 2 2 2 3 2" xfId="7042" xr:uid="{00000000-0005-0000-0000-00000F0F0000}"/>
    <cellStyle name="40% - Accent4 4 2 2 2 3 2 2" xfId="24655" xr:uid="{0DB5DD5F-2AE0-4FB1-909C-5AE98381C004}"/>
    <cellStyle name="40% - Accent4 4 2 2 2 3 2 2 2" xfId="39626" xr:uid="{BC4E4634-92C2-4D52-917E-FD7552D8944A}"/>
    <cellStyle name="40% - Accent4 4 2 2 2 3 2 3" xfId="32023" xr:uid="{FFFAB8F7-E0BB-483F-8BA5-0204F76E1F70}"/>
    <cellStyle name="40% - Accent4 4 2 2 2 3 3" xfId="24654" xr:uid="{73BAA868-89F4-4E5D-AB71-2A6944ACFC12}"/>
    <cellStyle name="40% - Accent4 4 2 2 2 3 3 2" xfId="39625" xr:uid="{E9469E50-DC22-4DA9-B16F-61DA76149891}"/>
    <cellStyle name="40% - Accent4 4 2 2 2 3 4" xfId="32022" xr:uid="{7E9F1649-86F3-4CAC-AC00-183D7EC173FF}"/>
    <cellStyle name="40% - Accent4 4 2 2 2 4" xfId="7043" xr:uid="{00000000-0005-0000-0000-0000100F0000}"/>
    <cellStyle name="40% - Accent4 4 2 2 2 4 2" xfId="24656" xr:uid="{5B7A2F54-325E-4A24-9587-0EB7CC318F65}"/>
    <cellStyle name="40% - Accent4 4 2 2 2 4 2 2" xfId="39627" xr:uid="{EBFDC028-FFE2-40E9-8378-5E68CA38DDA1}"/>
    <cellStyle name="40% - Accent4 4 2 2 2 4 3" xfId="32024" xr:uid="{EE50B542-8A36-4472-AC32-4F5934FB10E0}"/>
    <cellStyle name="40% - Accent4 4 2 2 2 5" xfId="24650" xr:uid="{D73439FD-D6C2-4E0C-AFA6-AFAB9B08985C}"/>
    <cellStyle name="40% - Accent4 4 2 2 2 5 2" xfId="39621" xr:uid="{4F16ED4B-FCC4-4F55-8ADD-D63CE9F732BD}"/>
    <cellStyle name="40% - Accent4 4 2 2 2 6" xfId="32018" xr:uid="{4B3801BE-00EE-455D-BD51-ADAB44920209}"/>
    <cellStyle name="40% - Accent4 4 2 2 3" xfId="7044" xr:uid="{00000000-0005-0000-0000-0000110F0000}"/>
    <cellStyle name="40% - Accent4 4 2 2 3 2" xfId="7045" xr:uid="{00000000-0005-0000-0000-0000120F0000}"/>
    <cellStyle name="40% - Accent4 4 2 2 3 2 2" xfId="24658" xr:uid="{A4A3CA51-5E22-4F71-A898-30B9EB3EC8C5}"/>
    <cellStyle name="40% - Accent4 4 2 2 3 2 2 2" xfId="39629" xr:uid="{8F17221F-C9EC-4711-BFED-A5B50A49512A}"/>
    <cellStyle name="40% - Accent4 4 2 2 3 2 3" xfId="32026" xr:uid="{BF600910-E502-4B50-AD13-0B232A6690CD}"/>
    <cellStyle name="40% - Accent4 4 2 2 3 3" xfId="7046" xr:uid="{00000000-0005-0000-0000-0000130F0000}"/>
    <cellStyle name="40% - Accent4 4 2 2 3 3 2" xfId="24659" xr:uid="{99186359-6786-4911-A639-E7B907CCB410}"/>
    <cellStyle name="40% - Accent4 4 2 2 3 3 2 2" xfId="39630" xr:uid="{56EBE51C-A66B-4222-8E71-2D9CAABFED42}"/>
    <cellStyle name="40% - Accent4 4 2 2 3 3 3" xfId="32027" xr:uid="{686C8BBE-6C1D-445F-907F-51D1B95307ED}"/>
    <cellStyle name="40% - Accent4 4 2 2 3 4" xfId="24657" xr:uid="{BF901649-90B5-4BF3-84A0-6EB6893B7853}"/>
    <cellStyle name="40% - Accent4 4 2 2 3 4 2" xfId="39628" xr:uid="{9C1372D3-09FB-440B-B37B-F6BCDE6167D8}"/>
    <cellStyle name="40% - Accent4 4 2 2 3 5" xfId="32025" xr:uid="{4EE9FF4F-8E4E-40D6-BFCC-4F03B56C95E0}"/>
    <cellStyle name="40% - Accent4 4 2 2 4" xfId="7047" xr:uid="{00000000-0005-0000-0000-0000140F0000}"/>
    <cellStyle name="40% - Accent4 4 2 2 4 2" xfId="24660" xr:uid="{809F8EE6-F58C-4D2E-8467-DAB0D3072CE3}"/>
    <cellStyle name="40% - Accent4 4 2 2 4 2 2" xfId="39631" xr:uid="{76CC012D-B1A6-4AB1-AD4F-493E3AD1EF8E}"/>
    <cellStyle name="40% - Accent4 4 2 2 4 3" xfId="32028" xr:uid="{0BA244CC-DAF9-417E-B262-0E4B0046407F}"/>
    <cellStyle name="40% - Accent4 4 2 2 5" xfId="7048" xr:uid="{00000000-0005-0000-0000-0000150F0000}"/>
    <cellStyle name="40% - Accent4 4 2 2 5 2" xfId="7049" xr:uid="{00000000-0005-0000-0000-0000160F0000}"/>
    <cellStyle name="40% - Accent4 4 2 2 5 2 2" xfId="24662" xr:uid="{7740825B-D3CB-41C2-83C7-80F4D53041F7}"/>
    <cellStyle name="40% - Accent4 4 2 2 5 2 2 2" xfId="39633" xr:uid="{C0EB678D-6335-483C-B93E-C183F843D83D}"/>
    <cellStyle name="40% - Accent4 4 2 2 5 2 3" xfId="32030" xr:uid="{639B5B2C-7522-4ADA-8AB3-1E6608158FE5}"/>
    <cellStyle name="40% - Accent4 4 2 2 5 3" xfId="24661" xr:uid="{094F58F4-3FA9-46B6-AE74-10ED3E809E55}"/>
    <cellStyle name="40% - Accent4 4 2 2 5 3 2" xfId="39632" xr:uid="{C108B25F-A205-47CD-A145-BA30B65CFEEA}"/>
    <cellStyle name="40% - Accent4 4 2 2 5 4" xfId="32029" xr:uid="{F1C6909B-5048-4968-AA18-7907B908C1A9}"/>
    <cellStyle name="40% - Accent4 4 2 2 6" xfId="7050" xr:uid="{00000000-0005-0000-0000-0000170F0000}"/>
    <cellStyle name="40% - Accent4 4 2 2 6 2" xfId="24663" xr:uid="{947956C3-311A-43D1-A2D5-5E2ADFDA189B}"/>
    <cellStyle name="40% - Accent4 4 2 2 6 2 2" xfId="39634" xr:uid="{B7B098EB-A3EC-4373-A4BD-62F8EFBBEF01}"/>
    <cellStyle name="40% - Accent4 4 2 2 6 3" xfId="32031" xr:uid="{050F882F-421C-4B94-8E2C-4E4E6906B61E}"/>
    <cellStyle name="40% - Accent4 4 2 2 7" xfId="24649" xr:uid="{D6F2C317-6D11-407C-B021-98D7D9D27ECC}"/>
    <cellStyle name="40% - Accent4 4 2 2 7 2" xfId="39620" xr:uid="{71558552-F8F7-48BD-916A-A3141D00565F}"/>
    <cellStyle name="40% - Accent4 4 2 2 8" xfId="32017" xr:uid="{395096F7-216C-4C52-8313-33FED3DDE7EF}"/>
    <cellStyle name="40% - Accent4 4 2 3" xfId="7051" xr:uid="{00000000-0005-0000-0000-0000180F0000}"/>
    <cellStyle name="40% - Accent4 4 2 3 2" xfId="7052" xr:uid="{00000000-0005-0000-0000-0000190F0000}"/>
    <cellStyle name="40% - Accent4 4 2 3 2 2" xfId="7053" xr:uid="{00000000-0005-0000-0000-00001A0F0000}"/>
    <cellStyle name="40% - Accent4 4 2 3 2 2 2" xfId="24666" xr:uid="{ED865A7E-2F2A-445D-926D-729F578FE78C}"/>
    <cellStyle name="40% - Accent4 4 2 3 2 2 2 2" xfId="39637" xr:uid="{D79A088B-7AAE-4BF1-8016-1D70BB2674FB}"/>
    <cellStyle name="40% - Accent4 4 2 3 2 2 3" xfId="32034" xr:uid="{9A2317D1-23FF-4AFE-AD6A-B64343FFD8B3}"/>
    <cellStyle name="40% - Accent4 4 2 3 2 3" xfId="7054" xr:uid="{00000000-0005-0000-0000-00001B0F0000}"/>
    <cellStyle name="40% - Accent4 4 2 3 2 3 2" xfId="24667" xr:uid="{55E3F5C3-CD81-429D-94D0-7E951E308D22}"/>
    <cellStyle name="40% - Accent4 4 2 3 2 3 2 2" xfId="39638" xr:uid="{C4A0EAE7-A6AC-4C05-997C-43B5C615750A}"/>
    <cellStyle name="40% - Accent4 4 2 3 2 3 3" xfId="32035" xr:uid="{5096640B-76FA-4DC0-B52C-4395D5C728BA}"/>
    <cellStyle name="40% - Accent4 4 2 3 2 4" xfId="24665" xr:uid="{84B5D520-6BA3-4766-A3CC-DA9F7C68C990}"/>
    <cellStyle name="40% - Accent4 4 2 3 2 4 2" xfId="39636" xr:uid="{36692ED4-5BF3-4523-8767-26AE50F0917E}"/>
    <cellStyle name="40% - Accent4 4 2 3 2 5" xfId="32033" xr:uid="{74789887-0848-4C55-97CD-E6A689E9F667}"/>
    <cellStyle name="40% - Accent4 4 2 3 3" xfId="7055" xr:uid="{00000000-0005-0000-0000-00001C0F0000}"/>
    <cellStyle name="40% - Accent4 4 2 3 3 2" xfId="7056" xr:uid="{00000000-0005-0000-0000-00001D0F0000}"/>
    <cellStyle name="40% - Accent4 4 2 3 3 2 2" xfId="24669" xr:uid="{F14F3464-3ADC-4420-8D47-6387FCB847D2}"/>
    <cellStyle name="40% - Accent4 4 2 3 3 2 2 2" xfId="39640" xr:uid="{E3926CD8-C382-4919-B86B-8E946C50DB87}"/>
    <cellStyle name="40% - Accent4 4 2 3 3 2 3" xfId="32037" xr:uid="{C1885105-869A-41A2-95D1-08521372B4AE}"/>
    <cellStyle name="40% - Accent4 4 2 3 3 3" xfId="24668" xr:uid="{47A88718-0A8B-496A-AFF2-52856B8FABF0}"/>
    <cellStyle name="40% - Accent4 4 2 3 3 3 2" xfId="39639" xr:uid="{DB0D735F-ACDF-4062-BBE4-8FED15BFAAE8}"/>
    <cellStyle name="40% - Accent4 4 2 3 3 4" xfId="32036" xr:uid="{724DA8C9-C5DB-4ADF-8A4A-B546451EEB9B}"/>
    <cellStyle name="40% - Accent4 4 2 3 4" xfId="7057" xr:uid="{00000000-0005-0000-0000-00001E0F0000}"/>
    <cellStyle name="40% - Accent4 4 2 3 4 2" xfId="24670" xr:uid="{1C0F1113-0837-4E31-BDA0-3ECDDDC691F5}"/>
    <cellStyle name="40% - Accent4 4 2 3 4 2 2" xfId="39641" xr:uid="{029C8721-D104-420C-9401-C549D37C1DEF}"/>
    <cellStyle name="40% - Accent4 4 2 3 4 3" xfId="32038" xr:uid="{2E98B6A4-35F8-4347-9E2D-E902E08766FC}"/>
    <cellStyle name="40% - Accent4 4 2 3 5" xfId="24664" xr:uid="{A71C1C1B-E8A2-4746-9BF5-108C9B1C2B9F}"/>
    <cellStyle name="40% - Accent4 4 2 3 5 2" xfId="39635" xr:uid="{B196DC3C-F11C-4085-ACB1-BA01FBD750D6}"/>
    <cellStyle name="40% - Accent4 4 2 3 6" xfId="32032" xr:uid="{372DFA66-7057-4C83-B0DB-4446A11D848A}"/>
    <cellStyle name="40% - Accent4 4 2 4" xfId="7058" xr:uid="{00000000-0005-0000-0000-00001F0F0000}"/>
    <cellStyle name="40% - Accent4 4 2 5" xfId="7059" xr:uid="{00000000-0005-0000-0000-0000200F0000}"/>
    <cellStyle name="40% - Accent4 4 2 5 2" xfId="24671" xr:uid="{78B28389-096B-4093-B8BE-86A8234BC9BF}"/>
    <cellStyle name="40% - Accent4 4 2 5 2 2" xfId="39642" xr:uid="{64BF070F-A2F5-42FD-B46E-83AD252AEA75}"/>
    <cellStyle name="40% - Accent4 4 2 5 3" xfId="32039" xr:uid="{FA606C61-8CC4-4339-B282-3386F177833E}"/>
    <cellStyle name="40% - Accent4 4 3" xfId="7060" xr:uid="{00000000-0005-0000-0000-0000210F0000}"/>
    <cellStyle name="40% - Accent4 4 3 2" xfId="7061" xr:uid="{00000000-0005-0000-0000-0000220F0000}"/>
    <cellStyle name="40% - Accent4 4 3 2 2" xfId="7062" xr:uid="{00000000-0005-0000-0000-0000230F0000}"/>
    <cellStyle name="40% - Accent4 4 3 2 2 2" xfId="24674" xr:uid="{CA9FADC0-F2A8-4EB2-8F90-DE8C88BD6D6D}"/>
    <cellStyle name="40% - Accent4 4 3 2 2 2 2" xfId="39645" xr:uid="{C5EEA710-5643-48CB-A9D3-F8692F032AF8}"/>
    <cellStyle name="40% - Accent4 4 3 2 2 3" xfId="32042" xr:uid="{E104432B-C97A-441E-8F1C-C6663695717E}"/>
    <cellStyle name="40% - Accent4 4 3 2 3" xfId="7063" xr:uid="{00000000-0005-0000-0000-0000240F0000}"/>
    <cellStyle name="40% - Accent4 4 3 2 3 2" xfId="24675" xr:uid="{1E25C831-F72A-4178-AFC9-EC53E3C43E6A}"/>
    <cellStyle name="40% - Accent4 4 3 2 3 2 2" xfId="39646" xr:uid="{8DA12FA8-5A3B-4DB2-99BA-385A81C8287A}"/>
    <cellStyle name="40% - Accent4 4 3 2 3 3" xfId="32043" xr:uid="{9F6DEEBF-E68C-432E-A313-A3EFC873E828}"/>
    <cellStyle name="40% - Accent4 4 3 2 4" xfId="24673" xr:uid="{C7CBBFC2-8B28-42B5-BC44-767CB9990142}"/>
    <cellStyle name="40% - Accent4 4 3 2 4 2" xfId="39644" xr:uid="{A54A6924-8914-4A8C-B7E1-5C953F3961A4}"/>
    <cellStyle name="40% - Accent4 4 3 2 5" xfId="32041" xr:uid="{84D69494-D20F-49C9-A506-76C5247A103A}"/>
    <cellStyle name="40% - Accent4 4 3 3" xfId="7064" xr:uid="{00000000-0005-0000-0000-0000250F0000}"/>
    <cellStyle name="40% - Accent4 4 3 3 2" xfId="24676" xr:uid="{2CBEDB2B-08BA-4D33-8A71-25A545AB2072}"/>
    <cellStyle name="40% - Accent4 4 3 3 2 2" xfId="39647" xr:uid="{17C1B17D-FA7F-4844-A9B2-C2F136E914AD}"/>
    <cellStyle name="40% - Accent4 4 3 3 3" xfId="32044" xr:uid="{751C0784-49BF-487C-80FD-4989348C3DEC}"/>
    <cellStyle name="40% - Accent4 4 3 4" xfId="7065" xr:uid="{00000000-0005-0000-0000-0000260F0000}"/>
    <cellStyle name="40% - Accent4 4 3 4 2" xfId="7066" xr:uid="{00000000-0005-0000-0000-0000270F0000}"/>
    <cellStyle name="40% - Accent4 4 3 4 2 2" xfId="24678" xr:uid="{E689AB2A-EB42-40FB-958E-749CA57AC5E2}"/>
    <cellStyle name="40% - Accent4 4 3 4 2 2 2" xfId="39649" xr:uid="{EB63ED75-52AE-4C3F-8533-37502EAB1003}"/>
    <cellStyle name="40% - Accent4 4 3 4 2 3" xfId="32046" xr:uid="{D24C5FAE-2481-4AE6-BA05-8142DE199AAB}"/>
    <cellStyle name="40% - Accent4 4 3 4 3" xfId="24677" xr:uid="{6F4B34C9-F79C-4977-B1ED-1D57B8601E11}"/>
    <cellStyle name="40% - Accent4 4 3 4 3 2" xfId="39648" xr:uid="{D5806FCB-BD02-4665-AB9E-CB3A8BBA41B9}"/>
    <cellStyle name="40% - Accent4 4 3 4 4" xfId="32045" xr:uid="{3B0AEE50-BD13-45ED-BB5C-430B0B7E03BB}"/>
    <cellStyle name="40% - Accent4 4 3 5" xfId="7067" xr:uid="{00000000-0005-0000-0000-0000280F0000}"/>
    <cellStyle name="40% - Accent4 4 3 5 2" xfId="24679" xr:uid="{4825F3B9-D6FC-4859-9B10-EEF926840C54}"/>
    <cellStyle name="40% - Accent4 4 3 5 2 2" xfId="39650" xr:uid="{8C814661-DADE-427D-BF52-802469ADF8FD}"/>
    <cellStyle name="40% - Accent4 4 3 5 3" xfId="32047" xr:uid="{500AEAB7-E852-472F-99CE-7858557C08CE}"/>
    <cellStyle name="40% - Accent4 4 3 6" xfId="24672" xr:uid="{391DE1AB-0148-4E46-A8B4-C81C6AB03DC2}"/>
    <cellStyle name="40% - Accent4 4 3 6 2" xfId="39643" xr:uid="{E4095CBD-0720-4160-805E-A4D358819BC9}"/>
    <cellStyle name="40% - Accent4 4 3 7" xfId="32040" xr:uid="{CFAEFF63-FF3A-4BC3-AA69-CE1A2BEF7351}"/>
    <cellStyle name="40% - Accent4 4 4" xfId="7068" xr:uid="{00000000-0005-0000-0000-0000290F0000}"/>
    <cellStyle name="40% - Accent4 4 4 2" xfId="7069" xr:uid="{00000000-0005-0000-0000-00002A0F0000}"/>
    <cellStyle name="40% - Accent4 4 4 2 2" xfId="7070" xr:uid="{00000000-0005-0000-0000-00002B0F0000}"/>
    <cellStyle name="40% - Accent4 4 4 2 2 2" xfId="24682" xr:uid="{82AB6DDC-AF45-40C0-8227-68D7A339FC2F}"/>
    <cellStyle name="40% - Accent4 4 4 2 2 2 2" xfId="39653" xr:uid="{DFBFB3B5-7689-474E-AAE9-8A4BA30A41F6}"/>
    <cellStyle name="40% - Accent4 4 4 2 2 3" xfId="32050" xr:uid="{8672547A-EF20-4133-AB25-7D126E7C074B}"/>
    <cellStyle name="40% - Accent4 4 4 2 3" xfId="7071" xr:uid="{00000000-0005-0000-0000-00002C0F0000}"/>
    <cellStyle name="40% - Accent4 4 4 2 3 2" xfId="24683" xr:uid="{297B5635-D215-47B6-9F44-80E45459C711}"/>
    <cellStyle name="40% - Accent4 4 4 2 3 2 2" xfId="39654" xr:uid="{6C9F803E-D593-4251-9A8F-6B15A737BEF8}"/>
    <cellStyle name="40% - Accent4 4 4 2 3 3" xfId="32051" xr:uid="{13E55AA9-C111-4F72-83ED-56E14858909A}"/>
    <cellStyle name="40% - Accent4 4 4 2 4" xfId="24681" xr:uid="{97D23B0C-55B6-4328-8F8E-F1A792BDFB9E}"/>
    <cellStyle name="40% - Accent4 4 4 2 4 2" xfId="39652" xr:uid="{10B38082-CF72-484E-8445-899E6FE0A962}"/>
    <cellStyle name="40% - Accent4 4 4 2 5" xfId="32049" xr:uid="{F7BDA094-D413-4020-84DD-B4F88D7717BE}"/>
    <cellStyle name="40% - Accent4 4 4 3" xfId="7072" xr:uid="{00000000-0005-0000-0000-00002D0F0000}"/>
    <cellStyle name="40% - Accent4 4 4 3 2" xfId="7073" xr:uid="{00000000-0005-0000-0000-00002E0F0000}"/>
    <cellStyle name="40% - Accent4 4 4 3 2 2" xfId="24685" xr:uid="{8856E0FB-D9E3-40FC-9319-C8E2456C229D}"/>
    <cellStyle name="40% - Accent4 4 4 3 2 2 2" xfId="39656" xr:uid="{7BC29C33-23E8-4823-B771-8FB717A34442}"/>
    <cellStyle name="40% - Accent4 4 4 3 2 3" xfId="32053" xr:uid="{50D252C0-809B-4837-81FD-A940D8AD14CE}"/>
    <cellStyle name="40% - Accent4 4 4 3 3" xfId="24684" xr:uid="{4ACA658D-CCD9-4B92-8E5E-ED12DD9194F0}"/>
    <cellStyle name="40% - Accent4 4 4 3 3 2" xfId="39655" xr:uid="{7F948365-10F6-45A2-AF7A-587F0AEA0258}"/>
    <cellStyle name="40% - Accent4 4 4 3 4" xfId="32052" xr:uid="{4F6B6187-F68E-4B1A-869E-9D175CEB1E77}"/>
    <cellStyle name="40% - Accent4 4 4 4" xfId="7074" xr:uid="{00000000-0005-0000-0000-00002F0F0000}"/>
    <cellStyle name="40% - Accent4 4 4 4 2" xfId="24686" xr:uid="{926B9F63-12FD-45B0-887E-9BB6A8E3C466}"/>
    <cellStyle name="40% - Accent4 4 4 4 2 2" xfId="39657" xr:uid="{E9613452-7F11-4245-9B52-FDFE24FA1EC6}"/>
    <cellStyle name="40% - Accent4 4 4 4 3" xfId="32054" xr:uid="{48BF0150-39A8-4C7B-AF9F-77ED7875DBA7}"/>
    <cellStyle name="40% - Accent4 4 4 5" xfId="24680" xr:uid="{CB92D165-4D61-4178-997F-30904E42AD81}"/>
    <cellStyle name="40% - Accent4 4 4 5 2" xfId="39651" xr:uid="{977737FF-2F16-455D-B753-828D74F4780A}"/>
    <cellStyle name="40% - Accent4 4 4 6" xfId="32048" xr:uid="{48301EFB-2D48-4AF2-983C-341913C8907C}"/>
    <cellStyle name="40% - Accent4 4 5" xfId="7075" xr:uid="{00000000-0005-0000-0000-0000300F0000}"/>
    <cellStyle name="40% - Accent4 4 5 2" xfId="7076" xr:uid="{00000000-0005-0000-0000-0000310F0000}"/>
    <cellStyle name="40% - Accent4 4 5 2 2" xfId="7077" xr:uid="{00000000-0005-0000-0000-0000320F0000}"/>
    <cellStyle name="40% - Accent4 4 5 2 2 2" xfId="24689" xr:uid="{B2440021-9857-4DC1-9305-840B6D16EA7A}"/>
    <cellStyle name="40% - Accent4 4 5 2 2 2 2" xfId="39660" xr:uid="{CACCBD8B-654C-4717-A52D-3830D1959D42}"/>
    <cellStyle name="40% - Accent4 4 5 2 2 3" xfId="32057" xr:uid="{871AAF4F-1E9F-4589-BC8C-572D552E2E1B}"/>
    <cellStyle name="40% - Accent4 4 5 2 3" xfId="7078" xr:uid="{00000000-0005-0000-0000-0000330F0000}"/>
    <cellStyle name="40% - Accent4 4 5 2 3 2" xfId="24690" xr:uid="{D34C67F7-BBF9-4F4A-8762-207E40D3CAA4}"/>
    <cellStyle name="40% - Accent4 4 5 2 3 2 2" xfId="39661" xr:uid="{CCEEE4A9-275C-4FC5-953F-E0B3F29EA250}"/>
    <cellStyle name="40% - Accent4 4 5 2 3 3" xfId="32058" xr:uid="{710FC53C-C195-4DEC-9D78-05A01F0DC66F}"/>
    <cellStyle name="40% - Accent4 4 5 2 4" xfId="24688" xr:uid="{32768387-3137-4204-B3A7-60CDC991F089}"/>
    <cellStyle name="40% - Accent4 4 5 2 4 2" xfId="39659" xr:uid="{08E1E279-4171-4AD1-BBFD-8B4CA40A3CB7}"/>
    <cellStyle name="40% - Accent4 4 5 2 5" xfId="32056" xr:uid="{C70CE6B8-9D64-4A6F-96E6-9520313D7BCF}"/>
    <cellStyle name="40% - Accent4 4 5 3" xfId="7079" xr:uid="{00000000-0005-0000-0000-0000340F0000}"/>
    <cellStyle name="40% - Accent4 4 5 3 2" xfId="7080" xr:uid="{00000000-0005-0000-0000-0000350F0000}"/>
    <cellStyle name="40% - Accent4 4 5 3 2 2" xfId="24692" xr:uid="{80C89EED-E679-4E5C-9091-872A6DE9FD51}"/>
    <cellStyle name="40% - Accent4 4 5 3 2 2 2" xfId="39663" xr:uid="{9759B98B-FDAA-49C6-A062-45486E5114C8}"/>
    <cellStyle name="40% - Accent4 4 5 3 2 3" xfId="32060" xr:uid="{6566B1FF-46CF-427A-A10A-391A0EC35EE5}"/>
    <cellStyle name="40% - Accent4 4 5 3 3" xfId="24691" xr:uid="{BFA514BA-F332-4F00-B40A-3F1CD1333FE6}"/>
    <cellStyle name="40% - Accent4 4 5 3 3 2" xfId="39662" xr:uid="{64F28FFD-7C22-4462-AFEE-EBCCA5373D55}"/>
    <cellStyle name="40% - Accent4 4 5 3 4" xfId="32059" xr:uid="{4B43DCE2-6AD1-4D53-AE16-5E9F201BD442}"/>
    <cellStyle name="40% - Accent4 4 5 4" xfId="7081" xr:uid="{00000000-0005-0000-0000-0000360F0000}"/>
    <cellStyle name="40% - Accent4 4 5 4 2" xfId="24693" xr:uid="{4618CBD2-A18D-44DC-B1E7-E815D9ACD36B}"/>
    <cellStyle name="40% - Accent4 4 5 4 2 2" xfId="39664" xr:uid="{F0CA7350-4C81-4617-B77F-DBC628BBC059}"/>
    <cellStyle name="40% - Accent4 4 5 4 3" xfId="32061" xr:uid="{C9DE4D03-05FE-4731-B0B3-9F71AA27701D}"/>
    <cellStyle name="40% - Accent4 4 5 5" xfId="24687" xr:uid="{0585026B-41F1-4382-AE55-AD02A64E8B36}"/>
    <cellStyle name="40% - Accent4 4 5 5 2" xfId="39658" xr:uid="{AE026177-F9B0-4539-B7E0-52B4010175F4}"/>
    <cellStyle name="40% - Accent4 4 5 6" xfId="32055" xr:uid="{3BA4B526-5553-40DE-941C-DA8A815B2ADE}"/>
    <cellStyle name="40% - Accent4 4 6" xfId="7082" xr:uid="{00000000-0005-0000-0000-0000370F0000}"/>
    <cellStyle name="40% - Accent4 4 6 2" xfId="7083" xr:uid="{00000000-0005-0000-0000-0000380F0000}"/>
    <cellStyle name="40% - Accent4 4 6 2 2" xfId="24695" xr:uid="{31862136-53BA-4BB3-98A8-F06DB453ADFF}"/>
    <cellStyle name="40% - Accent4 4 6 2 2 2" xfId="39666" xr:uid="{30475C54-90EA-45E7-A094-1DA80551A5E7}"/>
    <cellStyle name="40% - Accent4 4 6 2 3" xfId="32063" xr:uid="{333BE66A-C84D-4FE5-B11B-1040205E3410}"/>
    <cellStyle name="40% - Accent4 4 6 3" xfId="7084" xr:uid="{00000000-0005-0000-0000-0000390F0000}"/>
    <cellStyle name="40% - Accent4 4 6 3 2" xfId="24696" xr:uid="{7FBA0FBA-98D3-4C5D-8C2E-D4173DE17E91}"/>
    <cellStyle name="40% - Accent4 4 6 3 2 2" xfId="39667" xr:uid="{9D201ADB-27D2-46BC-986F-3CF72EF4158B}"/>
    <cellStyle name="40% - Accent4 4 6 3 3" xfId="32064" xr:uid="{86B25749-EC8D-4133-AC9C-FF5DF3B47CCF}"/>
    <cellStyle name="40% - Accent4 4 6 4" xfId="24694" xr:uid="{A862ECF7-ABF2-4EB6-829C-C1A30054EE7E}"/>
    <cellStyle name="40% - Accent4 4 6 4 2" xfId="39665" xr:uid="{C56DCF9F-EC8C-467A-8925-BA2343C1CDDA}"/>
    <cellStyle name="40% - Accent4 4 6 5" xfId="32062" xr:uid="{CA9B57DD-65AE-40B2-BC4E-2876D776F646}"/>
    <cellStyle name="40% - Accent4 4 7" xfId="7085" xr:uid="{00000000-0005-0000-0000-00003A0F0000}"/>
    <cellStyle name="40% - Accent4 4 7 2" xfId="24697" xr:uid="{6FBAA617-6B68-43A8-83B3-448A9F1A121B}"/>
    <cellStyle name="40% - Accent4 4 7 2 2" xfId="39668" xr:uid="{E0CAE52B-DAF5-46F5-BA4A-F2DAEF9D171A}"/>
    <cellStyle name="40% - Accent4 4 7 3" xfId="32065" xr:uid="{30EDDBFE-025F-4715-8C05-42F44B3230C7}"/>
    <cellStyle name="40% - Accent4 4 8" xfId="7086" xr:uid="{00000000-0005-0000-0000-00003B0F0000}"/>
    <cellStyle name="40% - Accent4 4 8 2" xfId="7087" xr:uid="{00000000-0005-0000-0000-00003C0F0000}"/>
    <cellStyle name="40% - Accent4 4 8 2 2" xfId="24699" xr:uid="{85416F98-C69A-467E-B330-818125B65535}"/>
    <cellStyle name="40% - Accent4 4 8 2 2 2" xfId="39670" xr:uid="{A74DA284-B675-45F4-ACAA-B49653A765D8}"/>
    <cellStyle name="40% - Accent4 4 8 2 3" xfId="32067" xr:uid="{D3D95887-17CB-47A9-909E-3E6F0813BED0}"/>
    <cellStyle name="40% - Accent4 4 8 3" xfId="24698" xr:uid="{46A123E8-346B-4B44-ADEA-EB0D34F60A5F}"/>
    <cellStyle name="40% - Accent4 4 8 3 2" xfId="39669" xr:uid="{6D00D4E0-7C3A-4246-9DB1-EC057E350191}"/>
    <cellStyle name="40% - Accent4 4 8 4" xfId="32066" xr:uid="{735A9012-6754-47D6-9FAF-A68B6E307FAD}"/>
    <cellStyle name="40% - Accent4 4 9" xfId="7088" xr:uid="{00000000-0005-0000-0000-00003D0F0000}"/>
    <cellStyle name="40% - Accent4 4 9 2" xfId="24700" xr:uid="{68A0622D-F20B-4A6E-A9FF-DA03400B329A}"/>
    <cellStyle name="40% - Accent4 4 9 2 2" xfId="39671" xr:uid="{7F3180D2-0912-4FC2-8561-67893E0374C0}"/>
    <cellStyle name="40% - Accent4 4 9 3" xfId="32068" xr:uid="{9A98DAEC-A6A5-4EFC-99CB-71EB9C68ECC7}"/>
    <cellStyle name="40% - Accent4 5" xfId="242" xr:uid="{00000000-0005-0000-0000-000051000000}"/>
    <cellStyle name="40% - Accent4 5 2" xfId="7090" xr:uid="{00000000-0005-0000-0000-00003F0F0000}"/>
    <cellStyle name="40% - Accent4 5 2 2" xfId="7091" xr:uid="{00000000-0005-0000-0000-0000400F0000}"/>
    <cellStyle name="40% - Accent4 5 2 2 2" xfId="7092" xr:uid="{00000000-0005-0000-0000-0000410F0000}"/>
    <cellStyle name="40% - Accent4 5 2 2 2 2" xfId="7093" xr:uid="{00000000-0005-0000-0000-0000420F0000}"/>
    <cellStyle name="40% - Accent4 5 2 2 2 2 2" xfId="7094" xr:uid="{00000000-0005-0000-0000-0000430F0000}"/>
    <cellStyle name="40% - Accent4 5 2 2 2 2 2 2" xfId="24705" xr:uid="{3B4A65AE-AC9D-40F8-AC62-86D2A972EF70}"/>
    <cellStyle name="40% - Accent4 5 2 2 2 2 2 2 2" xfId="39676" xr:uid="{02D183FA-3C06-4F7D-8214-17914F099E36}"/>
    <cellStyle name="40% - Accent4 5 2 2 2 2 2 3" xfId="32073" xr:uid="{36F1B553-8417-4A25-95C8-3C1A5B36ED77}"/>
    <cellStyle name="40% - Accent4 5 2 2 2 2 3" xfId="7095" xr:uid="{00000000-0005-0000-0000-0000440F0000}"/>
    <cellStyle name="40% - Accent4 5 2 2 2 2 3 2" xfId="24706" xr:uid="{C0CC265A-A7B5-4E15-BF36-823A3D6DB992}"/>
    <cellStyle name="40% - Accent4 5 2 2 2 2 3 2 2" xfId="39677" xr:uid="{D09F1520-5DCF-446E-91C0-5E16AE065C74}"/>
    <cellStyle name="40% - Accent4 5 2 2 2 2 3 3" xfId="32074" xr:uid="{391EAD11-1D39-4321-BD39-F6D33589602B}"/>
    <cellStyle name="40% - Accent4 5 2 2 2 2 4" xfId="24704" xr:uid="{6255F993-C9A2-4368-8EAA-6299CADA5A63}"/>
    <cellStyle name="40% - Accent4 5 2 2 2 2 4 2" xfId="39675" xr:uid="{74B50425-D035-4AC9-9BC0-E3FDE891F8D4}"/>
    <cellStyle name="40% - Accent4 5 2 2 2 2 5" xfId="32072" xr:uid="{C6EE7649-CC79-44EB-A3D2-ADB2D6EC05EC}"/>
    <cellStyle name="40% - Accent4 5 2 2 2 3" xfId="7096" xr:uid="{00000000-0005-0000-0000-0000450F0000}"/>
    <cellStyle name="40% - Accent4 5 2 2 2 3 2" xfId="7097" xr:uid="{00000000-0005-0000-0000-0000460F0000}"/>
    <cellStyle name="40% - Accent4 5 2 2 2 3 2 2" xfId="24708" xr:uid="{DD3E9357-7D9E-47DD-B8CA-133FFCB3969D}"/>
    <cellStyle name="40% - Accent4 5 2 2 2 3 2 2 2" xfId="39679" xr:uid="{5FDB6C72-552A-4CBB-8649-20D72815283E}"/>
    <cellStyle name="40% - Accent4 5 2 2 2 3 2 3" xfId="32076" xr:uid="{DF44A795-048F-4749-9646-847AC8E16D1B}"/>
    <cellStyle name="40% - Accent4 5 2 2 2 3 3" xfId="24707" xr:uid="{5169BA7C-994E-499C-8649-6B8D261A8416}"/>
    <cellStyle name="40% - Accent4 5 2 2 2 3 3 2" xfId="39678" xr:uid="{9463C791-A5C5-4DE0-8A01-CECB10951F72}"/>
    <cellStyle name="40% - Accent4 5 2 2 2 3 4" xfId="32075" xr:uid="{97BB815E-D202-469A-BA11-8A5B040DCFCE}"/>
    <cellStyle name="40% - Accent4 5 2 2 2 4" xfId="7098" xr:uid="{00000000-0005-0000-0000-0000470F0000}"/>
    <cellStyle name="40% - Accent4 5 2 2 2 4 2" xfId="24709" xr:uid="{62F13800-9E4C-4C2B-859A-CD5FD6AE03C7}"/>
    <cellStyle name="40% - Accent4 5 2 2 2 4 2 2" xfId="39680" xr:uid="{ACFF1A67-2322-4870-A4C8-B061F0F36FB0}"/>
    <cellStyle name="40% - Accent4 5 2 2 2 4 3" xfId="32077" xr:uid="{67DDB0C5-5A53-4265-8846-354A985E27A8}"/>
    <cellStyle name="40% - Accent4 5 2 2 2 5" xfId="24703" xr:uid="{78294B67-30A9-486D-B2C7-A49EF1A3A20A}"/>
    <cellStyle name="40% - Accent4 5 2 2 2 5 2" xfId="39674" xr:uid="{F7D34118-E2F2-4342-827D-F01D513E4701}"/>
    <cellStyle name="40% - Accent4 5 2 2 2 6" xfId="32071" xr:uid="{D902708E-5F05-4EBC-9680-62CCEA37178D}"/>
    <cellStyle name="40% - Accent4 5 2 2 3" xfId="7099" xr:uid="{00000000-0005-0000-0000-0000480F0000}"/>
    <cellStyle name="40% - Accent4 5 2 2 3 2" xfId="7100" xr:uid="{00000000-0005-0000-0000-0000490F0000}"/>
    <cellStyle name="40% - Accent4 5 2 2 3 2 2" xfId="24711" xr:uid="{575CCA6B-0694-4830-806C-6699C893D323}"/>
    <cellStyle name="40% - Accent4 5 2 2 3 2 2 2" xfId="39682" xr:uid="{C0F0C346-9CFD-4D05-AD24-99C167B5A4FE}"/>
    <cellStyle name="40% - Accent4 5 2 2 3 2 3" xfId="32079" xr:uid="{C2591D9D-E02B-4BA9-A21B-00A5106D3CD9}"/>
    <cellStyle name="40% - Accent4 5 2 2 3 3" xfId="7101" xr:uid="{00000000-0005-0000-0000-00004A0F0000}"/>
    <cellStyle name="40% - Accent4 5 2 2 3 3 2" xfId="24712" xr:uid="{2C879FE3-FA33-4537-B04A-460155ACE495}"/>
    <cellStyle name="40% - Accent4 5 2 2 3 3 2 2" xfId="39683" xr:uid="{FF138FCC-A7C5-4B67-BBEF-EAB65F52EBCB}"/>
    <cellStyle name="40% - Accent4 5 2 2 3 3 3" xfId="32080" xr:uid="{7910969A-EC4E-452E-A127-9C155A798C80}"/>
    <cellStyle name="40% - Accent4 5 2 2 3 4" xfId="24710" xr:uid="{2773D5E0-B8A6-48CB-9055-618E0F7F8E03}"/>
    <cellStyle name="40% - Accent4 5 2 2 3 4 2" xfId="39681" xr:uid="{5385DE40-3404-435E-89F1-979CB94EAF70}"/>
    <cellStyle name="40% - Accent4 5 2 2 3 5" xfId="32078" xr:uid="{38BA60F1-1B7C-4331-84B6-39B5F73F31B5}"/>
    <cellStyle name="40% - Accent4 5 2 2 4" xfId="7102" xr:uid="{00000000-0005-0000-0000-00004B0F0000}"/>
    <cellStyle name="40% - Accent4 5 2 2 4 2" xfId="24713" xr:uid="{5FA1162A-50A9-4F20-9D41-758899922677}"/>
    <cellStyle name="40% - Accent4 5 2 2 4 2 2" xfId="39684" xr:uid="{5BCFF9D0-7459-43ED-B0B4-B492F6486B3D}"/>
    <cellStyle name="40% - Accent4 5 2 2 4 3" xfId="32081" xr:uid="{D78F53CD-63C9-498B-9AE9-6AE264C5034B}"/>
    <cellStyle name="40% - Accent4 5 2 2 5" xfId="7103" xr:uid="{00000000-0005-0000-0000-00004C0F0000}"/>
    <cellStyle name="40% - Accent4 5 2 2 5 2" xfId="7104" xr:uid="{00000000-0005-0000-0000-00004D0F0000}"/>
    <cellStyle name="40% - Accent4 5 2 2 5 2 2" xfId="24715" xr:uid="{C803158D-33AF-4791-8325-645CF7441E4F}"/>
    <cellStyle name="40% - Accent4 5 2 2 5 2 2 2" xfId="39686" xr:uid="{BDBAD610-FF7F-465D-AA04-4CB0A6B5DDEB}"/>
    <cellStyle name="40% - Accent4 5 2 2 5 2 3" xfId="32083" xr:uid="{9D56E244-FC97-4562-A5A9-E4B2B15918FB}"/>
    <cellStyle name="40% - Accent4 5 2 2 5 3" xfId="24714" xr:uid="{B76ADE88-F35D-473C-B467-03A93AB6E1C5}"/>
    <cellStyle name="40% - Accent4 5 2 2 5 3 2" xfId="39685" xr:uid="{39D64DDD-CD68-4822-92C7-0B6FF5F8DB75}"/>
    <cellStyle name="40% - Accent4 5 2 2 5 4" xfId="32082" xr:uid="{1CA2E3A4-5E5B-461F-A614-864091091461}"/>
    <cellStyle name="40% - Accent4 5 2 2 6" xfId="7105" xr:uid="{00000000-0005-0000-0000-00004E0F0000}"/>
    <cellStyle name="40% - Accent4 5 2 2 6 2" xfId="24716" xr:uid="{1212BA24-47F0-40A5-8B46-7F4693E8D5CD}"/>
    <cellStyle name="40% - Accent4 5 2 2 6 2 2" xfId="39687" xr:uid="{50696E7D-6DA3-4E06-B10E-994CAF3AA3AB}"/>
    <cellStyle name="40% - Accent4 5 2 2 6 3" xfId="32084" xr:uid="{7B8128D5-BCF6-4FC4-9D32-03DCFB41D812}"/>
    <cellStyle name="40% - Accent4 5 2 2 7" xfId="24702" xr:uid="{7994C52A-C63E-4CA7-A7CA-1E480E2D2345}"/>
    <cellStyle name="40% - Accent4 5 2 2 7 2" xfId="39673" xr:uid="{48CCD0D1-4ED4-4F47-950C-49525D183FC3}"/>
    <cellStyle name="40% - Accent4 5 2 2 8" xfId="32070" xr:uid="{769B7527-2930-48EE-8CC5-A4A8F4F222BE}"/>
    <cellStyle name="40% - Accent4 5 2 3" xfId="7106" xr:uid="{00000000-0005-0000-0000-00004F0F0000}"/>
    <cellStyle name="40% - Accent4 5 2 3 2" xfId="7107" xr:uid="{00000000-0005-0000-0000-0000500F0000}"/>
    <cellStyle name="40% - Accent4 5 2 3 2 2" xfId="7108" xr:uid="{00000000-0005-0000-0000-0000510F0000}"/>
    <cellStyle name="40% - Accent4 5 2 3 2 2 2" xfId="24719" xr:uid="{63A95E21-F70D-4C90-A21A-6ABCDA691B1B}"/>
    <cellStyle name="40% - Accent4 5 2 3 2 2 2 2" xfId="39690" xr:uid="{941C5284-C8BD-4EED-9663-06E55BB99379}"/>
    <cellStyle name="40% - Accent4 5 2 3 2 2 3" xfId="32087" xr:uid="{1F4AB48C-52B2-4017-98E2-83BCDC542B7C}"/>
    <cellStyle name="40% - Accent4 5 2 3 2 3" xfId="7109" xr:uid="{00000000-0005-0000-0000-0000520F0000}"/>
    <cellStyle name="40% - Accent4 5 2 3 2 3 2" xfId="24720" xr:uid="{C98F392D-AD9B-42F5-A6FC-4B220DE059FB}"/>
    <cellStyle name="40% - Accent4 5 2 3 2 3 2 2" xfId="39691" xr:uid="{56441BA2-2822-48B1-8B1B-C3663F03EEFF}"/>
    <cellStyle name="40% - Accent4 5 2 3 2 3 3" xfId="32088" xr:uid="{9C2E63BB-03F7-437F-BD24-DB90EB97866B}"/>
    <cellStyle name="40% - Accent4 5 2 3 2 4" xfId="24718" xr:uid="{B8411067-C469-452A-9204-D2FAB88F648F}"/>
    <cellStyle name="40% - Accent4 5 2 3 2 4 2" xfId="39689" xr:uid="{817E72D2-CE9B-4EF0-BCCA-804B501698E4}"/>
    <cellStyle name="40% - Accent4 5 2 3 2 5" xfId="32086" xr:uid="{C96B0DF6-A2FD-4609-864E-9B50EFA860BA}"/>
    <cellStyle name="40% - Accent4 5 2 3 3" xfId="7110" xr:uid="{00000000-0005-0000-0000-0000530F0000}"/>
    <cellStyle name="40% - Accent4 5 2 3 3 2" xfId="7111" xr:uid="{00000000-0005-0000-0000-0000540F0000}"/>
    <cellStyle name="40% - Accent4 5 2 3 3 2 2" xfId="24722" xr:uid="{5C3084CE-8BBF-4FCA-A6EA-60BFCF5E5336}"/>
    <cellStyle name="40% - Accent4 5 2 3 3 2 2 2" xfId="39693" xr:uid="{BCD0B6EA-D4D3-4035-85FC-D7805883786F}"/>
    <cellStyle name="40% - Accent4 5 2 3 3 2 3" xfId="32090" xr:uid="{03AE8967-7050-4149-A040-BC3997E058EE}"/>
    <cellStyle name="40% - Accent4 5 2 3 3 3" xfId="24721" xr:uid="{3E2F46C2-DBA9-4699-9CB5-7E919A34B502}"/>
    <cellStyle name="40% - Accent4 5 2 3 3 3 2" xfId="39692" xr:uid="{CC63EF4A-912D-4BA8-B95C-3E5DC1E77B1A}"/>
    <cellStyle name="40% - Accent4 5 2 3 3 4" xfId="32089" xr:uid="{08A2EDBE-1F8A-49BA-BB41-59B0B0B3C03D}"/>
    <cellStyle name="40% - Accent4 5 2 3 4" xfId="7112" xr:uid="{00000000-0005-0000-0000-0000550F0000}"/>
    <cellStyle name="40% - Accent4 5 2 3 4 2" xfId="24723" xr:uid="{D5AF3F41-2E87-4785-BB37-954F3501556E}"/>
    <cellStyle name="40% - Accent4 5 2 3 4 2 2" xfId="39694" xr:uid="{0DD998AE-E6E8-460B-A808-116F2C97C8EE}"/>
    <cellStyle name="40% - Accent4 5 2 3 4 3" xfId="32091" xr:uid="{4C4D60CB-AE0A-4C56-9C5D-AE7FC6D4ADB7}"/>
    <cellStyle name="40% - Accent4 5 2 3 5" xfId="24717" xr:uid="{0C748E13-C24E-40E4-A348-09CAD35F8A26}"/>
    <cellStyle name="40% - Accent4 5 2 3 5 2" xfId="39688" xr:uid="{D2F68F4E-CE83-45C9-9851-1D2DE5609351}"/>
    <cellStyle name="40% - Accent4 5 2 3 6" xfId="32085" xr:uid="{5EA59339-DD9F-495C-91CD-F8A5E104C8CF}"/>
    <cellStyle name="40% - Accent4 5 2 4" xfId="7113" xr:uid="{00000000-0005-0000-0000-0000560F0000}"/>
    <cellStyle name="40% - Accent4 5 2 5" xfId="7114" xr:uid="{00000000-0005-0000-0000-0000570F0000}"/>
    <cellStyle name="40% - Accent4 5 2 5 2" xfId="24724" xr:uid="{4B74BBC2-AC33-4646-A09F-396E536B3B56}"/>
    <cellStyle name="40% - Accent4 5 2 5 2 2" xfId="39695" xr:uid="{1022D320-D1A3-49DC-8959-C5EAB18C2759}"/>
    <cellStyle name="40% - Accent4 5 2 5 3" xfId="32092" xr:uid="{37E8E40B-F2D3-468E-9C8F-5404C0B130B0}"/>
    <cellStyle name="40% - Accent4 5 3" xfId="7115" xr:uid="{00000000-0005-0000-0000-0000580F0000}"/>
    <cellStyle name="40% - Accent4 5 3 2" xfId="7116" xr:uid="{00000000-0005-0000-0000-0000590F0000}"/>
    <cellStyle name="40% - Accent4 5 3 2 2" xfId="7117" xr:uid="{00000000-0005-0000-0000-00005A0F0000}"/>
    <cellStyle name="40% - Accent4 5 3 2 2 2" xfId="24727" xr:uid="{3620411E-8761-444E-9717-F9DBF54A2306}"/>
    <cellStyle name="40% - Accent4 5 3 2 2 2 2" xfId="39698" xr:uid="{85733285-6919-4FF6-AB45-C4B514F2BD90}"/>
    <cellStyle name="40% - Accent4 5 3 2 2 3" xfId="32095" xr:uid="{E6D37C37-C2CD-4850-9DC3-5BC2A8D58EE2}"/>
    <cellStyle name="40% - Accent4 5 3 2 3" xfId="7118" xr:uid="{00000000-0005-0000-0000-00005B0F0000}"/>
    <cellStyle name="40% - Accent4 5 3 2 3 2" xfId="24728" xr:uid="{311A4C3B-4C8D-470F-8A63-AEE073375CC3}"/>
    <cellStyle name="40% - Accent4 5 3 2 3 2 2" xfId="39699" xr:uid="{CA949D69-CC36-42A1-AE49-ABF10CDF247A}"/>
    <cellStyle name="40% - Accent4 5 3 2 3 3" xfId="32096" xr:uid="{6A27374E-7712-4222-B090-51E381C86EEB}"/>
    <cellStyle name="40% - Accent4 5 3 2 4" xfId="24726" xr:uid="{A1BCEFE1-2940-4A56-82CF-42AAD984EEF8}"/>
    <cellStyle name="40% - Accent4 5 3 2 4 2" xfId="39697" xr:uid="{C27E01E8-69F5-4A32-8CCF-D8694FE10EBA}"/>
    <cellStyle name="40% - Accent4 5 3 2 5" xfId="32094" xr:uid="{7B38A06A-B78F-474F-8523-23BBD1ED2EE2}"/>
    <cellStyle name="40% - Accent4 5 3 3" xfId="7119" xr:uid="{00000000-0005-0000-0000-00005C0F0000}"/>
    <cellStyle name="40% - Accent4 5 3 3 2" xfId="24729" xr:uid="{A2165F75-D230-4D37-90B8-9AE5F7B7C8C4}"/>
    <cellStyle name="40% - Accent4 5 3 3 2 2" xfId="39700" xr:uid="{B79F0363-F4F5-42FE-A812-ECBFDDDFFD64}"/>
    <cellStyle name="40% - Accent4 5 3 3 3" xfId="32097" xr:uid="{9B0B2714-67CF-4446-ADBF-1B085B6A2185}"/>
    <cellStyle name="40% - Accent4 5 3 4" xfId="7120" xr:uid="{00000000-0005-0000-0000-00005D0F0000}"/>
    <cellStyle name="40% - Accent4 5 3 4 2" xfId="7121" xr:uid="{00000000-0005-0000-0000-00005E0F0000}"/>
    <cellStyle name="40% - Accent4 5 3 4 2 2" xfId="24731" xr:uid="{9C9026F6-CFF2-4A45-A16F-FC86C55CE55C}"/>
    <cellStyle name="40% - Accent4 5 3 4 2 2 2" xfId="39702" xr:uid="{F2D96C7E-072F-48EC-AABA-CB80575E5A15}"/>
    <cellStyle name="40% - Accent4 5 3 4 2 3" xfId="32099" xr:uid="{DFF7BFB6-4E7D-49CE-979F-9647A972BA13}"/>
    <cellStyle name="40% - Accent4 5 3 4 3" xfId="24730" xr:uid="{B85B9D92-BCA5-427A-988A-8726E3F17C29}"/>
    <cellStyle name="40% - Accent4 5 3 4 3 2" xfId="39701" xr:uid="{5BB093FD-A0D9-431A-920C-D17A2E4B02C5}"/>
    <cellStyle name="40% - Accent4 5 3 4 4" xfId="32098" xr:uid="{CE41E941-FAA7-4F3D-8BBE-663DD836CDFC}"/>
    <cellStyle name="40% - Accent4 5 3 5" xfId="7122" xr:uid="{00000000-0005-0000-0000-00005F0F0000}"/>
    <cellStyle name="40% - Accent4 5 3 5 2" xfId="24732" xr:uid="{8787CEE8-F3D3-4889-8512-E6BC93FD747B}"/>
    <cellStyle name="40% - Accent4 5 3 5 2 2" xfId="39703" xr:uid="{3C1D0CC9-62D1-4FCB-85E0-5A7D38317C52}"/>
    <cellStyle name="40% - Accent4 5 3 5 3" xfId="32100" xr:uid="{1F0B7EEF-7C6F-481B-9301-DE45E9BFA97A}"/>
    <cellStyle name="40% - Accent4 5 3 6" xfId="24725" xr:uid="{5AF0AC0B-47BC-4AF4-8606-29636F5FD670}"/>
    <cellStyle name="40% - Accent4 5 3 6 2" xfId="39696" xr:uid="{42EC2961-F68A-40C8-93D4-56500E154CDD}"/>
    <cellStyle name="40% - Accent4 5 3 7" xfId="32093" xr:uid="{EBA5BA65-245B-4576-A606-6D88A541DBCC}"/>
    <cellStyle name="40% - Accent4 5 4" xfId="7123" xr:uid="{00000000-0005-0000-0000-0000600F0000}"/>
    <cellStyle name="40% - Accent4 5 4 2" xfId="7124" xr:uid="{00000000-0005-0000-0000-0000610F0000}"/>
    <cellStyle name="40% - Accent4 5 4 2 2" xfId="7125" xr:uid="{00000000-0005-0000-0000-0000620F0000}"/>
    <cellStyle name="40% - Accent4 5 4 2 2 2" xfId="24735" xr:uid="{714DFF8B-32A8-4A23-8CF4-1819E6F837C0}"/>
    <cellStyle name="40% - Accent4 5 4 2 2 2 2" xfId="39706" xr:uid="{AA2EB579-3FED-4C62-BD04-39DF679C56B3}"/>
    <cellStyle name="40% - Accent4 5 4 2 2 3" xfId="32103" xr:uid="{50288214-8843-4012-BB75-58AB8118424D}"/>
    <cellStyle name="40% - Accent4 5 4 2 3" xfId="7126" xr:uid="{00000000-0005-0000-0000-0000630F0000}"/>
    <cellStyle name="40% - Accent4 5 4 2 3 2" xfId="24736" xr:uid="{EFDF4BAB-C693-4B5C-A3BB-DD077E9184CB}"/>
    <cellStyle name="40% - Accent4 5 4 2 3 2 2" xfId="39707" xr:uid="{8778E9B8-829D-4F3D-A234-3E915AD5291E}"/>
    <cellStyle name="40% - Accent4 5 4 2 3 3" xfId="32104" xr:uid="{8C0F1D49-E33D-4C81-BEB9-9B91A385803E}"/>
    <cellStyle name="40% - Accent4 5 4 2 4" xfId="24734" xr:uid="{F1BF7DCA-12B6-4AB9-8974-FEA88658EF5B}"/>
    <cellStyle name="40% - Accent4 5 4 2 4 2" xfId="39705" xr:uid="{05BE9057-1368-446A-9137-6A0C0445A782}"/>
    <cellStyle name="40% - Accent4 5 4 2 5" xfId="32102" xr:uid="{40CA4C0F-C905-4D61-9F80-F1F68DBB2DA9}"/>
    <cellStyle name="40% - Accent4 5 4 3" xfId="7127" xr:uid="{00000000-0005-0000-0000-0000640F0000}"/>
    <cellStyle name="40% - Accent4 5 4 3 2" xfId="7128" xr:uid="{00000000-0005-0000-0000-0000650F0000}"/>
    <cellStyle name="40% - Accent4 5 4 3 2 2" xfId="24738" xr:uid="{67E3CE55-F3DD-45CD-9405-37CB68FA7987}"/>
    <cellStyle name="40% - Accent4 5 4 3 2 2 2" xfId="39709" xr:uid="{5047CF6A-9737-4149-AA42-52C50A8831AE}"/>
    <cellStyle name="40% - Accent4 5 4 3 2 3" xfId="32106" xr:uid="{F9378362-B620-4151-82EA-E0D4163C274B}"/>
    <cellStyle name="40% - Accent4 5 4 3 3" xfId="24737" xr:uid="{55BA54D6-CA86-4229-856E-2E0C4643D277}"/>
    <cellStyle name="40% - Accent4 5 4 3 3 2" xfId="39708" xr:uid="{6471CF19-71EF-4682-9F1B-54DCC94509E1}"/>
    <cellStyle name="40% - Accent4 5 4 3 4" xfId="32105" xr:uid="{D0F58330-2D90-4F8E-9B0A-F17140D91DD5}"/>
    <cellStyle name="40% - Accent4 5 4 4" xfId="7129" xr:uid="{00000000-0005-0000-0000-0000660F0000}"/>
    <cellStyle name="40% - Accent4 5 4 4 2" xfId="24739" xr:uid="{4ADDC02E-D399-42B1-87F1-C4A08E72D1A3}"/>
    <cellStyle name="40% - Accent4 5 4 4 2 2" xfId="39710" xr:uid="{DAD766CC-ECA1-4A50-A2A3-81E4B5079032}"/>
    <cellStyle name="40% - Accent4 5 4 4 3" xfId="32107" xr:uid="{B76605BB-FC60-41F3-97B9-8B7F4EEE0732}"/>
    <cellStyle name="40% - Accent4 5 4 5" xfId="24733" xr:uid="{10046A69-DEE0-4260-ABDD-D88D71F938B4}"/>
    <cellStyle name="40% - Accent4 5 4 5 2" xfId="39704" xr:uid="{3259DFCC-BCB6-4AB5-B69E-44AE0E37B4CF}"/>
    <cellStyle name="40% - Accent4 5 4 6" xfId="32101" xr:uid="{2C7DFC58-86C2-46A4-B99E-0DB05C26A383}"/>
    <cellStyle name="40% - Accent4 5 5" xfId="7130" xr:uid="{00000000-0005-0000-0000-0000670F0000}"/>
    <cellStyle name="40% - Accent4 5 5 2" xfId="7131" xr:uid="{00000000-0005-0000-0000-0000680F0000}"/>
    <cellStyle name="40% - Accent4 5 5 2 2" xfId="24741" xr:uid="{09A94A35-6705-451A-B202-C4D7C98B00E1}"/>
    <cellStyle name="40% - Accent4 5 5 2 2 2" xfId="39712" xr:uid="{74CFE328-8C2D-4ADE-900D-BFA04BACE56B}"/>
    <cellStyle name="40% - Accent4 5 5 2 3" xfId="32109" xr:uid="{C36F14EE-0B10-4629-A454-86C083028C07}"/>
    <cellStyle name="40% - Accent4 5 5 3" xfId="7132" xr:uid="{00000000-0005-0000-0000-0000690F0000}"/>
    <cellStyle name="40% - Accent4 5 5 3 2" xfId="24742" xr:uid="{7F70ADE9-D909-47A6-8AF5-C2D8D46A0BFF}"/>
    <cellStyle name="40% - Accent4 5 5 3 2 2" xfId="39713" xr:uid="{38D46A82-A908-41A9-B983-10BFB4E5D8FD}"/>
    <cellStyle name="40% - Accent4 5 5 3 3" xfId="32110" xr:uid="{4015E1BE-63E6-443F-A277-2A86EFB7B395}"/>
    <cellStyle name="40% - Accent4 5 5 4" xfId="24740" xr:uid="{67CF56BE-3A69-465F-945D-76603D20F524}"/>
    <cellStyle name="40% - Accent4 5 5 4 2" xfId="39711" xr:uid="{3B227386-5584-4133-B8E7-16A4A9C58E91}"/>
    <cellStyle name="40% - Accent4 5 5 5" xfId="32108" xr:uid="{723E49FE-2698-4CC0-B910-9C82992B6B6C}"/>
    <cellStyle name="40% - Accent4 5 6" xfId="7133" xr:uid="{00000000-0005-0000-0000-00006A0F0000}"/>
    <cellStyle name="40% - Accent4 5 6 2" xfId="24743" xr:uid="{C9A41786-C460-4BBB-B575-233B9BE0764C}"/>
    <cellStyle name="40% - Accent4 5 6 2 2" xfId="39714" xr:uid="{434D45EE-92A1-4A10-9BD2-71B58F74FAA6}"/>
    <cellStyle name="40% - Accent4 5 6 3" xfId="32111" xr:uid="{9855DA3D-0075-46D2-9E7F-58B3F4415F04}"/>
    <cellStyle name="40% - Accent4 5 7" xfId="7134" xr:uid="{00000000-0005-0000-0000-00006B0F0000}"/>
    <cellStyle name="40% - Accent4 5 7 2" xfId="7135" xr:uid="{00000000-0005-0000-0000-00006C0F0000}"/>
    <cellStyle name="40% - Accent4 5 7 2 2" xfId="24745" xr:uid="{E1573024-6D6B-4781-9079-3838D83F2824}"/>
    <cellStyle name="40% - Accent4 5 7 2 2 2" xfId="39716" xr:uid="{09835B95-83DD-401B-91B6-C1687B592383}"/>
    <cellStyle name="40% - Accent4 5 7 2 3" xfId="32113" xr:uid="{E9BA61AB-F785-4401-AF86-1D605BCCB805}"/>
    <cellStyle name="40% - Accent4 5 7 3" xfId="24744" xr:uid="{5AD349B5-CC75-4649-961C-F9373002C57C}"/>
    <cellStyle name="40% - Accent4 5 7 3 2" xfId="39715" xr:uid="{C4D6AD7B-6D85-42A1-9970-0BEF4AA18E0D}"/>
    <cellStyle name="40% - Accent4 5 7 4" xfId="32112" xr:uid="{D831A6C5-10EF-428B-B9E2-28A7AC0D7E68}"/>
    <cellStyle name="40% - Accent4 5 8" xfId="7136" xr:uid="{00000000-0005-0000-0000-00006D0F0000}"/>
    <cellStyle name="40% - Accent4 5 8 2" xfId="24746" xr:uid="{21336857-3FD2-4FC7-97AA-F50DEFB266C0}"/>
    <cellStyle name="40% - Accent4 5 8 2 2" xfId="39717" xr:uid="{01BAE934-2A1A-4DFB-8917-E56B4F798535}"/>
    <cellStyle name="40% - Accent4 5 8 3" xfId="32114" xr:uid="{1087123E-49B3-4F9D-A4F3-1F1642E2409D}"/>
    <cellStyle name="40% - Accent4 5 9" xfId="7089" xr:uid="{00000000-0005-0000-0000-00003E0F0000}"/>
    <cellStyle name="40% - Accent4 5 9 2" xfId="24701" xr:uid="{FA28B49E-E2D5-4DBB-B430-038EC4052D47}"/>
    <cellStyle name="40% - Accent4 5 9 2 2" xfId="39672" xr:uid="{B0BDB108-8082-4410-AAFE-4967C20F8631}"/>
    <cellStyle name="40% - Accent4 5 9 3" xfId="32069" xr:uid="{3585A3D8-CB3E-43EE-8826-BA6C77B5FA35}"/>
    <cellStyle name="40% - Accent4 6" xfId="243" xr:uid="{00000000-0005-0000-0000-000052000000}"/>
    <cellStyle name="40% - Accent4 6 2" xfId="7137" xr:uid="{00000000-0005-0000-0000-00006F0F0000}"/>
    <cellStyle name="40% - Accent4 6 2 2" xfId="7138" xr:uid="{00000000-0005-0000-0000-0000700F0000}"/>
    <cellStyle name="40% - Accent4 6 2 2 2" xfId="7139" xr:uid="{00000000-0005-0000-0000-0000710F0000}"/>
    <cellStyle name="40% - Accent4 6 2 2 2 2" xfId="7140" xr:uid="{00000000-0005-0000-0000-0000720F0000}"/>
    <cellStyle name="40% - Accent4 6 2 2 2 2 2" xfId="24750" xr:uid="{970787E3-7A27-4962-A51E-440351F8EBD0}"/>
    <cellStyle name="40% - Accent4 6 2 2 2 2 2 2" xfId="39721" xr:uid="{7064ED8F-5EF8-4CB6-973C-BF217A24D368}"/>
    <cellStyle name="40% - Accent4 6 2 2 2 2 3" xfId="32118" xr:uid="{41DE4BE9-7D45-4C71-9664-68CD8935FF77}"/>
    <cellStyle name="40% - Accent4 6 2 2 2 3" xfId="7141" xr:uid="{00000000-0005-0000-0000-0000730F0000}"/>
    <cellStyle name="40% - Accent4 6 2 2 2 3 2" xfId="24751" xr:uid="{5CBD18C9-8C7A-4482-AE36-C26559265BD9}"/>
    <cellStyle name="40% - Accent4 6 2 2 2 3 2 2" xfId="39722" xr:uid="{B49D2C71-E665-4618-B5AB-5858E254C3EF}"/>
    <cellStyle name="40% - Accent4 6 2 2 2 3 3" xfId="32119" xr:uid="{37C201A9-EF07-4622-BDED-0CE492CBC7A7}"/>
    <cellStyle name="40% - Accent4 6 2 2 2 4" xfId="24749" xr:uid="{F6FB51A9-64DA-4812-9085-C8431F71BA8A}"/>
    <cellStyle name="40% - Accent4 6 2 2 2 4 2" xfId="39720" xr:uid="{22B22ACB-8167-4B61-AE97-091F85B5FB5E}"/>
    <cellStyle name="40% - Accent4 6 2 2 2 5" xfId="32117" xr:uid="{A696E270-526B-4FCC-A88A-E2A9D2B83275}"/>
    <cellStyle name="40% - Accent4 6 2 2 3" xfId="7142" xr:uid="{00000000-0005-0000-0000-0000740F0000}"/>
    <cellStyle name="40% - Accent4 6 2 2 3 2" xfId="7143" xr:uid="{00000000-0005-0000-0000-0000750F0000}"/>
    <cellStyle name="40% - Accent4 6 2 2 3 2 2" xfId="24753" xr:uid="{2E8F4362-60D0-46CC-A79D-C21861171551}"/>
    <cellStyle name="40% - Accent4 6 2 2 3 2 2 2" xfId="39724" xr:uid="{6323BCDC-229B-4A94-BE55-7110B47EBA47}"/>
    <cellStyle name="40% - Accent4 6 2 2 3 2 3" xfId="32121" xr:uid="{61F699FF-9A80-4A1E-844C-5D1DD97DADDE}"/>
    <cellStyle name="40% - Accent4 6 2 2 3 3" xfId="24752" xr:uid="{290F27C1-F33F-4102-9A5C-A6A0F79A50B3}"/>
    <cellStyle name="40% - Accent4 6 2 2 3 3 2" xfId="39723" xr:uid="{78A5FAA8-1E18-45B9-995F-395A32B51C58}"/>
    <cellStyle name="40% - Accent4 6 2 2 3 4" xfId="32120" xr:uid="{55AC2545-2A70-497C-9261-F5DAD9296492}"/>
    <cellStyle name="40% - Accent4 6 2 2 4" xfId="7144" xr:uid="{00000000-0005-0000-0000-0000760F0000}"/>
    <cellStyle name="40% - Accent4 6 2 2 4 2" xfId="24754" xr:uid="{A5F7289E-AB9F-40B5-9CDC-827D7486F24B}"/>
    <cellStyle name="40% - Accent4 6 2 2 4 2 2" xfId="39725" xr:uid="{BD78467C-A9F3-4924-96EA-C01941BE921A}"/>
    <cellStyle name="40% - Accent4 6 2 2 4 3" xfId="32122" xr:uid="{E2219687-E6D1-41B3-9D12-EF3236A09034}"/>
    <cellStyle name="40% - Accent4 6 2 2 5" xfId="24748" xr:uid="{F5F6FE93-33D1-4992-B4B3-548F20628AFA}"/>
    <cellStyle name="40% - Accent4 6 2 2 5 2" xfId="39719" xr:uid="{9A9E5572-E87A-4046-A193-5736025EEA05}"/>
    <cellStyle name="40% - Accent4 6 2 2 6" xfId="32116" xr:uid="{8452F784-C62A-4BB0-AF51-2197E6BF49BE}"/>
    <cellStyle name="40% - Accent4 6 2 3" xfId="7145" xr:uid="{00000000-0005-0000-0000-0000770F0000}"/>
    <cellStyle name="40% - Accent4 6 2 3 2" xfId="7146" xr:uid="{00000000-0005-0000-0000-0000780F0000}"/>
    <cellStyle name="40% - Accent4 6 2 3 2 2" xfId="24756" xr:uid="{D4E4733A-F0C1-4CBB-A8EC-E60C4C726C0E}"/>
    <cellStyle name="40% - Accent4 6 2 3 2 2 2" xfId="39727" xr:uid="{A7166DFB-40B0-4F04-BD53-AEE28EBE1AA2}"/>
    <cellStyle name="40% - Accent4 6 2 3 2 3" xfId="32124" xr:uid="{BCBA230F-E372-4B8A-8ECA-45583DDCAEB5}"/>
    <cellStyle name="40% - Accent4 6 2 3 3" xfId="7147" xr:uid="{00000000-0005-0000-0000-0000790F0000}"/>
    <cellStyle name="40% - Accent4 6 2 3 3 2" xfId="24757" xr:uid="{A9944AEF-9EAC-4545-AD09-7FB51BCA540B}"/>
    <cellStyle name="40% - Accent4 6 2 3 3 2 2" xfId="39728" xr:uid="{ADC35ABE-C7DE-4D68-B3B0-D729814CF6F7}"/>
    <cellStyle name="40% - Accent4 6 2 3 3 3" xfId="32125" xr:uid="{F0F46AB6-8382-4D86-A904-C30BD3DA0937}"/>
    <cellStyle name="40% - Accent4 6 2 3 4" xfId="24755" xr:uid="{73B4EEE7-2437-4C55-A6D7-C456AC648101}"/>
    <cellStyle name="40% - Accent4 6 2 3 4 2" xfId="39726" xr:uid="{753F16A1-B96D-458A-AF4C-CF53B70DC9C3}"/>
    <cellStyle name="40% - Accent4 6 2 3 5" xfId="32123" xr:uid="{A1A610E0-B38C-4047-9650-328D75CC14DF}"/>
    <cellStyle name="40% - Accent4 6 2 4" xfId="7148" xr:uid="{00000000-0005-0000-0000-00007A0F0000}"/>
    <cellStyle name="40% - Accent4 6 2 4 2" xfId="24758" xr:uid="{1D67F844-7AC5-4928-BA08-16D2800FF632}"/>
    <cellStyle name="40% - Accent4 6 2 4 2 2" xfId="39729" xr:uid="{AC901F54-DD34-4A17-A595-33281058B097}"/>
    <cellStyle name="40% - Accent4 6 2 4 3" xfId="32126" xr:uid="{262BF929-EE6B-4434-935F-B78304B1311D}"/>
    <cellStyle name="40% - Accent4 6 2 5" xfId="7149" xr:uid="{00000000-0005-0000-0000-00007B0F0000}"/>
    <cellStyle name="40% - Accent4 6 2 5 2" xfId="7150" xr:uid="{00000000-0005-0000-0000-00007C0F0000}"/>
    <cellStyle name="40% - Accent4 6 2 5 2 2" xfId="24760" xr:uid="{11D63DB0-F05D-4E63-9CF7-1819610DFB7B}"/>
    <cellStyle name="40% - Accent4 6 2 5 2 2 2" xfId="39731" xr:uid="{3DF8980E-C8E6-44F9-9059-52D50193C863}"/>
    <cellStyle name="40% - Accent4 6 2 5 2 3" xfId="32128" xr:uid="{60E8CEB6-6832-4B50-9707-19D973925FF0}"/>
    <cellStyle name="40% - Accent4 6 2 5 3" xfId="24759" xr:uid="{D85860C9-B334-4027-B03F-A4209D2052A4}"/>
    <cellStyle name="40% - Accent4 6 2 5 3 2" xfId="39730" xr:uid="{DF91B883-C005-4004-A2B1-68B725FA155B}"/>
    <cellStyle name="40% - Accent4 6 2 5 4" xfId="32127" xr:uid="{A8860933-2EC1-4910-B772-0458779A0483}"/>
    <cellStyle name="40% - Accent4 6 2 6" xfId="7151" xr:uid="{00000000-0005-0000-0000-00007D0F0000}"/>
    <cellStyle name="40% - Accent4 6 2 6 2" xfId="24761" xr:uid="{0DD6F4B5-4D30-41C2-8156-94503D720741}"/>
    <cellStyle name="40% - Accent4 6 2 6 2 2" xfId="39732" xr:uid="{DB8B2CE7-65F5-4D23-B1B3-7A48E8DAC721}"/>
    <cellStyle name="40% - Accent4 6 2 6 3" xfId="32129" xr:uid="{669E980E-DE1C-4E3B-8E4E-78CCB2AB7DFC}"/>
    <cellStyle name="40% - Accent4 6 2 7" xfId="24747" xr:uid="{88B47658-AFF8-41A1-9177-596351352348}"/>
    <cellStyle name="40% - Accent4 6 2 7 2" xfId="39718" xr:uid="{D64E3B09-7C22-4A7C-8155-CACADA85199A}"/>
    <cellStyle name="40% - Accent4 6 2 8" xfId="32115" xr:uid="{64F96C63-4D4C-42AB-B3F2-C770899DEC24}"/>
    <cellStyle name="40% - Accent4 6 3" xfId="7152" xr:uid="{00000000-0005-0000-0000-00007E0F0000}"/>
    <cellStyle name="40% - Accent4 6 3 2" xfId="7153" xr:uid="{00000000-0005-0000-0000-00007F0F0000}"/>
    <cellStyle name="40% - Accent4 6 3 2 2" xfId="7154" xr:uid="{00000000-0005-0000-0000-0000800F0000}"/>
    <cellStyle name="40% - Accent4 6 3 2 2 2" xfId="24764" xr:uid="{CBACF901-5D17-452E-BBA8-B2EF24868955}"/>
    <cellStyle name="40% - Accent4 6 3 2 2 2 2" xfId="39735" xr:uid="{43FEB7E5-F7EB-4DA6-B041-6CDCCEC0716C}"/>
    <cellStyle name="40% - Accent4 6 3 2 2 3" xfId="32132" xr:uid="{DA27948B-7938-44ED-8CA9-D7681A922514}"/>
    <cellStyle name="40% - Accent4 6 3 2 3" xfId="7155" xr:uid="{00000000-0005-0000-0000-0000810F0000}"/>
    <cellStyle name="40% - Accent4 6 3 2 3 2" xfId="24765" xr:uid="{A5AAEA16-DBD5-4C58-80FD-47D45C8BDB68}"/>
    <cellStyle name="40% - Accent4 6 3 2 3 2 2" xfId="39736" xr:uid="{CF3C6247-8026-4DF2-B32E-6CD62612AF98}"/>
    <cellStyle name="40% - Accent4 6 3 2 3 3" xfId="32133" xr:uid="{E1E5CF53-9D67-463A-905F-60723B0651DC}"/>
    <cellStyle name="40% - Accent4 6 3 2 4" xfId="24763" xr:uid="{D824F6BE-58FC-45C8-A50A-54967C3F9987}"/>
    <cellStyle name="40% - Accent4 6 3 2 4 2" xfId="39734" xr:uid="{3176292C-8719-469D-9881-92F27D75536F}"/>
    <cellStyle name="40% - Accent4 6 3 2 5" xfId="32131" xr:uid="{75025DEA-C518-4690-A9EC-2080610C780E}"/>
    <cellStyle name="40% - Accent4 6 3 3" xfId="7156" xr:uid="{00000000-0005-0000-0000-0000820F0000}"/>
    <cellStyle name="40% - Accent4 6 3 3 2" xfId="7157" xr:uid="{00000000-0005-0000-0000-0000830F0000}"/>
    <cellStyle name="40% - Accent4 6 3 3 2 2" xfId="24767" xr:uid="{88D72FB8-5C73-44C5-972F-8DAC2069727A}"/>
    <cellStyle name="40% - Accent4 6 3 3 2 2 2" xfId="39738" xr:uid="{25C9FEEC-FD5B-4BE9-9180-58C27B305424}"/>
    <cellStyle name="40% - Accent4 6 3 3 2 3" xfId="32135" xr:uid="{D54B657A-3DA4-48B7-B070-AC15999C16A7}"/>
    <cellStyle name="40% - Accent4 6 3 3 3" xfId="24766" xr:uid="{BD9755C3-7352-49F4-A347-02AB7FE63E51}"/>
    <cellStyle name="40% - Accent4 6 3 3 3 2" xfId="39737" xr:uid="{9C188D89-A48E-4D70-BD50-6AA88A891703}"/>
    <cellStyle name="40% - Accent4 6 3 3 4" xfId="32134" xr:uid="{F65E60FA-7953-490D-9305-D3C66F2A6FF4}"/>
    <cellStyle name="40% - Accent4 6 3 4" xfId="7158" xr:uid="{00000000-0005-0000-0000-0000840F0000}"/>
    <cellStyle name="40% - Accent4 6 3 4 2" xfId="24768" xr:uid="{8E44ED9C-FCD3-4DCA-BBF9-2E6D41576FCC}"/>
    <cellStyle name="40% - Accent4 6 3 4 2 2" xfId="39739" xr:uid="{B7358E98-8881-4525-9283-E83554025857}"/>
    <cellStyle name="40% - Accent4 6 3 4 3" xfId="32136" xr:uid="{A4AC0591-E68A-4491-BFA6-A4C1B67E2089}"/>
    <cellStyle name="40% - Accent4 6 3 5" xfId="24762" xr:uid="{19B5BF75-97D4-4697-B0E5-4127BF47B814}"/>
    <cellStyle name="40% - Accent4 6 3 5 2" xfId="39733" xr:uid="{62021300-DFC8-42A5-8E73-E261E2BE0590}"/>
    <cellStyle name="40% - Accent4 6 3 6" xfId="32130" xr:uid="{9E521561-4FB7-4870-9AF2-7FC11F11D668}"/>
    <cellStyle name="40% - Accent4 6 4" xfId="7159" xr:uid="{00000000-0005-0000-0000-0000850F0000}"/>
    <cellStyle name="40% - Accent4 6 5" xfId="7160" xr:uid="{00000000-0005-0000-0000-0000860F0000}"/>
    <cellStyle name="40% - Accent4 6 5 2" xfId="24769" xr:uid="{1601D691-5EB9-409C-8AC2-F36099499DE3}"/>
    <cellStyle name="40% - Accent4 6 5 2 2" xfId="39740" xr:uid="{D26F642A-0EF7-4A25-A0AC-EDFFB67AFECA}"/>
    <cellStyle name="40% - Accent4 6 5 3" xfId="32137" xr:uid="{6313E8BF-B6C2-4305-86C0-AA1EFCD8585E}"/>
    <cellStyle name="40% - Accent4 7" xfId="244" xr:uid="{00000000-0005-0000-0000-000053000000}"/>
    <cellStyle name="40% - Accent4 7 2" xfId="7161" xr:uid="{00000000-0005-0000-0000-0000880F0000}"/>
    <cellStyle name="40% - Accent4 7 2 2" xfId="24770" xr:uid="{80497184-BCD0-408A-9FBD-D21E4874FB54}"/>
    <cellStyle name="40% - Accent4 7 2 2 2" xfId="39741" xr:uid="{3255D3B6-0CEE-4F59-BB51-4F66080EF9CC}"/>
    <cellStyle name="40% - Accent4 7 2 3" xfId="32138" xr:uid="{8E79E2B8-39F0-4F6E-8C79-3ED437DF8811}"/>
    <cellStyle name="40% - Accent4 7 3" xfId="7162" xr:uid="{00000000-0005-0000-0000-0000890F0000}"/>
    <cellStyle name="40% - Accent4 7 4" xfId="7163" xr:uid="{00000000-0005-0000-0000-00008A0F0000}"/>
    <cellStyle name="40% - Accent4 7 4 2" xfId="24771" xr:uid="{A5B70495-DAAA-41F9-BB03-9B589D81097D}"/>
    <cellStyle name="40% - Accent4 7 4 2 2" xfId="39742" xr:uid="{650DDDED-1836-4C4C-978A-4E505CCD05BA}"/>
    <cellStyle name="40% - Accent4 7 4 3" xfId="32139" xr:uid="{C0F08C7E-5C16-4A7C-80AC-01FA097267B0}"/>
    <cellStyle name="40% - Accent4 8" xfId="7164" xr:uid="{00000000-0005-0000-0000-00008B0F0000}"/>
    <cellStyle name="40% - Accent4 8 2" xfId="7165" xr:uid="{00000000-0005-0000-0000-00008C0F0000}"/>
    <cellStyle name="40% - Accent4 8 2 2" xfId="7166" xr:uid="{00000000-0005-0000-0000-00008D0F0000}"/>
    <cellStyle name="40% - Accent4 8 2 2 2" xfId="24774" xr:uid="{2EFDC62F-4661-4DC5-A081-FF802485D87D}"/>
    <cellStyle name="40% - Accent4 8 2 2 2 2" xfId="39745" xr:uid="{0C42CDAA-43D5-4AFA-9C7E-A94F7B915F0C}"/>
    <cellStyle name="40% - Accent4 8 2 2 3" xfId="32142" xr:uid="{437C15B6-8942-44BA-B2C5-1ECE6511FD5B}"/>
    <cellStyle name="40% - Accent4 8 2 3" xfId="7167" xr:uid="{00000000-0005-0000-0000-00008E0F0000}"/>
    <cellStyle name="40% - Accent4 8 2 3 2" xfId="7168" xr:uid="{00000000-0005-0000-0000-00008F0F0000}"/>
    <cellStyle name="40% - Accent4 8 2 3 2 2" xfId="24776" xr:uid="{C8271B2B-51DE-4E0F-A6AF-A4EEE0E7B20D}"/>
    <cellStyle name="40% - Accent4 8 2 3 2 2 2" xfId="39747" xr:uid="{05921EE6-41A2-44C6-863B-ACE870E8000A}"/>
    <cellStyle name="40% - Accent4 8 2 3 2 3" xfId="32144" xr:uid="{8140FD40-97C4-4A39-9A7D-5CB75734D8BD}"/>
    <cellStyle name="40% - Accent4 8 2 3 3" xfId="24775" xr:uid="{05E12679-78B8-4DB7-985F-DADB1BDDBD56}"/>
    <cellStyle name="40% - Accent4 8 2 3 3 2" xfId="39746" xr:uid="{D57B1ED3-12A1-4159-8253-7073CB259432}"/>
    <cellStyle name="40% - Accent4 8 2 3 4" xfId="32143" xr:uid="{2BE61793-1143-4C10-B3D3-D1527709C03B}"/>
    <cellStyle name="40% - Accent4 8 2 4" xfId="24773" xr:uid="{0A74AA70-69A4-4D13-9FBD-9C9434A97942}"/>
    <cellStyle name="40% - Accent4 8 2 4 2" xfId="39744" xr:uid="{0D87BEF6-DB93-496C-9BBE-682664988726}"/>
    <cellStyle name="40% - Accent4 8 2 5" xfId="32141" xr:uid="{F5D53234-8A14-4E40-9600-88991E71AEE1}"/>
    <cellStyle name="40% - Accent4 8 3" xfId="7169" xr:uid="{00000000-0005-0000-0000-0000900F0000}"/>
    <cellStyle name="40% - Accent4 8 3 2" xfId="24777" xr:uid="{485C34DB-C7E3-4463-A71E-FFFA4333CF74}"/>
    <cellStyle name="40% - Accent4 8 3 2 2" xfId="39748" xr:uid="{CC424CF0-F0FE-40EA-945D-1B43DD7228C1}"/>
    <cellStyle name="40% - Accent4 8 3 3" xfId="32145" xr:uid="{E0B3F5B0-C70B-4075-84F1-B3BC3DCA60AF}"/>
    <cellStyle name="40% - Accent4 8 4" xfId="7170" xr:uid="{00000000-0005-0000-0000-0000910F0000}"/>
    <cellStyle name="40% - Accent4 8 4 2" xfId="7171" xr:uid="{00000000-0005-0000-0000-0000920F0000}"/>
    <cellStyle name="40% - Accent4 8 4 2 2" xfId="24779" xr:uid="{14DD7348-AE96-4F31-9800-0A024BD530CD}"/>
    <cellStyle name="40% - Accent4 8 4 2 2 2" xfId="39750" xr:uid="{E6CA19C8-031C-46B5-A49B-D51F375F0D41}"/>
    <cellStyle name="40% - Accent4 8 4 2 3" xfId="32147" xr:uid="{E693B482-6B93-4659-BC56-46B8D8BA4978}"/>
    <cellStyle name="40% - Accent4 8 4 3" xfId="24778" xr:uid="{31B49B5E-EE57-49C6-BE21-1274C7C262AA}"/>
    <cellStyle name="40% - Accent4 8 4 3 2" xfId="39749" xr:uid="{AD0C8ACA-8C62-437E-8879-CF182943D3D3}"/>
    <cellStyle name="40% - Accent4 8 4 4" xfId="32146" xr:uid="{3F8D078B-2686-4747-A1A2-3D0DC4EE4EA4}"/>
    <cellStyle name="40% - Accent4 8 5" xfId="7172" xr:uid="{00000000-0005-0000-0000-0000930F0000}"/>
    <cellStyle name="40% - Accent4 8 5 2" xfId="24780" xr:uid="{DE58F22B-28B8-4671-9C0A-FF4606FEB7D1}"/>
    <cellStyle name="40% - Accent4 8 5 2 2" xfId="39751" xr:uid="{3589A0DC-3E47-49AF-B4F2-03F8CB77D9B5}"/>
    <cellStyle name="40% - Accent4 8 5 3" xfId="32148" xr:uid="{10ADF05D-796B-40D7-BC2B-E9B762BE9868}"/>
    <cellStyle name="40% - Accent4 8 6" xfId="24772" xr:uid="{F38B906F-9AB7-4529-937D-0160911F49D9}"/>
    <cellStyle name="40% - Accent4 8 6 2" xfId="39743" xr:uid="{9D5557B0-BE2F-453A-8FE7-FB731A051B1C}"/>
    <cellStyle name="40% - Accent4 8 7" xfId="32140" xr:uid="{7152C5D6-8CBF-473C-BD83-4D4996E5F541}"/>
    <cellStyle name="40% - Accent4 9" xfId="7173" xr:uid="{00000000-0005-0000-0000-0000940F0000}"/>
    <cellStyle name="40% - Accent4 9 2" xfId="7174" xr:uid="{00000000-0005-0000-0000-0000950F0000}"/>
    <cellStyle name="40% - Accent4 9 2 2" xfId="7175" xr:uid="{00000000-0005-0000-0000-0000960F0000}"/>
    <cellStyle name="40% - Accent4 9 2 2 2" xfId="24783" xr:uid="{589693FD-DC64-4359-9517-94DAFC9766C4}"/>
    <cellStyle name="40% - Accent4 9 2 2 2 2" xfId="39754" xr:uid="{33CD2BBC-149F-4419-8BBF-8AA1469656A9}"/>
    <cellStyle name="40% - Accent4 9 2 2 3" xfId="32151" xr:uid="{B7FC53FC-02A8-461D-9B4D-796F21AFE827}"/>
    <cellStyle name="40% - Accent4 9 2 3" xfId="7176" xr:uid="{00000000-0005-0000-0000-0000970F0000}"/>
    <cellStyle name="40% - Accent4 9 2 3 2" xfId="24784" xr:uid="{70149E36-97F3-4855-9B68-AE85677D9CEE}"/>
    <cellStyle name="40% - Accent4 9 2 3 2 2" xfId="39755" xr:uid="{9210F890-7264-4AC9-8DCF-F36D39208C07}"/>
    <cellStyle name="40% - Accent4 9 2 3 3" xfId="32152" xr:uid="{91C98F2B-F5FA-4BFC-B4C3-5E58ABB5D5DD}"/>
    <cellStyle name="40% - Accent4 9 2 4" xfId="24782" xr:uid="{3CA0653D-C88D-4786-8C14-37536C5B0FB6}"/>
    <cellStyle name="40% - Accent4 9 2 4 2" xfId="39753" xr:uid="{6118054A-D9D6-44EA-A862-9C023E4DB4F8}"/>
    <cellStyle name="40% - Accent4 9 2 5" xfId="32150" xr:uid="{CA23B7B5-503B-43D2-9861-E494484D3F51}"/>
    <cellStyle name="40% - Accent4 9 3" xfId="7177" xr:uid="{00000000-0005-0000-0000-0000980F0000}"/>
    <cellStyle name="40% - Accent4 9 3 2" xfId="24785" xr:uid="{2E2DDAB4-63A7-41C8-96CF-D89C7D74CA19}"/>
    <cellStyle name="40% - Accent4 9 3 2 2" xfId="39756" xr:uid="{2B285860-201F-45BC-B7FE-C3CB79BAFEF1}"/>
    <cellStyle name="40% - Accent4 9 3 3" xfId="32153" xr:uid="{85B7E3AD-70A1-47EB-8084-0BCB2E8B7208}"/>
    <cellStyle name="40% - Accent4 9 4" xfId="7178" xr:uid="{00000000-0005-0000-0000-0000990F0000}"/>
    <cellStyle name="40% - Accent4 9 4 2" xfId="7179" xr:uid="{00000000-0005-0000-0000-00009A0F0000}"/>
    <cellStyle name="40% - Accent4 9 4 2 2" xfId="24787" xr:uid="{401C4D17-B394-4B50-9426-FD4A9A928815}"/>
    <cellStyle name="40% - Accent4 9 4 2 2 2" xfId="39758" xr:uid="{B4C9ECAB-56EF-4EEF-91BF-21F2DC0192D1}"/>
    <cellStyle name="40% - Accent4 9 4 2 3" xfId="32155" xr:uid="{623CFFFF-7D1A-4D6B-AFB1-0C05BA799B23}"/>
    <cellStyle name="40% - Accent4 9 4 3" xfId="24786" xr:uid="{E42C3CF8-713B-4D11-B000-D8D734B18591}"/>
    <cellStyle name="40% - Accent4 9 4 3 2" xfId="39757" xr:uid="{C202C7E6-0D2B-4902-AA9D-16015682D2B4}"/>
    <cellStyle name="40% - Accent4 9 4 4" xfId="32154" xr:uid="{00ACBF83-89EA-42C2-91D9-7E7A1EC1EB6E}"/>
    <cellStyle name="40% - Accent4 9 5" xfId="7180" xr:uid="{00000000-0005-0000-0000-00009B0F0000}"/>
    <cellStyle name="40% - Accent4 9 5 2" xfId="24788" xr:uid="{CE5CCCAB-5943-4C50-B940-7F925265214B}"/>
    <cellStyle name="40% - Accent4 9 5 2 2" xfId="39759" xr:uid="{B2CA6E8D-4892-4CDA-8BDF-1D72DA06ED2B}"/>
    <cellStyle name="40% - Accent4 9 5 3" xfId="32156" xr:uid="{50C00552-090C-40EA-A7DE-7F0FCC56EEEF}"/>
    <cellStyle name="40% - Accent4 9 6" xfId="24781" xr:uid="{2D369BF7-31ED-4CC8-B288-061CD39DD7E8}"/>
    <cellStyle name="40% - Accent4 9 6 2" xfId="39752" xr:uid="{012AC74D-9141-4ECE-8CF7-DAAAC00768C5}"/>
    <cellStyle name="40% - Accent4 9 7" xfId="32149" xr:uid="{33268B5B-19D6-4A49-91E6-616DB17FF8E5}"/>
    <cellStyle name="40% - Accent5" xfId="99" builtinId="47" customBuiltin="1"/>
    <cellStyle name="40% - Accent5 10" xfId="7181" xr:uid="{00000000-0005-0000-0000-00009C0F0000}"/>
    <cellStyle name="40% - Accent5 10 2" xfId="7182" xr:uid="{00000000-0005-0000-0000-00009D0F0000}"/>
    <cellStyle name="40% - Accent5 10 2 2" xfId="7183" xr:uid="{00000000-0005-0000-0000-00009E0F0000}"/>
    <cellStyle name="40% - Accent5 10 2 2 2" xfId="24791" xr:uid="{DCB54485-5048-43D3-81D7-4604B95EA397}"/>
    <cellStyle name="40% - Accent5 10 2 2 2 2" xfId="39762" xr:uid="{04E15DC2-DE6C-4CAD-A0C1-87274CBB111A}"/>
    <cellStyle name="40% - Accent5 10 2 2 3" xfId="32159" xr:uid="{8A4DF991-52BC-4FE4-9770-DDF7EAA2764D}"/>
    <cellStyle name="40% - Accent5 10 2 3" xfId="7184" xr:uid="{00000000-0005-0000-0000-00009F0F0000}"/>
    <cellStyle name="40% - Accent5 10 2 3 2" xfId="24792" xr:uid="{63173E42-8662-47A0-861C-5D9B9D706A00}"/>
    <cellStyle name="40% - Accent5 10 2 3 2 2" xfId="39763" xr:uid="{F080170F-1482-404F-A805-9274ED461819}"/>
    <cellStyle name="40% - Accent5 10 2 3 3" xfId="32160" xr:uid="{57DC97F2-640D-40FF-B9F0-B1248F6130BF}"/>
    <cellStyle name="40% - Accent5 10 2 4" xfId="24790" xr:uid="{8C4F9B7B-5620-4E82-81DF-949879F9FF14}"/>
    <cellStyle name="40% - Accent5 10 2 4 2" xfId="39761" xr:uid="{05080D3B-10E9-4906-A5F7-2AB0B7FE234D}"/>
    <cellStyle name="40% - Accent5 10 2 5" xfId="32158" xr:uid="{F3BC84F6-AFD4-4BC6-9571-E60045614F32}"/>
    <cellStyle name="40% - Accent5 10 3" xfId="7185" xr:uid="{00000000-0005-0000-0000-0000A00F0000}"/>
    <cellStyle name="40% - Accent5 10 3 2" xfId="24793" xr:uid="{7B3D3A7C-247C-4716-9862-FFB4472C5531}"/>
    <cellStyle name="40% - Accent5 10 3 2 2" xfId="39764" xr:uid="{8AF3FB63-7497-4D05-A5BF-E007C412AB13}"/>
    <cellStyle name="40% - Accent5 10 3 3" xfId="32161" xr:uid="{6477D651-1C12-42D4-8565-E326F00A3B4D}"/>
    <cellStyle name="40% - Accent5 10 4" xfId="7186" xr:uid="{00000000-0005-0000-0000-0000A10F0000}"/>
    <cellStyle name="40% - Accent5 10 4 2" xfId="7187" xr:uid="{00000000-0005-0000-0000-0000A20F0000}"/>
    <cellStyle name="40% - Accent5 10 4 2 2" xfId="24795" xr:uid="{8FA041B2-70A8-4022-B742-513B7BC71C34}"/>
    <cellStyle name="40% - Accent5 10 4 2 2 2" xfId="39766" xr:uid="{0E56BA97-5211-4F24-A5C9-31E3CB5C9BC6}"/>
    <cellStyle name="40% - Accent5 10 4 2 3" xfId="32163" xr:uid="{A2AAE193-8B09-45E8-93ED-4D18457F5909}"/>
    <cellStyle name="40% - Accent5 10 4 3" xfId="24794" xr:uid="{C5CF9F10-762D-4865-8573-9DDCDEF4CD60}"/>
    <cellStyle name="40% - Accent5 10 4 3 2" xfId="39765" xr:uid="{DE388F04-238B-4EC5-ACC7-A17CFB0FD65A}"/>
    <cellStyle name="40% - Accent5 10 4 4" xfId="32162" xr:uid="{09CE27C4-963F-4A32-9366-96515D5B5D52}"/>
    <cellStyle name="40% - Accent5 10 5" xfId="7188" xr:uid="{00000000-0005-0000-0000-0000A30F0000}"/>
    <cellStyle name="40% - Accent5 10 5 2" xfId="24796" xr:uid="{8DEBFBF2-6D39-4A3A-8E05-16C7739832D1}"/>
    <cellStyle name="40% - Accent5 10 5 2 2" xfId="39767" xr:uid="{4913AD0F-ABE9-4C98-A57D-800932791E32}"/>
    <cellStyle name="40% - Accent5 10 5 3" xfId="32164" xr:uid="{5AF35C13-B04C-4461-910A-26BC988E4B8B}"/>
    <cellStyle name="40% - Accent5 10 6" xfId="24789" xr:uid="{FB86F9FC-4D9D-49C2-A122-5952CF5CF9A6}"/>
    <cellStyle name="40% - Accent5 10 6 2" xfId="39760" xr:uid="{F4A09A2A-3D90-49DD-AD09-7589C9B23C34}"/>
    <cellStyle name="40% - Accent5 10 7" xfId="32157" xr:uid="{7BD4BA29-A250-49F5-A62B-D139DC05E9D3}"/>
    <cellStyle name="40% - Accent5 11" xfId="7189" xr:uid="{00000000-0005-0000-0000-0000A40F0000}"/>
    <cellStyle name="40% - Accent5 11 2" xfId="7190" xr:uid="{00000000-0005-0000-0000-0000A50F0000}"/>
    <cellStyle name="40% - Accent5 11 2 2" xfId="24798" xr:uid="{6AFE0ED1-E7BF-4C74-865C-96E2D58FB0D1}"/>
    <cellStyle name="40% - Accent5 11 2 2 2" xfId="39769" xr:uid="{6ED3CFA1-363F-4FD1-A490-BF70880FCD7D}"/>
    <cellStyle name="40% - Accent5 11 2 3" xfId="32166" xr:uid="{0356FF88-450F-4A2C-A621-8820DBA3BB8D}"/>
    <cellStyle name="40% - Accent5 11 3" xfId="7191" xr:uid="{00000000-0005-0000-0000-0000A60F0000}"/>
    <cellStyle name="40% - Accent5 11 3 2" xfId="7192" xr:uid="{00000000-0005-0000-0000-0000A70F0000}"/>
    <cellStyle name="40% - Accent5 11 3 2 2" xfId="24800" xr:uid="{0D541027-416A-471A-9EB4-A29241FD637B}"/>
    <cellStyle name="40% - Accent5 11 3 2 2 2" xfId="39771" xr:uid="{7AEA8C04-2ADB-4B3B-BD6F-E7E9F0707AE2}"/>
    <cellStyle name="40% - Accent5 11 3 2 3" xfId="32168" xr:uid="{D3EEDAAC-3DE0-446C-B3E6-C02487320940}"/>
    <cellStyle name="40% - Accent5 11 3 3" xfId="24799" xr:uid="{3D5A063A-2CFF-4998-8CF0-3C77F2F4DD5B}"/>
    <cellStyle name="40% - Accent5 11 3 3 2" xfId="39770" xr:uid="{26FCD4BB-74AD-4066-A910-BCA892078DFF}"/>
    <cellStyle name="40% - Accent5 11 3 4" xfId="32167" xr:uid="{39BA0488-F216-4BF2-A0B3-1871A70CF1E7}"/>
    <cellStyle name="40% - Accent5 11 4" xfId="24797" xr:uid="{4E37D9FA-F8DD-4173-9D63-1BBD9E6199DC}"/>
    <cellStyle name="40% - Accent5 11 4 2" xfId="39768" xr:uid="{79693303-4412-486F-BE43-CCA981F5F5A5}"/>
    <cellStyle name="40% - Accent5 11 5" xfId="32165" xr:uid="{E6A55467-9B11-4C2E-86D8-84071DDAD696}"/>
    <cellStyle name="40% - Accent5 12" xfId="7193" xr:uid="{00000000-0005-0000-0000-0000A80F0000}"/>
    <cellStyle name="40% - Accent5 12 2" xfId="7194" xr:uid="{00000000-0005-0000-0000-0000A90F0000}"/>
    <cellStyle name="40% - Accent5 12 2 2" xfId="24802" xr:uid="{BF508386-B357-4332-8BD8-CB82D72CDEF3}"/>
    <cellStyle name="40% - Accent5 12 2 2 2" xfId="39773" xr:uid="{3AB0A61E-D00A-437C-9095-96F4C2C42D69}"/>
    <cellStyle name="40% - Accent5 12 2 3" xfId="32170" xr:uid="{B8BDCC98-8284-4FCD-AE04-D1CE5F6C9448}"/>
    <cellStyle name="40% - Accent5 12 3" xfId="7195" xr:uid="{00000000-0005-0000-0000-0000AA0F0000}"/>
    <cellStyle name="40% - Accent5 12 3 2" xfId="24803" xr:uid="{9D637CBB-F05B-438C-9455-88E340077E5B}"/>
    <cellStyle name="40% - Accent5 12 3 2 2" xfId="39774" xr:uid="{DCE1C187-1FE9-459C-B79C-EBF89531D029}"/>
    <cellStyle name="40% - Accent5 12 3 3" xfId="32171" xr:uid="{E5DB72D6-9252-43DD-B55B-F4FCD25C3130}"/>
    <cellStyle name="40% - Accent5 12 4" xfId="24801" xr:uid="{780EA2C9-13E8-4F31-AAA4-8F4463BE4F92}"/>
    <cellStyle name="40% - Accent5 12 4 2" xfId="39772" xr:uid="{C812B15C-FF28-4CBB-98D3-376A15F90F48}"/>
    <cellStyle name="40% - Accent5 12 5" xfId="32169" xr:uid="{67FC135A-BB71-483E-A296-F491DC24370D}"/>
    <cellStyle name="40% - Accent5 13" xfId="7196" xr:uid="{00000000-0005-0000-0000-0000AB0F0000}"/>
    <cellStyle name="40% - Accent5 13 2" xfId="7197" xr:uid="{00000000-0005-0000-0000-0000AC0F0000}"/>
    <cellStyle name="40% - Accent5 13 2 2" xfId="24805" xr:uid="{0F45ADBD-B7BA-4C2F-83AE-CAB54F663813}"/>
    <cellStyle name="40% - Accent5 13 2 2 2" xfId="39776" xr:uid="{4692A7DB-660F-4213-AD3C-C89B03DDCC13}"/>
    <cellStyle name="40% - Accent5 13 2 3" xfId="32173" xr:uid="{3F4288AE-0BF1-4E09-A740-A2EF8B169EC1}"/>
    <cellStyle name="40% - Accent5 13 3" xfId="7198" xr:uid="{00000000-0005-0000-0000-0000AD0F0000}"/>
    <cellStyle name="40% - Accent5 13 3 2" xfId="24806" xr:uid="{A4D6D857-69D3-4ECE-8339-5F9566F30D23}"/>
    <cellStyle name="40% - Accent5 13 3 2 2" xfId="39777" xr:uid="{FC3D2F72-BDAB-4822-8B85-F42781D83FE7}"/>
    <cellStyle name="40% - Accent5 13 3 3" xfId="32174" xr:uid="{B4999F4C-D90D-459D-96FD-C9BED3AAD8DF}"/>
    <cellStyle name="40% - Accent5 13 4" xfId="24804" xr:uid="{78975532-7830-43DA-A410-42DE394E13F4}"/>
    <cellStyle name="40% - Accent5 13 4 2" xfId="39775" xr:uid="{78553413-DE07-4430-8FD4-2A060C50C819}"/>
    <cellStyle name="40% - Accent5 13 5" xfId="32172" xr:uid="{60A0F373-5454-49E1-B365-453417F775B8}"/>
    <cellStyle name="40% - Accent5 14" xfId="7199" xr:uid="{00000000-0005-0000-0000-0000AE0F0000}"/>
    <cellStyle name="40% - Accent5 14 2" xfId="7200" xr:uid="{00000000-0005-0000-0000-0000AF0F0000}"/>
    <cellStyle name="40% - Accent5 14 2 2" xfId="24807" xr:uid="{DD79D0DE-4C5D-45C7-B129-28B950A73D20}"/>
    <cellStyle name="40% - Accent5 14 2 2 2" xfId="39778" xr:uid="{10DC8B74-392A-4452-A969-3F23A12455F7}"/>
    <cellStyle name="40% - Accent5 14 2 3" xfId="32175" xr:uid="{FF45DB49-BBED-4D6B-B9EB-4271AA7D0296}"/>
    <cellStyle name="40% - Accent5 15" xfId="7201" xr:uid="{00000000-0005-0000-0000-0000B00F0000}"/>
    <cellStyle name="40% - Accent5 15 2" xfId="24808" xr:uid="{FC0B97A5-F748-46AB-8EF3-5F5FC74FEAEB}"/>
    <cellStyle name="40% - Accent5 15 2 2" xfId="39779" xr:uid="{40413546-E9EB-4485-B08C-B445DE3E557F}"/>
    <cellStyle name="40% - Accent5 15 3" xfId="32176" xr:uid="{CA767A4B-5B34-41D5-BBE0-0410A7A437EA}"/>
    <cellStyle name="40% - Accent5 16" xfId="7202" xr:uid="{00000000-0005-0000-0000-0000B10F0000}"/>
    <cellStyle name="40% - Accent5 17" xfId="20655" xr:uid="{9350BFCC-122F-4ED8-BE47-F11BF786BA54}"/>
    <cellStyle name="40% - Accent5 17 2" xfId="35656" xr:uid="{0F68D4EE-C8CD-41D7-87D7-BF4A9FF724E7}"/>
    <cellStyle name="40% - Accent5 18" xfId="27959" xr:uid="{935E4473-F9E0-4105-BB82-0200C7077A11}"/>
    <cellStyle name="40% - Accent5 2" xfId="245" xr:uid="{00000000-0005-0000-0000-000054000000}"/>
    <cellStyle name="40% - Accent5 2 2" xfId="7203" xr:uid="{00000000-0005-0000-0000-0000B30F0000}"/>
    <cellStyle name="40% - Accent5 2 3" xfId="7204" xr:uid="{00000000-0005-0000-0000-0000B40F0000}"/>
    <cellStyle name="40% - Accent5 2 3 10" xfId="32177" xr:uid="{1F525489-75C4-4AAB-8D7A-B6710165F1EB}"/>
    <cellStyle name="40% - Accent5 2 3 2" xfId="7205" xr:uid="{00000000-0005-0000-0000-0000B50F0000}"/>
    <cellStyle name="40% - Accent5 2 3 2 2" xfId="7206" xr:uid="{00000000-0005-0000-0000-0000B60F0000}"/>
    <cellStyle name="40% - Accent5 2 3 2 2 2" xfId="7207" xr:uid="{00000000-0005-0000-0000-0000B70F0000}"/>
    <cellStyle name="40% - Accent5 2 3 2 2 2 2" xfId="7208" xr:uid="{00000000-0005-0000-0000-0000B80F0000}"/>
    <cellStyle name="40% - Accent5 2 3 2 2 2 2 2" xfId="24813" xr:uid="{84E7B073-562B-4A9B-AD50-8FEA4094930A}"/>
    <cellStyle name="40% - Accent5 2 3 2 2 2 2 2 2" xfId="39784" xr:uid="{27451AE4-0E4B-46CA-9E83-E0F6912DE9D5}"/>
    <cellStyle name="40% - Accent5 2 3 2 2 2 2 3" xfId="32181" xr:uid="{94F00CA9-E16A-4E82-B1DB-7C634F4388B3}"/>
    <cellStyle name="40% - Accent5 2 3 2 2 2 3" xfId="7209" xr:uid="{00000000-0005-0000-0000-0000B90F0000}"/>
    <cellStyle name="40% - Accent5 2 3 2 2 2 3 2" xfId="24814" xr:uid="{DE1C19D5-21AF-42AD-912F-5F0DE046A2A3}"/>
    <cellStyle name="40% - Accent5 2 3 2 2 2 3 2 2" xfId="39785" xr:uid="{C5BE7BA0-76C8-4B99-9AD6-8F0011DAC9CB}"/>
    <cellStyle name="40% - Accent5 2 3 2 2 2 3 3" xfId="32182" xr:uid="{F36D9127-E7DC-4D45-95D2-AB83D390BF3A}"/>
    <cellStyle name="40% - Accent5 2 3 2 2 2 4" xfId="24812" xr:uid="{A5B45253-85A7-4B92-A740-2AA39D498608}"/>
    <cellStyle name="40% - Accent5 2 3 2 2 2 4 2" xfId="39783" xr:uid="{1B7D5FE3-B4DC-4DC1-A226-70AB178A76B8}"/>
    <cellStyle name="40% - Accent5 2 3 2 2 2 5" xfId="32180" xr:uid="{5C92A370-2A64-4944-9B75-C870D4FC75CD}"/>
    <cellStyle name="40% - Accent5 2 3 2 2 3" xfId="7210" xr:uid="{00000000-0005-0000-0000-0000BA0F0000}"/>
    <cellStyle name="40% - Accent5 2 3 2 2 3 2" xfId="7211" xr:uid="{00000000-0005-0000-0000-0000BB0F0000}"/>
    <cellStyle name="40% - Accent5 2 3 2 2 3 2 2" xfId="24816" xr:uid="{95781699-89D3-4CEB-B579-6D8FFDA028D7}"/>
    <cellStyle name="40% - Accent5 2 3 2 2 3 2 2 2" xfId="39787" xr:uid="{6CEDD23A-FD47-4C22-AF19-DE2DB3D18F0D}"/>
    <cellStyle name="40% - Accent5 2 3 2 2 3 2 3" xfId="32184" xr:uid="{3E506FFF-7973-45EE-BD01-5A0274280243}"/>
    <cellStyle name="40% - Accent5 2 3 2 2 3 3" xfId="24815" xr:uid="{D32C9A8A-18C6-4816-8500-FDCE54664B78}"/>
    <cellStyle name="40% - Accent5 2 3 2 2 3 3 2" xfId="39786" xr:uid="{848F3355-EC76-4AD7-BE3A-72A7B796BAE1}"/>
    <cellStyle name="40% - Accent5 2 3 2 2 3 4" xfId="32183" xr:uid="{61CB47B5-CDC1-4CC7-BD7F-122015004148}"/>
    <cellStyle name="40% - Accent5 2 3 2 2 4" xfId="7212" xr:uid="{00000000-0005-0000-0000-0000BC0F0000}"/>
    <cellStyle name="40% - Accent5 2 3 2 2 4 2" xfId="24817" xr:uid="{5620B513-5182-466A-A846-93733EE2629E}"/>
    <cellStyle name="40% - Accent5 2 3 2 2 4 2 2" xfId="39788" xr:uid="{6E3BD327-2DF8-4913-B733-6CBBA241FB5A}"/>
    <cellStyle name="40% - Accent5 2 3 2 2 4 3" xfId="32185" xr:uid="{F4B9F666-BB2F-4A8D-A78C-673DA7BEA363}"/>
    <cellStyle name="40% - Accent5 2 3 2 2 5" xfId="24811" xr:uid="{5386F9F9-41D8-44A3-91DF-822B61FDD2D5}"/>
    <cellStyle name="40% - Accent5 2 3 2 2 5 2" xfId="39782" xr:uid="{3774C44A-C621-467C-B59B-C629EDB9086E}"/>
    <cellStyle name="40% - Accent5 2 3 2 2 6" xfId="32179" xr:uid="{6DF9FCB4-392F-4321-A706-924242896C76}"/>
    <cellStyle name="40% - Accent5 2 3 2 3" xfId="7213" xr:uid="{00000000-0005-0000-0000-0000BD0F0000}"/>
    <cellStyle name="40% - Accent5 2 3 2 3 2" xfId="7214" xr:uid="{00000000-0005-0000-0000-0000BE0F0000}"/>
    <cellStyle name="40% - Accent5 2 3 2 3 2 2" xfId="7215" xr:uid="{00000000-0005-0000-0000-0000BF0F0000}"/>
    <cellStyle name="40% - Accent5 2 3 2 3 2 2 2" xfId="24820" xr:uid="{4E8BC63A-D35A-40E1-8EB1-AD525F2AB7D5}"/>
    <cellStyle name="40% - Accent5 2 3 2 3 2 2 2 2" xfId="39791" xr:uid="{43454B33-8C97-4901-BC41-37CBB65A2366}"/>
    <cellStyle name="40% - Accent5 2 3 2 3 2 2 3" xfId="32188" xr:uid="{EB11E109-F84A-4F6A-A63A-2F72E52E636C}"/>
    <cellStyle name="40% - Accent5 2 3 2 3 2 3" xfId="7216" xr:uid="{00000000-0005-0000-0000-0000C00F0000}"/>
    <cellStyle name="40% - Accent5 2 3 2 3 2 3 2" xfId="24821" xr:uid="{F66E5407-33B9-408E-95FE-9C49B1BEAC9A}"/>
    <cellStyle name="40% - Accent5 2 3 2 3 2 3 2 2" xfId="39792" xr:uid="{5AD1A24C-4616-41D3-B626-0417B143FE41}"/>
    <cellStyle name="40% - Accent5 2 3 2 3 2 3 3" xfId="32189" xr:uid="{83C2273A-C8E8-4279-BFB7-5A2CC080C7E2}"/>
    <cellStyle name="40% - Accent5 2 3 2 3 2 4" xfId="24819" xr:uid="{5EAB7781-88B7-4197-89A1-18E7B68FB44F}"/>
    <cellStyle name="40% - Accent5 2 3 2 3 2 4 2" xfId="39790" xr:uid="{35FDBB06-18BC-4E38-9D70-DB63BD0DDEA3}"/>
    <cellStyle name="40% - Accent5 2 3 2 3 2 5" xfId="32187" xr:uid="{2880FBCC-5C75-4D4D-9EAD-A775A847D0AD}"/>
    <cellStyle name="40% - Accent5 2 3 2 3 3" xfId="7217" xr:uid="{00000000-0005-0000-0000-0000C10F0000}"/>
    <cellStyle name="40% - Accent5 2 3 2 3 3 2" xfId="7218" xr:uid="{00000000-0005-0000-0000-0000C20F0000}"/>
    <cellStyle name="40% - Accent5 2 3 2 3 3 2 2" xfId="24823" xr:uid="{8926D9A9-3201-4FE4-9495-6EE69CACE597}"/>
    <cellStyle name="40% - Accent5 2 3 2 3 3 2 2 2" xfId="39794" xr:uid="{CC69936C-E930-4B65-B78B-82D5307BE3D3}"/>
    <cellStyle name="40% - Accent5 2 3 2 3 3 2 3" xfId="32191" xr:uid="{360B9C71-280D-4405-8EAB-79CDFA4F8FD8}"/>
    <cellStyle name="40% - Accent5 2 3 2 3 3 3" xfId="24822" xr:uid="{C2491DB7-6C08-49A7-AD70-709A244FD5F3}"/>
    <cellStyle name="40% - Accent5 2 3 2 3 3 3 2" xfId="39793" xr:uid="{A457CCE4-7E8D-4660-B08C-351EF1F0B12E}"/>
    <cellStyle name="40% - Accent5 2 3 2 3 3 4" xfId="32190" xr:uid="{BB7BAB29-2957-4332-96C4-95014437B7E9}"/>
    <cellStyle name="40% - Accent5 2 3 2 3 4" xfId="7219" xr:uid="{00000000-0005-0000-0000-0000C30F0000}"/>
    <cellStyle name="40% - Accent5 2 3 2 3 4 2" xfId="24824" xr:uid="{9D340143-4610-44A0-B3B2-11789517F681}"/>
    <cellStyle name="40% - Accent5 2 3 2 3 4 2 2" xfId="39795" xr:uid="{987B78DA-4DE2-4099-83E9-84CAEFF11A40}"/>
    <cellStyle name="40% - Accent5 2 3 2 3 4 3" xfId="32192" xr:uid="{236307FC-0C10-4EA4-9B9D-90303F3872F1}"/>
    <cellStyle name="40% - Accent5 2 3 2 3 5" xfId="24818" xr:uid="{CD06C6FA-B14F-412F-8DDE-BFD53D9EE2B8}"/>
    <cellStyle name="40% - Accent5 2 3 2 3 5 2" xfId="39789" xr:uid="{8BFC546A-7CAF-457F-9A97-149EDE3720E1}"/>
    <cellStyle name="40% - Accent5 2 3 2 3 6" xfId="32186" xr:uid="{03734617-CC43-457F-8F4B-B5F3137B69A5}"/>
    <cellStyle name="40% - Accent5 2 3 2 4" xfId="7220" xr:uid="{00000000-0005-0000-0000-0000C40F0000}"/>
    <cellStyle name="40% - Accent5 2 3 2 4 2" xfId="7221" xr:uid="{00000000-0005-0000-0000-0000C50F0000}"/>
    <cellStyle name="40% - Accent5 2 3 2 4 2 2" xfId="24826" xr:uid="{54A053EA-0681-42A8-929E-6E989F0552B4}"/>
    <cellStyle name="40% - Accent5 2 3 2 4 2 2 2" xfId="39797" xr:uid="{4FA25ECA-C25D-4225-9CE6-114717151954}"/>
    <cellStyle name="40% - Accent5 2 3 2 4 2 3" xfId="32194" xr:uid="{DBFF98F2-BF90-430F-8550-4C97B1AE6456}"/>
    <cellStyle name="40% - Accent5 2 3 2 4 3" xfId="7222" xr:uid="{00000000-0005-0000-0000-0000C60F0000}"/>
    <cellStyle name="40% - Accent5 2 3 2 4 3 2" xfId="24827" xr:uid="{27C4EC4C-FED1-43FB-8130-A98D58743328}"/>
    <cellStyle name="40% - Accent5 2 3 2 4 3 2 2" xfId="39798" xr:uid="{0BB3BD44-2452-4B28-81D2-2B6CEDF0DE4A}"/>
    <cellStyle name="40% - Accent5 2 3 2 4 3 3" xfId="32195" xr:uid="{5F1AFB34-948D-46FD-9A26-EE34B9397769}"/>
    <cellStyle name="40% - Accent5 2 3 2 4 4" xfId="24825" xr:uid="{BD96F126-D6DD-4EEA-9EA6-BC0C15B3D0B1}"/>
    <cellStyle name="40% - Accent5 2 3 2 4 4 2" xfId="39796" xr:uid="{06EECA5C-46C1-4DB7-BB77-8D27F0692D56}"/>
    <cellStyle name="40% - Accent5 2 3 2 4 5" xfId="32193" xr:uid="{D4AA16BE-7B71-41CF-BC1E-13155EA89975}"/>
    <cellStyle name="40% - Accent5 2 3 2 5" xfId="7223" xr:uid="{00000000-0005-0000-0000-0000C70F0000}"/>
    <cellStyle name="40% - Accent5 2 3 2 5 2" xfId="24828" xr:uid="{B278E217-C8FA-4445-869D-B2AE09E24D30}"/>
    <cellStyle name="40% - Accent5 2 3 2 5 2 2" xfId="39799" xr:uid="{B5834AC7-AF32-4889-BEE3-CC52D8270EE0}"/>
    <cellStyle name="40% - Accent5 2 3 2 5 3" xfId="32196" xr:uid="{47C052BD-007A-4F67-AD8C-D97FB95645BB}"/>
    <cellStyle name="40% - Accent5 2 3 2 6" xfId="7224" xr:uid="{00000000-0005-0000-0000-0000C80F0000}"/>
    <cellStyle name="40% - Accent5 2 3 2 6 2" xfId="7225" xr:uid="{00000000-0005-0000-0000-0000C90F0000}"/>
    <cellStyle name="40% - Accent5 2 3 2 6 2 2" xfId="24830" xr:uid="{31713279-F666-4124-8EC1-D3E0DF5F3C34}"/>
    <cellStyle name="40% - Accent5 2 3 2 6 2 2 2" xfId="39801" xr:uid="{ADAC7B0E-184B-49C6-B52E-8BFF9CCF55D0}"/>
    <cellStyle name="40% - Accent5 2 3 2 6 2 3" xfId="32198" xr:uid="{97EA1399-9AAA-408B-93BA-B45F86531740}"/>
    <cellStyle name="40% - Accent5 2 3 2 6 3" xfId="24829" xr:uid="{6675AAE1-EBD2-4934-A619-60B50C2F5915}"/>
    <cellStyle name="40% - Accent5 2 3 2 6 3 2" xfId="39800" xr:uid="{1F109491-B1A5-4E92-A7F6-2B688C29DAB8}"/>
    <cellStyle name="40% - Accent5 2 3 2 6 4" xfId="32197" xr:uid="{B1B8C150-4FD2-4E4D-976A-81D35A6329B6}"/>
    <cellStyle name="40% - Accent5 2 3 2 7" xfId="7226" xr:uid="{00000000-0005-0000-0000-0000CA0F0000}"/>
    <cellStyle name="40% - Accent5 2 3 2 7 2" xfId="24831" xr:uid="{F3D452CD-9BF7-4F4C-B4CD-A9E5FC9E0A9F}"/>
    <cellStyle name="40% - Accent5 2 3 2 7 2 2" xfId="39802" xr:uid="{40ACE8D6-A44F-4D38-B075-6FDB4D7D326D}"/>
    <cellStyle name="40% - Accent5 2 3 2 7 3" xfId="32199" xr:uid="{8C21FB6F-2985-48A3-B9CC-E339269BE3B9}"/>
    <cellStyle name="40% - Accent5 2 3 2 8" xfId="24810" xr:uid="{A2DE704F-4E04-49B7-9E4D-B904FFC9BD16}"/>
    <cellStyle name="40% - Accent5 2 3 2 8 2" xfId="39781" xr:uid="{3CC74221-691E-431D-861D-B2D4A8D0D6AA}"/>
    <cellStyle name="40% - Accent5 2 3 2 9" xfId="32178" xr:uid="{AC14FF93-D588-4DA8-B745-78FCB45B6F09}"/>
    <cellStyle name="40% - Accent5 2 3 3" xfId="7227" xr:uid="{00000000-0005-0000-0000-0000CB0F0000}"/>
    <cellStyle name="40% - Accent5 2 3 3 2" xfId="7228" xr:uid="{00000000-0005-0000-0000-0000CC0F0000}"/>
    <cellStyle name="40% - Accent5 2 3 3 2 2" xfId="7229" xr:uid="{00000000-0005-0000-0000-0000CD0F0000}"/>
    <cellStyle name="40% - Accent5 2 3 3 2 2 2" xfId="24834" xr:uid="{BD058706-8DD0-4F8D-8BE0-DB3B724E46CC}"/>
    <cellStyle name="40% - Accent5 2 3 3 2 2 2 2" xfId="39805" xr:uid="{351D39B2-465A-4256-98A4-5228F5ECA768}"/>
    <cellStyle name="40% - Accent5 2 3 3 2 2 3" xfId="32202" xr:uid="{72568FDD-74C1-4B33-914D-C3E113369544}"/>
    <cellStyle name="40% - Accent5 2 3 3 2 3" xfId="7230" xr:uid="{00000000-0005-0000-0000-0000CE0F0000}"/>
    <cellStyle name="40% - Accent5 2 3 3 2 3 2" xfId="24835" xr:uid="{72FF1E44-E3D7-4245-AE3D-E00DCA65981C}"/>
    <cellStyle name="40% - Accent5 2 3 3 2 3 2 2" xfId="39806" xr:uid="{57527F27-BAB5-4182-B525-8392ADF657C2}"/>
    <cellStyle name="40% - Accent5 2 3 3 2 3 3" xfId="32203" xr:uid="{0AD25B5B-F44D-49F4-B37B-4CE67548D717}"/>
    <cellStyle name="40% - Accent5 2 3 3 2 4" xfId="24833" xr:uid="{4D022BD6-25D1-4366-8003-EC47BF224B4E}"/>
    <cellStyle name="40% - Accent5 2 3 3 2 4 2" xfId="39804" xr:uid="{D659BFF7-EBF3-4CD4-A9E7-F96BABF1B187}"/>
    <cellStyle name="40% - Accent5 2 3 3 2 5" xfId="32201" xr:uid="{FABF3ABC-4275-40C2-A53E-7CCF6F6A0352}"/>
    <cellStyle name="40% - Accent5 2 3 3 3" xfId="7231" xr:uid="{00000000-0005-0000-0000-0000CF0F0000}"/>
    <cellStyle name="40% - Accent5 2 3 3 3 2" xfId="7232" xr:uid="{00000000-0005-0000-0000-0000D00F0000}"/>
    <cellStyle name="40% - Accent5 2 3 3 3 2 2" xfId="24837" xr:uid="{77E1EB5A-7185-4195-93DD-CB0DDCA4F7C5}"/>
    <cellStyle name="40% - Accent5 2 3 3 3 2 2 2" xfId="39808" xr:uid="{F8E98E18-06C3-4A82-A16F-F8F3653BD063}"/>
    <cellStyle name="40% - Accent5 2 3 3 3 2 3" xfId="32205" xr:uid="{BB2CB26C-0B22-4846-827E-EE60B3A610E7}"/>
    <cellStyle name="40% - Accent5 2 3 3 3 3" xfId="24836" xr:uid="{05DBDFA4-7BB4-4DC3-96CE-532C2ACCE8B1}"/>
    <cellStyle name="40% - Accent5 2 3 3 3 3 2" xfId="39807" xr:uid="{073EBF0E-6C87-4038-8FBD-D80F2010E944}"/>
    <cellStyle name="40% - Accent5 2 3 3 3 4" xfId="32204" xr:uid="{B0648A50-DDAC-4C8D-B858-38C7AB26F9D9}"/>
    <cellStyle name="40% - Accent5 2 3 3 4" xfId="7233" xr:uid="{00000000-0005-0000-0000-0000D10F0000}"/>
    <cellStyle name="40% - Accent5 2 3 3 4 2" xfId="24838" xr:uid="{5D8EA023-853F-411B-B6F1-AC52753F42DA}"/>
    <cellStyle name="40% - Accent5 2 3 3 4 2 2" xfId="39809" xr:uid="{529B7837-F04F-4025-B036-E917AEB43E3D}"/>
    <cellStyle name="40% - Accent5 2 3 3 4 3" xfId="32206" xr:uid="{41C0A1C2-D36D-46E9-A987-D1589F4BDD23}"/>
    <cellStyle name="40% - Accent5 2 3 3 5" xfId="24832" xr:uid="{B6498D14-2EBF-482B-938E-B76B585DBF00}"/>
    <cellStyle name="40% - Accent5 2 3 3 5 2" xfId="39803" xr:uid="{C862DCCE-1A86-4666-9F85-F6C27776FE91}"/>
    <cellStyle name="40% - Accent5 2 3 3 6" xfId="32200" xr:uid="{BA9CA5E7-61C2-418B-91E8-CC103C953493}"/>
    <cellStyle name="40% - Accent5 2 3 4" xfId="7234" xr:uid="{00000000-0005-0000-0000-0000D20F0000}"/>
    <cellStyle name="40% - Accent5 2 3 4 2" xfId="7235" xr:uid="{00000000-0005-0000-0000-0000D30F0000}"/>
    <cellStyle name="40% - Accent5 2 3 4 2 2" xfId="7236" xr:uid="{00000000-0005-0000-0000-0000D40F0000}"/>
    <cellStyle name="40% - Accent5 2 3 4 2 2 2" xfId="24841" xr:uid="{9C122A74-D429-4904-AEAF-3B87A904ED7E}"/>
    <cellStyle name="40% - Accent5 2 3 4 2 2 2 2" xfId="39812" xr:uid="{0804CB2F-F3D9-48DC-A5CA-5D9C01951037}"/>
    <cellStyle name="40% - Accent5 2 3 4 2 2 3" xfId="32209" xr:uid="{6F979B8F-8BC2-4D94-B1DA-BE6796F1EC0B}"/>
    <cellStyle name="40% - Accent5 2 3 4 2 3" xfId="7237" xr:uid="{00000000-0005-0000-0000-0000D50F0000}"/>
    <cellStyle name="40% - Accent5 2 3 4 2 3 2" xfId="24842" xr:uid="{87DED65E-A449-4208-8257-984FBDAF60CB}"/>
    <cellStyle name="40% - Accent5 2 3 4 2 3 2 2" xfId="39813" xr:uid="{673824E0-3440-4F2D-8AB4-1F5710352DFB}"/>
    <cellStyle name="40% - Accent5 2 3 4 2 3 3" xfId="32210" xr:uid="{0B2BE10B-3ED1-4248-9339-111D7A7CDDC6}"/>
    <cellStyle name="40% - Accent5 2 3 4 2 4" xfId="24840" xr:uid="{93D0760F-F1FF-4317-8E93-4C287ABDE8F4}"/>
    <cellStyle name="40% - Accent5 2 3 4 2 4 2" xfId="39811" xr:uid="{6F422DAB-4C98-468E-A4B3-4D9166ED61C1}"/>
    <cellStyle name="40% - Accent5 2 3 4 2 5" xfId="32208" xr:uid="{336F7736-C94F-4F3D-81EB-D29FFB3997A3}"/>
    <cellStyle name="40% - Accent5 2 3 4 3" xfId="7238" xr:uid="{00000000-0005-0000-0000-0000D60F0000}"/>
    <cellStyle name="40% - Accent5 2 3 4 3 2" xfId="7239" xr:uid="{00000000-0005-0000-0000-0000D70F0000}"/>
    <cellStyle name="40% - Accent5 2 3 4 3 2 2" xfId="24844" xr:uid="{0182F0D7-D5DB-44FD-B9CE-AADAFD88296B}"/>
    <cellStyle name="40% - Accent5 2 3 4 3 2 2 2" xfId="39815" xr:uid="{C90A1CF9-DC7C-4321-8902-010701BEE79F}"/>
    <cellStyle name="40% - Accent5 2 3 4 3 2 3" xfId="32212" xr:uid="{F29E404E-E0BD-4C2C-9FD3-1162595DC960}"/>
    <cellStyle name="40% - Accent5 2 3 4 3 3" xfId="24843" xr:uid="{F31D9336-2AE6-4509-BBAD-625E1413D07A}"/>
    <cellStyle name="40% - Accent5 2 3 4 3 3 2" xfId="39814" xr:uid="{3BB40C7C-51F3-41B2-B106-A42062D7A301}"/>
    <cellStyle name="40% - Accent5 2 3 4 3 4" xfId="32211" xr:uid="{2B0E9524-FC29-4C58-9CF8-133ADD28780A}"/>
    <cellStyle name="40% - Accent5 2 3 4 4" xfId="7240" xr:uid="{00000000-0005-0000-0000-0000D80F0000}"/>
    <cellStyle name="40% - Accent5 2 3 4 4 2" xfId="24845" xr:uid="{9F40572B-33F7-4A78-AD2C-AEC780BD9245}"/>
    <cellStyle name="40% - Accent5 2 3 4 4 2 2" xfId="39816" xr:uid="{8420FEC0-5A62-48FF-9499-21BD464749A9}"/>
    <cellStyle name="40% - Accent5 2 3 4 4 3" xfId="32213" xr:uid="{7C26145C-2377-42D1-B59E-9485D042C916}"/>
    <cellStyle name="40% - Accent5 2 3 4 5" xfId="24839" xr:uid="{3AAF7151-4FEE-438A-AF9E-5EC1EF72B409}"/>
    <cellStyle name="40% - Accent5 2 3 4 5 2" xfId="39810" xr:uid="{9E9CF017-DEC6-452F-B0BB-7627FC8E067C}"/>
    <cellStyle name="40% - Accent5 2 3 4 6" xfId="32207" xr:uid="{F9F75865-5219-45EE-BCB8-1F551C06DE58}"/>
    <cellStyle name="40% - Accent5 2 3 5" xfId="7241" xr:uid="{00000000-0005-0000-0000-0000D90F0000}"/>
    <cellStyle name="40% - Accent5 2 3 5 2" xfId="7242" xr:uid="{00000000-0005-0000-0000-0000DA0F0000}"/>
    <cellStyle name="40% - Accent5 2 3 5 2 2" xfId="24847" xr:uid="{A50EFA5B-6443-46FA-BF6F-C06DFBF72F36}"/>
    <cellStyle name="40% - Accent5 2 3 5 2 2 2" xfId="39818" xr:uid="{1FC48551-E95D-4231-9CBC-A29B1DA33D52}"/>
    <cellStyle name="40% - Accent5 2 3 5 2 3" xfId="32215" xr:uid="{4F6B8388-8A82-4DAF-B24A-B08FBEDBD65D}"/>
    <cellStyle name="40% - Accent5 2 3 5 3" xfId="7243" xr:uid="{00000000-0005-0000-0000-0000DB0F0000}"/>
    <cellStyle name="40% - Accent5 2 3 5 3 2" xfId="24848" xr:uid="{C7898A93-8F6C-4834-A265-EBC30C9410CB}"/>
    <cellStyle name="40% - Accent5 2 3 5 3 2 2" xfId="39819" xr:uid="{B6BDF81F-B305-4ABB-BF35-809EF90D0143}"/>
    <cellStyle name="40% - Accent5 2 3 5 3 3" xfId="32216" xr:uid="{D4499C78-2554-4E80-AB07-186277CFBE66}"/>
    <cellStyle name="40% - Accent5 2 3 5 4" xfId="24846" xr:uid="{A2B53770-16E1-4D42-BEAD-E2A5C34F66A9}"/>
    <cellStyle name="40% - Accent5 2 3 5 4 2" xfId="39817" xr:uid="{C9AFD6C3-F7EA-49CB-B273-07F41AE71934}"/>
    <cellStyle name="40% - Accent5 2 3 5 5" xfId="32214" xr:uid="{F10B48CB-F9A7-4BC3-B860-1BD449FD7EFA}"/>
    <cellStyle name="40% - Accent5 2 3 6" xfId="7244" xr:uid="{00000000-0005-0000-0000-0000DC0F0000}"/>
    <cellStyle name="40% - Accent5 2 3 6 2" xfId="24849" xr:uid="{131CA8A0-0695-4365-875C-B97E46C65CE6}"/>
    <cellStyle name="40% - Accent5 2 3 6 2 2" xfId="39820" xr:uid="{29BA4C41-9D01-4030-8671-F074EEC897E4}"/>
    <cellStyle name="40% - Accent5 2 3 6 3" xfId="32217" xr:uid="{2DC387EE-A401-4619-AFDB-0C5D1F700444}"/>
    <cellStyle name="40% - Accent5 2 3 7" xfId="7245" xr:uid="{00000000-0005-0000-0000-0000DD0F0000}"/>
    <cellStyle name="40% - Accent5 2 3 7 2" xfId="7246" xr:uid="{00000000-0005-0000-0000-0000DE0F0000}"/>
    <cellStyle name="40% - Accent5 2 3 7 2 2" xfId="24851" xr:uid="{853B3B8C-7B1D-4381-8E46-5B45DE28591F}"/>
    <cellStyle name="40% - Accent5 2 3 7 2 2 2" xfId="39822" xr:uid="{9F41EFA0-8244-4F52-8B9D-A6E1558648E5}"/>
    <cellStyle name="40% - Accent5 2 3 7 2 3" xfId="32219" xr:uid="{AF8FF7AC-A4E0-42DD-B2DF-6AC479931DD9}"/>
    <cellStyle name="40% - Accent5 2 3 7 3" xfId="24850" xr:uid="{385DEF9D-F59D-4E78-A7D5-C50CA45BE890}"/>
    <cellStyle name="40% - Accent5 2 3 7 3 2" xfId="39821" xr:uid="{AAF119C6-A53C-4128-BAD7-92E4BF6CC1A4}"/>
    <cellStyle name="40% - Accent5 2 3 7 4" xfId="32218" xr:uid="{62BE0398-0B21-4830-862E-FE7D96432CCF}"/>
    <cellStyle name="40% - Accent5 2 3 8" xfId="7247" xr:uid="{00000000-0005-0000-0000-0000DF0F0000}"/>
    <cellStyle name="40% - Accent5 2 3 8 2" xfId="24852" xr:uid="{A503BA4F-2DA9-42CE-8EA5-6C86C9527129}"/>
    <cellStyle name="40% - Accent5 2 3 8 2 2" xfId="39823" xr:uid="{BAB047BD-D57C-4C5B-9289-BCCF3F4B335F}"/>
    <cellStyle name="40% - Accent5 2 3 8 3" xfId="32220" xr:uid="{ADDFDDB6-E43B-4652-8B9A-43F2C31D3426}"/>
    <cellStyle name="40% - Accent5 2 3 9" xfId="24809" xr:uid="{C68BBB39-7906-4CE3-85E8-9044B8F3E756}"/>
    <cellStyle name="40% - Accent5 2 3 9 2" xfId="39780" xr:uid="{ACB67D47-CB9B-4B19-B888-DCE5F0DD0CB5}"/>
    <cellStyle name="40% - Accent5 2 4" xfId="7248" xr:uid="{00000000-0005-0000-0000-0000E00F0000}"/>
    <cellStyle name="40% - Accent5 2 4 10" xfId="32221" xr:uid="{C02561F2-C228-4242-ADE5-A7485B431636}"/>
    <cellStyle name="40% - Accent5 2 4 2" xfId="7249" xr:uid="{00000000-0005-0000-0000-0000E10F0000}"/>
    <cellStyle name="40% - Accent5 2 4 2 2" xfId="7250" xr:uid="{00000000-0005-0000-0000-0000E20F0000}"/>
    <cellStyle name="40% - Accent5 2 4 2 2 2" xfId="7251" xr:uid="{00000000-0005-0000-0000-0000E30F0000}"/>
    <cellStyle name="40% - Accent5 2 4 2 2 2 2" xfId="7252" xr:uid="{00000000-0005-0000-0000-0000E40F0000}"/>
    <cellStyle name="40% - Accent5 2 4 2 2 2 2 2" xfId="24857" xr:uid="{D9EA4203-0282-464E-9EE5-9269DCF51BF0}"/>
    <cellStyle name="40% - Accent5 2 4 2 2 2 2 2 2" xfId="39828" xr:uid="{53FBB7A7-8D25-405E-9844-8919877A74C8}"/>
    <cellStyle name="40% - Accent5 2 4 2 2 2 2 3" xfId="32225" xr:uid="{0ACECFB7-62E3-4DB3-A40B-307311248183}"/>
    <cellStyle name="40% - Accent5 2 4 2 2 2 3" xfId="7253" xr:uid="{00000000-0005-0000-0000-0000E50F0000}"/>
    <cellStyle name="40% - Accent5 2 4 2 2 2 3 2" xfId="24858" xr:uid="{375AF558-94AF-4A71-8E4C-9ED82E450717}"/>
    <cellStyle name="40% - Accent5 2 4 2 2 2 3 2 2" xfId="39829" xr:uid="{70EFD524-65BB-4759-89F5-C10EFEBB9BD0}"/>
    <cellStyle name="40% - Accent5 2 4 2 2 2 3 3" xfId="32226" xr:uid="{113F114D-5AEE-4603-8746-8D18BBC19A7A}"/>
    <cellStyle name="40% - Accent5 2 4 2 2 2 4" xfId="24856" xr:uid="{E26CB533-7180-437F-901D-1CF9DAD93CB6}"/>
    <cellStyle name="40% - Accent5 2 4 2 2 2 4 2" xfId="39827" xr:uid="{720A46BD-10BA-42AA-9785-0C0E34FCD220}"/>
    <cellStyle name="40% - Accent5 2 4 2 2 2 5" xfId="32224" xr:uid="{F0F13CA0-0D15-46AC-9322-1700F8E13678}"/>
    <cellStyle name="40% - Accent5 2 4 2 2 3" xfId="7254" xr:uid="{00000000-0005-0000-0000-0000E60F0000}"/>
    <cellStyle name="40% - Accent5 2 4 2 2 3 2" xfId="7255" xr:uid="{00000000-0005-0000-0000-0000E70F0000}"/>
    <cellStyle name="40% - Accent5 2 4 2 2 3 2 2" xfId="24860" xr:uid="{15A76171-862A-478F-B6F9-4BB57AD87D3B}"/>
    <cellStyle name="40% - Accent5 2 4 2 2 3 2 2 2" xfId="39831" xr:uid="{60D3CF26-4DCA-4360-B691-522781EE48C5}"/>
    <cellStyle name="40% - Accent5 2 4 2 2 3 2 3" xfId="32228" xr:uid="{C5BB968C-3E1E-41F8-827A-E89B16E91D65}"/>
    <cellStyle name="40% - Accent5 2 4 2 2 3 3" xfId="24859" xr:uid="{F0CBD6B2-DF3D-403F-B1BD-2F7BCE56B8B4}"/>
    <cellStyle name="40% - Accent5 2 4 2 2 3 3 2" xfId="39830" xr:uid="{752133E6-54B8-4226-83F5-6628E7EBD340}"/>
    <cellStyle name="40% - Accent5 2 4 2 2 3 4" xfId="32227" xr:uid="{3EBA4333-8BE2-421E-B53D-E27FA8781012}"/>
    <cellStyle name="40% - Accent5 2 4 2 2 4" xfId="7256" xr:uid="{00000000-0005-0000-0000-0000E80F0000}"/>
    <cellStyle name="40% - Accent5 2 4 2 2 4 2" xfId="24861" xr:uid="{3ACAC1CA-E2E6-4CB5-8331-AB37971261DA}"/>
    <cellStyle name="40% - Accent5 2 4 2 2 4 2 2" xfId="39832" xr:uid="{B01896E5-A070-417B-8CCF-2E6E6FAC9993}"/>
    <cellStyle name="40% - Accent5 2 4 2 2 4 3" xfId="32229" xr:uid="{DA5E387D-3AD0-4633-B0B6-C93B62E9C228}"/>
    <cellStyle name="40% - Accent5 2 4 2 2 5" xfId="24855" xr:uid="{8E5C5760-F150-46AD-A634-B01CC4ED3983}"/>
    <cellStyle name="40% - Accent5 2 4 2 2 5 2" xfId="39826" xr:uid="{25939093-9759-439F-B3BD-93CCED055837}"/>
    <cellStyle name="40% - Accent5 2 4 2 2 6" xfId="32223" xr:uid="{4AD33737-D501-401B-9BEB-5664478672E1}"/>
    <cellStyle name="40% - Accent5 2 4 2 3" xfId="7257" xr:uid="{00000000-0005-0000-0000-0000E90F0000}"/>
    <cellStyle name="40% - Accent5 2 4 2 3 2" xfId="7258" xr:uid="{00000000-0005-0000-0000-0000EA0F0000}"/>
    <cellStyle name="40% - Accent5 2 4 2 3 2 2" xfId="7259" xr:uid="{00000000-0005-0000-0000-0000EB0F0000}"/>
    <cellStyle name="40% - Accent5 2 4 2 3 2 2 2" xfId="24864" xr:uid="{73955932-5D55-4B59-9E9E-A0572428F9C3}"/>
    <cellStyle name="40% - Accent5 2 4 2 3 2 2 2 2" xfId="39835" xr:uid="{D1D227B2-8F0E-44CA-B9FA-1278B6C759E3}"/>
    <cellStyle name="40% - Accent5 2 4 2 3 2 2 3" xfId="32232" xr:uid="{D12498C5-9A77-4F49-89D2-3521003CCF5E}"/>
    <cellStyle name="40% - Accent5 2 4 2 3 2 3" xfId="7260" xr:uid="{00000000-0005-0000-0000-0000EC0F0000}"/>
    <cellStyle name="40% - Accent5 2 4 2 3 2 3 2" xfId="24865" xr:uid="{6902B786-CD4D-45F1-AA47-3A803D88F4EB}"/>
    <cellStyle name="40% - Accent5 2 4 2 3 2 3 2 2" xfId="39836" xr:uid="{3A40229C-E0F6-4AC0-8E2D-56BA1C5F91AC}"/>
    <cellStyle name="40% - Accent5 2 4 2 3 2 3 3" xfId="32233" xr:uid="{74DC0E2B-E242-467F-B559-84DCE2214E0D}"/>
    <cellStyle name="40% - Accent5 2 4 2 3 2 4" xfId="24863" xr:uid="{B4356D5C-5E21-4F72-ADA0-8E6E0A80900D}"/>
    <cellStyle name="40% - Accent5 2 4 2 3 2 4 2" xfId="39834" xr:uid="{268BCAEF-23A5-41E8-B392-0C7BE4D8B5EF}"/>
    <cellStyle name="40% - Accent5 2 4 2 3 2 5" xfId="32231" xr:uid="{A83C8813-F01B-4FAC-B1EA-CA4F0F968299}"/>
    <cellStyle name="40% - Accent5 2 4 2 3 3" xfId="7261" xr:uid="{00000000-0005-0000-0000-0000ED0F0000}"/>
    <cellStyle name="40% - Accent5 2 4 2 3 3 2" xfId="7262" xr:uid="{00000000-0005-0000-0000-0000EE0F0000}"/>
    <cellStyle name="40% - Accent5 2 4 2 3 3 2 2" xfId="24867" xr:uid="{AE7F45D7-93F0-493D-B5EF-60E061C62A40}"/>
    <cellStyle name="40% - Accent5 2 4 2 3 3 2 2 2" xfId="39838" xr:uid="{74FAA9F6-1648-4C56-B944-CC53CB9DADCE}"/>
    <cellStyle name="40% - Accent5 2 4 2 3 3 2 3" xfId="32235" xr:uid="{4376AD68-E620-4EF6-932D-9E44ECE57F48}"/>
    <cellStyle name="40% - Accent5 2 4 2 3 3 3" xfId="24866" xr:uid="{73616915-1172-4433-B54A-A0EBD728E63E}"/>
    <cellStyle name="40% - Accent5 2 4 2 3 3 3 2" xfId="39837" xr:uid="{938E2C9F-2A76-4848-89E9-FEBC0EE213D7}"/>
    <cellStyle name="40% - Accent5 2 4 2 3 3 4" xfId="32234" xr:uid="{2BC8B0F1-DBDB-4B63-A7B4-70B1869AA51D}"/>
    <cellStyle name="40% - Accent5 2 4 2 3 4" xfId="7263" xr:uid="{00000000-0005-0000-0000-0000EF0F0000}"/>
    <cellStyle name="40% - Accent5 2 4 2 3 4 2" xfId="24868" xr:uid="{026580D0-6C62-4822-BA2F-29103C080E6C}"/>
    <cellStyle name="40% - Accent5 2 4 2 3 4 2 2" xfId="39839" xr:uid="{D391A321-00EE-4D87-9576-592778DC7D00}"/>
    <cellStyle name="40% - Accent5 2 4 2 3 4 3" xfId="32236" xr:uid="{33AB2B6B-89F2-46FD-9549-50797379E639}"/>
    <cellStyle name="40% - Accent5 2 4 2 3 5" xfId="24862" xr:uid="{077A3940-D10A-4910-89C8-96EBF3B5ACF3}"/>
    <cellStyle name="40% - Accent5 2 4 2 3 5 2" xfId="39833" xr:uid="{664A127D-BD0A-45A6-94F1-4C3DD1F956E9}"/>
    <cellStyle name="40% - Accent5 2 4 2 3 6" xfId="32230" xr:uid="{3019E611-DAEF-4107-A746-753CA389CC00}"/>
    <cellStyle name="40% - Accent5 2 4 2 4" xfId="7264" xr:uid="{00000000-0005-0000-0000-0000F00F0000}"/>
    <cellStyle name="40% - Accent5 2 4 2 4 2" xfId="7265" xr:uid="{00000000-0005-0000-0000-0000F10F0000}"/>
    <cellStyle name="40% - Accent5 2 4 2 4 2 2" xfId="24870" xr:uid="{8DED82E0-6124-48D2-A1A3-BA270F2BC22D}"/>
    <cellStyle name="40% - Accent5 2 4 2 4 2 2 2" xfId="39841" xr:uid="{76E6E935-3082-43B4-B2B3-5C208E5681D6}"/>
    <cellStyle name="40% - Accent5 2 4 2 4 2 3" xfId="32238" xr:uid="{2BCD6B9D-19D2-4993-A4BB-BE07D92EB499}"/>
    <cellStyle name="40% - Accent5 2 4 2 4 3" xfId="7266" xr:uid="{00000000-0005-0000-0000-0000F20F0000}"/>
    <cellStyle name="40% - Accent5 2 4 2 4 3 2" xfId="24871" xr:uid="{62323A27-8E12-4474-8EAC-FEADED6AB2E2}"/>
    <cellStyle name="40% - Accent5 2 4 2 4 3 2 2" xfId="39842" xr:uid="{1B06DE50-107B-4C5C-850D-AF186D212D19}"/>
    <cellStyle name="40% - Accent5 2 4 2 4 3 3" xfId="32239" xr:uid="{C21C1E51-8312-4231-9DEC-860D0010D9CF}"/>
    <cellStyle name="40% - Accent5 2 4 2 4 4" xfId="24869" xr:uid="{8E9A506A-A488-41B3-A765-B2D80268FFC4}"/>
    <cellStyle name="40% - Accent5 2 4 2 4 4 2" xfId="39840" xr:uid="{76211767-FBD0-4289-9217-1FE69C8FE86C}"/>
    <cellStyle name="40% - Accent5 2 4 2 4 5" xfId="32237" xr:uid="{E54D8C9F-5FF8-454E-9292-03118D388B2E}"/>
    <cellStyle name="40% - Accent5 2 4 2 5" xfId="7267" xr:uid="{00000000-0005-0000-0000-0000F30F0000}"/>
    <cellStyle name="40% - Accent5 2 4 2 5 2" xfId="24872" xr:uid="{1CE26D34-A5A9-4580-A416-53A6C04AB16B}"/>
    <cellStyle name="40% - Accent5 2 4 2 5 2 2" xfId="39843" xr:uid="{1858C165-3453-4C3F-AC26-C17BFD61B1F5}"/>
    <cellStyle name="40% - Accent5 2 4 2 5 3" xfId="32240" xr:uid="{9F71D047-2A7C-4510-BFC4-6C1EFD318DBB}"/>
    <cellStyle name="40% - Accent5 2 4 2 6" xfId="7268" xr:uid="{00000000-0005-0000-0000-0000F40F0000}"/>
    <cellStyle name="40% - Accent5 2 4 2 6 2" xfId="7269" xr:uid="{00000000-0005-0000-0000-0000F50F0000}"/>
    <cellStyle name="40% - Accent5 2 4 2 6 2 2" xfId="24874" xr:uid="{40A039A4-2724-453C-9B13-37B9FCB1D526}"/>
    <cellStyle name="40% - Accent5 2 4 2 6 2 2 2" xfId="39845" xr:uid="{697928D6-B024-41A4-B455-98E98BE4E658}"/>
    <cellStyle name="40% - Accent5 2 4 2 6 2 3" xfId="32242" xr:uid="{20F57687-95FF-4E51-BE59-CE0BB39E0580}"/>
    <cellStyle name="40% - Accent5 2 4 2 6 3" xfId="24873" xr:uid="{F4A3ACCE-6F2B-4363-BDFD-7F5D117A338F}"/>
    <cellStyle name="40% - Accent5 2 4 2 6 3 2" xfId="39844" xr:uid="{F1C9086C-5E3F-4A88-BAF9-D3831DC5B586}"/>
    <cellStyle name="40% - Accent5 2 4 2 6 4" xfId="32241" xr:uid="{4425E09A-81B5-4E1E-9736-DDB11009921B}"/>
    <cellStyle name="40% - Accent5 2 4 2 7" xfId="7270" xr:uid="{00000000-0005-0000-0000-0000F60F0000}"/>
    <cellStyle name="40% - Accent5 2 4 2 7 2" xfId="24875" xr:uid="{CD479173-15E9-4200-8D47-5C72800DFF86}"/>
    <cellStyle name="40% - Accent5 2 4 2 7 2 2" xfId="39846" xr:uid="{AC699664-5151-43AB-A767-24BE6E6B2899}"/>
    <cellStyle name="40% - Accent5 2 4 2 7 3" xfId="32243" xr:uid="{DE3B5123-87DC-4B5E-BA07-8DE0877DAF51}"/>
    <cellStyle name="40% - Accent5 2 4 2 8" xfId="24854" xr:uid="{CF299A03-98F2-4447-AE4E-DF93DB57A2D6}"/>
    <cellStyle name="40% - Accent5 2 4 2 8 2" xfId="39825" xr:uid="{553E2CAB-8D03-4F41-9644-129F6874A0F7}"/>
    <cellStyle name="40% - Accent5 2 4 2 9" xfId="32222" xr:uid="{51DAC04B-B911-4D76-B847-1650115D5AA0}"/>
    <cellStyle name="40% - Accent5 2 4 3" xfId="7271" xr:uid="{00000000-0005-0000-0000-0000F70F0000}"/>
    <cellStyle name="40% - Accent5 2 4 3 2" xfId="7272" xr:uid="{00000000-0005-0000-0000-0000F80F0000}"/>
    <cellStyle name="40% - Accent5 2 4 3 2 2" xfId="7273" xr:uid="{00000000-0005-0000-0000-0000F90F0000}"/>
    <cellStyle name="40% - Accent5 2 4 3 2 2 2" xfId="24878" xr:uid="{610A8C60-C072-4409-8F9B-BA5BE820962D}"/>
    <cellStyle name="40% - Accent5 2 4 3 2 2 2 2" xfId="39849" xr:uid="{8728797F-D0F8-4A5C-BB3F-4151712B1774}"/>
    <cellStyle name="40% - Accent5 2 4 3 2 2 3" xfId="32246" xr:uid="{03FA94AF-406E-4133-AC95-5A2C9144D5D1}"/>
    <cellStyle name="40% - Accent5 2 4 3 2 3" xfId="7274" xr:uid="{00000000-0005-0000-0000-0000FA0F0000}"/>
    <cellStyle name="40% - Accent5 2 4 3 2 3 2" xfId="24879" xr:uid="{61809942-F6EE-4F30-99DF-B29A47E1EE4C}"/>
    <cellStyle name="40% - Accent5 2 4 3 2 3 2 2" xfId="39850" xr:uid="{DE8D5B81-FB8A-4C99-9059-CE6586947F31}"/>
    <cellStyle name="40% - Accent5 2 4 3 2 3 3" xfId="32247" xr:uid="{AE440634-E72D-401D-83E0-1F6A74BAAD70}"/>
    <cellStyle name="40% - Accent5 2 4 3 2 4" xfId="24877" xr:uid="{94E9EF72-E32C-43B8-84E7-2D5E062F9609}"/>
    <cellStyle name="40% - Accent5 2 4 3 2 4 2" xfId="39848" xr:uid="{5F8A1330-13ED-446D-B259-37A84FE4B6AF}"/>
    <cellStyle name="40% - Accent5 2 4 3 2 5" xfId="32245" xr:uid="{0A97A40D-9671-46C4-8DFD-7E7589EC6005}"/>
    <cellStyle name="40% - Accent5 2 4 3 3" xfId="7275" xr:uid="{00000000-0005-0000-0000-0000FB0F0000}"/>
    <cellStyle name="40% - Accent5 2 4 3 3 2" xfId="7276" xr:uid="{00000000-0005-0000-0000-0000FC0F0000}"/>
    <cellStyle name="40% - Accent5 2 4 3 3 2 2" xfId="24881" xr:uid="{DFE9D191-1019-4F46-9F14-94FB32AF6A7D}"/>
    <cellStyle name="40% - Accent5 2 4 3 3 2 2 2" xfId="39852" xr:uid="{0D2F4EC4-B4ED-40BD-A3A6-0F9C37920697}"/>
    <cellStyle name="40% - Accent5 2 4 3 3 2 3" xfId="32249" xr:uid="{415DED3A-F520-40BA-B699-1191F9700F73}"/>
    <cellStyle name="40% - Accent5 2 4 3 3 3" xfId="24880" xr:uid="{2FDFCDB3-5158-4E27-BFE4-61B9C470B76E}"/>
    <cellStyle name="40% - Accent5 2 4 3 3 3 2" xfId="39851" xr:uid="{E12DC570-E63A-45FB-B59D-716071E8C75E}"/>
    <cellStyle name="40% - Accent5 2 4 3 3 4" xfId="32248" xr:uid="{70740319-677E-4E08-BC8D-9BFFB802DBA4}"/>
    <cellStyle name="40% - Accent5 2 4 3 4" xfId="7277" xr:uid="{00000000-0005-0000-0000-0000FD0F0000}"/>
    <cellStyle name="40% - Accent5 2 4 3 4 2" xfId="24882" xr:uid="{1723D4CB-AFCF-434A-98BA-8CB0AA3334CC}"/>
    <cellStyle name="40% - Accent5 2 4 3 4 2 2" xfId="39853" xr:uid="{DC2A9669-085C-4664-BC8A-A312EF5CA33C}"/>
    <cellStyle name="40% - Accent5 2 4 3 4 3" xfId="32250" xr:uid="{F603D556-27E0-4218-9C92-6ED58CC7FF57}"/>
    <cellStyle name="40% - Accent5 2 4 3 5" xfId="24876" xr:uid="{DB6D99FD-3575-491E-AC29-06524444D017}"/>
    <cellStyle name="40% - Accent5 2 4 3 5 2" xfId="39847" xr:uid="{ADEA7407-1A97-461B-A179-1DCD764F2095}"/>
    <cellStyle name="40% - Accent5 2 4 3 6" xfId="32244" xr:uid="{B2097965-A9AB-4BC8-942E-6DBFEDC9BD67}"/>
    <cellStyle name="40% - Accent5 2 4 4" xfId="7278" xr:uid="{00000000-0005-0000-0000-0000FE0F0000}"/>
    <cellStyle name="40% - Accent5 2 4 4 2" xfId="7279" xr:uid="{00000000-0005-0000-0000-0000FF0F0000}"/>
    <cellStyle name="40% - Accent5 2 4 4 2 2" xfId="7280" xr:uid="{00000000-0005-0000-0000-000000100000}"/>
    <cellStyle name="40% - Accent5 2 4 4 2 2 2" xfId="24885" xr:uid="{3458032E-ECCF-4440-A3E7-C17BE0855133}"/>
    <cellStyle name="40% - Accent5 2 4 4 2 2 2 2" xfId="39856" xr:uid="{50C1F590-57C3-4C05-9821-EBCC90B0E946}"/>
    <cellStyle name="40% - Accent5 2 4 4 2 2 3" xfId="32253" xr:uid="{47DA2A51-06F4-46FF-BE0A-4A03A3CB4DF7}"/>
    <cellStyle name="40% - Accent5 2 4 4 2 3" xfId="7281" xr:uid="{00000000-0005-0000-0000-000001100000}"/>
    <cellStyle name="40% - Accent5 2 4 4 2 3 2" xfId="24886" xr:uid="{7C3B86C5-6362-4BA6-8235-54EDC399AC95}"/>
    <cellStyle name="40% - Accent5 2 4 4 2 3 2 2" xfId="39857" xr:uid="{0BBF81F4-A94C-4726-BD91-0EB8B5CBDE85}"/>
    <cellStyle name="40% - Accent5 2 4 4 2 3 3" xfId="32254" xr:uid="{BA95F6BE-91B6-4D9B-8C86-142744883118}"/>
    <cellStyle name="40% - Accent5 2 4 4 2 4" xfId="24884" xr:uid="{0D295EED-2E25-45C7-A17C-5B8256717063}"/>
    <cellStyle name="40% - Accent5 2 4 4 2 4 2" xfId="39855" xr:uid="{9FA4479E-D6B6-41B8-B01B-5714ED1997C3}"/>
    <cellStyle name="40% - Accent5 2 4 4 2 5" xfId="32252" xr:uid="{068E9C4A-D886-4012-AE04-76E5B10F1AFE}"/>
    <cellStyle name="40% - Accent5 2 4 4 3" xfId="7282" xr:uid="{00000000-0005-0000-0000-000002100000}"/>
    <cellStyle name="40% - Accent5 2 4 4 3 2" xfId="7283" xr:uid="{00000000-0005-0000-0000-000003100000}"/>
    <cellStyle name="40% - Accent5 2 4 4 3 2 2" xfId="24888" xr:uid="{20F7568A-D7FC-4226-91D7-7B2A50AE90F8}"/>
    <cellStyle name="40% - Accent5 2 4 4 3 2 2 2" xfId="39859" xr:uid="{C5569D13-84C5-4C09-9055-539801AB351A}"/>
    <cellStyle name="40% - Accent5 2 4 4 3 2 3" xfId="32256" xr:uid="{BAA12899-3453-4F72-AC39-95901E47C41D}"/>
    <cellStyle name="40% - Accent5 2 4 4 3 3" xfId="24887" xr:uid="{3452EFAA-2D6C-4F6F-A7A9-32FABB758A3F}"/>
    <cellStyle name="40% - Accent5 2 4 4 3 3 2" xfId="39858" xr:uid="{2AC2F227-B983-409A-BBA3-24CD27A67561}"/>
    <cellStyle name="40% - Accent5 2 4 4 3 4" xfId="32255" xr:uid="{AB6B079A-BFFB-4857-8E20-3513878455CF}"/>
    <cellStyle name="40% - Accent5 2 4 4 4" xfId="7284" xr:uid="{00000000-0005-0000-0000-000004100000}"/>
    <cellStyle name="40% - Accent5 2 4 4 4 2" xfId="24889" xr:uid="{074D7481-0CE8-4FB5-BD8E-7B92EDD1C42B}"/>
    <cellStyle name="40% - Accent5 2 4 4 4 2 2" xfId="39860" xr:uid="{B0A58CFD-12BB-463A-ACD7-30EF889BE46A}"/>
    <cellStyle name="40% - Accent5 2 4 4 4 3" xfId="32257" xr:uid="{CC5F5039-82BC-47EE-9409-0790CA7FF37E}"/>
    <cellStyle name="40% - Accent5 2 4 4 5" xfId="24883" xr:uid="{B40177BC-31DE-4AB2-94E7-64700152FDA8}"/>
    <cellStyle name="40% - Accent5 2 4 4 5 2" xfId="39854" xr:uid="{11AF3F12-CCA4-494D-B062-2F79196D4AAA}"/>
    <cellStyle name="40% - Accent5 2 4 4 6" xfId="32251" xr:uid="{C0BE35A1-6F45-4080-B805-86B7ED61C5E2}"/>
    <cellStyle name="40% - Accent5 2 4 5" xfId="7285" xr:uid="{00000000-0005-0000-0000-000005100000}"/>
    <cellStyle name="40% - Accent5 2 4 5 2" xfId="7286" xr:uid="{00000000-0005-0000-0000-000006100000}"/>
    <cellStyle name="40% - Accent5 2 4 5 2 2" xfId="24891" xr:uid="{5E883889-9395-4A7B-BB6F-65B952F3B42E}"/>
    <cellStyle name="40% - Accent5 2 4 5 2 2 2" xfId="39862" xr:uid="{C118BE70-8BD6-40F9-BE94-13992715AE3B}"/>
    <cellStyle name="40% - Accent5 2 4 5 2 3" xfId="32259" xr:uid="{1127C43B-B094-4320-BBFF-33DD4689FB11}"/>
    <cellStyle name="40% - Accent5 2 4 5 3" xfId="7287" xr:uid="{00000000-0005-0000-0000-000007100000}"/>
    <cellStyle name="40% - Accent5 2 4 5 3 2" xfId="24892" xr:uid="{B0EB4A95-8446-40E8-8FF5-07C8938FE1C6}"/>
    <cellStyle name="40% - Accent5 2 4 5 3 2 2" xfId="39863" xr:uid="{EF324BDC-B8F1-4CDC-8AC0-60B1593FC8BA}"/>
    <cellStyle name="40% - Accent5 2 4 5 3 3" xfId="32260" xr:uid="{77FAE1BB-B224-4D1F-BE46-01DC4E0C8FAD}"/>
    <cellStyle name="40% - Accent5 2 4 5 4" xfId="24890" xr:uid="{66E34D8D-E7B4-4DB9-88C9-2735288E9F57}"/>
    <cellStyle name="40% - Accent5 2 4 5 4 2" xfId="39861" xr:uid="{843D15A3-E285-4575-950D-4F447FF2F8BB}"/>
    <cellStyle name="40% - Accent5 2 4 5 5" xfId="32258" xr:uid="{E1007F52-1DCC-4CFA-A681-CA54C711C8FD}"/>
    <cellStyle name="40% - Accent5 2 4 6" xfId="7288" xr:uid="{00000000-0005-0000-0000-000008100000}"/>
    <cellStyle name="40% - Accent5 2 4 6 2" xfId="24893" xr:uid="{FBCB7C7C-4E70-47A3-BF82-B3B411406D1B}"/>
    <cellStyle name="40% - Accent5 2 4 6 2 2" xfId="39864" xr:uid="{A8DDE34A-8228-4AF6-BC48-1726FD3664C4}"/>
    <cellStyle name="40% - Accent5 2 4 6 3" xfId="32261" xr:uid="{398CD821-B8AE-47E9-B6DB-6A2A7921EA08}"/>
    <cellStyle name="40% - Accent5 2 4 7" xfId="7289" xr:uid="{00000000-0005-0000-0000-000009100000}"/>
    <cellStyle name="40% - Accent5 2 4 7 2" xfId="7290" xr:uid="{00000000-0005-0000-0000-00000A100000}"/>
    <cellStyle name="40% - Accent5 2 4 7 2 2" xfId="24895" xr:uid="{B0FE4643-B6EC-410B-9B85-BBD0088A8690}"/>
    <cellStyle name="40% - Accent5 2 4 7 2 2 2" xfId="39866" xr:uid="{DFB05BE7-736F-4810-B19B-9FA195B56754}"/>
    <cellStyle name="40% - Accent5 2 4 7 2 3" xfId="32263" xr:uid="{E77E2748-4D04-41FA-9758-9C2B4D04AFAA}"/>
    <cellStyle name="40% - Accent5 2 4 7 3" xfId="24894" xr:uid="{5D811FEF-57B9-4C1B-839E-A2388FA7472D}"/>
    <cellStyle name="40% - Accent5 2 4 7 3 2" xfId="39865" xr:uid="{E313EA3C-77F3-4814-8906-A45D025C910D}"/>
    <cellStyle name="40% - Accent5 2 4 7 4" xfId="32262" xr:uid="{9D1A616B-605E-4840-BA2A-E0291DD0EFFE}"/>
    <cellStyle name="40% - Accent5 2 4 8" xfId="7291" xr:uid="{00000000-0005-0000-0000-00000B100000}"/>
    <cellStyle name="40% - Accent5 2 4 8 2" xfId="24896" xr:uid="{1B63C373-3DA2-4A27-92E7-430A2F0D8458}"/>
    <cellStyle name="40% - Accent5 2 4 8 2 2" xfId="39867" xr:uid="{3B1A3969-BC77-4F30-9148-F185374D258C}"/>
    <cellStyle name="40% - Accent5 2 4 8 3" xfId="32264" xr:uid="{280C487A-420B-4CD8-B172-32C0043B357A}"/>
    <cellStyle name="40% - Accent5 2 4 9" xfId="24853" xr:uid="{9A0F7C9E-F054-4822-BAAA-C3F0A95205F2}"/>
    <cellStyle name="40% - Accent5 2 4 9 2" xfId="39824" xr:uid="{DB4F3C65-6196-4F13-AAF5-AD4CB037B39E}"/>
    <cellStyle name="40% - Accent5 2 5" xfId="7292" xr:uid="{00000000-0005-0000-0000-00000C100000}"/>
    <cellStyle name="40% - Accent5 2 5 10" xfId="32265" xr:uid="{F45DD12F-E332-4CA1-82F5-FB44EF49FB76}"/>
    <cellStyle name="40% - Accent5 2 5 2" xfId="7293" xr:uid="{00000000-0005-0000-0000-00000D100000}"/>
    <cellStyle name="40% - Accent5 2 5 2 2" xfId="7294" xr:uid="{00000000-0005-0000-0000-00000E100000}"/>
    <cellStyle name="40% - Accent5 2 5 2 2 2" xfId="7295" xr:uid="{00000000-0005-0000-0000-00000F100000}"/>
    <cellStyle name="40% - Accent5 2 5 2 2 2 2" xfId="7296" xr:uid="{00000000-0005-0000-0000-000010100000}"/>
    <cellStyle name="40% - Accent5 2 5 2 2 2 2 2" xfId="24901" xr:uid="{9A2421B3-1BC2-4FD3-BF4C-82405EA86E89}"/>
    <cellStyle name="40% - Accent5 2 5 2 2 2 2 2 2" xfId="39872" xr:uid="{25319D6B-1A73-487C-BD04-8E511AA67A02}"/>
    <cellStyle name="40% - Accent5 2 5 2 2 2 2 3" xfId="32269" xr:uid="{30EB5D38-BE32-4314-84B7-2083A30AC849}"/>
    <cellStyle name="40% - Accent5 2 5 2 2 2 3" xfId="7297" xr:uid="{00000000-0005-0000-0000-000011100000}"/>
    <cellStyle name="40% - Accent5 2 5 2 2 2 3 2" xfId="24902" xr:uid="{8C33CD01-948D-4F3D-9261-13AF286803A9}"/>
    <cellStyle name="40% - Accent5 2 5 2 2 2 3 2 2" xfId="39873" xr:uid="{67A3A4F5-BD8D-4BAE-B801-092EA42A7183}"/>
    <cellStyle name="40% - Accent5 2 5 2 2 2 3 3" xfId="32270" xr:uid="{81A0B405-365A-4EDC-82DE-172475135D7E}"/>
    <cellStyle name="40% - Accent5 2 5 2 2 2 4" xfId="24900" xr:uid="{4DC61A4A-649A-49BF-B6DE-C11055B58EC8}"/>
    <cellStyle name="40% - Accent5 2 5 2 2 2 4 2" xfId="39871" xr:uid="{8A959D59-1F22-4AE0-B3B0-FE5A43ED4684}"/>
    <cellStyle name="40% - Accent5 2 5 2 2 2 5" xfId="32268" xr:uid="{DB7BEF7D-19FA-4984-9397-93A71AB5E2E2}"/>
    <cellStyle name="40% - Accent5 2 5 2 2 3" xfId="7298" xr:uid="{00000000-0005-0000-0000-000012100000}"/>
    <cellStyle name="40% - Accent5 2 5 2 2 3 2" xfId="7299" xr:uid="{00000000-0005-0000-0000-000013100000}"/>
    <cellStyle name="40% - Accent5 2 5 2 2 3 2 2" xfId="24904" xr:uid="{AA143C88-7F4A-476F-948F-8E5559348AD6}"/>
    <cellStyle name="40% - Accent5 2 5 2 2 3 2 2 2" xfId="39875" xr:uid="{86A1FEFC-CE81-4DD7-949D-B426A392FEC3}"/>
    <cellStyle name="40% - Accent5 2 5 2 2 3 2 3" xfId="32272" xr:uid="{2D6BAEB9-281A-4142-B54F-4EA181253DD4}"/>
    <cellStyle name="40% - Accent5 2 5 2 2 3 3" xfId="24903" xr:uid="{AA4F84C3-76A2-4E20-BE4C-9E5996167353}"/>
    <cellStyle name="40% - Accent5 2 5 2 2 3 3 2" xfId="39874" xr:uid="{B1412849-6A1C-4093-82D1-7704529BA8AA}"/>
    <cellStyle name="40% - Accent5 2 5 2 2 3 4" xfId="32271" xr:uid="{4EDCF272-AAC5-4476-A73F-1AA51869B030}"/>
    <cellStyle name="40% - Accent5 2 5 2 2 4" xfId="7300" xr:uid="{00000000-0005-0000-0000-000014100000}"/>
    <cellStyle name="40% - Accent5 2 5 2 2 4 2" xfId="24905" xr:uid="{6E1D30CE-A1EC-41C3-BDB6-9EC6C52D73C7}"/>
    <cellStyle name="40% - Accent5 2 5 2 2 4 2 2" xfId="39876" xr:uid="{C99E7217-E0CB-4214-AA22-02C7F8159CEE}"/>
    <cellStyle name="40% - Accent5 2 5 2 2 4 3" xfId="32273" xr:uid="{F5F7B74D-9D6D-4339-BDE5-652E643198F2}"/>
    <cellStyle name="40% - Accent5 2 5 2 2 5" xfId="24899" xr:uid="{469480CA-F38F-430D-885D-F5B51A3FC1F3}"/>
    <cellStyle name="40% - Accent5 2 5 2 2 5 2" xfId="39870" xr:uid="{926769D5-08AA-4029-ACA9-94F803FE8B77}"/>
    <cellStyle name="40% - Accent5 2 5 2 2 6" xfId="32267" xr:uid="{1E1F0F7A-833C-41DA-9539-385D5BFE17B3}"/>
    <cellStyle name="40% - Accent5 2 5 2 3" xfId="7301" xr:uid="{00000000-0005-0000-0000-000015100000}"/>
    <cellStyle name="40% - Accent5 2 5 2 3 2" xfId="7302" xr:uid="{00000000-0005-0000-0000-000016100000}"/>
    <cellStyle name="40% - Accent5 2 5 2 3 2 2" xfId="7303" xr:uid="{00000000-0005-0000-0000-000017100000}"/>
    <cellStyle name="40% - Accent5 2 5 2 3 2 2 2" xfId="24908" xr:uid="{85D79C10-E35B-4CF2-8FB7-0B50390B5C70}"/>
    <cellStyle name="40% - Accent5 2 5 2 3 2 2 2 2" xfId="39879" xr:uid="{C0E4ACD2-29E6-4CC9-804F-EEC49016B080}"/>
    <cellStyle name="40% - Accent5 2 5 2 3 2 2 3" xfId="32276" xr:uid="{DAA3DFE5-FC54-4DB6-8710-D72D7070244D}"/>
    <cellStyle name="40% - Accent5 2 5 2 3 2 3" xfId="7304" xr:uid="{00000000-0005-0000-0000-000018100000}"/>
    <cellStyle name="40% - Accent5 2 5 2 3 2 3 2" xfId="24909" xr:uid="{EB6BFD53-A409-466A-B95A-AC5FB6A75DDD}"/>
    <cellStyle name="40% - Accent5 2 5 2 3 2 3 2 2" xfId="39880" xr:uid="{52227BC7-4197-49E4-8AE2-9FFB5B2BCB1A}"/>
    <cellStyle name="40% - Accent5 2 5 2 3 2 3 3" xfId="32277" xr:uid="{E290E0B9-4801-4812-A01F-B11793EB01E3}"/>
    <cellStyle name="40% - Accent5 2 5 2 3 2 4" xfId="24907" xr:uid="{1116E645-78FA-49C3-A674-ED7229619D0D}"/>
    <cellStyle name="40% - Accent5 2 5 2 3 2 4 2" xfId="39878" xr:uid="{5D22976D-5D5A-45E0-B5E3-6C188CD24801}"/>
    <cellStyle name="40% - Accent5 2 5 2 3 2 5" xfId="32275" xr:uid="{A9FC956A-296C-49EF-A2BA-E5B2266038EA}"/>
    <cellStyle name="40% - Accent5 2 5 2 3 3" xfId="7305" xr:uid="{00000000-0005-0000-0000-000019100000}"/>
    <cellStyle name="40% - Accent5 2 5 2 3 3 2" xfId="7306" xr:uid="{00000000-0005-0000-0000-00001A100000}"/>
    <cellStyle name="40% - Accent5 2 5 2 3 3 2 2" xfId="24911" xr:uid="{6E533CF1-CB06-4D46-BA2F-A519B5D130C6}"/>
    <cellStyle name="40% - Accent5 2 5 2 3 3 2 2 2" xfId="39882" xr:uid="{8741F1EA-62D4-4081-AD60-96C9344DD0D8}"/>
    <cellStyle name="40% - Accent5 2 5 2 3 3 2 3" xfId="32279" xr:uid="{24FFAEC0-FF5E-49BC-A7FB-4DF4E3EE60E1}"/>
    <cellStyle name="40% - Accent5 2 5 2 3 3 3" xfId="24910" xr:uid="{D7FD371F-FE72-4A66-ADF9-C10726186179}"/>
    <cellStyle name="40% - Accent5 2 5 2 3 3 3 2" xfId="39881" xr:uid="{997588AA-AB59-4012-93E2-30EDAB3F16ED}"/>
    <cellStyle name="40% - Accent5 2 5 2 3 3 4" xfId="32278" xr:uid="{0E46AB1A-B437-4680-9714-235FA624C439}"/>
    <cellStyle name="40% - Accent5 2 5 2 3 4" xfId="7307" xr:uid="{00000000-0005-0000-0000-00001B100000}"/>
    <cellStyle name="40% - Accent5 2 5 2 3 4 2" xfId="24912" xr:uid="{B73C0168-C613-4B4C-BC94-9E5392AAFFF5}"/>
    <cellStyle name="40% - Accent5 2 5 2 3 4 2 2" xfId="39883" xr:uid="{B6D10A63-E6FF-4F59-809B-F793E925EAB0}"/>
    <cellStyle name="40% - Accent5 2 5 2 3 4 3" xfId="32280" xr:uid="{CC3D0C15-F34A-46BE-B99C-61084CEFE815}"/>
    <cellStyle name="40% - Accent5 2 5 2 3 5" xfId="24906" xr:uid="{F5296189-09DB-4A63-A57F-64F2B8648E59}"/>
    <cellStyle name="40% - Accent5 2 5 2 3 5 2" xfId="39877" xr:uid="{F77E4816-6DD8-401C-B3E3-9FF7ACA2B15F}"/>
    <cellStyle name="40% - Accent5 2 5 2 3 6" xfId="32274" xr:uid="{0B7E3BF3-1B4B-4216-B71B-8ED582D6C0DC}"/>
    <cellStyle name="40% - Accent5 2 5 2 4" xfId="7308" xr:uid="{00000000-0005-0000-0000-00001C100000}"/>
    <cellStyle name="40% - Accent5 2 5 2 4 2" xfId="7309" xr:uid="{00000000-0005-0000-0000-00001D100000}"/>
    <cellStyle name="40% - Accent5 2 5 2 4 2 2" xfId="24914" xr:uid="{CD932710-BEE4-4005-B9D9-86C1FABC9F1F}"/>
    <cellStyle name="40% - Accent5 2 5 2 4 2 2 2" xfId="39885" xr:uid="{D5E7E2E1-E478-4A76-9436-9C09B7F59225}"/>
    <cellStyle name="40% - Accent5 2 5 2 4 2 3" xfId="32282" xr:uid="{811918FE-ED27-442D-A880-D7EF72A9C582}"/>
    <cellStyle name="40% - Accent5 2 5 2 4 3" xfId="7310" xr:uid="{00000000-0005-0000-0000-00001E100000}"/>
    <cellStyle name="40% - Accent5 2 5 2 4 3 2" xfId="24915" xr:uid="{D285B103-1C68-47E1-A94E-40712D9461F8}"/>
    <cellStyle name="40% - Accent5 2 5 2 4 3 2 2" xfId="39886" xr:uid="{65169FFA-4805-4560-99D5-79E4E3BC1C69}"/>
    <cellStyle name="40% - Accent5 2 5 2 4 3 3" xfId="32283" xr:uid="{8AF5139C-CF98-4DF1-9E9A-FBF397A17B53}"/>
    <cellStyle name="40% - Accent5 2 5 2 4 4" xfId="24913" xr:uid="{7AFBFEA0-DD05-4372-8B4D-887507CDB1B8}"/>
    <cellStyle name="40% - Accent5 2 5 2 4 4 2" xfId="39884" xr:uid="{A34E7FFD-867E-4FA2-9BE2-E6E0BCA809C4}"/>
    <cellStyle name="40% - Accent5 2 5 2 4 5" xfId="32281" xr:uid="{E1DE15F8-7253-49AC-94C0-BE5C0A71167A}"/>
    <cellStyle name="40% - Accent5 2 5 2 5" xfId="7311" xr:uid="{00000000-0005-0000-0000-00001F100000}"/>
    <cellStyle name="40% - Accent5 2 5 2 5 2" xfId="24916" xr:uid="{FE44B06C-EFDF-4299-925B-B292DBBB8D13}"/>
    <cellStyle name="40% - Accent5 2 5 2 5 2 2" xfId="39887" xr:uid="{3F26A7DA-D3AC-41A3-AB23-0BF899E8731A}"/>
    <cellStyle name="40% - Accent5 2 5 2 5 3" xfId="32284" xr:uid="{4F437CE4-D555-4219-A51E-8BDB38E1332C}"/>
    <cellStyle name="40% - Accent5 2 5 2 6" xfId="7312" xr:uid="{00000000-0005-0000-0000-000020100000}"/>
    <cellStyle name="40% - Accent5 2 5 2 6 2" xfId="7313" xr:uid="{00000000-0005-0000-0000-000021100000}"/>
    <cellStyle name="40% - Accent5 2 5 2 6 2 2" xfId="24918" xr:uid="{E028A740-7487-427A-AC0B-87F4D47C71CD}"/>
    <cellStyle name="40% - Accent5 2 5 2 6 2 2 2" xfId="39889" xr:uid="{C1BE95FC-CF1B-449B-ABD8-AC039DBDE63A}"/>
    <cellStyle name="40% - Accent5 2 5 2 6 2 3" xfId="32286" xr:uid="{44711B32-DD26-4C82-B120-47BF8154D0B0}"/>
    <cellStyle name="40% - Accent5 2 5 2 6 3" xfId="24917" xr:uid="{22BE9965-6C11-45A8-A9E9-E94B9601B48E}"/>
    <cellStyle name="40% - Accent5 2 5 2 6 3 2" xfId="39888" xr:uid="{2F05F90C-6FA1-461B-A0CD-DF1F60868DC9}"/>
    <cellStyle name="40% - Accent5 2 5 2 6 4" xfId="32285" xr:uid="{33A205A2-F113-4E51-803B-6C6092BF69FD}"/>
    <cellStyle name="40% - Accent5 2 5 2 7" xfId="7314" xr:uid="{00000000-0005-0000-0000-000022100000}"/>
    <cellStyle name="40% - Accent5 2 5 2 7 2" xfId="24919" xr:uid="{189C3658-BDB4-47D9-9C41-212A49910A86}"/>
    <cellStyle name="40% - Accent5 2 5 2 7 2 2" xfId="39890" xr:uid="{C6DFCFA9-4F6F-4C3F-BB40-8CC14F278085}"/>
    <cellStyle name="40% - Accent5 2 5 2 7 3" xfId="32287" xr:uid="{E178EB10-ED49-4421-9F04-BC55D0163FAF}"/>
    <cellStyle name="40% - Accent5 2 5 2 8" xfId="24898" xr:uid="{D7BE20C8-1309-4689-B9F3-A9E9026F3CB9}"/>
    <cellStyle name="40% - Accent5 2 5 2 8 2" xfId="39869" xr:uid="{0201F090-4D77-4EA8-8A12-C40811F422C9}"/>
    <cellStyle name="40% - Accent5 2 5 2 9" xfId="32266" xr:uid="{4F56A218-423F-4381-B352-92552C6A9DF3}"/>
    <cellStyle name="40% - Accent5 2 5 3" xfId="7315" xr:uid="{00000000-0005-0000-0000-000023100000}"/>
    <cellStyle name="40% - Accent5 2 5 3 2" xfId="7316" xr:uid="{00000000-0005-0000-0000-000024100000}"/>
    <cellStyle name="40% - Accent5 2 5 3 2 2" xfId="7317" xr:uid="{00000000-0005-0000-0000-000025100000}"/>
    <cellStyle name="40% - Accent5 2 5 3 2 2 2" xfId="24922" xr:uid="{5692A75E-B807-41DB-9E6F-69440724D900}"/>
    <cellStyle name="40% - Accent5 2 5 3 2 2 2 2" xfId="39893" xr:uid="{A67A9EA5-3202-4E8F-9864-B167916A146B}"/>
    <cellStyle name="40% - Accent5 2 5 3 2 2 3" xfId="32290" xr:uid="{7E44581D-FB96-4B03-A760-412D66427219}"/>
    <cellStyle name="40% - Accent5 2 5 3 2 3" xfId="7318" xr:uid="{00000000-0005-0000-0000-000026100000}"/>
    <cellStyle name="40% - Accent5 2 5 3 2 3 2" xfId="24923" xr:uid="{FD736893-185A-4C40-A672-3CEB193433AF}"/>
    <cellStyle name="40% - Accent5 2 5 3 2 3 2 2" xfId="39894" xr:uid="{18A2833F-BD4F-4FFB-ACB6-2F1A82C7024F}"/>
    <cellStyle name="40% - Accent5 2 5 3 2 3 3" xfId="32291" xr:uid="{E18AA336-D903-4457-96DE-D4F543240C04}"/>
    <cellStyle name="40% - Accent5 2 5 3 2 4" xfId="24921" xr:uid="{68CDB87E-86FD-4059-B38A-4D6ADEA921BA}"/>
    <cellStyle name="40% - Accent5 2 5 3 2 4 2" xfId="39892" xr:uid="{65E10625-9A53-49CD-9078-77BA986A6731}"/>
    <cellStyle name="40% - Accent5 2 5 3 2 5" xfId="32289" xr:uid="{6DD58F32-787E-4975-B2CC-0AB405C18656}"/>
    <cellStyle name="40% - Accent5 2 5 3 3" xfId="7319" xr:uid="{00000000-0005-0000-0000-000027100000}"/>
    <cellStyle name="40% - Accent5 2 5 3 3 2" xfId="7320" xr:uid="{00000000-0005-0000-0000-000028100000}"/>
    <cellStyle name="40% - Accent5 2 5 3 3 2 2" xfId="24925" xr:uid="{86EE8124-DCBC-4344-8BA0-9EB9AFA4691E}"/>
    <cellStyle name="40% - Accent5 2 5 3 3 2 2 2" xfId="39896" xr:uid="{5BE99866-5C3C-4424-B71A-5A1096AE855A}"/>
    <cellStyle name="40% - Accent5 2 5 3 3 2 3" xfId="32293" xr:uid="{685C8F59-64A1-4577-A930-620EFB3424B4}"/>
    <cellStyle name="40% - Accent5 2 5 3 3 3" xfId="24924" xr:uid="{BFD424B3-411E-4E36-ADEF-54EFB5DD730E}"/>
    <cellStyle name="40% - Accent5 2 5 3 3 3 2" xfId="39895" xr:uid="{40D15743-75A7-47A3-900D-66F01945127C}"/>
    <cellStyle name="40% - Accent5 2 5 3 3 4" xfId="32292" xr:uid="{8E24CBCF-C4F6-4703-A9A7-2D273BF2776D}"/>
    <cellStyle name="40% - Accent5 2 5 3 4" xfId="7321" xr:uid="{00000000-0005-0000-0000-000029100000}"/>
    <cellStyle name="40% - Accent5 2 5 3 4 2" xfId="24926" xr:uid="{EFE5694C-2382-4641-AA47-5A0D78B8E3F5}"/>
    <cellStyle name="40% - Accent5 2 5 3 4 2 2" xfId="39897" xr:uid="{8F25C3D2-D862-4653-855A-52B1FD304688}"/>
    <cellStyle name="40% - Accent5 2 5 3 4 3" xfId="32294" xr:uid="{642A1BB4-1A3E-476A-A18C-14ACB50B8DFC}"/>
    <cellStyle name="40% - Accent5 2 5 3 5" xfId="24920" xr:uid="{718EB9F8-06AA-437E-B0CE-78E4B5EBBCE3}"/>
    <cellStyle name="40% - Accent5 2 5 3 5 2" xfId="39891" xr:uid="{954375C0-8660-4986-9F55-35F2D40643CE}"/>
    <cellStyle name="40% - Accent5 2 5 3 6" xfId="32288" xr:uid="{5E6CE51C-37DC-499A-AE43-71630ACF7D81}"/>
    <cellStyle name="40% - Accent5 2 5 4" xfId="7322" xr:uid="{00000000-0005-0000-0000-00002A100000}"/>
    <cellStyle name="40% - Accent5 2 5 4 2" xfId="7323" xr:uid="{00000000-0005-0000-0000-00002B100000}"/>
    <cellStyle name="40% - Accent5 2 5 4 2 2" xfId="7324" xr:uid="{00000000-0005-0000-0000-00002C100000}"/>
    <cellStyle name="40% - Accent5 2 5 4 2 2 2" xfId="24929" xr:uid="{03155D15-6DE5-4411-9291-25CA02CDFBB3}"/>
    <cellStyle name="40% - Accent5 2 5 4 2 2 2 2" xfId="39900" xr:uid="{AC50DF15-D0FB-4344-AC8E-84A90988F120}"/>
    <cellStyle name="40% - Accent5 2 5 4 2 2 3" xfId="32297" xr:uid="{3A15AC58-4F9F-4E01-978A-D76712223E0C}"/>
    <cellStyle name="40% - Accent5 2 5 4 2 3" xfId="7325" xr:uid="{00000000-0005-0000-0000-00002D100000}"/>
    <cellStyle name="40% - Accent5 2 5 4 2 3 2" xfId="24930" xr:uid="{F87EFEC4-25A4-4689-B8FC-745FF661D2AC}"/>
    <cellStyle name="40% - Accent5 2 5 4 2 3 2 2" xfId="39901" xr:uid="{14E846EB-25B2-4068-904A-4CD90E1A7A0D}"/>
    <cellStyle name="40% - Accent5 2 5 4 2 3 3" xfId="32298" xr:uid="{6B3B2E88-38DE-4894-94D2-487591F3DDE4}"/>
    <cellStyle name="40% - Accent5 2 5 4 2 4" xfId="24928" xr:uid="{4227B156-0862-4F70-A3E4-D4B34F983294}"/>
    <cellStyle name="40% - Accent5 2 5 4 2 4 2" xfId="39899" xr:uid="{A58B215C-8BD0-47BF-8E60-E55F8C5605D8}"/>
    <cellStyle name="40% - Accent5 2 5 4 2 5" xfId="32296" xr:uid="{17E51353-695C-4281-9EC9-4A590BB49024}"/>
    <cellStyle name="40% - Accent5 2 5 4 3" xfId="7326" xr:uid="{00000000-0005-0000-0000-00002E100000}"/>
    <cellStyle name="40% - Accent5 2 5 4 3 2" xfId="7327" xr:uid="{00000000-0005-0000-0000-00002F100000}"/>
    <cellStyle name="40% - Accent5 2 5 4 3 2 2" xfId="24932" xr:uid="{8D3481D6-FCD7-43BD-B3BB-2CC7288E4736}"/>
    <cellStyle name="40% - Accent5 2 5 4 3 2 2 2" xfId="39903" xr:uid="{DE307E0D-E953-4C32-8725-EE2E624F5936}"/>
    <cellStyle name="40% - Accent5 2 5 4 3 2 3" xfId="32300" xr:uid="{66CB2472-B5FE-48FA-BD6C-847DC86AF878}"/>
    <cellStyle name="40% - Accent5 2 5 4 3 3" xfId="24931" xr:uid="{C9F8452B-4997-4189-ACBF-C15F9ECAB9A1}"/>
    <cellStyle name="40% - Accent5 2 5 4 3 3 2" xfId="39902" xr:uid="{96373E7E-4A44-4D0F-8731-B7BFB7DAD30B}"/>
    <cellStyle name="40% - Accent5 2 5 4 3 4" xfId="32299" xr:uid="{289D8AFF-90C5-4D00-8221-3DC6ECC29012}"/>
    <cellStyle name="40% - Accent5 2 5 4 4" xfId="7328" xr:uid="{00000000-0005-0000-0000-000030100000}"/>
    <cellStyle name="40% - Accent5 2 5 4 4 2" xfId="24933" xr:uid="{AA32FA41-E21B-4BD5-A6AF-958E598704E2}"/>
    <cellStyle name="40% - Accent5 2 5 4 4 2 2" xfId="39904" xr:uid="{49B2F0A4-9617-48BD-AAE1-B3CC411D064C}"/>
    <cellStyle name="40% - Accent5 2 5 4 4 3" xfId="32301" xr:uid="{A9783D3A-ECFC-4396-8988-709401461AEE}"/>
    <cellStyle name="40% - Accent5 2 5 4 5" xfId="24927" xr:uid="{0F90EDB4-D53E-4E6D-A3FA-98AFF21B0231}"/>
    <cellStyle name="40% - Accent5 2 5 4 5 2" xfId="39898" xr:uid="{CFBB178D-12D4-40D3-8DFB-55B9DECAD6F3}"/>
    <cellStyle name="40% - Accent5 2 5 4 6" xfId="32295" xr:uid="{4CF11DB5-9AB9-4DBD-8F21-0614F8152EA8}"/>
    <cellStyle name="40% - Accent5 2 5 5" xfId="7329" xr:uid="{00000000-0005-0000-0000-000031100000}"/>
    <cellStyle name="40% - Accent5 2 5 5 2" xfId="7330" xr:uid="{00000000-0005-0000-0000-000032100000}"/>
    <cellStyle name="40% - Accent5 2 5 5 2 2" xfId="24935" xr:uid="{A77C9518-1A7E-4CEE-B5FC-C020ACEF2E1A}"/>
    <cellStyle name="40% - Accent5 2 5 5 2 2 2" xfId="39906" xr:uid="{D44B0E85-10F4-403F-94BA-1DBAECD22311}"/>
    <cellStyle name="40% - Accent5 2 5 5 2 3" xfId="32303" xr:uid="{DA1C613B-227D-463E-A4DB-724BF5124740}"/>
    <cellStyle name="40% - Accent5 2 5 5 3" xfId="7331" xr:uid="{00000000-0005-0000-0000-000033100000}"/>
    <cellStyle name="40% - Accent5 2 5 5 3 2" xfId="24936" xr:uid="{0486BFC0-CB30-4ABE-8B9A-3F84020F1CF9}"/>
    <cellStyle name="40% - Accent5 2 5 5 3 2 2" xfId="39907" xr:uid="{884B6FEA-EB5D-4C2F-B675-8992D4F6A11D}"/>
    <cellStyle name="40% - Accent5 2 5 5 3 3" xfId="32304" xr:uid="{F78234CA-E755-4C5C-8EB7-AAC51855EEAC}"/>
    <cellStyle name="40% - Accent5 2 5 5 4" xfId="24934" xr:uid="{3635663E-B925-4340-B405-9932C3BE9636}"/>
    <cellStyle name="40% - Accent5 2 5 5 4 2" xfId="39905" xr:uid="{C9C5E55E-9C73-4222-AC4C-91A2FA8E4BE3}"/>
    <cellStyle name="40% - Accent5 2 5 5 5" xfId="32302" xr:uid="{8B4FC845-3CC2-4F43-BA22-49BC0621F6B8}"/>
    <cellStyle name="40% - Accent5 2 5 6" xfId="7332" xr:uid="{00000000-0005-0000-0000-000034100000}"/>
    <cellStyle name="40% - Accent5 2 5 6 2" xfId="24937" xr:uid="{F16D1B09-6CBF-4580-8119-12199D339126}"/>
    <cellStyle name="40% - Accent5 2 5 6 2 2" xfId="39908" xr:uid="{6BB8F257-98FB-4BB3-9BFD-85FB59B67F25}"/>
    <cellStyle name="40% - Accent5 2 5 6 3" xfId="32305" xr:uid="{12FD6591-84D4-4F71-8C89-7362BBA59256}"/>
    <cellStyle name="40% - Accent5 2 5 7" xfId="7333" xr:uid="{00000000-0005-0000-0000-000035100000}"/>
    <cellStyle name="40% - Accent5 2 5 7 2" xfId="7334" xr:uid="{00000000-0005-0000-0000-000036100000}"/>
    <cellStyle name="40% - Accent5 2 5 7 2 2" xfId="24939" xr:uid="{F9788496-3A62-4997-8884-493B29FB16BA}"/>
    <cellStyle name="40% - Accent5 2 5 7 2 2 2" xfId="39910" xr:uid="{AFA9D48C-DA9B-4CC4-B33F-D563980F5C95}"/>
    <cellStyle name="40% - Accent5 2 5 7 2 3" xfId="32307" xr:uid="{E88BBD78-D71B-4B35-8113-4192695792FD}"/>
    <cellStyle name="40% - Accent5 2 5 7 3" xfId="24938" xr:uid="{5AFC8BC5-82A6-4606-A31F-112C3D805EDA}"/>
    <cellStyle name="40% - Accent5 2 5 7 3 2" xfId="39909" xr:uid="{77BE3ED9-5BCB-4CF0-97A6-B27CF523B006}"/>
    <cellStyle name="40% - Accent5 2 5 7 4" xfId="32306" xr:uid="{20AD78FC-927B-446D-9E94-6A4C9A7F22B9}"/>
    <cellStyle name="40% - Accent5 2 5 8" xfId="7335" xr:uid="{00000000-0005-0000-0000-000037100000}"/>
    <cellStyle name="40% - Accent5 2 5 8 2" xfId="24940" xr:uid="{D450D3BB-BC7A-4F52-94F4-A161F2474445}"/>
    <cellStyle name="40% - Accent5 2 5 8 2 2" xfId="39911" xr:uid="{0121AE3C-3A21-4223-A9A8-A71A92F5CD1E}"/>
    <cellStyle name="40% - Accent5 2 5 8 3" xfId="32308" xr:uid="{A016A5EA-46E6-4F2A-9399-D943B3D084BE}"/>
    <cellStyle name="40% - Accent5 2 5 9" xfId="24897" xr:uid="{C2407FA1-FC36-4E02-96C5-006646BF89F8}"/>
    <cellStyle name="40% - Accent5 2 5 9 2" xfId="39868" xr:uid="{44770023-3124-433A-95E0-A89C46C4ABF4}"/>
    <cellStyle name="40% - Accent5 2 6" xfId="7336" xr:uid="{00000000-0005-0000-0000-000038100000}"/>
    <cellStyle name="40% - Accent5 2 6 10" xfId="32309" xr:uid="{55C13D28-898F-42C3-9D3D-4CE8AF7BD543}"/>
    <cellStyle name="40% - Accent5 2 6 2" xfId="7337" xr:uid="{00000000-0005-0000-0000-000039100000}"/>
    <cellStyle name="40% - Accent5 2 6 2 2" xfId="7338" xr:uid="{00000000-0005-0000-0000-00003A100000}"/>
    <cellStyle name="40% - Accent5 2 6 2 2 2" xfId="7339" xr:uid="{00000000-0005-0000-0000-00003B100000}"/>
    <cellStyle name="40% - Accent5 2 6 2 2 2 2" xfId="7340" xr:uid="{00000000-0005-0000-0000-00003C100000}"/>
    <cellStyle name="40% - Accent5 2 6 2 2 2 2 2" xfId="24945" xr:uid="{2BBF442D-24D4-4FFC-B6FA-06EB8113D6AC}"/>
    <cellStyle name="40% - Accent5 2 6 2 2 2 2 2 2" xfId="39916" xr:uid="{D1095227-FB92-434A-B8C7-6653839FE6A1}"/>
    <cellStyle name="40% - Accent5 2 6 2 2 2 2 3" xfId="32313" xr:uid="{14ADA049-59F5-4983-A79A-48ECF99C56DE}"/>
    <cellStyle name="40% - Accent5 2 6 2 2 2 3" xfId="7341" xr:uid="{00000000-0005-0000-0000-00003D100000}"/>
    <cellStyle name="40% - Accent5 2 6 2 2 2 3 2" xfId="24946" xr:uid="{0DDE3E31-E7FB-4DA2-B7EF-DD8785038F84}"/>
    <cellStyle name="40% - Accent5 2 6 2 2 2 3 2 2" xfId="39917" xr:uid="{F912E6C8-5207-4678-9119-B7BC4BBDEB3B}"/>
    <cellStyle name="40% - Accent5 2 6 2 2 2 3 3" xfId="32314" xr:uid="{417A4781-1986-4A9A-8724-01D04EB5D4B6}"/>
    <cellStyle name="40% - Accent5 2 6 2 2 2 4" xfId="24944" xr:uid="{672BE64D-CDD8-4324-AAD2-889557B3DF94}"/>
    <cellStyle name="40% - Accent5 2 6 2 2 2 4 2" xfId="39915" xr:uid="{00866EE3-9FE0-4B59-AD8D-D0B35D05F1B6}"/>
    <cellStyle name="40% - Accent5 2 6 2 2 2 5" xfId="32312" xr:uid="{D8BBDA6C-B50C-4025-998A-E6EB400A434E}"/>
    <cellStyle name="40% - Accent5 2 6 2 2 3" xfId="7342" xr:uid="{00000000-0005-0000-0000-00003E100000}"/>
    <cellStyle name="40% - Accent5 2 6 2 2 3 2" xfId="7343" xr:uid="{00000000-0005-0000-0000-00003F100000}"/>
    <cellStyle name="40% - Accent5 2 6 2 2 3 2 2" xfId="24948" xr:uid="{20F5E62F-FF20-473A-B29E-20506D77508B}"/>
    <cellStyle name="40% - Accent5 2 6 2 2 3 2 2 2" xfId="39919" xr:uid="{9EA986B8-7F93-4A41-84D1-368F1E98FA67}"/>
    <cellStyle name="40% - Accent5 2 6 2 2 3 2 3" xfId="32316" xr:uid="{AFF5A4FB-828D-4C23-A6F2-A8C73713AE5C}"/>
    <cellStyle name="40% - Accent5 2 6 2 2 3 3" xfId="24947" xr:uid="{4B07BD68-6112-4BEA-A69C-8F0E040D375A}"/>
    <cellStyle name="40% - Accent5 2 6 2 2 3 3 2" xfId="39918" xr:uid="{AB676E04-0467-4001-AD43-12E99CF99445}"/>
    <cellStyle name="40% - Accent5 2 6 2 2 3 4" xfId="32315" xr:uid="{766FC63B-F976-440A-A13F-D41F9D3BD279}"/>
    <cellStyle name="40% - Accent5 2 6 2 2 4" xfId="7344" xr:uid="{00000000-0005-0000-0000-000040100000}"/>
    <cellStyle name="40% - Accent5 2 6 2 2 4 2" xfId="24949" xr:uid="{7E524804-B3DA-4E81-A02A-8C9542E8B166}"/>
    <cellStyle name="40% - Accent5 2 6 2 2 4 2 2" xfId="39920" xr:uid="{08AF6B1B-92E3-4ADB-B896-965719ED2C4F}"/>
    <cellStyle name="40% - Accent5 2 6 2 2 4 3" xfId="32317" xr:uid="{E31B650D-D9FC-4292-8068-58553B4CA083}"/>
    <cellStyle name="40% - Accent5 2 6 2 2 5" xfId="24943" xr:uid="{1EF5984C-F320-4DCA-9B5F-F3A6B11350F4}"/>
    <cellStyle name="40% - Accent5 2 6 2 2 5 2" xfId="39914" xr:uid="{1AEBA893-F1A9-436D-8568-D9A8A319A0FC}"/>
    <cellStyle name="40% - Accent5 2 6 2 2 6" xfId="32311" xr:uid="{CAD9BB00-34C3-40E8-A546-B51F79E74C26}"/>
    <cellStyle name="40% - Accent5 2 6 2 3" xfId="7345" xr:uid="{00000000-0005-0000-0000-000041100000}"/>
    <cellStyle name="40% - Accent5 2 6 2 3 2" xfId="7346" xr:uid="{00000000-0005-0000-0000-000042100000}"/>
    <cellStyle name="40% - Accent5 2 6 2 3 2 2" xfId="7347" xr:uid="{00000000-0005-0000-0000-000043100000}"/>
    <cellStyle name="40% - Accent5 2 6 2 3 2 2 2" xfId="24952" xr:uid="{374B99B6-85C0-4590-A741-8D3076D9683C}"/>
    <cellStyle name="40% - Accent5 2 6 2 3 2 2 2 2" xfId="39923" xr:uid="{AA77049D-4F6B-4CC4-BE24-549B0676ED75}"/>
    <cellStyle name="40% - Accent5 2 6 2 3 2 2 3" xfId="32320" xr:uid="{E5D65934-4495-44AA-B11C-814BB905CE32}"/>
    <cellStyle name="40% - Accent5 2 6 2 3 2 3" xfId="7348" xr:uid="{00000000-0005-0000-0000-000044100000}"/>
    <cellStyle name="40% - Accent5 2 6 2 3 2 3 2" xfId="24953" xr:uid="{48768F9C-B92F-41FC-8658-AD2059B7B4C0}"/>
    <cellStyle name="40% - Accent5 2 6 2 3 2 3 2 2" xfId="39924" xr:uid="{D89C4DCB-F59A-4AEF-81E1-62CCA92DBA93}"/>
    <cellStyle name="40% - Accent5 2 6 2 3 2 3 3" xfId="32321" xr:uid="{D4CC2157-848C-40B5-ADB9-448E0742EE47}"/>
    <cellStyle name="40% - Accent5 2 6 2 3 2 4" xfId="24951" xr:uid="{E1DDD508-5FA2-4337-9D6C-20A4521B7BD4}"/>
    <cellStyle name="40% - Accent5 2 6 2 3 2 4 2" xfId="39922" xr:uid="{4B20D89F-79A7-4799-99F5-1E5040125E46}"/>
    <cellStyle name="40% - Accent5 2 6 2 3 2 5" xfId="32319" xr:uid="{C40B8F60-DFDA-438F-A912-9ECB7216C0F6}"/>
    <cellStyle name="40% - Accent5 2 6 2 3 3" xfId="7349" xr:uid="{00000000-0005-0000-0000-000045100000}"/>
    <cellStyle name="40% - Accent5 2 6 2 3 3 2" xfId="7350" xr:uid="{00000000-0005-0000-0000-000046100000}"/>
    <cellStyle name="40% - Accent5 2 6 2 3 3 2 2" xfId="24955" xr:uid="{2E4FA9FC-B543-42CE-BE26-6A1BC38F7D12}"/>
    <cellStyle name="40% - Accent5 2 6 2 3 3 2 2 2" xfId="39926" xr:uid="{21AA8C34-5C22-41BA-BDF2-29E992497883}"/>
    <cellStyle name="40% - Accent5 2 6 2 3 3 2 3" xfId="32323" xr:uid="{CF746223-3FC1-4736-9D26-A6923FE557CE}"/>
    <cellStyle name="40% - Accent5 2 6 2 3 3 3" xfId="24954" xr:uid="{88F620A8-D426-49B6-8BDA-6FAF22B3E340}"/>
    <cellStyle name="40% - Accent5 2 6 2 3 3 3 2" xfId="39925" xr:uid="{3F7203DB-2828-454E-84D6-7178BB32CD04}"/>
    <cellStyle name="40% - Accent5 2 6 2 3 3 4" xfId="32322" xr:uid="{0ECA18CC-9EDD-48B5-89BF-7779EC84039D}"/>
    <cellStyle name="40% - Accent5 2 6 2 3 4" xfId="7351" xr:uid="{00000000-0005-0000-0000-000047100000}"/>
    <cellStyle name="40% - Accent5 2 6 2 3 4 2" xfId="24956" xr:uid="{849360E5-9BB7-46A8-AEA4-1DBCF5348F87}"/>
    <cellStyle name="40% - Accent5 2 6 2 3 4 2 2" xfId="39927" xr:uid="{191D2BCE-C47C-40E7-8211-DAA0795139DA}"/>
    <cellStyle name="40% - Accent5 2 6 2 3 4 3" xfId="32324" xr:uid="{26FAD080-A9AE-4519-B3E1-931A65EC393D}"/>
    <cellStyle name="40% - Accent5 2 6 2 3 5" xfId="24950" xr:uid="{DA936891-DCCB-4C21-A348-AB5A86A6CC84}"/>
    <cellStyle name="40% - Accent5 2 6 2 3 5 2" xfId="39921" xr:uid="{5CE4718F-CAB3-47BE-80FE-0600A517E9F8}"/>
    <cellStyle name="40% - Accent5 2 6 2 3 6" xfId="32318" xr:uid="{19785A72-5650-4B2D-B3EC-F77FBB221E8E}"/>
    <cellStyle name="40% - Accent5 2 6 2 4" xfId="7352" xr:uid="{00000000-0005-0000-0000-000048100000}"/>
    <cellStyle name="40% - Accent5 2 6 2 4 2" xfId="7353" xr:uid="{00000000-0005-0000-0000-000049100000}"/>
    <cellStyle name="40% - Accent5 2 6 2 4 2 2" xfId="24958" xr:uid="{81B00D18-8290-4815-B2DD-9CD3458453D7}"/>
    <cellStyle name="40% - Accent5 2 6 2 4 2 2 2" xfId="39929" xr:uid="{F22DB475-CA77-4E7D-ADC9-5BED251BD050}"/>
    <cellStyle name="40% - Accent5 2 6 2 4 2 3" xfId="32326" xr:uid="{03139C34-C0C5-4FA8-9F9E-77DAE83032C3}"/>
    <cellStyle name="40% - Accent5 2 6 2 4 3" xfId="7354" xr:uid="{00000000-0005-0000-0000-00004A100000}"/>
    <cellStyle name="40% - Accent5 2 6 2 4 3 2" xfId="24959" xr:uid="{AF3A0F62-7609-4D61-BA2B-B5C151A4776D}"/>
    <cellStyle name="40% - Accent5 2 6 2 4 3 2 2" xfId="39930" xr:uid="{F7D1E3AF-E4A7-47BA-89FE-1554A16262B3}"/>
    <cellStyle name="40% - Accent5 2 6 2 4 3 3" xfId="32327" xr:uid="{8AA0891D-E79E-4348-8121-B56D5CEA5FF0}"/>
    <cellStyle name="40% - Accent5 2 6 2 4 4" xfId="24957" xr:uid="{10420F6F-21BA-4E1B-8615-4FBFC714024F}"/>
    <cellStyle name="40% - Accent5 2 6 2 4 4 2" xfId="39928" xr:uid="{A81AF1BC-6A09-4871-AF51-C587176C441C}"/>
    <cellStyle name="40% - Accent5 2 6 2 4 5" xfId="32325" xr:uid="{F746216D-014B-4C44-B4A5-ACEDF62F5533}"/>
    <cellStyle name="40% - Accent5 2 6 2 5" xfId="7355" xr:uid="{00000000-0005-0000-0000-00004B100000}"/>
    <cellStyle name="40% - Accent5 2 6 2 5 2" xfId="24960" xr:uid="{C9C9E8AA-40ED-4910-84B6-1CCE70740F35}"/>
    <cellStyle name="40% - Accent5 2 6 2 5 2 2" xfId="39931" xr:uid="{0003EED5-5607-46E0-9598-CA509FA6D692}"/>
    <cellStyle name="40% - Accent5 2 6 2 5 3" xfId="32328" xr:uid="{703873A2-87C3-4AEF-9142-3CD75B80C699}"/>
    <cellStyle name="40% - Accent5 2 6 2 6" xfId="7356" xr:uid="{00000000-0005-0000-0000-00004C100000}"/>
    <cellStyle name="40% - Accent5 2 6 2 6 2" xfId="7357" xr:uid="{00000000-0005-0000-0000-00004D100000}"/>
    <cellStyle name="40% - Accent5 2 6 2 6 2 2" xfId="24962" xr:uid="{E055CB38-2702-4EA1-9EDE-6047D4A42654}"/>
    <cellStyle name="40% - Accent5 2 6 2 6 2 2 2" xfId="39933" xr:uid="{DD163EED-12B6-4164-956A-3CC2203A3B7C}"/>
    <cellStyle name="40% - Accent5 2 6 2 6 2 3" xfId="32330" xr:uid="{47C0F12A-7B39-4E8E-964C-EC3C536C08F8}"/>
    <cellStyle name="40% - Accent5 2 6 2 6 3" xfId="24961" xr:uid="{DDA7D810-9B4C-402D-B94F-B8E42FF6D85B}"/>
    <cellStyle name="40% - Accent5 2 6 2 6 3 2" xfId="39932" xr:uid="{C272C7F2-5426-4F86-87BF-40FD228FA6EF}"/>
    <cellStyle name="40% - Accent5 2 6 2 6 4" xfId="32329" xr:uid="{049FDF22-A84E-4FEB-A827-8B305385AE66}"/>
    <cellStyle name="40% - Accent5 2 6 2 7" xfId="7358" xr:uid="{00000000-0005-0000-0000-00004E100000}"/>
    <cellStyle name="40% - Accent5 2 6 2 7 2" xfId="24963" xr:uid="{3E4E9B97-7869-494C-B868-8F507EC5BE22}"/>
    <cellStyle name="40% - Accent5 2 6 2 7 2 2" xfId="39934" xr:uid="{A6924CAC-AFA2-4458-BA1D-5DAA1D245A22}"/>
    <cellStyle name="40% - Accent5 2 6 2 7 3" xfId="32331" xr:uid="{F8D1F447-A41B-4134-8841-CA82F7BD736C}"/>
    <cellStyle name="40% - Accent5 2 6 2 8" xfId="24942" xr:uid="{9381B4D9-3E1B-4FFC-895D-949294945FDE}"/>
    <cellStyle name="40% - Accent5 2 6 2 8 2" xfId="39913" xr:uid="{0C330456-424B-4A02-9A6C-E71A2DE94CED}"/>
    <cellStyle name="40% - Accent5 2 6 2 9" xfId="32310" xr:uid="{A463EA9C-7D7B-4021-9A32-C4C5B9DBE0F5}"/>
    <cellStyle name="40% - Accent5 2 6 3" xfId="7359" xr:uid="{00000000-0005-0000-0000-00004F100000}"/>
    <cellStyle name="40% - Accent5 2 6 3 2" xfId="7360" xr:uid="{00000000-0005-0000-0000-000050100000}"/>
    <cellStyle name="40% - Accent5 2 6 3 2 2" xfId="7361" xr:uid="{00000000-0005-0000-0000-000051100000}"/>
    <cellStyle name="40% - Accent5 2 6 3 2 2 2" xfId="24966" xr:uid="{4FDD67BE-E9ED-4421-9383-C1482472ADB6}"/>
    <cellStyle name="40% - Accent5 2 6 3 2 2 2 2" xfId="39937" xr:uid="{D8B12ED8-6010-4585-9994-2A01E4DC5CE4}"/>
    <cellStyle name="40% - Accent5 2 6 3 2 2 3" xfId="32334" xr:uid="{3BE6E45D-27C5-438B-91CA-3260A6A774F0}"/>
    <cellStyle name="40% - Accent5 2 6 3 2 3" xfId="7362" xr:uid="{00000000-0005-0000-0000-000052100000}"/>
    <cellStyle name="40% - Accent5 2 6 3 2 3 2" xfId="24967" xr:uid="{DB92EA22-BA9B-474A-BB00-BADADEB7743E}"/>
    <cellStyle name="40% - Accent5 2 6 3 2 3 2 2" xfId="39938" xr:uid="{4B73E401-1004-4B21-A3A7-9F1A80082ABC}"/>
    <cellStyle name="40% - Accent5 2 6 3 2 3 3" xfId="32335" xr:uid="{102757A2-0989-4586-8A2C-3A42864F5B98}"/>
    <cellStyle name="40% - Accent5 2 6 3 2 4" xfId="24965" xr:uid="{51133551-8D58-4E91-B8A8-E1FAAFE0F695}"/>
    <cellStyle name="40% - Accent5 2 6 3 2 4 2" xfId="39936" xr:uid="{A370A816-EAD3-457D-BB06-1D32F2E492D2}"/>
    <cellStyle name="40% - Accent5 2 6 3 2 5" xfId="32333" xr:uid="{E24D5CD6-8925-49C4-B0B2-C90610755801}"/>
    <cellStyle name="40% - Accent5 2 6 3 3" xfId="7363" xr:uid="{00000000-0005-0000-0000-000053100000}"/>
    <cellStyle name="40% - Accent5 2 6 3 3 2" xfId="7364" xr:uid="{00000000-0005-0000-0000-000054100000}"/>
    <cellStyle name="40% - Accent5 2 6 3 3 2 2" xfId="24969" xr:uid="{8DFD9EA0-20F4-4A55-8CF2-9040256C75C3}"/>
    <cellStyle name="40% - Accent5 2 6 3 3 2 2 2" xfId="39940" xr:uid="{D914BC93-E6F3-4E5A-B26F-A19FDB4E3AD0}"/>
    <cellStyle name="40% - Accent5 2 6 3 3 2 3" xfId="32337" xr:uid="{21068262-D743-4A5E-9238-C39E3A2827AC}"/>
    <cellStyle name="40% - Accent5 2 6 3 3 3" xfId="24968" xr:uid="{F75DB730-6A3C-49F3-9ECD-D6DE78785DDB}"/>
    <cellStyle name="40% - Accent5 2 6 3 3 3 2" xfId="39939" xr:uid="{79D1B773-2D97-4E23-90AB-8F2363E65772}"/>
    <cellStyle name="40% - Accent5 2 6 3 3 4" xfId="32336" xr:uid="{37AAAF4C-A1AA-416E-8206-25C93DE50FC8}"/>
    <cellStyle name="40% - Accent5 2 6 3 4" xfId="7365" xr:uid="{00000000-0005-0000-0000-000055100000}"/>
    <cellStyle name="40% - Accent5 2 6 3 4 2" xfId="24970" xr:uid="{9038A7F6-8430-48C3-9607-660E042202FB}"/>
    <cellStyle name="40% - Accent5 2 6 3 4 2 2" xfId="39941" xr:uid="{6472E5F0-0328-4F0E-BDF0-A5AEEB869441}"/>
    <cellStyle name="40% - Accent5 2 6 3 4 3" xfId="32338" xr:uid="{94D12BC6-4F97-4CBF-834F-20FFE1CF7B20}"/>
    <cellStyle name="40% - Accent5 2 6 3 5" xfId="24964" xr:uid="{EFCD3F66-B222-4C77-9586-BAB164BA3FBE}"/>
    <cellStyle name="40% - Accent5 2 6 3 5 2" xfId="39935" xr:uid="{6CD33D76-01CF-41B2-B23B-8CA888753343}"/>
    <cellStyle name="40% - Accent5 2 6 3 6" xfId="32332" xr:uid="{A864F5E8-8A9F-4B4F-A6DD-ED639D562E7B}"/>
    <cellStyle name="40% - Accent5 2 6 4" xfId="7366" xr:uid="{00000000-0005-0000-0000-000056100000}"/>
    <cellStyle name="40% - Accent5 2 6 4 2" xfId="7367" xr:uid="{00000000-0005-0000-0000-000057100000}"/>
    <cellStyle name="40% - Accent5 2 6 4 2 2" xfId="7368" xr:uid="{00000000-0005-0000-0000-000058100000}"/>
    <cellStyle name="40% - Accent5 2 6 4 2 2 2" xfId="24973" xr:uid="{61504F7F-D070-4FD4-8502-C8D5980693F2}"/>
    <cellStyle name="40% - Accent5 2 6 4 2 2 2 2" xfId="39944" xr:uid="{9A6CAD9F-32B2-42EF-AD3B-EEE0E6A00AD0}"/>
    <cellStyle name="40% - Accent5 2 6 4 2 2 3" xfId="32341" xr:uid="{55AF13EC-5550-47C2-AAA4-5567316D5C11}"/>
    <cellStyle name="40% - Accent5 2 6 4 2 3" xfId="7369" xr:uid="{00000000-0005-0000-0000-000059100000}"/>
    <cellStyle name="40% - Accent5 2 6 4 2 3 2" xfId="24974" xr:uid="{F9B1E575-57EF-4C2A-8403-5A380E7E0AB2}"/>
    <cellStyle name="40% - Accent5 2 6 4 2 3 2 2" xfId="39945" xr:uid="{14422D29-7E06-47F8-9A7B-25207467686A}"/>
    <cellStyle name="40% - Accent5 2 6 4 2 3 3" xfId="32342" xr:uid="{A4669E61-A045-4380-9F9C-F98015AC9EC8}"/>
    <cellStyle name="40% - Accent5 2 6 4 2 4" xfId="24972" xr:uid="{A231B67E-9647-4C82-B97F-91CBC30FA431}"/>
    <cellStyle name="40% - Accent5 2 6 4 2 4 2" xfId="39943" xr:uid="{A076730D-F843-4C32-AB4C-72A8F2442C0D}"/>
    <cellStyle name="40% - Accent5 2 6 4 2 5" xfId="32340" xr:uid="{B42B67E1-34F3-4750-8863-50C223D183EB}"/>
    <cellStyle name="40% - Accent5 2 6 4 3" xfId="7370" xr:uid="{00000000-0005-0000-0000-00005A100000}"/>
    <cellStyle name="40% - Accent5 2 6 4 3 2" xfId="7371" xr:uid="{00000000-0005-0000-0000-00005B100000}"/>
    <cellStyle name="40% - Accent5 2 6 4 3 2 2" xfId="24976" xr:uid="{84D094B0-5720-43D3-90C5-5E86251CD665}"/>
    <cellStyle name="40% - Accent5 2 6 4 3 2 2 2" xfId="39947" xr:uid="{313408E0-535E-48BA-A6A9-31F5F29520C4}"/>
    <cellStyle name="40% - Accent5 2 6 4 3 2 3" xfId="32344" xr:uid="{BD855C00-7299-464A-9FA2-FEB7DDC95D48}"/>
    <cellStyle name="40% - Accent5 2 6 4 3 3" xfId="24975" xr:uid="{3639266B-E815-41E2-A0B8-7D7C1DEA7CD9}"/>
    <cellStyle name="40% - Accent5 2 6 4 3 3 2" xfId="39946" xr:uid="{45316065-516F-45FB-8336-EAC32ECAE6D2}"/>
    <cellStyle name="40% - Accent5 2 6 4 3 4" xfId="32343" xr:uid="{39FA1F47-3A2C-47E5-BACE-D8BC157D6C71}"/>
    <cellStyle name="40% - Accent5 2 6 4 4" xfId="7372" xr:uid="{00000000-0005-0000-0000-00005C100000}"/>
    <cellStyle name="40% - Accent5 2 6 4 4 2" xfId="24977" xr:uid="{2C51AEBA-9916-400B-841D-292A3ABBD8FB}"/>
    <cellStyle name="40% - Accent5 2 6 4 4 2 2" xfId="39948" xr:uid="{29AD11E7-F1D2-4E37-BDD3-55944476D72D}"/>
    <cellStyle name="40% - Accent5 2 6 4 4 3" xfId="32345" xr:uid="{917785FA-FF21-4296-8B93-4549D704DCEC}"/>
    <cellStyle name="40% - Accent5 2 6 4 5" xfId="24971" xr:uid="{0A61E3A8-CEE9-41BB-BBA8-5D5C588BCD93}"/>
    <cellStyle name="40% - Accent5 2 6 4 5 2" xfId="39942" xr:uid="{B2712EFA-6558-40F0-85DC-9D01169F1838}"/>
    <cellStyle name="40% - Accent5 2 6 4 6" xfId="32339" xr:uid="{AB259476-6439-435A-8A1E-2CACCB166E01}"/>
    <cellStyle name="40% - Accent5 2 6 5" xfId="7373" xr:uid="{00000000-0005-0000-0000-00005D100000}"/>
    <cellStyle name="40% - Accent5 2 6 5 2" xfId="7374" xr:uid="{00000000-0005-0000-0000-00005E100000}"/>
    <cellStyle name="40% - Accent5 2 6 5 2 2" xfId="24979" xr:uid="{AD6D437A-3F4A-47CC-BE39-A7768AF1CCF9}"/>
    <cellStyle name="40% - Accent5 2 6 5 2 2 2" xfId="39950" xr:uid="{017233F4-3C64-4B35-8A0B-ACB6724D27CA}"/>
    <cellStyle name="40% - Accent5 2 6 5 2 3" xfId="32347" xr:uid="{9FE5767D-B250-422C-9712-98AF43446318}"/>
    <cellStyle name="40% - Accent5 2 6 5 3" xfId="7375" xr:uid="{00000000-0005-0000-0000-00005F100000}"/>
    <cellStyle name="40% - Accent5 2 6 5 3 2" xfId="24980" xr:uid="{87A574C2-1439-4CE3-8CA5-D5DE1D778B0D}"/>
    <cellStyle name="40% - Accent5 2 6 5 3 2 2" xfId="39951" xr:uid="{A898F983-7F79-4EF7-977B-F3C9DC0D6D81}"/>
    <cellStyle name="40% - Accent5 2 6 5 3 3" xfId="32348" xr:uid="{668826F6-E214-44BB-980A-45F3DF5378BA}"/>
    <cellStyle name="40% - Accent5 2 6 5 4" xfId="24978" xr:uid="{C1D2C5C0-0285-430E-B137-717B5B2FFAFF}"/>
    <cellStyle name="40% - Accent5 2 6 5 4 2" xfId="39949" xr:uid="{7B7E6ADD-D9CB-4873-A52E-1B3BFE9689CB}"/>
    <cellStyle name="40% - Accent5 2 6 5 5" xfId="32346" xr:uid="{31663127-8A9B-4E75-9F7C-08D8C4C54C5F}"/>
    <cellStyle name="40% - Accent5 2 6 6" xfId="7376" xr:uid="{00000000-0005-0000-0000-000060100000}"/>
    <cellStyle name="40% - Accent5 2 6 6 2" xfId="24981" xr:uid="{4BDF93ED-ED81-47F1-B36A-3B233209C2AE}"/>
    <cellStyle name="40% - Accent5 2 6 6 2 2" xfId="39952" xr:uid="{78D2F775-C121-48ED-86DC-20EB6FBF3ACD}"/>
    <cellStyle name="40% - Accent5 2 6 6 3" xfId="32349" xr:uid="{106A8D1C-B0D3-48F1-85B9-53DAADC4866E}"/>
    <cellStyle name="40% - Accent5 2 6 7" xfId="7377" xr:uid="{00000000-0005-0000-0000-000061100000}"/>
    <cellStyle name="40% - Accent5 2 6 7 2" xfId="7378" xr:uid="{00000000-0005-0000-0000-000062100000}"/>
    <cellStyle name="40% - Accent5 2 6 7 2 2" xfId="24983" xr:uid="{16515C5B-28A9-45FE-BD45-810D7B76C388}"/>
    <cellStyle name="40% - Accent5 2 6 7 2 2 2" xfId="39954" xr:uid="{3A50E6E5-D8D7-4E9D-97D6-AE071B755CE3}"/>
    <cellStyle name="40% - Accent5 2 6 7 2 3" xfId="32351" xr:uid="{999F30A2-525C-4589-87DA-93230E1F598A}"/>
    <cellStyle name="40% - Accent5 2 6 7 3" xfId="24982" xr:uid="{007FB45D-38B4-4C95-BF0D-59A57956A0CD}"/>
    <cellStyle name="40% - Accent5 2 6 7 3 2" xfId="39953" xr:uid="{1E91F565-C809-4D40-9182-3E72F97810B9}"/>
    <cellStyle name="40% - Accent5 2 6 7 4" xfId="32350" xr:uid="{8B2B193A-DF48-4881-96FA-8E1AE4F50F10}"/>
    <cellStyle name="40% - Accent5 2 6 8" xfId="7379" xr:uid="{00000000-0005-0000-0000-000063100000}"/>
    <cellStyle name="40% - Accent5 2 6 8 2" xfId="24984" xr:uid="{D3E305D6-CC6D-4C52-AF40-996DF7CE540F}"/>
    <cellStyle name="40% - Accent5 2 6 8 2 2" xfId="39955" xr:uid="{46BF1C15-ED9E-4E24-A9E4-C969EEC1CFF6}"/>
    <cellStyle name="40% - Accent5 2 6 8 3" xfId="32352" xr:uid="{CF17330B-777F-4DE1-A082-3FE8831ED669}"/>
    <cellStyle name="40% - Accent5 2 6 9" xfId="24941" xr:uid="{B99D363C-BC08-46D0-B109-154CC0D8774E}"/>
    <cellStyle name="40% - Accent5 2 6 9 2" xfId="39912" xr:uid="{BCD30A42-2407-4835-ADA1-4AEF242F67E5}"/>
    <cellStyle name="40% - Accent5 2 7" xfId="7380" xr:uid="{00000000-0005-0000-0000-000064100000}"/>
    <cellStyle name="40% - Accent5 2 7 2" xfId="7381" xr:uid="{00000000-0005-0000-0000-000065100000}"/>
    <cellStyle name="40% - Accent5 2 7 2 2" xfId="7382" xr:uid="{00000000-0005-0000-0000-000066100000}"/>
    <cellStyle name="40% - Accent5 2 7 2 2 2" xfId="24987" xr:uid="{35D3E17C-198D-4C46-967F-BCCA9AE27340}"/>
    <cellStyle name="40% - Accent5 2 7 2 2 2 2" xfId="39958" xr:uid="{09748B21-CE3F-4787-B530-F7F9B7FA9DBF}"/>
    <cellStyle name="40% - Accent5 2 7 2 2 3" xfId="32355" xr:uid="{666DF9F9-089F-435F-87E3-FAAE41F60479}"/>
    <cellStyle name="40% - Accent5 2 7 2 3" xfId="7383" xr:uid="{00000000-0005-0000-0000-000067100000}"/>
    <cellStyle name="40% - Accent5 2 7 2 3 2" xfId="24988" xr:uid="{10006B03-D5FF-45E2-8CA8-9C98D970D5F5}"/>
    <cellStyle name="40% - Accent5 2 7 2 3 2 2" xfId="39959" xr:uid="{8CD63B09-74B5-4615-A19A-129459A71C51}"/>
    <cellStyle name="40% - Accent5 2 7 2 3 3" xfId="32356" xr:uid="{EDB3DE89-35BE-4C81-837E-B7FA6040EFCF}"/>
    <cellStyle name="40% - Accent5 2 7 2 4" xfId="24986" xr:uid="{590B3700-A30F-4A7A-827D-F3E7670EF1EE}"/>
    <cellStyle name="40% - Accent5 2 7 2 4 2" xfId="39957" xr:uid="{4EBB5863-3FE5-4EA3-B6AE-98B3F2392694}"/>
    <cellStyle name="40% - Accent5 2 7 2 5" xfId="32354" xr:uid="{4BAE51F7-7F75-475A-B3AD-D33C8BF6E75C}"/>
    <cellStyle name="40% - Accent5 2 7 3" xfId="7384" xr:uid="{00000000-0005-0000-0000-000068100000}"/>
    <cellStyle name="40% - Accent5 2 7 3 2" xfId="7385" xr:uid="{00000000-0005-0000-0000-000069100000}"/>
    <cellStyle name="40% - Accent5 2 7 3 2 2" xfId="24990" xr:uid="{A391BB2C-5A9E-4832-950A-2F86A563D9E2}"/>
    <cellStyle name="40% - Accent5 2 7 3 2 2 2" xfId="39961" xr:uid="{5CB22489-6778-4D55-8C10-459AD24AEA5A}"/>
    <cellStyle name="40% - Accent5 2 7 3 2 3" xfId="32358" xr:uid="{62188DC4-FC59-4065-B639-D3958568232E}"/>
    <cellStyle name="40% - Accent5 2 7 3 3" xfId="24989" xr:uid="{CD5251F9-FE9C-4412-AFDC-FA074F5B29AD}"/>
    <cellStyle name="40% - Accent5 2 7 3 3 2" xfId="39960" xr:uid="{659C44A8-B668-4313-BAF5-2BEC0DCA1CC8}"/>
    <cellStyle name="40% - Accent5 2 7 3 4" xfId="32357" xr:uid="{DA7B7005-114F-4A3A-B064-6550345325C8}"/>
    <cellStyle name="40% - Accent5 2 7 4" xfId="7386" xr:uid="{00000000-0005-0000-0000-00006A100000}"/>
    <cellStyle name="40% - Accent5 2 7 4 2" xfId="24991" xr:uid="{2590D3A0-CF40-4D96-8809-5A223F9EFA76}"/>
    <cellStyle name="40% - Accent5 2 7 4 2 2" xfId="39962" xr:uid="{E7E5CF45-3AD8-43CF-83EA-167E09291ED9}"/>
    <cellStyle name="40% - Accent5 2 7 4 3" xfId="32359" xr:uid="{78FF7309-34BC-422D-B31E-1E28C36ADAE2}"/>
    <cellStyle name="40% - Accent5 2 7 5" xfId="24985" xr:uid="{9CBB84C4-0933-4C69-B4C9-7673FA20A5A2}"/>
    <cellStyle name="40% - Accent5 2 7 5 2" xfId="39956" xr:uid="{29058365-53E1-46A1-BFFF-67FB93E4B0DA}"/>
    <cellStyle name="40% - Accent5 2 7 6" xfId="32353" xr:uid="{7C1CCD0D-E573-4A7F-A100-F7E75F3486C9}"/>
    <cellStyle name="40% - Accent5 3" xfId="246" xr:uid="{00000000-0005-0000-0000-000055000000}"/>
    <cellStyle name="40% - Accent5 3 10" xfId="7387" xr:uid="{00000000-0005-0000-0000-00006B100000}"/>
    <cellStyle name="40% - Accent5 3 10 2" xfId="24992" xr:uid="{FFE9C7E0-A524-4D94-AF5F-7232A36E1F0B}"/>
    <cellStyle name="40% - Accent5 3 10 2 2" xfId="39963" xr:uid="{92C627A0-A99E-4C7F-A1D0-1BF6C8E30AB4}"/>
    <cellStyle name="40% - Accent5 3 10 3" xfId="32360" xr:uid="{93196347-6FB6-4DE6-AB82-78098297F26F}"/>
    <cellStyle name="40% - Accent5 3 2" xfId="7388" xr:uid="{00000000-0005-0000-0000-00006C100000}"/>
    <cellStyle name="40% - Accent5 3 2 2" xfId="7389" xr:uid="{00000000-0005-0000-0000-00006D100000}"/>
    <cellStyle name="40% - Accent5 3 2 2 2" xfId="7390" xr:uid="{00000000-0005-0000-0000-00006E100000}"/>
    <cellStyle name="40% - Accent5 3 2 2 2 2" xfId="7391" xr:uid="{00000000-0005-0000-0000-00006F100000}"/>
    <cellStyle name="40% - Accent5 3 2 2 2 2 2" xfId="7392" xr:uid="{00000000-0005-0000-0000-000070100000}"/>
    <cellStyle name="40% - Accent5 3 2 2 2 2 2 2" xfId="24996" xr:uid="{3FC169D0-C577-4DAA-A2AC-9090C24ECD8E}"/>
    <cellStyle name="40% - Accent5 3 2 2 2 2 2 2 2" xfId="39967" xr:uid="{7E4EF437-F2AB-48FF-937B-D01EC2A034B3}"/>
    <cellStyle name="40% - Accent5 3 2 2 2 2 2 3" xfId="32364" xr:uid="{72CFFB24-AA3C-4DE7-9C38-EB48E3F2B72E}"/>
    <cellStyle name="40% - Accent5 3 2 2 2 2 3" xfId="7393" xr:uid="{00000000-0005-0000-0000-000071100000}"/>
    <cellStyle name="40% - Accent5 3 2 2 2 2 3 2" xfId="24997" xr:uid="{8B72DFAB-589D-4139-B025-F98514B7DE50}"/>
    <cellStyle name="40% - Accent5 3 2 2 2 2 3 2 2" xfId="39968" xr:uid="{D4A4AFC5-10E6-4A74-A83A-6618F5019E60}"/>
    <cellStyle name="40% - Accent5 3 2 2 2 2 3 3" xfId="32365" xr:uid="{8A291324-4C5A-4C6F-902B-0622F3C34251}"/>
    <cellStyle name="40% - Accent5 3 2 2 2 2 4" xfId="24995" xr:uid="{6F6B94BE-E575-4E05-AF93-91F35F2C54F1}"/>
    <cellStyle name="40% - Accent5 3 2 2 2 2 4 2" xfId="39966" xr:uid="{9206E18A-7D2B-49D0-AC23-F0ECD96D24C4}"/>
    <cellStyle name="40% - Accent5 3 2 2 2 2 5" xfId="32363" xr:uid="{CE9252EE-A280-4219-85F1-46D976D4D552}"/>
    <cellStyle name="40% - Accent5 3 2 2 2 3" xfId="7394" xr:uid="{00000000-0005-0000-0000-000072100000}"/>
    <cellStyle name="40% - Accent5 3 2 2 2 3 2" xfId="7395" xr:uid="{00000000-0005-0000-0000-000073100000}"/>
    <cellStyle name="40% - Accent5 3 2 2 2 3 2 2" xfId="24999" xr:uid="{B48F2DDD-3523-4677-BB79-6D7827AF7547}"/>
    <cellStyle name="40% - Accent5 3 2 2 2 3 2 2 2" xfId="39970" xr:uid="{30B72328-584C-4D6D-A67B-510201A56A9F}"/>
    <cellStyle name="40% - Accent5 3 2 2 2 3 2 3" xfId="32367" xr:uid="{199F4B38-23F5-4B4B-A55D-015DD3FF3AAA}"/>
    <cellStyle name="40% - Accent5 3 2 2 2 3 3" xfId="24998" xr:uid="{674047F3-95D7-459A-8EDA-34C49F44E3E4}"/>
    <cellStyle name="40% - Accent5 3 2 2 2 3 3 2" xfId="39969" xr:uid="{5208E566-9595-4AA1-855F-E12832B63ED8}"/>
    <cellStyle name="40% - Accent5 3 2 2 2 3 4" xfId="32366" xr:uid="{630FF84B-6D6B-418F-9C1B-E20775A707B3}"/>
    <cellStyle name="40% - Accent5 3 2 2 2 4" xfId="7396" xr:uid="{00000000-0005-0000-0000-000074100000}"/>
    <cellStyle name="40% - Accent5 3 2 2 2 4 2" xfId="25000" xr:uid="{D1A99DDE-D56D-432D-AA47-C21678F40764}"/>
    <cellStyle name="40% - Accent5 3 2 2 2 4 2 2" xfId="39971" xr:uid="{D419775B-1EC7-4D2A-AC40-766E84DBB8E1}"/>
    <cellStyle name="40% - Accent5 3 2 2 2 4 3" xfId="32368" xr:uid="{28FC9326-2C03-4329-B9D6-CB60A7E9E43C}"/>
    <cellStyle name="40% - Accent5 3 2 2 2 5" xfId="24994" xr:uid="{7E50B689-4999-4406-8F44-D5147D92F4BD}"/>
    <cellStyle name="40% - Accent5 3 2 2 2 5 2" xfId="39965" xr:uid="{D528BE27-2DF9-40DD-BDF7-D52641F8870F}"/>
    <cellStyle name="40% - Accent5 3 2 2 2 6" xfId="32362" xr:uid="{5ED03FA6-2FC0-4D3F-9369-88EB250C4B9D}"/>
    <cellStyle name="40% - Accent5 3 2 2 3" xfId="7397" xr:uid="{00000000-0005-0000-0000-000075100000}"/>
    <cellStyle name="40% - Accent5 3 2 2 3 2" xfId="7398" xr:uid="{00000000-0005-0000-0000-000076100000}"/>
    <cellStyle name="40% - Accent5 3 2 2 3 2 2" xfId="25002" xr:uid="{04A2A857-92C2-4B4C-B16B-AD1A29E26C1B}"/>
    <cellStyle name="40% - Accent5 3 2 2 3 2 2 2" xfId="39973" xr:uid="{8EC15D94-9DD5-4B8D-9377-C1E375D83393}"/>
    <cellStyle name="40% - Accent5 3 2 2 3 2 3" xfId="32370" xr:uid="{453DA97F-900C-497F-8AB9-EDA6C6670484}"/>
    <cellStyle name="40% - Accent5 3 2 2 3 3" xfId="7399" xr:uid="{00000000-0005-0000-0000-000077100000}"/>
    <cellStyle name="40% - Accent5 3 2 2 3 3 2" xfId="25003" xr:uid="{1A45D574-5921-4000-90FF-D7E8F364610F}"/>
    <cellStyle name="40% - Accent5 3 2 2 3 3 2 2" xfId="39974" xr:uid="{187F9D54-B6E7-4E62-BD1A-8A59FAE06960}"/>
    <cellStyle name="40% - Accent5 3 2 2 3 3 3" xfId="32371" xr:uid="{1055D9D5-5859-4C6D-AFC5-02011372DF39}"/>
    <cellStyle name="40% - Accent5 3 2 2 3 4" xfId="25001" xr:uid="{2A08D837-8816-484E-A6B2-5B05431B9252}"/>
    <cellStyle name="40% - Accent5 3 2 2 3 4 2" xfId="39972" xr:uid="{6B48B8BF-6398-44CB-A306-86908CA2CBEC}"/>
    <cellStyle name="40% - Accent5 3 2 2 3 5" xfId="32369" xr:uid="{871A1225-24F7-4A3B-9467-691C6B4F6E24}"/>
    <cellStyle name="40% - Accent5 3 2 2 4" xfId="7400" xr:uid="{00000000-0005-0000-0000-000078100000}"/>
    <cellStyle name="40% - Accent5 3 2 2 4 2" xfId="25004" xr:uid="{A81822AF-9080-4EF8-A544-AAEF7FDBE0D3}"/>
    <cellStyle name="40% - Accent5 3 2 2 4 2 2" xfId="39975" xr:uid="{658DBB1B-AA09-4345-A8CF-A216ACC8C4D0}"/>
    <cellStyle name="40% - Accent5 3 2 2 4 3" xfId="32372" xr:uid="{2DB8BB54-2704-44BC-B307-AA174A5EE5EC}"/>
    <cellStyle name="40% - Accent5 3 2 2 5" xfId="7401" xr:uid="{00000000-0005-0000-0000-000079100000}"/>
    <cellStyle name="40% - Accent5 3 2 2 5 2" xfId="7402" xr:uid="{00000000-0005-0000-0000-00007A100000}"/>
    <cellStyle name="40% - Accent5 3 2 2 5 2 2" xfId="25006" xr:uid="{CDF80E02-3FFC-4B4E-9569-1D90BA5A2E0B}"/>
    <cellStyle name="40% - Accent5 3 2 2 5 2 2 2" xfId="39977" xr:uid="{07794A3E-2E3D-4623-B0C3-E8DFE3AA2B6D}"/>
    <cellStyle name="40% - Accent5 3 2 2 5 2 3" xfId="32374" xr:uid="{1C14BD0B-C335-48DE-833F-CDF75C74896C}"/>
    <cellStyle name="40% - Accent5 3 2 2 5 3" xfId="25005" xr:uid="{286E20F8-4B5E-4539-AACA-B8ECDCC3BA90}"/>
    <cellStyle name="40% - Accent5 3 2 2 5 3 2" xfId="39976" xr:uid="{A3B15CCD-8AB6-48DB-99AC-FD349E4BD92A}"/>
    <cellStyle name="40% - Accent5 3 2 2 5 4" xfId="32373" xr:uid="{43AED523-49EB-40EC-BFF7-83BBF4EFD68E}"/>
    <cellStyle name="40% - Accent5 3 2 2 6" xfId="7403" xr:uid="{00000000-0005-0000-0000-00007B100000}"/>
    <cellStyle name="40% - Accent5 3 2 2 6 2" xfId="25007" xr:uid="{41F03F8C-9FF9-4A49-B005-97EADAC1C5C7}"/>
    <cellStyle name="40% - Accent5 3 2 2 6 2 2" xfId="39978" xr:uid="{EB66CACD-BEFE-420B-9157-86197EF26CDD}"/>
    <cellStyle name="40% - Accent5 3 2 2 6 3" xfId="32375" xr:uid="{CF5BD408-17EA-4442-A972-160AB38C0885}"/>
    <cellStyle name="40% - Accent5 3 2 2 7" xfId="24993" xr:uid="{5AF5C636-441C-46B5-934C-21E44772138F}"/>
    <cellStyle name="40% - Accent5 3 2 2 7 2" xfId="39964" xr:uid="{B8F52B4F-F453-4464-8901-4EC37C8BE7F2}"/>
    <cellStyle name="40% - Accent5 3 2 2 8" xfId="32361" xr:uid="{A4A5291D-9C04-44CD-A4BA-2A1B170B62E2}"/>
    <cellStyle name="40% - Accent5 3 2 3" xfId="7404" xr:uid="{00000000-0005-0000-0000-00007C100000}"/>
    <cellStyle name="40% - Accent5 3 2 3 2" xfId="7405" xr:uid="{00000000-0005-0000-0000-00007D100000}"/>
    <cellStyle name="40% - Accent5 3 2 3 2 2" xfId="7406" xr:uid="{00000000-0005-0000-0000-00007E100000}"/>
    <cellStyle name="40% - Accent5 3 2 3 2 2 2" xfId="25010" xr:uid="{EDA31C09-86C7-4CF8-8FAE-5664621DCB42}"/>
    <cellStyle name="40% - Accent5 3 2 3 2 2 2 2" xfId="39981" xr:uid="{13ACC232-03BD-419C-B1BF-D2B33913950C}"/>
    <cellStyle name="40% - Accent5 3 2 3 2 2 3" xfId="32378" xr:uid="{3726B462-5780-4DA8-9B11-CD14F353A413}"/>
    <cellStyle name="40% - Accent5 3 2 3 2 3" xfId="7407" xr:uid="{00000000-0005-0000-0000-00007F100000}"/>
    <cellStyle name="40% - Accent5 3 2 3 2 3 2" xfId="25011" xr:uid="{0FF83EBF-F94C-49DD-A682-47D504BCC364}"/>
    <cellStyle name="40% - Accent5 3 2 3 2 3 2 2" xfId="39982" xr:uid="{C31D78A9-7D65-448D-B101-53254B494A19}"/>
    <cellStyle name="40% - Accent5 3 2 3 2 3 3" xfId="32379" xr:uid="{842FB117-6C5E-4D12-B129-A9B91D0D6E3A}"/>
    <cellStyle name="40% - Accent5 3 2 3 2 4" xfId="25009" xr:uid="{5C52E67A-67E0-4DA0-BA6A-636987A02F3D}"/>
    <cellStyle name="40% - Accent5 3 2 3 2 4 2" xfId="39980" xr:uid="{161EEFF9-8D08-4C59-A291-BA46F05FC0BD}"/>
    <cellStyle name="40% - Accent5 3 2 3 2 5" xfId="32377" xr:uid="{3191E2CE-E3DB-43A0-9ABA-BA75AC6AE815}"/>
    <cellStyle name="40% - Accent5 3 2 3 3" xfId="7408" xr:uid="{00000000-0005-0000-0000-000080100000}"/>
    <cellStyle name="40% - Accent5 3 2 3 3 2" xfId="7409" xr:uid="{00000000-0005-0000-0000-000081100000}"/>
    <cellStyle name="40% - Accent5 3 2 3 3 2 2" xfId="25013" xr:uid="{658A37CE-4F2D-437F-9336-A0D0CE5617C4}"/>
    <cellStyle name="40% - Accent5 3 2 3 3 2 2 2" xfId="39984" xr:uid="{592A4E07-D198-41C7-A70C-0C4F0093C048}"/>
    <cellStyle name="40% - Accent5 3 2 3 3 2 3" xfId="32381" xr:uid="{207585F8-C49A-462D-9820-BB479F64EC92}"/>
    <cellStyle name="40% - Accent5 3 2 3 3 3" xfId="25012" xr:uid="{96571A50-6849-4C5D-BF5B-E41145137C74}"/>
    <cellStyle name="40% - Accent5 3 2 3 3 3 2" xfId="39983" xr:uid="{3609DEAB-31C6-4A86-8A7E-D780EFDBF5FD}"/>
    <cellStyle name="40% - Accent5 3 2 3 3 4" xfId="32380" xr:uid="{9E7ED0D2-04A7-4A90-AE2C-3FF79C0B5826}"/>
    <cellStyle name="40% - Accent5 3 2 3 4" xfId="7410" xr:uid="{00000000-0005-0000-0000-000082100000}"/>
    <cellStyle name="40% - Accent5 3 2 3 4 2" xfId="25014" xr:uid="{F847817F-AF98-4A28-98A6-9C02ADC4737E}"/>
    <cellStyle name="40% - Accent5 3 2 3 4 2 2" xfId="39985" xr:uid="{3F2546A7-BB54-4DD7-AA94-D326023288BC}"/>
    <cellStyle name="40% - Accent5 3 2 3 4 3" xfId="32382" xr:uid="{554FAFF0-6C3A-4650-8150-57BD1105486D}"/>
    <cellStyle name="40% - Accent5 3 2 3 5" xfId="25008" xr:uid="{10A8A6A1-5E7E-46CE-803C-517540734277}"/>
    <cellStyle name="40% - Accent5 3 2 3 5 2" xfId="39979" xr:uid="{41D89933-A04F-465F-98F0-3F134A1A49C9}"/>
    <cellStyle name="40% - Accent5 3 2 3 6" xfId="32376" xr:uid="{81F5C42B-3458-4CE5-B3F2-25D96F403EA1}"/>
    <cellStyle name="40% - Accent5 3 2 4" xfId="7411" xr:uid="{00000000-0005-0000-0000-000083100000}"/>
    <cellStyle name="40% - Accent5 3 2 5" xfId="7412" xr:uid="{00000000-0005-0000-0000-000084100000}"/>
    <cellStyle name="40% - Accent5 3 2 5 2" xfId="25015" xr:uid="{CEBD5ABF-12E1-4437-B0FE-9AE5EB6D8F74}"/>
    <cellStyle name="40% - Accent5 3 2 5 2 2" xfId="39986" xr:uid="{1510C619-EC84-426D-8A85-9870B673D29A}"/>
    <cellStyle name="40% - Accent5 3 2 5 3" xfId="32383" xr:uid="{4303A50A-18EB-41D2-A1E8-82543EFE9DE4}"/>
    <cellStyle name="40% - Accent5 3 3" xfId="7413" xr:uid="{00000000-0005-0000-0000-000085100000}"/>
    <cellStyle name="40% - Accent5 3 3 2" xfId="7414" xr:uid="{00000000-0005-0000-0000-000086100000}"/>
    <cellStyle name="40% - Accent5 3 3 2 2" xfId="7415" xr:uid="{00000000-0005-0000-0000-000087100000}"/>
    <cellStyle name="40% - Accent5 3 3 2 2 2" xfId="25018" xr:uid="{ABE19B87-CB5B-4839-986F-E1F2FC46A878}"/>
    <cellStyle name="40% - Accent5 3 3 2 2 2 2" xfId="39989" xr:uid="{6098B7FC-49EF-4873-865A-15FF460A721E}"/>
    <cellStyle name="40% - Accent5 3 3 2 2 3" xfId="32386" xr:uid="{329D8740-AD92-4583-B16B-98B8551552EC}"/>
    <cellStyle name="40% - Accent5 3 3 2 3" xfId="7416" xr:uid="{00000000-0005-0000-0000-000088100000}"/>
    <cellStyle name="40% - Accent5 3 3 2 3 2" xfId="7417" xr:uid="{00000000-0005-0000-0000-000089100000}"/>
    <cellStyle name="40% - Accent5 3 3 2 3 2 2" xfId="25020" xr:uid="{A134C5D0-0811-49D9-AC2E-323084C1144A}"/>
    <cellStyle name="40% - Accent5 3 3 2 3 2 2 2" xfId="39991" xr:uid="{974E743D-4B9F-4F5D-9714-62039BDE9EEC}"/>
    <cellStyle name="40% - Accent5 3 3 2 3 2 3" xfId="32388" xr:uid="{DBAD6F3C-16E9-44DC-9325-ACCB25C93DDB}"/>
    <cellStyle name="40% - Accent5 3 3 2 3 3" xfId="25019" xr:uid="{0BEBC526-8A79-42A8-8ABC-99E51EB54367}"/>
    <cellStyle name="40% - Accent5 3 3 2 3 3 2" xfId="39990" xr:uid="{E4153B16-EDAB-432D-AFF1-927B2D276F54}"/>
    <cellStyle name="40% - Accent5 3 3 2 3 4" xfId="32387" xr:uid="{3D5FBCAF-BD1B-4F02-B6C2-E699760AD278}"/>
    <cellStyle name="40% - Accent5 3 3 2 4" xfId="25017" xr:uid="{5CCAA2BA-DCFB-4958-BB87-4E141BAAEB29}"/>
    <cellStyle name="40% - Accent5 3 3 2 4 2" xfId="39988" xr:uid="{C7425695-A371-4A18-9B42-B6475937A8AC}"/>
    <cellStyle name="40% - Accent5 3 3 2 5" xfId="32385" xr:uid="{B19F5974-BE49-4593-BF76-7D76A5A6E5E0}"/>
    <cellStyle name="40% - Accent5 3 3 3" xfId="7418" xr:uid="{00000000-0005-0000-0000-00008A100000}"/>
    <cellStyle name="40% - Accent5 3 3 3 2" xfId="25021" xr:uid="{0CEB48FE-FDE0-42F2-A8D9-5698119F92B1}"/>
    <cellStyle name="40% - Accent5 3 3 3 2 2" xfId="39992" xr:uid="{2E29A4C9-1245-46FD-A4C7-E74144B70350}"/>
    <cellStyle name="40% - Accent5 3 3 3 3" xfId="32389" xr:uid="{0F4C6E0E-6B8E-4552-8021-917D6A00D9E8}"/>
    <cellStyle name="40% - Accent5 3 3 4" xfId="7419" xr:uid="{00000000-0005-0000-0000-00008B100000}"/>
    <cellStyle name="40% - Accent5 3 3 4 2" xfId="7420" xr:uid="{00000000-0005-0000-0000-00008C100000}"/>
    <cellStyle name="40% - Accent5 3 3 4 2 2" xfId="25023" xr:uid="{10C3C926-D0D2-4E69-AC1C-46666929F8BE}"/>
    <cellStyle name="40% - Accent5 3 3 4 2 2 2" xfId="39994" xr:uid="{51CD5DB9-D806-4AA3-9FAD-16BA11AEE752}"/>
    <cellStyle name="40% - Accent5 3 3 4 2 3" xfId="32391" xr:uid="{4762DA94-D775-42BF-B15E-80B72BACB1F2}"/>
    <cellStyle name="40% - Accent5 3 3 4 3" xfId="25022" xr:uid="{EC2DEB87-9D15-480A-B2CB-6239AE081421}"/>
    <cellStyle name="40% - Accent5 3 3 4 3 2" xfId="39993" xr:uid="{8F5138C3-0F00-4855-A142-DFD210971F0D}"/>
    <cellStyle name="40% - Accent5 3 3 4 4" xfId="32390" xr:uid="{D0BE7015-19E1-4A78-A2A0-B3696D296860}"/>
    <cellStyle name="40% - Accent5 3 3 5" xfId="7421" xr:uid="{00000000-0005-0000-0000-00008D100000}"/>
    <cellStyle name="40% - Accent5 3 3 5 2" xfId="25024" xr:uid="{3609C35D-1F5C-40C1-A02A-17A92470D4EF}"/>
    <cellStyle name="40% - Accent5 3 3 5 2 2" xfId="39995" xr:uid="{363A1EF2-7F24-4533-AC26-DEFC8F0B7941}"/>
    <cellStyle name="40% - Accent5 3 3 5 3" xfId="32392" xr:uid="{DE7484E0-DD6D-4540-B55E-67C6CEA1ACD7}"/>
    <cellStyle name="40% - Accent5 3 3 6" xfId="25016" xr:uid="{484B0ED2-BFF6-403D-A4D8-D2B3342BE1B8}"/>
    <cellStyle name="40% - Accent5 3 3 6 2" xfId="39987" xr:uid="{0D169A70-C658-4427-9A38-52335C3E2780}"/>
    <cellStyle name="40% - Accent5 3 3 7" xfId="32384" xr:uid="{3735ADC8-2CC0-4470-8FFD-F5BCD1AA39A0}"/>
    <cellStyle name="40% - Accent5 3 4" xfId="7422" xr:uid="{00000000-0005-0000-0000-00008E100000}"/>
    <cellStyle name="40% - Accent5 3 4 2" xfId="7423" xr:uid="{00000000-0005-0000-0000-00008F100000}"/>
    <cellStyle name="40% - Accent5 3 4 2 2" xfId="7424" xr:uid="{00000000-0005-0000-0000-000090100000}"/>
    <cellStyle name="40% - Accent5 3 4 2 2 2" xfId="25027" xr:uid="{D6839F62-A6A9-4838-B507-0BE990E33C91}"/>
    <cellStyle name="40% - Accent5 3 4 2 2 2 2" xfId="39998" xr:uid="{70EA056B-38BB-42CE-BA9A-8EE1CC36814D}"/>
    <cellStyle name="40% - Accent5 3 4 2 2 3" xfId="32395" xr:uid="{B4045744-86E3-478A-AC6B-0C51EF45D4F8}"/>
    <cellStyle name="40% - Accent5 3 4 2 3" xfId="7425" xr:uid="{00000000-0005-0000-0000-000091100000}"/>
    <cellStyle name="40% - Accent5 3 4 2 3 2" xfId="25028" xr:uid="{2ACA6EEB-BD41-4807-8D43-EB7F0E708DDD}"/>
    <cellStyle name="40% - Accent5 3 4 2 3 2 2" xfId="39999" xr:uid="{7F38D749-0010-44EC-A8F0-F8E2308A0185}"/>
    <cellStyle name="40% - Accent5 3 4 2 3 3" xfId="32396" xr:uid="{1B4CF2D9-243C-4E9D-93D1-58508A8A7B91}"/>
    <cellStyle name="40% - Accent5 3 4 2 4" xfId="25026" xr:uid="{91EE1229-98EA-4852-9786-9441F6AA3FCA}"/>
    <cellStyle name="40% - Accent5 3 4 2 4 2" xfId="39997" xr:uid="{1258B899-E264-49E2-97DB-EC900124CC00}"/>
    <cellStyle name="40% - Accent5 3 4 2 5" xfId="32394" xr:uid="{4A36A161-1651-4101-B349-018B0DF0DE05}"/>
    <cellStyle name="40% - Accent5 3 4 3" xfId="7426" xr:uid="{00000000-0005-0000-0000-000092100000}"/>
    <cellStyle name="40% - Accent5 3 4 3 2" xfId="25029" xr:uid="{004334AC-4153-42B5-A4DF-74564655DEBA}"/>
    <cellStyle name="40% - Accent5 3 4 3 2 2" xfId="40000" xr:uid="{93B3C419-DD49-4FEF-917F-90706D0152A0}"/>
    <cellStyle name="40% - Accent5 3 4 3 3" xfId="32397" xr:uid="{30DA4A99-CE3E-41AC-909E-ADFD47E8006B}"/>
    <cellStyle name="40% - Accent5 3 4 4" xfId="7427" xr:uid="{00000000-0005-0000-0000-000093100000}"/>
    <cellStyle name="40% - Accent5 3 4 4 2" xfId="7428" xr:uid="{00000000-0005-0000-0000-000094100000}"/>
    <cellStyle name="40% - Accent5 3 4 4 2 2" xfId="25031" xr:uid="{386A031E-C91A-4F3B-A885-BD3F46BE9252}"/>
    <cellStyle name="40% - Accent5 3 4 4 2 2 2" xfId="40002" xr:uid="{45F6E65F-AFA6-4462-B529-2F308CA6156F}"/>
    <cellStyle name="40% - Accent5 3 4 4 2 3" xfId="32399" xr:uid="{5753E775-4389-4FD2-90C1-582C548683D2}"/>
    <cellStyle name="40% - Accent5 3 4 4 3" xfId="25030" xr:uid="{110ACCDE-141F-462B-B473-25E5F6B51944}"/>
    <cellStyle name="40% - Accent5 3 4 4 3 2" xfId="40001" xr:uid="{E79698D6-7064-4E63-842A-19FA0CF681C3}"/>
    <cellStyle name="40% - Accent5 3 4 4 4" xfId="32398" xr:uid="{3B89A98C-C585-4EAD-A909-DFE404464C82}"/>
    <cellStyle name="40% - Accent5 3 4 5" xfId="7429" xr:uid="{00000000-0005-0000-0000-000095100000}"/>
    <cellStyle name="40% - Accent5 3 4 5 2" xfId="25032" xr:uid="{A5007AB7-CD45-4427-BB89-4C531B3487D0}"/>
    <cellStyle name="40% - Accent5 3 4 5 2 2" xfId="40003" xr:uid="{17E19251-D60C-4B59-A3F4-99223CFFDD96}"/>
    <cellStyle name="40% - Accent5 3 4 5 3" xfId="32400" xr:uid="{6A2C287E-EFCB-48A7-92A6-D73BC167FEE6}"/>
    <cellStyle name="40% - Accent5 3 4 6" xfId="25025" xr:uid="{2E10B458-FFFE-4C85-BA4E-E4829DDD2A84}"/>
    <cellStyle name="40% - Accent5 3 4 6 2" xfId="39996" xr:uid="{DE599F9C-FC67-49E9-80F9-AEA230F658B4}"/>
    <cellStyle name="40% - Accent5 3 4 7" xfId="32393" xr:uid="{CB57E90E-D2B3-4726-B904-66C7899B16CB}"/>
    <cellStyle name="40% - Accent5 3 5" xfId="7430" xr:uid="{00000000-0005-0000-0000-000096100000}"/>
    <cellStyle name="40% - Accent5 3 5 2" xfId="7431" xr:uid="{00000000-0005-0000-0000-000097100000}"/>
    <cellStyle name="40% - Accent5 3 5 2 2" xfId="7432" xr:uid="{00000000-0005-0000-0000-000098100000}"/>
    <cellStyle name="40% - Accent5 3 5 2 2 2" xfId="25035" xr:uid="{59627B71-5575-4929-B28F-60F97123F959}"/>
    <cellStyle name="40% - Accent5 3 5 2 2 2 2" xfId="40006" xr:uid="{C4554300-AACC-4A2F-AA20-62BA983F2CFA}"/>
    <cellStyle name="40% - Accent5 3 5 2 2 3" xfId="32403" xr:uid="{0919DD5B-5310-41FB-9528-15248D558778}"/>
    <cellStyle name="40% - Accent5 3 5 2 3" xfId="7433" xr:uid="{00000000-0005-0000-0000-000099100000}"/>
    <cellStyle name="40% - Accent5 3 5 2 3 2" xfId="25036" xr:uid="{9A0DC3B8-20B6-46B2-8C96-672CBC15309A}"/>
    <cellStyle name="40% - Accent5 3 5 2 3 2 2" xfId="40007" xr:uid="{8630687E-BCDB-4F39-ABA1-604EEDDE60D1}"/>
    <cellStyle name="40% - Accent5 3 5 2 3 3" xfId="32404" xr:uid="{9DA2A042-5436-42DD-95CD-18D8F0FAE8F6}"/>
    <cellStyle name="40% - Accent5 3 5 2 4" xfId="25034" xr:uid="{18A8F2B5-32CD-4C60-A72D-5ABA3490ACA9}"/>
    <cellStyle name="40% - Accent5 3 5 2 4 2" xfId="40005" xr:uid="{DEC5AED5-4B97-4E5D-80A7-AA2CE4DCD1D0}"/>
    <cellStyle name="40% - Accent5 3 5 2 5" xfId="32402" xr:uid="{3CF76953-28D4-4B96-B949-DE424B663372}"/>
    <cellStyle name="40% - Accent5 3 5 3" xfId="7434" xr:uid="{00000000-0005-0000-0000-00009A100000}"/>
    <cellStyle name="40% - Accent5 3 5 3 2" xfId="7435" xr:uid="{00000000-0005-0000-0000-00009B100000}"/>
    <cellStyle name="40% - Accent5 3 5 3 2 2" xfId="25038" xr:uid="{CBFD1EA0-FEA0-4708-B967-7AAD48FC5990}"/>
    <cellStyle name="40% - Accent5 3 5 3 2 2 2" xfId="40009" xr:uid="{BC97DD16-BA6B-412F-AC44-B185E733863F}"/>
    <cellStyle name="40% - Accent5 3 5 3 2 3" xfId="32406" xr:uid="{0F73A54E-CD73-4A05-9599-0E482BC3E9BC}"/>
    <cellStyle name="40% - Accent5 3 5 3 3" xfId="25037" xr:uid="{7A4932FE-E8DD-41EF-90A1-FCB9FFFDB67E}"/>
    <cellStyle name="40% - Accent5 3 5 3 3 2" xfId="40008" xr:uid="{A0BA00D7-A40A-4260-8720-7E7250B539D1}"/>
    <cellStyle name="40% - Accent5 3 5 3 4" xfId="32405" xr:uid="{19D956F4-6B1D-4734-B4E9-AAB8BFC1D0D2}"/>
    <cellStyle name="40% - Accent5 3 5 4" xfId="7436" xr:uid="{00000000-0005-0000-0000-00009C100000}"/>
    <cellStyle name="40% - Accent5 3 5 4 2" xfId="25039" xr:uid="{E74BE5A3-776A-4ED0-8ACC-5139F824B3CB}"/>
    <cellStyle name="40% - Accent5 3 5 4 2 2" xfId="40010" xr:uid="{2BFB2A6E-718D-4313-A1E0-F364513F673D}"/>
    <cellStyle name="40% - Accent5 3 5 4 3" xfId="32407" xr:uid="{DA354312-E4D4-4696-9FD7-533F3947C6D1}"/>
    <cellStyle name="40% - Accent5 3 5 5" xfId="25033" xr:uid="{2F852D1E-305F-4515-A642-BF3C35F690E4}"/>
    <cellStyle name="40% - Accent5 3 5 5 2" xfId="40004" xr:uid="{36CB7B80-4FBA-44AE-91BF-EB8D84FCC121}"/>
    <cellStyle name="40% - Accent5 3 5 6" xfId="32401" xr:uid="{BC96E06B-B6E9-4A16-A0DD-8BDBF7EE448D}"/>
    <cellStyle name="40% - Accent5 3 6" xfId="7437" xr:uid="{00000000-0005-0000-0000-00009D100000}"/>
    <cellStyle name="40% - Accent5 3 6 2" xfId="7438" xr:uid="{00000000-0005-0000-0000-00009E100000}"/>
    <cellStyle name="40% - Accent5 3 6 2 2" xfId="25041" xr:uid="{53DAE5AF-45B7-433C-91D0-81C608F2C7FF}"/>
    <cellStyle name="40% - Accent5 3 6 2 2 2" xfId="40012" xr:uid="{7E4173F1-78DB-43A4-9AE6-AFF79A62238E}"/>
    <cellStyle name="40% - Accent5 3 6 2 3" xfId="32409" xr:uid="{00A461D5-6D13-41EA-9447-A8429593B317}"/>
    <cellStyle name="40% - Accent5 3 6 3" xfId="7439" xr:uid="{00000000-0005-0000-0000-00009F100000}"/>
    <cellStyle name="40% - Accent5 3 6 3 2" xfId="25042" xr:uid="{0CF50ADE-F60D-497A-8F77-E5463177FC5B}"/>
    <cellStyle name="40% - Accent5 3 6 3 2 2" xfId="40013" xr:uid="{318908DC-E944-4A7B-B046-4A9EA21CE8EC}"/>
    <cellStyle name="40% - Accent5 3 6 3 3" xfId="32410" xr:uid="{023EA62C-1E4B-44D5-9B6D-35370BF942D0}"/>
    <cellStyle name="40% - Accent5 3 6 4" xfId="25040" xr:uid="{51144B4A-854F-4E40-9C36-5A8AA87696FF}"/>
    <cellStyle name="40% - Accent5 3 6 4 2" xfId="40011" xr:uid="{0BA016B7-F04D-45E5-A62A-3D2FC9277DFC}"/>
    <cellStyle name="40% - Accent5 3 6 5" xfId="32408" xr:uid="{42D088CE-4273-4BB1-AD81-70FACB9E79A5}"/>
    <cellStyle name="40% - Accent5 3 7" xfId="7440" xr:uid="{00000000-0005-0000-0000-0000A0100000}"/>
    <cellStyle name="40% - Accent5 3 7 2" xfId="25043" xr:uid="{6BF3292E-3B3C-4936-8294-9ED1B2A19711}"/>
    <cellStyle name="40% - Accent5 3 7 2 2" xfId="40014" xr:uid="{85621104-8ACB-4BE6-8AA7-BE3EEAF5B01B}"/>
    <cellStyle name="40% - Accent5 3 7 3" xfId="32411" xr:uid="{76AC9ECF-1F73-4D34-B8B6-16FCE962A1A3}"/>
    <cellStyle name="40% - Accent5 3 8" xfId="7441" xr:uid="{00000000-0005-0000-0000-0000A1100000}"/>
    <cellStyle name="40% - Accent5 3 8 2" xfId="7442" xr:uid="{00000000-0005-0000-0000-0000A2100000}"/>
    <cellStyle name="40% - Accent5 3 8 2 2" xfId="25045" xr:uid="{8A69514A-2DF5-4B91-B3ED-077646DAF21D}"/>
    <cellStyle name="40% - Accent5 3 8 2 2 2" xfId="40016" xr:uid="{94A4BA88-0EA2-4C8A-BC07-A1FAAF389154}"/>
    <cellStyle name="40% - Accent5 3 8 2 3" xfId="32413" xr:uid="{07AA3A50-EA46-48E4-99C7-63263B16F1BC}"/>
    <cellStyle name="40% - Accent5 3 8 3" xfId="25044" xr:uid="{90F3BC14-9E5C-4143-A814-B0B3506250C3}"/>
    <cellStyle name="40% - Accent5 3 8 3 2" xfId="40015" xr:uid="{BD3ECCAB-B069-4619-B450-2C5DB111714D}"/>
    <cellStyle name="40% - Accent5 3 8 4" xfId="32412" xr:uid="{98B14A80-391D-4B1F-9AF3-7C9C33BDE41C}"/>
    <cellStyle name="40% - Accent5 3 9" xfId="7443" xr:uid="{00000000-0005-0000-0000-0000A3100000}"/>
    <cellStyle name="40% - Accent5 3 9 2" xfId="25046" xr:uid="{FC179C48-7120-448E-8096-AD32A059F744}"/>
    <cellStyle name="40% - Accent5 3 9 2 2" xfId="40017" xr:uid="{B86CA463-F9AF-4767-BDBE-F7642FFC9DB2}"/>
    <cellStyle name="40% - Accent5 3 9 3" xfId="32414" xr:uid="{32349BAD-4D68-43F5-AB01-93EBDE295AF2}"/>
    <cellStyle name="40% - Accent5 4" xfId="247" xr:uid="{00000000-0005-0000-0000-000056000000}"/>
    <cellStyle name="40% - Accent5 4 10" xfId="7444" xr:uid="{00000000-0005-0000-0000-0000A4100000}"/>
    <cellStyle name="40% - Accent5 4 10 2" xfId="25047" xr:uid="{63B69972-4A25-4BE2-A1CE-3DA282DCD085}"/>
    <cellStyle name="40% - Accent5 4 10 2 2" xfId="40018" xr:uid="{38EE3AA6-DDE9-4DD3-B4ED-615FCC925F9E}"/>
    <cellStyle name="40% - Accent5 4 10 3" xfId="32415" xr:uid="{AA1349D8-FBD1-4066-8B67-74CE611D3D3D}"/>
    <cellStyle name="40% - Accent5 4 2" xfId="7445" xr:uid="{00000000-0005-0000-0000-0000A5100000}"/>
    <cellStyle name="40% - Accent5 4 2 2" xfId="7446" xr:uid="{00000000-0005-0000-0000-0000A6100000}"/>
    <cellStyle name="40% - Accent5 4 2 2 2" xfId="7447" xr:uid="{00000000-0005-0000-0000-0000A7100000}"/>
    <cellStyle name="40% - Accent5 4 2 2 2 2" xfId="7448" xr:uid="{00000000-0005-0000-0000-0000A8100000}"/>
    <cellStyle name="40% - Accent5 4 2 2 2 2 2" xfId="7449" xr:uid="{00000000-0005-0000-0000-0000A9100000}"/>
    <cellStyle name="40% - Accent5 4 2 2 2 2 2 2" xfId="25051" xr:uid="{04B18AF2-72FF-4416-99B5-700C8239644E}"/>
    <cellStyle name="40% - Accent5 4 2 2 2 2 2 2 2" xfId="40022" xr:uid="{972359E1-9164-4609-8C08-FFBDDDDE6AEE}"/>
    <cellStyle name="40% - Accent5 4 2 2 2 2 2 3" xfId="32419" xr:uid="{6D0A7E65-DB6D-4EF9-A725-C35C8C290220}"/>
    <cellStyle name="40% - Accent5 4 2 2 2 2 3" xfId="7450" xr:uid="{00000000-0005-0000-0000-0000AA100000}"/>
    <cellStyle name="40% - Accent5 4 2 2 2 2 3 2" xfId="25052" xr:uid="{9DB4F85A-A532-49BC-81F3-A8CC3A1C72C5}"/>
    <cellStyle name="40% - Accent5 4 2 2 2 2 3 2 2" xfId="40023" xr:uid="{E972886A-01CF-4B23-991A-B0B07E5EEF23}"/>
    <cellStyle name="40% - Accent5 4 2 2 2 2 3 3" xfId="32420" xr:uid="{3E4CB6FE-19E1-437D-B263-C2555702B2FF}"/>
    <cellStyle name="40% - Accent5 4 2 2 2 2 4" xfId="25050" xr:uid="{78453E64-6E3A-4801-96D9-6776714A2B55}"/>
    <cellStyle name="40% - Accent5 4 2 2 2 2 4 2" xfId="40021" xr:uid="{52A29996-876D-494E-9120-18699260599F}"/>
    <cellStyle name="40% - Accent5 4 2 2 2 2 5" xfId="32418" xr:uid="{8E01B552-0CB1-4F31-9B22-E3E3525AC47D}"/>
    <cellStyle name="40% - Accent5 4 2 2 2 3" xfId="7451" xr:uid="{00000000-0005-0000-0000-0000AB100000}"/>
    <cellStyle name="40% - Accent5 4 2 2 2 3 2" xfId="7452" xr:uid="{00000000-0005-0000-0000-0000AC100000}"/>
    <cellStyle name="40% - Accent5 4 2 2 2 3 2 2" xfId="25054" xr:uid="{2C697702-DE95-4E87-8096-AC7D9B2D2C79}"/>
    <cellStyle name="40% - Accent5 4 2 2 2 3 2 2 2" xfId="40025" xr:uid="{6097F29F-4F17-4F8D-B7B2-37CA7492688F}"/>
    <cellStyle name="40% - Accent5 4 2 2 2 3 2 3" xfId="32422" xr:uid="{AB92DAFB-1655-49D3-A8BE-7C2E0D24B24D}"/>
    <cellStyle name="40% - Accent5 4 2 2 2 3 3" xfId="25053" xr:uid="{479C36E4-2574-433F-839C-E75FA8AC7CE0}"/>
    <cellStyle name="40% - Accent5 4 2 2 2 3 3 2" xfId="40024" xr:uid="{C83F86BA-C9FC-4FB9-8804-140A3E472F2D}"/>
    <cellStyle name="40% - Accent5 4 2 2 2 3 4" xfId="32421" xr:uid="{60068D5D-75F9-44AD-9FEF-5FB33D20D912}"/>
    <cellStyle name="40% - Accent5 4 2 2 2 4" xfId="7453" xr:uid="{00000000-0005-0000-0000-0000AD100000}"/>
    <cellStyle name="40% - Accent5 4 2 2 2 4 2" xfId="25055" xr:uid="{9F813E58-F153-4E1D-9235-4CDB6B5A1951}"/>
    <cellStyle name="40% - Accent5 4 2 2 2 4 2 2" xfId="40026" xr:uid="{12524E9E-7CA4-47CC-9EBC-6A85335FB791}"/>
    <cellStyle name="40% - Accent5 4 2 2 2 4 3" xfId="32423" xr:uid="{55D4B121-8729-4CFD-8232-7F782F12BE70}"/>
    <cellStyle name="40% - Accent5 4 2 2 2 5" xfId="25049" xr:uid="{70832D83-3495-4BDD-8BDC-02B247C9E0E6}"/>
    <cellStyle name="40% - Accent5 4 2 2 2 5 2" xfId="40020" xr:uid="{737E44EB-8784-452D-ABBD-ABB82BB38F7A}"/>
    <cellStyle name="40% - Accent5 4 2 2 2 6" xfId="32417" xr:uid="{9596D198-16E0-44DE-ADF3-CC6D62E5D01A}"/>
    <cellStyle name="40% - Accent5 4 2 2 3" xfId="7454" xr:uid="{00000000-0005-0000-0000-0000AE100000}"/>
    <cellStyle name="40% - Accent5 4 2 2 3 2" xfId="7455" xr:uid="{00000000-0005-0000-0000-0000AF100000}"/>
    <cellStyle name="40% - Accent5 4 2 2 3 2 2" xfId="25057" xr:uid="{8B72DC64-871E-4220-B227-137D61F57047}"/>
    <cellStyle name="40% - Accent5 4 2 2 3 2 2 2" xfId="40028" xr:uid="{0663B2E6-FD02-4758-BCF7-845C2EEA1BED}"/>
    <cellStyle name="40% - Accent5 4 2 2 3 2 3" xfId="32425" xr:uid="{EFBAE824-6D72-4C32-8436-D713123837DC}"/>
    <cellStyle name="40% - Accent5 4 2 2 3 3" xfId="7456" xr:uid="{00000000-0005-0000-0000-0000B0100000}"/>
    <cellStyle name="40% - Accent5 4 2 2 3 3 2" xfId="25058" xr:uid="{180F684E-3724-40BA-9332-C21AE205E6D9}"/>
    <cellStyle name="40% - Accent5 4 2 2 3 3 2 2" xfId="40029" xr:uid="{09BD8D74-9F58-434A-A59E-8EA855C25BB7}"/>
    <cellStyle name="40% - Accent5 4 2 2 3 3 3" xfId="32426" xr:uid="{2F697B9F-B1C8-4A37-B8EB-4FCD16AF08E4}"/>
    <cellStyle name="40% - Accent5 4 2 2 3 4" xfId="25056" xr:uid="{F8215EC0-DEE8-41CA-937E-514415263FA8}"/>
    <cellStyle name="40% - Accent5 4 2 2 3 4 2" xfId="40027" xr:uid="{6BFEED0D-9D61-4E28-804F-B1BAAB0649DB}"/>
    <cellStyle name="40% - Accent5 4 2 2 3 5" xfId="32424" xr:uid="{C0F3EB48-CF64-45DE-8EAA-0CB75A9F0AFD}"/>
    <cellStyle name="40% - Accent5 4 2 2 4" xfId="7457" xr:uid="{00000000-0005-0000-0000-0000B1100000}"/>
    <cellStyle name="40% - Accent5 4 2 2 4 2" xfId="25059" xr:uid="{14D70D82-96A4-4D47-AFAB-FD460A621577}"/>
    <cellStyle name="40% - Accent5 4 2 2 4 2 2" xfId="40030" xr:uid="{ABA99069-F34E-4F71-AB4D-CC582E195B2D}"/>
    <cellStyle name="40% - Accent5 4 2 2 4 3" xfId="32427" xr:uid="{72A857F5-EF64-41DB-9B52-3FD9CA7803A1}"/>
    <cellStyle name="40% - Accent5 4 2 2 5" xfId="7458" xr:uid="{00000000-0005-0000-0000-0000B2100000}"/>
    <cellStyle name="40% - Accent5 4 2 2 5 2" xfId="7459" xr:uid="{00000000-0005-0000-0000-0000B3100000}"/>
    <cellStyle name="40% - Accent5 4 2 2 5 2 2" xfId="25061" xr:uid="{1270909A-9F04-48AF-851C-FC741AD5ADEB}"/>
    <cellStyle name="40% - Accent5 4 2 2 5 2 2 2" xfId="40032" xr:uid="{29C90042-EA5E-4B91-B76E-C605C636F8C7}"/>
    <cellStyle name="40% - Accent5 4 2 2 5 2 3" xfId="32429" xr:uid="{D22900C8-BFFE-4C0E-92A5-422446F36955}"/>
    <cellStyle name="40% - Accent5 4 2 2 5 3" xfId="25060" xr:uid="{63E17946-F8B4-4C5C-B69E-7CC5C4474294}"/>
    <cellStyle name="40% - Accent5 4 2 2 5 3 2" xfId="40031" xr:uid="{1614A8C9-BF11-4EE8-9027-A84FBC54AD29}"/>
    <cellStyle name="40% - Accent5 4 2 2 5 4" xfId="32428" xr:uid="{8C1FE05B-9A9F-45BB-BB6F-C28073BDBC40}"/>
    <cellStyle name="40% - Accent5 4 2 2 6" xfId="7460" xr:uid="{00000000-0005-0000-0000-0000B4100000}"/>
    <cellStyle name="40% - Accent5 4 2 2 6 2" xfId="25062" xr:uid="{3B57E533-D2AB-479E-B727-5B192E7F1238}"/>
    <cellStyle name="40% - Accent5 4 2 2 6 2 2" xfId="40033" xr:uid="{08CD8E22-A2FD-4BE2-96D8-BDCBC67EC794}"/>
    <cellStyle name="40% - Accent5 4 2 2 6 3" xfId="32430" xr:uid="{2E5C609E-A7E7-48EE-BBA5-207D0560F555}"/>
    <cellStyle name="40% - Accent5 4 2 2 7" xfId="25048" xr:uid="{880E5617-E137-4F12-85D4-240A48785A87}"/>
    <cellStyle name="40% - Accent5 4 2 2 7 2" xfId="40019" xr:uid="{FE58A851-0C81-4095-A6B6-25DC1868FEF6}"/>
    <cellStyle name="40% - Accent5 4 2 2 8" xfId="32416" xr:uid="{7745A320-BDEB-4DF6-A67A-41FB61BACCD7}"/>
    <cellStyle name="40% - Accent5 4 2 3" xfId="7461" xr:uid="{00000000-0005-0000-0000-0000B5100000}"/>
    <cellStyle name="40% - Accent5 4 2 3 2" xfId="7462" xr:uid="{00000000-0005-0000-0000-0000B6100000}"/>
    <cellStyle name="40% - Accent5 4 2 3 2 2" xfId="7463" xr:uid="{00000000-0005-0000-0000-0000B7100000}"/>
    <cellStyle name="40% - Accent5 4 2 3 2 2 2" xfId="25065" xr:uid="{AEAF7181-A997-417B-B782-6A07B16DF735}"/>
    <cellStyle name="40% - Accent5 4 2 3 2 2 2 2" xfId="40036" xr:uid="{3292F74D-0759-4CF2-8525-650254B9BB1F}"/>
    <cellStyle name="40% - Accent5 4 2 3 2 2 3" xfId="32433" xr:uid="{ECFA3EED-5B44-4313-80C5-0EC86188C8D5}"/>
    <cellStyle name="40% - Accent5 4 2 3 2 3" xfId="7464" xr:uid="{00000000-0005-0000-0000-0000B8100000}"/>
    <cellStyle name="40% - Accent5 4 2 3 2 3 2" xfId="25066" xr:uid="{2B6092B8-BC66-471D-A6E5-5197A1AE0CAD}"/>
    <cellStyle name="40% - Accent5 4 2 3 2 3 2 2" xfId="40037" xr:uid="{EA4A6901-3EDE-4343-953F-AB3B8EEB6051}"/>
    <cellStyle name="40% - Accent5 4 2 3 2 3 3" xfId="32434" xr:uid="{B16DAD2C-94A3-480A-B79C-5ACE08DCBA11}"/>
    <cellStyle name="40% - Accent5 4 2 3 2 4" xfId="25064" xr:uid="{7030618F-C042-4A42-8D6D-6E6385CFD559}"/>
    <cellStyle name="40% - Accent5 4 2 3 2 4 2" xfId="40035" xr:uid="{C91ED40F-24DA-4015-9EEA-63A61281D066}"/>
    <cellStyle name="40% - Accent5 4 2 3 2 5" xfId="32432" xr:uid="{FA237796-7B1C-4C67-BCB4-EF2EA6A620B0}"/>
    <cellStyle name="40% - Accent5 4 2 3 3" xfId="7465" xr:uid="{00000000-0005-0000-0000-0000B9100000}"/>
    <cellStyle name="40% - Accent5 4 2 3 3 2" xfId="7466" xr:uid="{00000000-0005-0000-0000-0000BA100000}"/>
    <cellStyle name="40% - Accent5 4 2 3 3 2 2" xfId="25068" xr:uid="{F084E527-354C-4996-93EE-FC7D0DFBA85B}"/>
    <cellStyle name="40% - Accent5 4 2 3 3 2 2 2" xfId="40039" xr:uid="{DC9EDF38-6ACF-49BD-A51B-8176F2FFCCB1}"/>
    <cellStyle name="40% - Accent5 4 2 3 3 2 3" xfId="32436" xr:uid="{A71B4E64-779D-4399-AE30-8D4BDD340D9A}"/>
    <cellStyle name="40% - Accent5 4 2 3 3 3" xfId="25067" xr:uid="{BB2D9632-1CF2-4B52-935F-A91D1484E3A1}"/>
    <cellStyle name="40% - Accent5 4 2 3 3 3 2" xfId="40038" xr:uid="{3F1624DF-8677-45B4-9F73-97200E27E297}"/>
    <cellStyle name="40% - Accent5 4 2 3 3 4" xfId="32435" xr:uid="{E7A3E3D1-BA83-47FA-A0B2-E07A80AD9F7D}"/>
    <cellStyle name="40% - Accent5 4 2 3 4" xfId="7467" xr:uid="{00000000-0005-0000-0000-0000BB100000}"/>
    <cellStyle name="40% - Accent5 4 2 3 4 2" xfId="25069" xr:uid="{9D38FA1B-C779-4F18-A942-2F43759494A4}"/>
    <cellStyle name="40% - Accent5 4 2 3 4 2 2" xfId="40040" xr:uid="{0B903874-CC76-4733-9157-B4FBE4B222A3}"/>
    <cellStyle name="40% - Accent5 4 2 3 4 3" xfId="32437" xr:uid="{1788EC6E-66F6-4581-A0F6-95B5CABA7457}"/>
    <cellStyle name="40% - Accent5 4 2 3 5" xfId="25063" xr:uid="{A13AADF5-13D0-4A94-A4C4-6AC45D3CF05D}"/>
    <cellStyle name="40% - Accent5 4 2 3 5 2" xfId="40034" xr:uid="{1AAEBCC8-EBB6-470A-8B14-FAAB80805EDB}"/>
    <cellStyle name="40% - Accent5 4 2 3 6" xfId="32431" xr:uid="{37A51C02-07AC-42F6-940D-C5F9E9C1AF9B}"/>
    <cellStyle name="40% - Accent5 4 2 4" xfId="7468" xr:uid="{00000000-0005-0000-0000-0000BC100000}"/>
    <cellStyle name="40% - Accent5 4 2 5" xfId="7469" xr:uid="{00000000-0005-0000-0000-0000BD100000}"/>
    <cellStyle name="40% - Accent5 4 2 5 2" xfId="25070" xr:uid="{2AAAA188-7C76-4B09-96D7-634C0D525423}"/>
    <cellStyle name="40% - Accent5 4 2 5 2 2" xfId="40041" xr:uid="{A2186ADD-05A6-48C2-8229-503AC8C5B121}"/>
    <cellStyle name="40% - Accent5 4 2 5 3" xfId="32438" xr:uid="{F4C5B220-9762-4735-8331-C05F05EB72FB}"/>
    <cellStyle name="40% - Accent5 4 3" xfId="7470" xr:uid="{00000000-0005-0000-0000-0000BE100000}"/>
    <cellStyle name="40% - Accent5 4 3 2" xfId="7471" xr:uid="{00000000-0005-0000-0000-0000BF100000}"/>
    <cellStyle name="40% - Accent5 4 3 2 2" xfId="7472" xr:uid="{00000000-0005-0000-0000-0000C0100000}"/>
    <cellStyle name="40% - Accent5 4 3 2 2 2" xfId="25073" xr:uid="{58366EA3-2B23-4B06-AAE9-B3245FE075D0}"/>
    <cellStyle name="40% - Accent5 4 3 2 2 2 2" xfId="40044" xr:uid="{8AFFCFAA-0150-4AB0-BBD1-500EB3CF90A9}"/>
    <cellStyle name="40% - Accent5 4 3 2 2 3" xfId="32441" xr:uid="{2A291865-51D6-49EF-8A0A-046AF72BE0BB}"/>
    <cellStyle name="40% - Accent5 4 3 2 3" xfId="7473" xr:uid="{00000000-0005-0000-0000-0000C1100000}"/>
    <cellStyle name="40% - Accent5 4 3 2 3 2" xfId="25074" xr:uid="{3452EEDB-135C-4512-BB29-C89334B001F9}"/>
    <cellStyle name="40% - Accent5 4 3 2 3 2 2" xfId="40045" xr:uid="{90DDDF56-6B44-496A-8178-3338F1815543}"/>
    <cellStyle name="40% - Accent5 4 3 2 3 3" xfId="32442" xr:uid="{33B9475B-7BCA-4291-BBDF-35956AC3D4F0}"/>
    <cellStyle name="40% - Accent5 4 3 2 4" xfId="25072" xr:uid="{1E00AEF0-9EFA-407D-846F-AFDCBF41BD31}"/>
    <cellStyle name="40% - Accent5 4 3 2 4 2" xfId="40043" xr:uid="{759639C6-C527-4D98-89ED-CA49EEE42BC1}"/>
    <cellStyle name="40% - Accent5 4 3 2 5" xfId="32440" xr:uid="{3FCC8D7F-DA89-4ACF-9564-53C2970931F9}"/>
    <cellStyle name="40% - Accent5 4 3 3" xfId="7474" xr:uid="{00000000-0005-0000-0000-0000C2100000}"/>
    <cellStyle name="40% - Accent5 4 3 3 2" xfId="25075" xr:uid="{EAC67E13-54DA-49F1-B0D5-25C838A7E1FA}"/>
    <cellStyle name="40% - Accent5 4 3 3 2 2" xfId="40046" xr:uid="{87DD220A-5A80-43A0-9840-1E71760DEE1B}"/>
    <cellStyle name="40% - Accent5 4 3 3 3" xfId="32443" xr:uid="{D8E05D14-06EA-4673-A02A-7A905606B377}"/>
    <cellStyle name="40% - Accent5 4 3 4" xfId="7475" xr:uid="{00000000-0005-0000-0000-0000C3100000}"/>
    <cellStyle name="40% - Accent5 4 3 4 2" xfId="7476" xr:uid="{00000000-0005-0000-0000-0000C4100000}"/>
    <cellStyle name="40% - Accent5 4 3 4 2 2" xfId="25077" xr:uid="{9FC44201-C6B6-4C41-B45B-352AC098CE5E}"/>
    <cellStyle name="40% - Accent5 4 3 4 2 2 2" xfId="40048" xr:uid="{2FEB1592-F27A-4B51-BD77-4BB265F205CB}"/>
    <cellStyle name="40% - Accent5 4 3 4 2 3" xfId="32445" xr:uid="{065D5393-0FD2-4BB3-BE37-C89623F0F4ED}"/>
    <cellStyle name="40% - Accent5 4 3 4 3" xfId="25076" xr:uid="{042020A5-6A05-47C3-BC64-FA7E72BEB242}"/>
    <cellStyle name="40% - Accent5 4 3 4 3 2" xfId="40047" xr:uid="{5E7B976E-88BF-45A0-BB77-174223F964A5}"/>
    <cellStyle name="40% - Accent5 4 3 4 4" xfId="32444" xr:uid="{D616EC59-DE75-4D16-AF7B-C787EBF21605}"/>
    <cellStyle name="40% - Accent5 4 3 5" xfId="7477" xr:uid="{00000000-0005-0000-0000-0000C5100000}"/>
    <cellStyle name="40% - Accent5 4 3 5 2" xfId="25078" xr:uid="{DA7CF276-391E-44B5-BBB5-6874F6A86C00}"/>
    <cellStyle name="40% - Accent5 4 3 5 2 2" xfId="40049" xr:uid="{9CAF399E-4719-4FC7-9DA5-B22AF59E247F}"/>
    <cellStyle name="40% - Accent5 4 3 5 3" xfId="32446" xr:uid="{28E4DBAA-A876-4C16-9B4F-34984EC6BB45}"/>
    <cellStyle name="40% - Accent5 4 3 6" xfId="25071" xr:uid="{B96F9023-3206-4B0E-99D9-B9DD52A498E4}"/>
    <cellStyle name="40% - Accent5 4 3 6 2" xfId="40042" xr:uid="{A3B45ADB-5C17-4CA4-AAA1-0695D5CB8BF6}"/>
    <cellStyle name="40% - Accent5 4 3 7" xfId="32439" xr:uid="{EE8E222F-A018-4DAB-8BED-CFAD67C8560C}"/>
    <cellStyle name="40% - Accent5 4 4" xfId="7478" xr:uid="{00000000-0005-0000-0000-0000C6100000}"/>
    <cellStyle name="40% - Accent5 4 4 2" xfId="7479" xr:uid="{00000000-0005-0000-0000-0000C7100000}"/>
    <cellStyle name="40% - Accent5 4 4 2 2" xfId="7480" xr:uid="{00000000-0005-0000-0000-0000C8100000}"/>
    <cellStyle name="40% - Accent5 4 4 2 2 2" xfId="25081" xr:uid="{A27E3F86-59DF-405F-A1BF-AF67E674EBA5}"/>
    <cellStyle name="40% - Accent5 4 4 2 2 2 2" xfId="40052" xr:uid="{E8585EEA-92DA-49E9-A91D-AC7C1FFF40A9}"/>
    <cellStyle name="40% - Accent5 4 4 2 2 3" xfId="32449" xr:uid="{9A0C4198-9B96-491B-8DBC-9F3357577BDA}"/>
    <cellStyle name="40% - Accent5 4 4 2 3" xfId="7481" xr:uid="{00000000-0005-0000-0000-0000C9100000}"/>
    <cellStyle name="40% - Accent5 4 4 2 3 2" xfId="25082" xr:uid="{D650FE7D-1FF4-4E7B-AB31-F6628D42DA99}"/>
    <cellStyle name="40% - Accent5 4 4 2 3 2 2" xfId="40053" xr:uid="{16CA5082-F5AA-4C6F-AE7D-D3950FBD5C49}"/>
    <cellStyle name="40% - Accent5 4 4 2 3 3" xfId="32450" xr:uid="{754C87A4-7185-4D78-BE13-D92F01E161E5}"/>
    <cellStyle name="40% - Accent5 4 4 2 4" xfId="25080" xr:uid="{87F230AE-71B6-4CF3-AE0F-73C53C4D7E71}"/>
    <cellStyle name="40% - Accent5 4 4 2 4 2" xfId="40051" xr:uid="{95FE16E5-91D7-425E-8338-A194B6B272E2}"/>
    <cellStyle name="40% - Accent5 4 4 2 5" xfId="32448" xr:uid="{2CE4D8CA-94DF-4F63-9ADC-E079E0477EFD}"/>
    <cellStyle name="40% - Accent5 4 4 3" xfId="7482" xr:uid="{00000000-0005-0000-0000-0000CA100000}"/>
    <cellStyle name="40% - Accent5 4 4 3 2" xfId="7483" xr:uid="{00000000-0005-0000-0000-0000CB100000}"/>
    <cellStyle name="40% - Accent5 4 4 3 2 2" xfId="25084" xr:uid="{F739FFE8-85D8-4EE7-833F-FEEF82AE6CEB}"/>
    <cellStyle name="40% - Accent5 4 4 3 2 2 2" xfId="40055" xr:uid="{E65D0486-C101-424D-A2DB-0254747A1889}"/>
    <cellStyle name="40% - Accent5 4 4 3 2 3" xfId="32452" xr:uid="{926273D1-9149-4064-A611-81F0DD9EE9E5}"/>
    <cellStyle name="40% - Accent5 4 4 3 3" xfId="25083" xr:uid="{20EDF519-8F6F-494C-8384-E49C197F0532}"/>
    <cellStyle name="40% - Accent5 4 4 3 3 2" xfId="40054" xr:uid="{FB392CFD-1213-4D3F-B689-878AC1D03DF1}"/>
    <cellStyle name="40% - Accent5 4 4 3 4" xfId="32451" xr:uid="{9DE302C2-BD7A-4D15-879A-43D054618D89}"/>
    <cellStyle name="40% - Accent5 4 4 4" xfId="7484" xr:uid="{00000000-0005-0000-0000-0000CC100000}"/>
    <cellStyle name="40% - Accent5 4 4 4 2" xfId="25085" xr:uid="{C2CC71B0-B6DE-4639-9F76-A9EDE572E3D5}"/>
    <cellStyle name="40% - Accent5 4 4 4 2 2" xfId="40056" xr:uid="{334CDF65-86BE-4489-9748-4C986DF9BB41}"/>
    <cellStyle name="40% - Accent5 4 4 4 3" xfId="32453" xr:uid="{C507166E-9DAB-4A6E-B636-502901ADCB4B}"/>
    <cellStyle name="40% - Accent5 4 4 5" xfId="25079" xr:uid="{8345E48C-1787-4B89-8CCD-64551FBC9AC8}"/>
    <cellStyle name="40% - Accent5 4 4 5 2" xfId="40050" xr:uid="{DC084BFD-BA47-46C5-A9B0-8AAA37AF7F35}"/>
    <cellStyle name="40% - Accent5 4 4 6" xfId="32447" xr:uid="{62AC64FB-E654-4444-BDD9-9ECF17B516B6}"/>
    <cellStyle name="40% - Accent5 4 5" xfId="7485" xr:uid="{00000000-0005-0000-0000-0000CD100000}"/>
    <cellStyle name="40% - Accent5 4 5 2" xfId="7486" xr:uid="{00000000-0005-0000-0000-0000CE100000}"/>
    <cellStyle name="40% - Accent5 4 5 2 2" xfId="7487" xr:uid="{00000000-0005-0000-0000-0000CF100000}"/>
    <cellStyle name="40% - Accent5 4 5 2 2 2" xfId="25088" xr:uid="{4081475F-058A-4B1D-B800-37D5FC86E350}"/>
    <cellStyle name="40% - Accent5 4 5 2 2 2 2" xfId="40059" xr:uid="{7AEBEA63-E168-40D9-B61F-43E3F66C100D}"/>
    <cellStyle name="40% - Accent5 4 5 2 2 3" xfId="32456" xr:uid="{A6232864-7679-470C-B0E3-CA8110BF2CBE}"/>
    <cellStyle name="40% - Accent5 4 5 2 3" xfId="7488" xr:uid="{00000000-0005-0000-0000-0000D0100000}"/>
    <cellStyle name="40% - Accent5 4 5 2 3 2" xfId="25089" xr:uid="{D34D61D1-E460-483A-B3C8-8A1039DD46F1}"/>
    <cellStyle name="40% - Accent5 4 5 2 3 2 2" xfId="40060" xr:uid="{906944C5-60E4-48E5-8841-CF4601E98C11}"/>
    <cellStyle name="40% - Accent5 4 5 2 3 3" xfId="32457" xr:uid="{78CBCD0A-89A2-4C8E-8A34-4DA6753154F0}"/>
    <cellStyle name="40% - Accent5 4 5 2 4" xfId="25087" xr:uid="{D3E2ABBF-E796-4EC7-A3D5-7D7EBBD0892D}"/>
    <cellStyle name="40% - Accent5 4 5 2 4 2" xfId="40058" xr:uid="{9C828747-D0CC-4A04-85E8-C2486CB33DEC}"/>
    <cellStyle name="40% - Accent5 4 5 2 5" xfId="32455" xr:uid="{DE38A482-8AC4-41FB-B598-B743189BF025}"/>
    <cellStyle name="40% - Accent5 4 5 3" xfId="7489" xr:uid="{00000000-0005-0000-0000-0000D1100000}"/>
    <cellStyle name="40% - Accent5 4 5 3 2" xfId="7490" xr:uid="{00000000-0005-0000-0000-0000D2100000}"/>
    <cellStyle name="40% - Accent5 4 5 3 2 2" xfId="25091" xr:uid="{51C66DEA-8213-438F-8900-8C001633ECA1}"/>
    <cellStyle name="40% - Accent5 4 5 3 2 2 2" xfId="40062" xr:uid="{68ED6B6F-87F9-48BD-A303-A947363864A2}"/>
    <cellStyle name="40% - Accent5 4 5 3 2 3" xfId="32459" xr:uid="{7DB75126-E604-4962-8EA6-2FE2D283BF6C}"/>
    <cellStyle name="40% - Accent5 4 5 3 3" xfId="25090" xr:uid="{7534F32F-2AE2-4040-B8CB-E4449CFD02CB}"/>
    <cellStyle name="40% - Accent5 4 5 3 3 2" xfId="40061" xr:uid="{2E21ECE8-FEE3-46D0-B982-9A280F89F656}"/>
    <cellStyle name="40% - Accent5 4 5 3 4" xfId="32458" xr:uid="{3F9F2E0B-797A-4FCC-8FF2-23CE5E161ECF}"/>
    <cellStyle name="40% - Accent5 4 5 4" xfId="7491" xr:uid="{00000000-0005-0000-0000-0000D3100000}"/>
    <cellStyle name="40% - Accent5 4 5 4 2" xfId="25092" xr:uid="{21AFDC0C-8732-4DE6-82C1-FC389CE95554}"/>
    <cellStyle name="40% - Accent5 4 5 4 2 2" xfId="40063" xr:uid="{D45BEE8B-587A-4786-8DDB-94501F5E2AD7}"/>
    <cellStyle name="40% - Accent5 4 5 4 3" xfId="32460" xr:uid="{F27087DE-BE29-4E61-A5F0-49A333E394CD}"/>
    <cellStyle name="40% - Accent5 4 5 5" xfId="25086" xr:uid="{406222A0-351D-4A60-8770-168AF68E5E4B}"/>
    <cellStyle name="40% - Accent5 4 5 5 2" xfId="40057" xr:uid="{316883BF-3D54-4685-BE5F-2932B79FD987}"/>
    <cellStyle name="40% - Accent5 4 5 6" xfId="32454" xr:uid="{B5EB65CB-1037-4EF2-B50C-794977834DA5}"/>
    <cellStyle name="40% - Accent5 4 6" xfId="7492" xr:uid="{00000000-0005-0000-0000-0000D4100000}"/>
    <cellStyle name="40% - Accent5 4 6 2" xfId="7493" xr:uid="{00000000-0005-0000-0000-0000D5100000}"/>
    <cellStyle name="40% - Accent5 4 6 2 2" xfId="25094" xr:uid="{0E1C0667-1C08-4402-8424-87DE840496E8}"/>
    <cellStyle name="40% - Accent5 4 6 2 2 2" xfId="40065" xr:uid="{C2A31D04-81BA-48C5-AFE7-00B1B019B82C}"/>
    <cellStyle name="40% - Accent5 4 6 2 3" xfId="32462" xr:uid="{C73882E7-3766-439F-AE53-8CBB21568B90}"/>
    <cellStyle name="40% - Accent5 4 6 3" xfId="7494" xr:uid="{00000000-0005-0000-0000-0000D6100000}"/>
    <cellStyle name="40% - Accent5 4 6 3 2" xfId="25095" xr:uid="{F9493E85-400C-421B-8727-2E3C53894F18}"/>
    <cellStyle name="40% - Accent5 4 6 3 2 2" xfId="40066" xr:uid="{F8385D10-36F0-489E-9350-734408522CF7}"/>
    <cellStyle name="40% - Accent5 4 6 3 3" xfId="32463" xr:uid="{D83FA50F-D722-4576-AAB4-63C9C2FA18FE}"/>
    <cellStyle name="40% - Accent5 4 6 4" xfId="25093" xr:uid="{2912CA2E-B660-4A94-B152-5FBDEF80F61C}"/>
    <cellStyle name="40% - Accent5 4 6 4 2" xfId="40064" xr:uid="{4E285667-D00E-41BA-A198-EE895D5E3F71}"/>
    <cellStyle name="40% - Accent5 4 6 5" xfId="32461" xr:uid="{41324D4F-BDCE-424D-8D18-85314CB8B96B}"/>
    <cellStyle name="40% - Accent5 4 7" xfId="7495" xr:uid="{00000000-0005-0000-0000-0000D7100000}"/>
    <cellStyle name="40% - Accent5 4 7 2" xfId="25096" xr:uid="{B026C301-E5B4-4992-8F22-D4C84B915C37}"/>
    <cellStyle name="40% - Accent5 4 7 2 2" xfId="40067" xr:uid="{14308E49-A568-421C-A572-4218A38822FA}"/>
    <cellStyle name="40% - Accent5 4 7 3" xfId="32464" xr:uid="{030EC4F5-AEFC-4C93-B8B0-7FF9D43DF9A5}"/>
    <cellStyle name="40% - Accent5 4 8" xfId="7496" xr:uid="{00000000-0005-0000-0000-0000D8100000}"/>
    <cellStyle name="40% - Accent5 4 8 2" xfId="7497" xr:uid="{00000000-0005-0000-0000-0000D9100000}"/>
    <cellStyle name="40% - Accent5 4 8 2 2" xfId="25098" xr:uid="{F834B6C9-8663-4585-94E6-95405AEEFB85}"/>
    <cellStyle name="40% - Accent5 4 8 2 2 2" xfId="40069" xr:uid="{9A5AC819-A7A4-4146-B133-035A183B2B30}"/>
    <cellStyle name="40% - Accent5 4 8 2 3" xfId="32466" xr:uid="{9F039EC5-4A05-4F34-890E-220D330A0F25}"/>
    <cellStyle name="40% - Accent5 4 8 3" xfId="25097" xr:uid="{2A9AA344-9D66-407E-9C7C-8A9A5E230F97}"/>
    <cellStyle name="40% - Accent5 4 8 3 2" xfId="40068" xr:uid="{C0D04FCE-5FF8-433A-A1FD-CF4FC284DECC}"/>
    <cellStyle name="40% - Accent5 4 8 4" xfId="32465" xr:uid="{50A5268C-20A5-4388-8268-5DA914A1CBD7}"/>
    <cellStyle name="40% - Accent5 4 9" xfId="7498" xr:uid="{00000000-0005-0000-0000-0000DA100000}"/>
    <cellStyle name="40% - Accent5 4 9 2" xfId="25099" xr:uid="{D929317A-98A0-4CB4-942A-572E6536E8E6}"/>
    <cellStyle name="40% - Accent5 4 9 2 2" xfId="40070" xr:uid="{52C7B448-4D87-4FB0-A455-14BCCA02542E}"/>
    <cellStyle name="40% - Accent5 4 9 3" xfId="32467" xr:uid="{D397C3E3-C249-457E-B07F-E53030DE35D9}"/>
    <cellStyle name="40% - Accent5 5" xfId="248" xr:uid="{00000000-0005-0000-0000-000057000000}"/>
    <cellStyle name="40% - Accent5 5 2" xfId="7500" xr:uid="{00000000-0005-0000-0000-0000DC100000}"/>
    <cellStyle name="40% - Accent5 5 2 2" xfId="7501" xr:uid="{00000000-0005-0000-0000-0000DD100000}"/>
    <cellStyle name="40% - Accent5 5 2 2 2" xfId="7502" xr:uid="{00000000-0005-0000-0000-0000DE100000}"/>
    <cellStyle name="40% - Accent5 5 2 2 2 2" xfId="7503" xr:uid="{00000000-0005-0000-0000-0000DF100000}"/>
    <cellStyle name="40% - Accent5 5 2 2 2 2 2" xfId="7504" xr:uid="{00000000-0005-0000-0000-0000E0100000}"/>
    <cellStyle name="40% - Accent5 5 2 2 2 2 2 2" xfId="25104" xr:uid="{16CB2731-E4ED-41F1-A061-2C09848C5AF9}"/>
    <cellStyle name="40% - Accent5 5 2 2 2 2 2 2 2" xfId="40075" xr:uid="{ED43604A-D4F0-40E1-8CF2-1147F94CA568}"/>
    <cellStyle name="40% - Accent5 5 2 2 2 2 2 3" xfId="32472" xr:uid="{9F3A4CE0-37A0-4D86-92C1-613F1D247A75}"/>
    <cellStyle name="40% - Accent5 5 2 2 2 2 3" xfId="7505" xr:uid="{00000000-0005-0000-0000-0000E1100000}"/>
    <cellStyle name="40% - Accent5 5 2 2 2 2 3 2" xfId="25105" xr:uid="{F41F4463-E290-4DE0-A606-7E4A8F762571}"/>
    <cellStyle name="40% - Accent5 5 2 2 2 2 3 2 2" xfId="40076" xr:uid="{B3B32521-DD77-40BE-B002-827FAE43A248}"/>
    <cellStyle name="40% - Accent5 5 2 2 2 2 3 3" xfId="32473" xr:uid="{718C71ED-32C7-4731-BB6E-B0629B904959}"/>
    <cellStyle name="40% - Accent5 5 2 2 2 2 4" xfId="25103" xr:uid="{6372088A-6A5A-4E34-A950-3E54E061A3D6}"/>
    <cellStyle name="40% - Accent5 5 2 2 2 2 4 2" xfId="40074" xr:uid="{A7F57355-99CF-42E1-9FE5-004AAEC26C82}"/>
    <cellStyle name="40% - Accent5 5 2 2 2 2 5" xfId="32471" xr:uid="{F473A9D1-D740-467E-AC5F-106F4A234A48}"/>
    <cellStyle name="40% - Accent5 5 2 2 2 3" xfId="7506" xr:uid="{00000000-0005-0000-0000-0000E2100000}"/>
    <cellStyle name="40% - Accent5 5 2 2 2 3 2" xfId="7507" xr:uid="{00000000-0005-0000-0000-0000E3100000}"/>
    <cellStyle name="40% - Accent5 5 2 2 2 3 2 2" xfId="25107" xr:uid="{1474BED8-338D-469F-A861-6AC41F542F16}"/>
    <cellStyle name="40% - Accent5 5 2 2 2 3 2 2 2" xfId="40078" xr:uid="{F4209883-AC32-4EEE-A8F8-4682ADA90229}"/>
    <cellStyle name="40% - Accent5 5 2 2 2 3 2 3" xfId="32475" xr:uid="{76D76895-E7C9-44D1-9146-EECF850F0E40}"/>
    <cellStyle name="40% - Accent5 5 2 2 2 3 3" xfId="25106" xr:uid="{8A7D877A-B6A1-4BEB-AD43-6FF9FBD6F0B4}"/>
    <cellStyle name="40% - Accent5 5 2 2 2 3 3 2" xfId="40077" xr:uid="{7BED7EE1-0C96-43D6-B9FA-CCBD2C52AD17}"/>
    <cellStyle name="40% - Accent5 5 2 2 2 3 4" xfId="32474" xr:uid="{148450BC-E57E-4B1C-A8E6-63945B1D25EA}"/>
    <cellStyle name="40% - Accent5 5 2 2 2 4" xfId="7508" xr:uid="{00000000-0005-0000-0000-0000E4100000}"/>
    <cellStyle name="40% - Accent5 5 2 2 2 4 2" xfId="25108" xr:uid="{51083D4F-1D40-4457-BA03-28DE515EEFCC}"/>
    <cellStyle name="40% - Accent5 5 2 2 2 4 2 2" xfId="40079" xr:uid="{95EA514D-D3E7-4D1C-B342-C914C1BAE9B5}"/>
    <cellStyle name="40% - Accent5 5 2 2 2 4 3" xfId="32476" xr:uid="{866C06C3-143E-4DE8-BE36-B60092556B7D}"/>
    <cellStyle name="40% - Accent5 5 2 2 2 5" xfId="25102" xr:uid="{B7F2DC1C-E80C-4FCB-8D6B-B7D29DA5EBB5}"/>
    <cellStyle name="40% - Accent5 5 2 2 2 5 2" xfId="40073" xr:uid="{3295DAEF-F04E-4227-810F-2B5E34216C0C}"/>
    <cellStyle name="40% - Accent5 5 2 2 2 6" xfId="32470" xr:uid="{C362D090-A87D-4DB9-B3F4-BBF427B6F5BB}"/>
    <cellStyle name="40% - Accent5 5 2 2 3" xfId="7509" xr:uid="{00000000-0005-0000-0000-0000E5100000}"/>
    <cellStyle name="40% - Accent5 5 2 2 3 2" xfId="7510" xr:uid="{00000000-0005-0000-0000-0000E6100000}"/>
    <cellStyle name="40% - Accent5 5 2 2 3 2 2" xfId="25110" xr:uid="{4BA8C26C-9CF7-413B-A8D5-9124F1AB896D}"/>
    <cellStyle name="40% - Accent5 5 2 2 3 2 2 2" xfId="40081" xr:uid="{F62DECB4-9A76-483A-B530-E89CE509A1D8}"/>
    <cellStyle name="40% - Accent5 5 2 2 3 2 3" xfId="32478" xr:uid="{670C7069-16DC-4028-93BB-687C67AF1BDD}"/>
    <cellStyle name="40% - Accent5 5 2 2 3 3" xfId="7511" xr:uid="{00000000-0005-0000-0000-0000E7100000}"/>
    <cellStyle name="40% - Accent5 5 2 2 3 3 2" xfId="25111" xr:uid="{7AD0BB93-72BF-4596-9182-0CA6839FB9CB}"/>
    <cellStyle name="40% - Accent5 5 2 2 3 3 2 2" xfId="40082" xr:uid="{9DDF5B7D-3291-45C7-BD69-8CDD093D5903}"/>
    <cellStyle name="40% - Accent5 5 2 2 3 3 3" xfId="32479" xr:uid="{FEB506FB-DE5C-40BB-94AB-EDAC482CB9DE}"/>
    <cellStyle name="40% - Accent5 5 2 2 3 4" xfId="25109" xr:uid="{69705347-EEEB-4069-BB0C-A1C2352A7BD2}"/>
    <cellStyle name="40% - Accent5 5 2 2 3 4 2" xfId="40080" xr:uid="{B58DFF84-8D6F-45BA-83D1-0432E161ADB8}"/>
    <cellStyle name="40% - Accent5 5 2 2 3 5" xfId="32477" xr:uid="{5C8D5C54-8D5D-44DE-90B0-D56AFEF674C4}"/>
    <cellStyle name="40% - Accent5 5 2 2 4" xfId="7512" xr:uid="{00000000-0005-0000-0000-0000E8100000}"/>
    <cellStyle name="40% - Accent5 5 2 2 4 2" xfId="25112" xr:uid="{85D1FABF-6F82-4909-9F6F-71C5493FDA12}"/>
    <cellStyle name="40% - Accent5 5 2 2 4 2 2" xfId="40083" xr:uid="{9448EBB3-7213-4BC2-A122-0D0FC239CECA}"/>
    <cellStyle name="40% - Accent5 5 2 2 4 3" xfId="32480" xr:uid="{31C663F0-B0B5-4DDD-91CC-160C3CE18C7C}"/>
    <cellStyle name="40% - Accent5 5 2 2 5" xfId="7513" xr:uid="{00000000-0005-0000-0000-0000E9100000}"/>
    <cellStyle name="40% - Accent5 5 2 2 5 2" xfId="7514" xr:uid="{00000000-0005-0000-0000-0000EA100000}"/>
    <cellStyle name="40% - Accent5 5 2 2 5 2 2" xfId="25114" xr:uid="{06F0B375-CB4F-4F06-ACE9-EA6B16AA2831}"/>
    <cellStyle name="40% - Accent5 5 2 2 5 2 2 2" xfId="40085" xr:uid="{C492FB90-3C57-43B6-A3D4-484A9AE4A72F}"/>
    <cellStyle name="40% - Accent5 5 2 2 5 2 3" xfId="32482" xr:uid="{9AB306DC-E35D-4868-9481-3D79CC07F023}"/>
    <cellStyle name="40% - Accent5 5 2 2 5 3" xfId="25113" xr:uid="{7F121C7A-6592-4CCA-A92C-A09D217F41F5}"/>
    <cellStyle name="40% - Accent5 5 2 2 5 3 2" xfId="40084" xr:uid="{48CE62B7-B0CF-433E-A465-A49AFAE492BC}"/>
    <cellStyle name="40% - Accent5 5 2 2 5 4" xfId="32481" xr:uid="{06FB5DB7-E92C-4E58-817C-1A1EC2681DCF}"/>
    <cellStyle name="40% - Accent5 5 2 2 6" xfId="7515" xr:uid="{00000000-0005-0000-0000-0000EB100000}"/>
    <cellStyle name="40% - Accent5 5 2 2 6 2" xfId="25115" xr:uid="{2A891018-05BA-4F7D-AB6D-3347105C0A31}"/>
    <cellStyle name="40% - Accent5 5 2 2 6 2 2" xfId="40086" xr:uid="{4D3AF445-B7F5-49C6-BDCD-73200ECFDEBA}"/>
    <cellStyle name="40% - Accent5 5 2 2 6 3" xfId="32483" xr:uid="{43C34165-383D-4CFD-BD3E-29CD69B1ED06}"/>
    <cellStyle name="40% - Accent5 5 2 2 7" xfId="25101" xr:uid="{713E8B57-3967-4BA9-98F7-CB9B4FF2BE5B}"/>
    <cellStyle name="40% - Accent5 5 2 2 7 2" xfId="40072" xr:uid="{EE96660A-8F0B-4448-BE58-032EAC418D57}"/>
    <cellStyle name="40% - Accent5 5 2 2 8" xfId="32469" xr:uid="{38946D96-14DF-4E9A-8200-CAB52D03DF6D}"/>
    <cellStyle name="40% - Accent5 5 2 3" xfId="7516" xr:uid="{00000000-0005-0000-0000-0000EC100000}"/>
    <cellStyle name="40% - Accent5 5 2 3 2" xfId="7517" xr:uid="{00000000-0005-0000-0000-0000ED100000}"/>
    <cellStyle name="40% - Accent5 5 2 3 2 2" xfId="7518" xr:uid="{00000000-0005-0000-0000-0000EE100000}"/>
    <cellStyle name="40% - Accent5 5 2 3 2 2 2" xfId="25118" xr:uid="{D04603F9-2055-4241-853A-D11A89D8DCDB}"/>
    <cellStyle name="40% - Accent5 5 2 3 2 2 2 2" xfId="40089" xr:uid="{34374E01-22B0-41D4-BD53-187D24666124}"/>
    <cellStyle name="40% - Accent5 5 2 3 2 2 3" xfId="32486" xr:uid="{0727A561-5321-438C-BEB0-03E05E7C2F17}"/>
    <cellStyle name="40% - Accent5 5 2 3 2 3" xfId="7519" xr:uid="{00000000-0005-0000-0000-0000EF100000}"/>
    <cellStyle name="40% - Accent5 5 2 3 2 3 2" xfId="25119" xr:uid="{1EFD864B-6909-4114-B079-BDA059D32A99}"/>
    <cellStyle name="40% - Accent5 5 2 3 2 3 2 2" xfId="40090" xr:uid="{5BCD2954-8B61-4890-816B-C9A3C2083661}"/>
    <cellStyle name="40% - Accent5 5 2 3 2 3 3" xfId="32487" xr:uid="{22702131-24CC-4947-9B7F-D343A7A5F9AA}"/>
    <cellStyle name="40% - Accent5 5 2 3 2 4" xfId="25117" xr:uid="{A2D33D2A-830C-4C36-AC86-10FBA28093D2}"/>
    <cellStyle name="40% - Accent5 5 2 3 2 4 2" xfId="40088" xr:uid="{8E321FB2-A5FA-4E13-BBEA-00305C1765E6}"/>
    <cellStyle name="40% - Accent5 5 2 3 2 5" xfId="32485" xr:uid="{D5C48924-1471-4062-8288-5F0F18723360}"/>
    <cellStyle name="40% - Accent5 5 2 3 3" xfId="7520" xr:uid="{00000000-0005-0000-0000-0000F0100000}"/>
    <cellStyle name="40% - Accent5 5 2 3 3 2" xfId="7521" xr:uid="{00000000-0005-0000-0000-0000F1100000}"/>
    <cellStyle name="40% - Accent5 5 2 3 3 2 2" xfId="25121" xr:uid="{E440EAC4-2236-4258-B4D5-92FF154C6015}"/>
    <cellStyle name="40% - Accent5 5 2 3 3 2 2 2" xfId="40092" xr:uid="{ACD4F2F0-218C-43B7-9B52-9DDDB70CA558}"/>
    <cellStyle name="40% - Accent5 5 2 3 3 2 3" xfId="32489" xr:uid="{8AFB8218-3552-44B3-9447-22CE93FA7A91}"/>
    <cellStyle name="40% - Accent5 5 2 3 3 3" xfId="25120" xr:uid="{41481D74-6F47-4A00-90AD-5E8C8FC010F5}"/>
    <cellStyle name="40% - Accent5 5 2 3 3 3 2" xfId="40091" xr:uid="{263E667D-F0E0-4399-9D2A-9AC7182FA51D}"/>
    <cellStyle name="40% - Accent5 5 2 3 3 4" xfId="32488" xr:uid="{3BBA2329-D4B5-4C0B-9F62-DA1C223C1623}"/>
    <cellStyle name="40% - Accent5 5 2 3 4" xfId="7522" xr:uid="{00000000-0005-0000-0000-0000F2100000}"/>
    <cellStyle name="40% - Accent5 5 2 3 4 2" xfId="25122" xr:uid="{F0FE2373-53EF-4D51-97D5-A21D04FF897A}"/>
    <cellStyle name="40% - Accent5 5 2 3 4 2 2" xfId="40093" xr:uid="{FBC0B94F-108B-44C6-A40C-243AFE36083F}"/>
    <cellStyle name="40% - Accent5 5 2 3 4 3" xfId="32490" xr:uid="{D496F2CD-75FF-412A-AB97-0624C1AABEB0}"/>
    <cellStyle name="40% - Accent5 5 2 3 5" xfId="25116" xr:uid="{687C0E7B-7F40-4E5A-A0AA-BA9D4F29BFBA}"/>
    <cellStyle name="40% - Accent5 5 2 3 5 2" xfId="40087" xr:uid="{1B62AB08-3707-498C-9E35-A11421B8940E}"/>
    <cellStyle name="40% - Accent5 5 2 3 6" xfId="32484" xr:uid="{256889E0-CEC1-44C7-A54B-74CBE9A221EE}"/>
    <cellStyle name="40% - Accent5 5 2 4" xfId="7523" xr:uid="{00000000-0005-0000-0000-0000F3100000}"/>
    <cellStyle name="40% - Accent5 5 2 5" xfId="7524" xr:uid="{00000000-0005-0000-0000-0000F4100000}"/>
    <cellStyle name="40% - Accent5 5 2 5 2" xfId="25123" xr:uid="{8749C8A2-7521-4421-B174-02460D74029E}"/>
    <cellStyle name="40% - Accent5 5 2 5 2 2" xfId="40094" xr:uid="{57D41C69-2E20-453E-A10F-9B92DB10330D}"/>
    <cellStyle name="40% - Accent5 5 2 5 3" xfId="32491" xr:uid="{BBB71659-A2B4-49D9-8832-1073EFB992AC}"/>
    <cellStyle name="40% - Accent5 5 3" xfId="7525" xr:uid="{00000000-0005-0000-0000-0000F5100000}"/>
    <cellStyle name="40% - Accent5 5 3 2" xfId="7526" xr:uid="{00000000-0005-0000-0000-0000F6100000}"/>
    <cellStyle name="40% - Accent5 5 3 2 2" xfId="7527" xr:uid="{00000000-0005-0000-0000-0000F7100000}"/>
    <cellStyle name="40% - Accent5 5 3 2 2 2" xfId="25126" xr:uid="{A95EF89A-B932-4CA2-A013-5DA2BF8B5D35}"/>
    <cellStyle name="40% - Accent5 5 3 2 2 2 2" xfId="40097" xr:uid="{3E245698-EB30-44BA-AD90-1F6D9D9AFF81}"/>
    <cellStyle name="40% - Accent5 5 3 2 2 3" xfId="32494" xr:uid="{8FBE38CF-912E-461D-B654-073B8F4FB89A}"/>
    <cellStyle name="40% - Accent5 5 3 2 3" xfId="7528" xr:uid="{00000000-0005-0000-0000-0000F8100000}"/>
    <cellStyle name="40% - Accent5 5 3 2 3 2" xfId="25127" xr:uid="{7417D854-948F-47FA-A313-6C6E444AA6E9}"/>
    <cellStyle name="40% - Accent5 5 3 2 3 2 2" xfId="40098" xr:uid="{3240FF56-47FF-4D6B-9FCF-7B87F6A6AAB3}"/>
    <cellStyle name="40% - Accent5 5 3 2 3 3" xfId="32495" xr:uid="{8F551CEE-3C08-4F4A-B91C-01175C0A8A59}"/>
    <cellStyle name="40% - Accent5 5 3 2 4" xfId="25125" xr:uid="{A90B478C-43A4-47A7-8017-4B53247FBF7B}"/>
    <cellStyle name="40% - Accent5 5 3 2 4 2" xfId="40096" xr:uid="{29BC152C-737F-45A0-ABD7-7A9941375EB8}"/>
    <cellStyle name="40% - Accent5 5 3 2 5" xfId="32493" xr:uid="{0462940C-ABA7-44AE-A4E7-CF41C0356243}"/>
    <cellStyle name="40% - Accent5 5 3 3" xfId="7529" xr:uid="{00000000-0005-0000-0000-0000F9100000}"/>
    <cellStyle name="40% - Accent5 5 3 3 2" xfId="25128" xr:uid="{730385AE-E63A-4D94-9E56-8B81065E158D}"/>
    <cellStyle name="40% - Accent5 5 3 3 2 2" xfId="40099" xr:uid="{87B28675-3D6D-464B-986E-92E054EF2E01}"/>
    <cellStyle name="40% - Accent5 5 3 3 3" xfId="32496" xr:uid="{5AD2016F-ED15-44E5-AE2B-609D6BCF1252}"/>
    <cellStyle name="40% - Accent5 5 3 4" xfId="7530" xr:uid="{00000000-0005-0000-0000-0000FA100000}"/>
    <cellStyle name="40% - Accent5 5 3 4 2" xfId="7531" xr:uid="{00000000-0005-0000-0000-0000FB100000}"/>
    <cellStyle name="40% - Accent5 5 3 4 2 2" xfId="25130" xr:uid="{DC4AA439-6561-43D7-AC15-162EC5DA6162}"/>
    <cellStyle name="40% - Accent5 5 3 4 2 2 2" xfId="40101" xr:uid="{86BB53BA-0993-4DD9-9F8E-ED148D2E4922}"/>
    <cellStyle name="40% - Accent5 5 3 4 2 3" xfId="32498" xr:uid="{52584059-3867-40DE-84E6-D68F9A5AB4D7}"/>
    <cellStyle name="40% - Accent5 5 3 4 3" xfId="25129" xr:uid="{3CFCFCC3-8277-4EA0-8B7B-F19EB997B592}"/>
    <cellStyle name="40% - Accent5 5 3 4 3 2" xfId="40100" xr:uid="{00DC749E-5F6E-43DE-85ED-50C98A0FE149}"/>
    <cellStyle name="40% - Accent5 5 3 4 4" xfId="32497" xr:uid="{E5A0F482-5800-4A98-B0D2-C4D3ADA144C4}"/>
    <cellStyle name="40% - Accent5 5 3 5" xfId="7532" xr:uid="{00000000-0005-0000-0000-0000FC100000}"/>
    <cellStyle name="40% - Accent5 5 3 5 2" xfId="25131" xr:uid="{9A286002-DDA8-4F25-A5EB-B3BE3C84C4D1}"/>
    <cellStyle name="40% - Accent5 5 3 5 2 2" xfId="40102" xr:uid="{80BD3A3F-FE9E-45AB-A291-ADCEE8719039}"/>
    <cellStyle name="40% - Accent5 5 3 5 3" xfId="32499" xr:uid="{8FC3BFBD-6963-4EDE-9324-BFADB7553484}"/>
    <cellStyle name="40% - Accent5 5 3 6" xfId="25124" xr:uid="{F45A629B-D8D8-4E63-9DB3-A0B1253F7C01}"/>
    <cellStyle name="40% - Accent5 5 3 6 2" xfId="40095" xr:uid="{F1A2DF28-D66B-4286-B403-9DC1E3F414DF}"/>
    <cellStyle name="40% - Accent5 5 3 7" xfId="32492" xr:uid="{D220C3AA-EE4D-4DA5-BE80-426CDAF4B1CA}"/>
    <cellStyle name="40% - Accent5 5 4" xfId="7533" xr:uid="{00000000-0005-0000-0000-0000FD100000}"/>
    <cellStyle name="40% - Accent5 5 4 2" xfId="7534" xr:uid="{00000000-0005-0000-0000-0000FE100000}"/>
    <cellStyle name="40% - Accent5 5 4 2 2" xfId="7535" xr:uid="{00000000-0005-0000-0000-0000FF100000}"/>
    <cellStyle name="40% - Accent5 5 4 2 2 2" xfId="25134" xr:uid="{AB33EB32-6E4F-4B7C-9D76-65529ABCEE0A}"/>
    <cellStyle name="40% - Accent5 5 4 2 2 2 2" xfId="40105" xr:uid="{BE0C7A3C-3603-4917-A72B-78F25F23A695}"/>
    <cellStyle name="40% - Accent5 5 4 2 2 3" xfId="32502" xr:uid="{7BAC2D62-CD0F-4F19-AC41-F458165C8C4F}"/>
    <cellStyle name="40% - Accent5 5 4 2 3" xfId="7536" xr:uid="{00000000-0005-0000-0000-000000110000}"/>
    <cellStyle name="40% - Accent5 5 4 2 3 2" xfId="25135" xr:uid="{852BC653-33BE-4CC6-BE09-1BDF608547FE}"/>
    <cellStyle name="40% - Accent5 5 4 2 3 2 2" xfId="40106" xr:uid="{735E0A01-D5CB-486A-9E4C-6627D4494471}"/>
    <cellStyle name="40% - Accent5 5 4 2 3 3" xfId="32503" xr:uid="{00E0D189-044C-436D-823C-7B51FD370712}"/>
    <cellStyle name="40% - Accent5 5 4 2 4" xfId="25133" xr:uid="{27AA6CD0-A997-4BD1-B0E6-BD584F85B140}"/>
    <cellStyle name="40% - Accent5 5 4 2 4 2" xfId="40104" xr:uid="{524085BD-1D2F-4DE2-8589-9CE89E77E117}"/>
    <cellStyle name="40% - Accent5 5 4 2 5" xfId="32501" xr:uid="{D820E1F6-046A-4EF5-A1E6-C9F39634F9C5}"/>
    <cellStyle name="40% - Accent5 5 4 3" xfId="7537" xr:uid="{00000000-0005-0000-0000-000001110000}"/>
    <cellStyle name="40% - Accent5 5 4 3 2" xfId="7538" xr:uid="{00000000-0005-0000-0000-000002110000}"/>
    <cellStyle name="40% - Accent5 5 4 3 2 2" xfId="25137" xr:uid="{A5CC53ED-878A-46A7-8155-FA0F6366A988}"/>
    <cellStyle name="40% - Accent5 5 4 3 2 2 2" xfId="40108" xr:uid="{3E690832-2329-4665-A565-7B6FD84DF176}"/>
    <cellStyle name="40% - Accent5 5 4 3 2 3" xfId="32505" xr:uid="{9F0EB9B4-1849-47B8-8F70-58567D66C9E8}"/>
    <cellStyle name="40% - Accent5 5 4 3 3" xfId="25136" xr:uid="{4660C79F-1D32-4F4A-B205-AA9C79A57435}"/>
    <cellStyle name="40% - Accent5 5 4 3 3 2" xfId="40107" xr:uid="{3F59C918-B6D9-4CF5-9588-80865B109F58}"/>
    <cellStyle name="40% - Accent5 5 4 3 4" xfId="32504" xr:uid="{41AACB0A-1F1B-4588-88DD-3B0C82C7A9B9}"/>
    <cellStyle name="40% - Accent5 5 4 4" xfId="7539" xr:uid="{00000000-0005-0000-0000-000003110000}"/>
    <cellStyle name="40% - Accent5 5 4 4 2" xfId="25138" xr:uid="{1FDBCE23-C4F0-4BC7-B263-95E182DF0F17}"/>
    <cellStyle name="40% - Accent5 5 4 4 2 2" xfId="40109" xr:uid="{F8189E10-C2ED-4404-BA12-B9022D017A3B}"/>
    <cellStyle name="40% - Accent5 5 4 4 3" xfId="32506" xr:uid="{4633FFAE-7F2C-47B6-A8EF-2C14AB0398C0}"/>
    <cellStyle name="40% - Accent5 5 4 5" xfId="25132" xr:uid="{444E0291-2402-416F-9BF1-CA97C7CBA50D}"/>
    <cellStyle name="40% - Accent5 5 4 5 2" xfId="40103" xr:uid="{D376B735-B4DD-4AC2-878A-8DCF06B88429}"/>
    <cellStyle name="40% - Accent5 5 4 6" xfId="32500" xr:uid="{AC41E6D1-FADB-4702-94D0-8DEB3C8785AF}"/>
    <cellStyle name="40% - Accent5 5 5" xfId="7540" xr:uid="{00000000-0005-0000-0000-000004110000}"/>
    <cellStyle name="40% - Accent5 5 5 2" xfId="7541" xr:uid="{00000000-0005-0000-0000-000005110000}"/>
    <cellStyle name="40% - Accent5 5 5 2 2" xfId="25140" xr:uid="{D6CCB19F-04AB-4BAB-BDF8-90CCC1E8467A}"/>
    <cellStyle name="40% - Accent5 5 5 2 2 2" xfId="40111" xr:uid="{FE66838E-3148-4F4C-AE10-8DB9026CA003}"/>
    <cellStyle name="40% - Accent5 5 5 2 3" xfId="32508" xr:uid="{9D630BC9-A9C3-4984-91EC-D3B48BC13632}"/>
    <cellStyle name="40% - Accent5 5 5 3" xfId="7542" xr:uid="{00000000-0005-0000-0000-000006110000}"/>
    <cellStyle name="40% - Accent5 5 5 3 2" xfId="25141" xr:uid="{6F40DC99-F471-46D3-9818-5B1D9054103B}"/>
    <cellStyle name="40% - Accent5 5 5 3 2 2" xfId="40112" xr:uid="{0D6D0522-6379-4D00-A9EF-6BAA6562A14F}"/>
    <cellStyle name="40% - Accent5 5 5 3 3" xfId="32509" xr:uid="{2D724C21-3012-4790-B753-A1015AB4E7D3}"/>
    <cellStyle name="40% - Accent5 5 5 4" xfId="25139" xr:uid="{7C69D0FC-3586-44BC-AD4C-E096470E319F}"/>
    <cellStyle name="40% - Accent5 5 5 4 2" xfId="40110" xr:uid="{C7531D6D-EB3B-4A50-89CD-501F85B2FAB6}"/>
    <cellStyle name="40% - Accent5 5 5 5" xfId="32507" xr:uid="{5CCDBDE6-9670-44B1-A2D4-DF5974A540D1}"/>
    <cellStyle name="40% - Accent5 5 6" xfId="7543" xr:uid="{00000000-0005-0000-0000-000007110000}"/>
    <cellStyle name="40% - Accent5 5 6 2" xfId="25142" xr:uid="{8A4B8CD4-CFCE-432B-90DE-418D07E91D23}"/>
    <cellStyle name="40% - Accent5 5 6 2 2" xfId="40113" xr:uid="{836022C8-07E4-491C-8C8A-769946970C75}"/>
    <cellStyle name="40% - Accent5 5 6 3" xfId="32510" xr:uid="{7BC7B778-8C3A-4150-9CCB-F6690B4CD9CF}"/>
    <cellStyle name="40% - Accent5 5 7" xfId="7544" xr:uid="{00000000-0005-0000-0000-000008110000}"/>
    <cellStyle name="40% - Accent5 5 7 2" xfId="7545" xr:uid="{00000000-0005-0000-0000-000009110000}"/>
    <cellStyle name="40% - Accent5 5 7 2 2" xfId="25144" xr:uid="{5E8A9DA3-DD09-44FB-AB60-144B719293B1}"/>
    <cellStyle name="40% - Accent5 5 7 2 2 2" xfId="40115" xr:uid="{1CA3C812-9767-4EEB-8B23-90881E8F2C11}"/>
    <cellStyle name="40% - Accent5 5 7 2 3" xfId="32512" xr:uid="{E9130364-A177-4F16-9B79-685B8CB5C554}"/>
    <cellStyle name="40% - Accent5 5 7 3" xfId="25143" xr:uid="{B2E23004-7CCC-48AD-B291-F736B2ED11F0}"/>
    <cellStyle name="40% - Accent5 5 7 3 2" xfId="40114" xr:uid="{7B2E4610-5A74-4CF1-9104-C6F0AB3EA287}"/>
    <cellStyle name="40% - Accent5 5 7 4" xfId="32511" xr:uid="{A43DF2ED-94D6-4237-9917-0086EB5E0755}"/>
    <cellStyle name="40% - Accent5 5 8" xfId="7546" xr:uid="{00000000-0005-0000-0000-00000A110000}"/>
    <cellStyle name="40% - Accent5 5 8 2" xfId="25145" xr:uid="{50B1C5BE-DEA3-4094-AFEC-226EC70AD337}"/>
    <cellStyle name="40% - Accent5 5 8 2 2" xfId="40116" xr:uid="{C826ABF2-985F-4695-8950-2893564619D1}"/>
    <cellStyle name="40% - Accent5 5 8 3" xfId="32513" xr:uid="{3E5BBA92-0A4A-454A-B5CD-A46C8ADC3BE6}"/>
    <cellStyle name="40% - Accent5 5 9" xfId="7499" xr:uid="{00000000-0005-0000-0000-0000DB100000}"/>
    <cellStyle name="40% - Accent5 5 9 2" xfId="25100" xr:uid="{B7E0019E-7569-475F-B846-BDCD888614F3}"/>
    <cellStyle name="40% - Accent5 5 9 2 2" xfId="40071" xr:uid="{F8323AC0-9AB8-4649-898D-B9BE1DFB3E14}"/>
    <cellStyle name="40% - Accent5 5 9 3" xfId="32468" xr:uid="{04799B11-2BC2-4305-9455-A2FC4D5EE73D}"/>
    <cellStyle name="40% - Accent5 6" xfId="249" xr:uid="{00000000-0005-0000-0000-000058000000}"/>
    <cellStyle name="40% - Accent5 6 2" xfId="7547" xr:uid="{00000000-0005-0000-0000-00000C110000}"/>
    <cellStyle name="40% - Accent5 6 2 2" xfId="7548" xr:uid="{00000000-0005-0000-0000-00000D110000}"/>
    <cellStyle name="40% - Accent5 6 2 2 2" xfId="7549" xr:uid="{00000000-0005-0000-0000-00000E110000}"/>
    <cellStyle name="40% - Accent5 6 2 2 2 2" xfId="7550" xr:uid="{00000000-0005-0000-0000-00000F110000}"/>
    <cellStyle name="40% - Accent5 6 2 2 2 2 2" xfId="25149" xr:uid="{959BF39A-695C-425C-86AF-3297B6EB877B}"/>
    <cellStyle name="40% - Accent5 6 2 2 2 2 2 2" xfId="40120" xr:uid="{270EF3C2-7600-4128-A203-629A5A017A7E}"/>
    <cellStyle name="40% - Accent5 6 2 2 2 2 3" xfId="32517" xr:uid="{00E08BA4-FD9A-4F18-B183-A6BF541D9DEA}"/>
    <cellStyle name="40% - Accent5 6 2 2 2 3" xfId="7551" xr:uid="{00000000-0005-0000-0000-000010110000}"/>
    <cellStyle name="40% - Accent5 6 2 2 2 3 2" xfId="25150" xr:uid="{AC53788A-9A29-4E2F-93DE-8805EEC23DAF}"/>
    <cellStyle name="40% - Accent5 6 2 2 2 3 2 2" xfId="40121" xr:uid="{9FA6890E-CDCF-4BC9-B205-BAC6A31FEFBB}"/>
    <cellStyle name="40% - Accent5 6 2 2 2 3 3" xfId="32518" xr:uid="{1138634F-BF94-4C0E-9C97-FBDDF0F77498}"/>
    <cellStyle name="40% - Accent5 6 2 2 2 4" xfId="25148" xr:uid="{DA0E515A-05D9-4B2A-8CF5-8597D8E5F18B}"/>
    <cellStyle name="40% - Accent5 6 2 2 2 4 2" xfId="40119" xr:uid="{C1043FA7-94A7-4CF8-87E3-7F89436A78F1}"/>
    <cellStyle name="40% - Accent5 6 2 2 2 5" xfId="32516" xr:uid="{A2A81469-2B81-4632-A457-30B1D35B90E3}"/>
    <cellStyle name="40% - Accent5 6 2 2 3" xfId="7552" xr:uid="{00000000-0005-0000-0000-000011110000}"/>
    <cellStyle name="40% - Accent5 6 2 2 3 2" xfId="7553" xr:uid="{00000000-0005-0000-0000-000012110000}"/>
    <cellStyle name="40% - Accent5 6 2 2 3 2 2" xfId="25152" xr:uid="{EE8C4DE9-35C5-4C37-B8A1-2E84AD84E8E3}"/>
    <cellStyle name="40% - Accent5 6 2 2 3 2 2 2" xfId="40123" xr:uid="{020EAB54-6569-4ABE-99FB-9B461CA486D7}"/>
    <cellStyle name="40% - Accent5 6 2 2 3 2 3" xfId="32520" xr:uid="{EA3A1D72-372D-416E-9F04-C444379E6735}"/>
    <cellStyle name="40% - Accent5 6 2 2 3 3" xfId="25151" xr:uid="{2D253C74-B6A2-411B-9C6E-D772DCA7A40A}"/>
    <cellStyle name="40% - Accent5 6 2 2 3 3 2" xfId="40122" xr:uid="{EBE1D0B0-CAB3-48C5-A3AE-786EC38A1B3F}"/>
    <cellStyle name="40% - Accent5 6 2 2 3 4" xfId="32519" xr:uid="{18FD4DA4-5477-4A3A-B119-CB4ACAD9BD04}"/>
    <cellStyle name="40% - Accent5 6 2 2 4" xfId="7554" xr:uid="{00000000-0005-0000-0000-000013110000}"/>
    <cellStyle name="40% - Accent5 6 2 2 4 2" xfId="25153" xr:uid="{D9A70744-A06D-4DEB-A5F6-C6A067C71359}"/>
    <cellStyle name="40% - Accent5 6 2 2 4 2 2" xfId="40124" xr:uid="{742A676D-6C01-4BAB-A374-4180EF0B1F4F}"/>
    <cellStyle name="40% - Accent5 6 2 2 4 3" xfId="32521" xr:uid="{70FDCD0D-1724-4094-9368-6003278C9A59}"/>
    <cellStyle name="40% - Accent5 6 2 2 5" xfId="25147" xr:uid="{96976964-FD10-4D2E-BED1-AFFCBF33F783}"/>
    <cellStyle name="40% - Accent5 6 2 2 5 2" xfId="40118" xr:uid="{E581C816-E227-4F66-9F63-F0B174DAA73B}"/>
    <cellStyle name="40% - Accent5 6 2 2 6" xfId="32515" xr:uid="{B8103C98-C30C-4262-92ED-0CC47EA3FE3C}"/>
    <cellStyle name="40% - Accent5 6 2 3" xfId="7555" xr:uid="{00000000-0005-0000-0000-000014110000}"/>
    <cellStyle name="40% - Accent5 6 2 3 2" xfId="7556" xr:uid="{00000000-0005-0000-0000-000015110000}"/>
    <cellStyle name="40% - Accent5 6 2 3 2 2" xfId="25155" xr:uid="{820B7CF0-BB31-455F-A7B5-D22E93C35ED5}"/>
    <cellStyle name="40% - Accent5 6 2 3 2 2 2" xfId="40126" xr:uid="{BEDEEAE7-A1C5-4236-9F10-68F05F7D48D2}"/>
    <cellStyle name="40% - Accent5 6 2 3 2 3" xfId="32523" xr:uid="{B40B2209-0351-409D-9566-008091B04508}"/>
    <cellStyle name="40% - Accent5 6 2 3 3" xfId="7557" xr:uid="{00000000-0005-0000-0000-000016110000}"/>
    <cellStyle name="40% - Accent5 6 2 3 3 2" xfId="25156" xr:uid="{210F3557-419B-4BE1-B987-4762AEFF10DC}"/>
    <cellStyle name="40% - Accent5 6 2 3 3 2 2" xfId="40127" xr:uid="{14815A4A-2A60-4D34-80DB-BECB60A6CC30}"/>
    <cellStyle name="40% - Accent5 6 2 3 3 3" xfId="32524" xr:uid="{CF111A53-B0CF-493B-B2D9-23EBC6110330}"/>
    <cellStyle name="40% - Accent5 6 2 3 4" xfId="25154" xr:uid="{384ED113-84EA-4977-A659-9FBD46E6EAA8}"/>
    <cellStyle name="40% - Accent5 6 2 3 4 2" xfId="40125" xr:uid="{6EBE8ECF-3364-4C6B-AA75-B978F41C40BE}"/>
    <cellStyle name="40% - Accent5 6 2 3 5" xfId="32522" xr:uid="{6D1CE2D4-6996-4C51-8E5F-379D650B6970}"/>
    <cellStyle name="40% - Accent5 6 2 4" xfId="7558" xr:uid="{00000000-0005-0000-0000-000017110000}"/>
    <cellStyle name="40% - Accent5 6 2 4 2" xfId="25157" xr:uid="{053AD6F2-5D03-4C7A-9295-96DE545ECEBF}"/>
    <cellStyle name="40% - Accent5 6 2 4 2 2" xfId="40128" xr:uid="{7EAC45AD-D8F8-4362-A574-E4185EACC4AB}"/>
    <cellStyle name="40% - Accent5 6 2 4 3" xfId="32525" xr:uid="{F3873FAB-C34A-4390-B4A6-48ABE434AD62}"/>
    <cellStyle name="40% - Accent5 6 2 5" xfId="7559" xr:uid="{00000000-0005-0000-0000-000018110000}"/>
    <cellStyle name="40% - Accent5 6 2 5 2" xfId="7560" xr:uid="{00000000-0005-0000-0000-000019110000}"/>
    <cellStyle name="40% - Accent5 6 2 5 2 2" xfId="25159" xr:uid="{D972D3F7-4A7E-4664-8282-D2FA883E4118}"/>
    <cellStyle name="40% - Accent5 6 2 5 2 2 2" xfId="40130" xr:uid="{63DA8315-6829-4933-BCB5-168546B305DF}"/>
    <cellStyle name="40% - Accent5 6 2 5 2 3" xfId="32527" xr:uid="{C3018CF8-DA1E-463D-A61C-7A1EDFB45C6D}"/>
    <cellStyle name="40% - Accent5 6 2 5 3" xfId="25158" xr:uid="{1C403945-A554-4406-97D1-F475337A9630}"/>
    <cellStyle name="40% - Accent5 6 2 5 3 2" xfId="40129" xr:uid="{73DBA507-CEB1-4670-B3FA-2C0B20EA8F1F}"/>
    <cellStyle name="40% - Accent5 6 2 5 4" xfId="32526" xr:uid="{45A11188-CCA0-48DA-A8F4-07CC22DAE1F5}"/>
    <cellStyle name="40% - Accent5 6 2 6" xfId="7561" xr:uid="{00000000-0005-0000-0000-00001A110000}"/>
    <cellStyle name="40% - Accent5 6 2 6 2" xfId="25160" xr:uid="{E44610F5-4731-4CD1-AFB8-1303C2E270D3}"/>
    <cellStyle name="40% - Accent5 6 2 6 2 2" xfId="40131" xr:uid="{1F64E0EE-1A10-4CB4-B6D8-B515942622A3}"/>
    <cellStyle name="40% - Accent5 6 2 6 3" xfId="32528" xr:uid="{BC386BDF-02C4-43E3-A86F-92AB71800642}"/>
    <cellStyle name="40% - Accent5 6 2 7" xfId="25146" xr:uid="{7FA6E648-CA08-4221-8419-BD7F5CDAB333}"/>
    <cellStyle name="40% - Accent5 6 2 7 2" xfId="40117" xr:uid="{D7518B32-5D2E-4BED-A943-0889609A1608}"/>
    <cellStyle name="40% - Accent5 6 2 8" xfId="32514" xr:uid="{DDD47567-658E-4552-8FEE-25C86408A608}"/>
    <cellStyle name="40% - Accent5 6 3" xfId="7562" xr:uid="{00000000-0005-0000-0000-00001B110000}"/>
    <cellStyle name="40% - Accent5 6 3 2" xfId="7563" xr:uid="{00000000-0005-0000-0000-00001C110000}"/>
    <cellStyle name="40% - Accent5 6 3 2 2" xfId="7564" xr:uid="{00000000-0005-0000-0000-00001D110000}"/>
    <cellStyle name="40% - Accent5 6 3 2 2 2" xfId="25163" xr:uid="{204B39F2-3320-4EF7-9A6A-875F54E72A55}"/>
    <cellStyle name="40% - Accent5 6 3 2 2 2 2" xfId="40134" xr:uid="{365C430E-037D-457F-8DC4-2D1AF41EED24}"/>
    <cellStyle name="40% - Accent5 6 3 2 2 3" xfId="32531" xr:uid="{90B851F8-EC27-4223-8A9A-1793BF31C999}"/>
    <cellStyle name="40% - Accent5 6 3 2 3" xfId="7565" xr:uid="{00000000-0005-0000-0000-00001E110000}"/>
    <cellStyle name="40% - Accent5 6 3 2 3 2" xfId="25164" xr:uid="{BE331240-2B4D-45BB-9866-CFCADC1D300C}"/>
    <cellStyle name="40% - Accent5 6 3 2 3 2 2" xfId="40135" xr:uid="{17643DA9-C7DA-4286-9C27-6A4B419754E4}"/>
    <cellStyle name="40% - Accent5 6 3 2 3 3" xfId="32532" xr:uid="{936881B9-191E-4B55-A1A0-E0F847C738DF}"/>
    <cellStyle name="40% - Accent5 6 3 2 4" xfId="25162" xr:uid="{AE8E93B1-248C-478B-946D-C1E806F040F2}"/>
    <cellStyle name="40% - Accent5 6 3 2 4 2" xfId="40133" xr:uid="{D949C416-CF15-47AF-B73E-2F8B124AB19C}"/>
    <cellStyle name="40% - Accent5 6 3 2 5" xfId="32530" xr:uid="{6922378D-71CE-4A80-AAD9-93FBE58906EA}"/>
    <cellStyle name="40% - Accent5 6 3 3" xfId="7566" xr:uid="{00000000-0005-0000-0000-00001F110000}"/>
    <cellStyle name="40% - Accent5 6 3 3 2" xfId="7567" xr:uid="{00000000-0005-0000-0000-000020110000}"/>
    <cellStyle name="40% - Accent5 6 3 3 2 2" xfId="25166" xr:uid="{43E53B75-00BE-46C6-9C78-674008BEE69A}"/>
    <cellStyle name="40% - Accent5 6 3 3 2 2 2" xfId="40137" xr:uid="{A4FF7896-A632-4DCC-838B-2A7B7D72251E}"/>
    <cellStyle name="40% - Accent5 6 3 3 2 3" xfId="32534" xr:uid="{C2EFFE64-C155-4602-8E71-56674E355FF6}"/>
    <cellStyle name="40% - Accent5 6 3 3 3" xfId="25165" xr:uid="{B4D35964-8DC0-4CB1-B224-07C3DE40258C}"/>
    <cellStyle name="40% - Accent5 6 3 3 3 2" xfId="40136" xr:uid="{AD252FBA-3A02-46AD-935D-0EA5DD93D03A}"/>
    <cellStyle name="40% - Accent5 6 3 3 4" xfId="32533" xr:uid="{B2A859B0-51FE-404E-A68D-F099B63E0692}"/>
    <cellStyle name="40% - Accent5 6 3 4" xfId="7568" xr:uid="{00000000-0005-0000-0000-000021110000}"/>
    <cellStyle name="40% - Accent5 6 3 4 2" xfId="25167" xr:uid="{FF3A5FF0-BC71-44EE-A75F-CFF748F1B1BB}"/>
    <cellStyle name="40% - Accent5 6 3 4 2 2" xfId="40138" xr:uid="{DD3952F4-58E5-43EC-8E5C-4BE50D29B548}"/>
    <cellStyle name="40% - Accent5 6 3 4 3" xfId="32535" xr:uid="{B31CF4DB-FBB5-4B54-8075-CD4705C01C66}"/>
    <cellStyle name="40% - Accent5 6 3 5" xfId="25161" xr:uid="{D179F686-411A-46DF-9AB2-ED869B6ACD65}"/>
    <cellStyle name="40% - Accent5 6 3 5 2" xfId="40132" xr:uid="{76971B44-8122-478E-8D52-09CC5E8A7CC7}"/>
    <cellStyle name="40% - Accent5 6 3 6" xfId="32529" xr:uid="{D16D0348-9F99-40C0-85D4-B4D90B1ABAA9}"/>
    <cellStyle name="40% - Accent5 6 4" xfId="7569" xr:uid="{00000000-0005-0000-0000-000022110000}"/>
    <cellStyle name="40% - Accent5 6 5" xfId="7570" xr:uid="{00000000-0005-0000-0000-000023110000}"/>
    <cellStyle name="40% - Accent5 6 5 2" xfId="25168" xr:uid="{B89A32F5-25C1-4418-A45B-F745A4E7573E}"/>
    <cellStyle name="40% - Accent5 6 5 2 2" xfId="40139" xr:uid="{C9E732A5-0129-4C7B-9085-94F771F74595}"/>
    <cellStyle name="40% - Accent5 6 5 3" xfId="32536" xr:uid="{698E1D09-795E-4560-AADA-E7935E58B616}"/>
    <cellStyle name="40% - Accent5 7" xfId="250" xr:uid="{00000000-0005-0000-0000-000059000000}"/>
    <cellStyle name="40% - Accent5 7 2" xfId="7571" xr:uid="{00000000-0005-0000-0000-000025110000}"/>
    <cellStyle name="40% - Accent5 7 2 2" xfId="25169" xr:uid="{FE669B35-2CFF-4AE0-B0E4-7CC58727CD76}"/>
    <cellStyle name="40% - Accent5 7 2 2 2" xfId="40140" xr:uid="{34C0D897-F29C-4C42-A721-C997B1432896}"/>
    <cellStyle name="40% - Accent5 7 2 3" xfId="32537" xr:uid="{C5B9C435-3BBE-41C5-A723-DC435D584BEE}"/>
    <cellStyle name="40% - Accent5 7 3" xfId="7572" xr:uid="{00000000-0005-0000-0000-000026110000}"/>
    <cellStyle name="40% - Accent5 7 4" xfId="7573" xr:uid="{00000000-0005-0000-0000-000027110000}"/>
    <cellStyle name="40% - Accent5 7 4 2" xfId="25170" xr:uid="{A54EC55C-049E-41AB-80EB-1C11C4119256}"/>
    <cellStyle name="40% - Accent5 7 4 2 2" xfId="40141" xr:uid="{E778A855-7604-49A1-AFC1-9D6CE37E9DF8}"/>
    <cellStyle name="40% - Accent5 7 4 3" xfId="32538" xr:uid="{F458EDB2-26ED-4EAF-B038-F1D60126EC91}"/>
    <cellStyle name="40% - Accent5 8" xfId="7574" xr:uid="{00000000-0005-0000-0000-000028110000}"/>
    <cellStyle name="40% - Accent5 8 2" xfId="7575" xr:uid="{00000000-0005-0000-0000-000029110000}"/>
    <cellStyle name="40% - Accent5 8 2 2" xfId="7576" xr:uid="{00000000-0005-0000-0000-00002A110000}"/>
    <cellStyle name="40% - Accent5 8 2 2 2" xfId="25173" xr:uid="{456F5616-6545-4C4D-953E-555CB9E23573}"/>
    <cellStyle name="40% - Accent5 8 2 2 2 2" xfId="40144" xr:uid="{FDB6FEF4-0459-4353-AEC5-67124095D8E5}"/>
    <cellStyle name="40% - Accent5 8 2 2 3" xfId="32541" xr:uid="{EAB84A57-84A4-411C-8A99-6358032032AE}"/>
    <cellStyle name="40% - Accent5 8 2 3" xfId="7577" xr:uid="{00000000-0005-0000-0000-00002B110000}"/>
    <cellStyle name="40% - Accent5 8 2 3 2" xfId="7578" xr:uid="{00000000-0005-0000-0000-00002C110000}"/>
    <cellStyle name="40% - Accent5 8 2 3 2 2" xfId="25175" xr:uid="{69A7079A-921F-4649-8619-DEFE20483067}"/>
    <cellStyle name="40% - Accent5 8 2 3 2 2 2" xfId="40146" xr:uid="{F70C0CA5-02C5-4B8F-A55A-30245FC88497}"/>
    <cellStyle name="40% - Accent5 8 2 3 2 3" xfId="32543" xr:uid="{35F9BFA1-7AC2-43DF-B5EF-1B204B3F8CD9}"/>
    <cellStyle name="40% - Accent5 8 2 3 3" xfId="25174" xr:uid="{903A98C7-57B8-4050-8AF9-6F052DDB6D9A}"/>
    <cellStyle name="40% - Accent5 8 2 3 3 2" xfId="40145" xr:uid="{3A234916-D63D-4C0B-9D8F-F01AB9A8DBF9}"/>
    <cellStyle name="40% - Accent5 8 2 3 4" xfId="32542" xr:uid="{8AB16548-5229-4F69-9D04-27D28F642B0F}"/>
    <cellStyle name="40% - Accent5 8 2 4" xfId="25172" xr:uid="{FE5FF16F-90CB-4C82-B97D-0ED7A5729479}"/>
    <cellStyle name="40% - Accent5 8 2 4 2" xfId="40143" xr:uid="{00324151-B3B6-4336-B6A3-46A3F0DE4AF8}"/>
    <cellStyle name="40% - Accent5 8 2 5" xfId="32540" xr:uid="{F2C06939-9B9C-4E5D-A4D2-0C2401722998}"/>
    <cellStyle name="40% - Accent5 8 3" xfId="7579" xr:uid="{00000000-0005-0000-0000-00002D110000}"/>
    <cellStyle name="40% - Accent5 8 3 2" xfId="25176" xr:uid="{34E7811C-394A-4EF4-AA07-81E22604BCC6}"/>
    <cellStyle name="40% - Accent5 8 3 2 2" xfId="40147" xr:uid="{4A0C4E29-853A-4F88-9E43-B2AC748F0D1F}"/>
    <cellStyle name="40% - Accent5 8 3 3" xfId="32544" xr:uid="{91E6C8E3-A290-457B-B698-D5D6E3EC5C14}"/>
    <cellStyle name="40% - Accent5 8 4" xfId="7580" xr:uid="{00000000-0005-0000-0000-00002E110000}"/>
    <cellStyle name="40% - Accent5 8 4 2" xfId="7581" xr:uid="{00000000-0005-0000-0000-00002F110000}"/>
    <cellStyle name="40% - Accent5 8 4 2 2" xfId="25178" xr:uid="{CF26F288-2584-44DC-ACCC-BD57CA44D028}"/>
    <cellStyle name="40% - Accent5 8 4 2 2 2" xfId="40149" xr:uid="{55FDE688-298F-4CCE-B420-3FF96923F509}"/>
    <cellStyle name="40% - Accent5 8 4 2 3" xfId="32546" xr:uid="{C35EE9A7-4454-482C-9262-F4B991B04109}"/>
    <cellStyle name="40% - Accent5 8 4 3" xfId="25177" xr:uid="{A6631071-48CA-4378-87A4-F097900A33F3}"/>
    <cellStyle name="40% - Accent5 8 4 3 2" xfId="40148" xr:uid="{B1C62028-57A1-40C4-9891-F9040898979A}"/>
    <cellStyle name="40% - Accent5 8 4 4" xfId="32545" xr:uid="{64B1DD62-74E1-4300-9285-4C81958FAF26}"/>
    <cellStyle name="40% - Accent5 8 5" xfId="7582" xr:uid="{00000000-0005-0000-0000-000030110000}"/>
    <cellStyle name="40% - Accent5 8 5 2" xfId="25179" xr:uid="{76BC32BD-E419-4551-A0CC-0566E6E5892A}"/>
    <cellStyle name="40% - Accent5 8 5 2 2" xfId="40150" xr:uid="{F89D8DA7-865C-4911-8A9E-9BD7A5764BA9}"/>
    <cellStyle name="40% - Accent5 8 5 3" xfId="32547" xr:uid="{D15DE377-AEEC-403C-86FD-11E515714C96}"/>
    <cellStyle name="40% - Accent5 8 6" xfId="25171" xr:uid="{E14CA64E-4A32-455C-A439-F8B8B2943041}"/>
    <cellStyle name="40% - Accent5 8 6 2" xfId="40142" xr:uid="{011B10A1-656C-4C11-A355-13A4CC9609C4}"/>
    <cellStyle name="40% - Accent5 8 7" xfId="32539" xr:uid="{5EFA5880-EA34-4443-A0CA-6550F5D2A33B}"/>
    <cellStyle name="40% - Accent5 9" xfId="7583" xr:uid="{00000000-0005-0000-0000-000031110000}"/>
    <cellStyle name="40% - Accent5 9 2" xfId="7584" xr:uid="{00000000-0005-0000-0000-000032110000}"/>
    <cellStyle name="40% - Accent5 9 2 2" xfId="7585" xr:uid="{00000000-0005-0000-0000-000033110000}"/>
    <cellStyle name="40% - Accent5 9 2 2 2" xfId="25182" xr:uid="{67902D2F-614D-495B-8BE3-EC8BD46FF7DD}"/>
    <cellStyle name="40% - Accent5 9 2 2 2 2" xfId="40153" xr:uid="{915D9560-F871-41E4-86BD-EEB8533B8ED7}"/>
    <cellStyle name="40% - Accent5 9 2 2 3" xfId="32550" xr:uid="{C77C41B6-C0EA-4971-A5D7-052F6D9F8820}"/>
    <cellStyle name="40% - Accent5 9 2 3" xfId="7586" xr:uid="{00000000-0005-0000-0000-000034110000}"/>
    <cellStyle name="40% - Accent5 9 2 3 2" xfId="25183" xr:uid="{CBEE9964-B30D-4454-ABD8-FDA2B43DB359}"/>
    <cellStyle name="40% - Accent5 9 2 3 2 2" xfId="40154" xr:uid="{83DE9AAE-2205-43F0-8735-3F626863CBE4}"/>
    <cellStyle name="40% - Accent5 9 2 3 3" xfId="32551" xr:uid="{D40E52A4-EDA0-4357-832F-BB5919FD7ABC}"/>
    <cellStyle name="40% - Accent5 9 2 4" xfId="25181" xr:uid="{10969248-D082-4EE0-92E6-7762B03544F8}"/>
    <cellStyle name="40% - Accent5 9 2 4 2" xfId="40152" xr:uid="{958C6612-3EB0-43C0-BA91-FE4CB28555F4}"/>
    <cellStyle name="40% - Accent5 9 2 5" xfId="32549" xr:uid="{7726020A-9CF8-4A64-B629-471D1C32D0E8}"/>
    <cellStyle name="40% - Accent5 9 3" xfId="7587" xr:uid="{00000000-0005-0000-0000-000035110000}"/>
    <cellStyle name="40% - Accent5 9 3 2" xfId="25184" xr:uid="{9DFF3A9E-8079-46DA-BA4D-768ED05F3C17}"/>
    <cellStyle name="40% - Accent5 9 3 2 2" xfId="40155" xr:uid="{776F2B24-ED93-4FCC-8003-BA2CB74CD939}"/>
    <cellStyle name="40% - Accent5 9 3 3" xfId="32552" xr:uid="{8A0504FB-E937-42E4-AF6B-68AFA1CF2743}"/>
    <cellStyle name="40% - Accent5 9 4" xfId="7588" xr:uid="{00000000-0005-0000-0000-000036110000}"/>
    <cellStyle name="40% - Accent5 9 4 2" xfId="7589" xr:uid="{00000000-0005-0000-0000-000037110000}"/>
    <cellStyle name="40% - Accent5 9 4 2 2" xfId="25186" xr:uid="{76BC409D-A122-4108-A0A6-F31FBD5CA349}"/>
    <cellStyle name="40% - Accent5 9 4 2 2 2" xfId="40157" xr:uid="{212F6B4B-C3E8-46DF-9BEA-617AAE79AB34}"/>
    <cellStyle name="40% - Accent5 9 4 2 3" xfId="32554" xr:uid="{BA8F8F29-F01E-4117-AB8A-8D4F4C382D57}"/>
    <cellStyle name="40% - Accent5 9 4 3" xfId="25185" xr:uid="{79DC877C-B2FB-4687-968A-72626CBC345F}"/>
    <cellStyle name="40% - Accent5 9 4 3 2" xfId="40156" xr:uid="{AEEC53B1-47FC-4204-B411-6457C6EC577E}"/>
    <cellStyle name="40% - Accent5 9 4 4" xfId="32553" xr:uid="{DB872412-CD9D-4680-97EE-FB156FC00476}"/>
    <cellStyle name="40% - Accent5 9 5" xfId="7590" xr:uid="{00000000-0005-0000-0000-000038110000}"/>
    <cellStyle name="40% - Accent5 9 5 2" xfId="25187" xr:uid="{BE2608EB-D217-41F1-BC9D-068ABB5D3CBF}"/>
    <cellStyle name="40% - Accent5 9 5 2 2" xfId="40158" xr:uid="{CB19B1B9-820A-4A34-A424-C29A2F904F32}"/>
    <cellStyle name="40% - Accent5 9 5 3" xfId="32555" xr:uid="{CBA952BA-80D2-4AA1-83E4-D506367A7267}"/>
    <cellStyle name="40% - Accent5 9 6" xfId="25180" xr:uid="{550A6098-D62C-436A-8506-5CE58A8485E5}"/>
    <cellStyle name="40% - Accent5 9 6 2" xfId="40151" xr:uid="{163C15A0-7D1C-4D7A-B00B-0E8C86A90CD1}"/>
    <cellStyle name="40% - Accent5 9 7" xfId="32548" xr:uid="{A9E9571A-580D-4CCC-84C0-E843DD86B754}"/>
    <cellStyle name="40% - Accent6" xfId="103" builtinId="51" customBuiltin="1"/>
    <cellStyle name="40% - Accent6 10" xfId="7591" xr:uid="{00000000-0005-0000-0000-000039110000}"/>
    <cellStyle name="40% - Accent6 10 2" xfId="7592" xr:uid="{00000000-0005-0000-0000-00003A110000}"/>
    <cellStyle name="40% - Accent6 10 2 2" xfId="7593" xr:uid="{00000000-0005-0000-0000-00003B110000}"/>
    <cellStyle name="40% - Accent6 10 2 2 2" xfId="25190" xr:uid="{0C013065-DB91-4C23-9F54-FDD285AA3CC2}"/>
    <cellStyle name="40% - Accent6 10 2 2 2 2" xfId="40161" xr:uid="{352AEC0B-BBCF-4020-9DEC-43F5C0F3529F}"/>
    <cellStyle name="40% - Accent6 10 2 2 3" xfId="32558" xr:uid="{DE582536-F824-4F83-A1A0-75FEEED2F071}"/>
    <cellStyle name="40% - Accent6 10 2 3" xfId="7594" xr:uid="{00000000-0005-0000-0000-00003C110000}"/>
    <cellStyle name="40% - Accent6 10 2 3 2" xfId="25191" xr:uid="{9793A31A-9E77-48B4-8761-0B91D2ED786E}"/>
    <cellStyle name="40% - Accent6 10 2 3 2 2" xfId="40162" xr:uid="{6A7B690E-4B89-4871-AA34-DADF9108AA68}"/>
    <cellStyle name="40% - Accent6 10 2 3 3" xfId="32559" xr:uid="{5E6D6F61-11A9-4E4E-8D2E-BC863DC6C543}"/>
    <cellStyle name="40% - Accent6 10 2 4" xfId="25189" xr:uid="{8D460CC8-20D1-4DA8-8D52-9CAB0F3EDA60}"/>
    <cellStyle name="40% - Accent6 10 2 4 2" xfId="40160" xr:uid="{8648502F-EFCB-468E-8E0E-C97C4B46C717}"/>
    <cellStyle name="40% - Accent6 10 2 5" xfId="32557" xr:uid="{C0A3A5A6-C5A9-43C5-85B1-2799B8CE7DAF}"/>
    <cellStyle name="40% - Accent6 10 3" xfId="7595" xr:uid="{00000000-0005-0000-0000-00003D110000}"/>
    <cellStyle name="40% - Accent6 10 3 2" xfId="25192" xr:uid="{C4D5925F-0C23-494C-9518-144FFDADEC1B}"/>
    <cellStyle name="40% - Accent6 10 3 2 2" xfId="40163" xr:uid="{0702AB3B-F059-4235-805F-4CA5E1B1190C}"/>
    <cellStyle name="40% - Accent6 10 3 3" xfId="32560" xr:uid="{F6A2B0AB-0D37-4320-8449-A5CF2DB6137D}"/>
    <cellStyle name="40% - Accent6 10 4" xfId="7596" xr:uid="{00000000-0005-0000-0000-00003E110000}"/>
    <cellStyle name="40% - Accent6 10 4 2" xfId="7597" xr:uid="{00000000-0005-0000-0000-00003F110000}"/>
    <cellStyle name="40% - Accent6 10 4 2 2" xfId="25194" xr:uid="{779BD531-EC76-4D3D-A558-F33F4679EB4A}"/>
    <cellStyle name="40% - Accent6 10 4 2 2 2" xfId="40165" xr:uid="{9DDBFA45-61BE-4FB8-842A-2ABFDE8EA38A}"/>
    <cellStyle name="40% - Accent6 10 4 2 3" xfId="32562" xr:uid="{7B60B20C-A605-452F-AF7A-A1A78CB74C56}"/>
    <cellStyle name="40% - Accent6 10 4 3" xfId="25193" xr:uid="{B627A7D9-8CA7-4F15-BA16-06A008831C84}"/>
    <cellStyle name="40% - Accent6 10 4 3 2" xfId="40164" xr:uid="{3DA81866-896B-48FE-A7D0-6B6437F90265}"/>
    <cellStyle name="40% - Accent6 10 4 4" xfId="32561" xr:uid="{D81BAD47-2F18-4FA3-8F16-8E4685E779A3}"/>
    <cellStyle name="40% - Accent6 10 5" xfId="7598" xr:uid="{00000000-0005-0000-0000-000040110000}"/>
    <cellStyle name="40% - Accent6 10 5 2" xfId="25195" xr:uid="{CDFCFE9F-769C-4DEF-A898-06747DE37823}"/>
    <cellStyle name="40% - Accent6 10 5 2 2" xfId="40166" xr:uid="{FC2C06CC-2423-4DCE-9987-31938A812755}"/>
    <cellStyle name="40% - Accent6 10 5 3" xfId="32563" xr:uid="{D900984D-2654-4D2B-9AE9-B2ABFD32D67B}"/>
    <cellStyle name="40% - Accent6 10 6" xfId="25188" xr:uid="{1AD2E613-04DF-4EDE-9913-F2BCDF570593}"/>
    <cellStyle name="40% - Accent6 10 6 2" xfId="40159" xr:uid="{A6207A89-6CAE-4FB9-BC71-9457B42F7DC8}"/>
    <cellStyle name="40% - Accent6 10 7" xfId="32556" xr:uid="{B8E475AB-3C2B-4623-A075-BC0D73480478}"/>
    <cellStyle name="40% - Accent6 11" xfId="7599" xr:uid="{00000000-0005-0000-0000-000041110000}"/>
    <cellStyle name="40% - Accent6 11 2" xfId="7600" xr:uid="{00000000-0005-0000-0000-000042110000}"/>
    <cellStyle name="40% - Accent6 11 2 2" xfId="25197" xr:uid="{9CE85AAD-9A4F-4D7C-B75E-C541B1C8317D}"/>
    <cellStyle name="40% - Accent6 11 2 2 2" xfId="40168" xr:uid="{EAEF107A-C65C-46DB-A353-72F4E4710F91}"/>
    <cellStyle name="40% - Accent6 11 2 3" xfId="32565" xr:uid="{00B0831A-4C0B-47A4-B086-93C103A6BD90}"/>
    <cellStyle name="40% - Accent6 11 3" xfId="7601" xr:uid="{00000000-0005-0000-0000-000043110000}"/>
    <cellStyle name="40% - Accent6 11 3 2" xfId="7602" xr:uid="{00000000-0005-0000-0000-000044110000}"/>
    <cellStyle name="40% - Accent6 11 3 2 2" xfId="25199" xr:uid="{3FB0A345-8FA5-4A3C-86BB-0EF5D34BB585}"/>
    <cellStyle name="40% - Accent6 11 3 2 2 2" xfId="40170" xr:uid="{58EB8ABE-9C93-41EF-8EF6-7F58AE035D70}"/>
    <cellStyle name="40% - Accent6 11 3 2 3" xfId="32567" xr:uid="{27B17238-41ED-42B3-AB64-D5EF2F9D0942}"/>
    <cellStyle name="40% - Accent6 11 3 3" xfId="25198" xr:uid="{5B782C75-3D8D-4708-A00D-B4B23483FF89}"/>
    <cellStyle name="40% - Accent6 11 3 3 2" xfId="40169" xr:uid="{A9A49B95-94E1-4D76-B1C0-DCE5315026A5}"/>
    <cellStyle name="40% - Accent6 11 3 4" xfId="32566" xr:uid="{FC82D6AF-D79D-42AE-90DC-66E8D16D197D}"/>
    <cellStyle name="40% - Accent6 11 4" xfId="25196" xr:uid="{A11919D2-3F06-45D3-8017-7708C696C5A7}"/>
    <cellStyle name="40% - Accent6 11 4 2" xfId="40167" xr:uid="{9BEC19D4-E42B-4AA1-B3AD-CF9E750A08A6}"/>
    <cellStyle name="40% - Accent6 11 5" xfId="32564" xr:uid="{CBAB4F9C-6421-4220-91F5-169A2AF52144}"/>
    <cellStyle name="40% - Accent6 12" xfId="7603" xr:uid="{00000000-0005-0000-0000-000045110000}"/>
    <cellStyle name="40% - Accent6 12 2" xfId="7604" xr:uid="{00000000-0005-0000-0000-000046110000}"/>
    <cellStyle name="40% - Accent6 12 2 2" xfId="25201" xr:uid="{2D3EEDA3-C416-4A48-B25B-59979DF876F4}"/>
    <cellStyle name="40% - Accent6 12 2 2 2" xfId="40172" xr:uid="{52C13DF2-0A61-48A8-B42C-B13025F5770F}"/>
    <cellStyle name="40% - Accent6 12 2 3" xfId="32569" xr:uid="{6E3C7ED1-C9FC-43C8-9AD9-F153B31F5FEC}"/>
    <cellStyle name="40% - Accent6 12 3" xfId="7605" xr:uid="{00000000-0005-0000-0000-000047110000}"/>
    <cellStyle name="40% - Accent6 12 3 2" xfId="25202" xr:uid="{F9FE6078-7B92-4ABE-94B2-14CABD6F0E70}"/>
    <cellStyle name="40% - Accent6 12 3 2 2" xfId="40173" xr:uid="{43CD8993-CC81-4ABA-8849-F1AEAA637322}"/>
    <cellStyle name="40% - Accent6 12 3 3" xfId="32570" xr:uid="{67AB4BAA-5904-464A-84FE-04CB7B57AC17}"/>
    <cellStyle name="40% - Accent6 12 4" xfId="25200" xr:uid="{9990B225-726C-483D-98E1-78580AF024EF}"/>
    <cellStyle name="40% - Accent6 12 4 2" xfId="40171" xr:uid="{CD66AE1A-6E7A-47C6-AF68-141A7072E581}"/>
    <cellStyle name="40% - Accent6 12 5" xfId="32568" xr:uid="{F4459471-1D6D-4161-AF85-31AF5C5769EF}"/>
    <cellStyle name="40% - Accent6 13" xfId="7606" xr:uid="{00000000-0005-0000-0000-000048110000}"/>
    <cellStyle name="40% - Accent6 13 2" xfId="7607" xr:uid="{00000000-0005-0000-0000-000049110000}"/>
    <cellStyle name="40% - Accent6 13 2 2" xfId="25204" xr:uid="{4460D500-C592-4CDD-9B5F-B113F733F6DB}"/>
    <cellStyle name="40% - Accent6 13 2 2 2" xfId="40175" xr:uid="{520A9D6A-7D93-4FB6-80DF-DC8446BDF51E}"/>
    <cellStyle name="40% - Accent6 13 2 3" xfId="32572" xr:uid="{49869511-C01D-4BDC-94F4-12932759CF73}"/>
    <cellStyle name="40% - Accent6 13 3" xfId="7608" xr:uid="{00000000-0005-0000-0000-00004A110000}"/>
    <cellStyle name="40% - Accent6 13 3 2" xfId="25205" xr:uid="{C9E4FD45-A8B0-42F7-BE13-0A6B53D5A0D5}"/>
    <cellStyle name="40% - Accent6 13 3 2 2" xfId="40176" xr:uid="{8C7CEDFE-5827-421C-90DE-AD5900D7B398}"/>
    <cellStyle name="40% - Accent6 13 3 3" xfId="32573" xr:uid="{B0D3BEE3-A815-41F8-BE65-CAC4DE4BBAE0}"/>
    <cellStyle name="40% - Accent6 13 4" xfId="25203" xr:uid="{754CDD19-BACC-4007-8C13-C5D75E99423B}"/>
    <cellStyle name="40% - Accent6 13 4 2" xfId="40174" xr:uid="{DE5D3079-D64A-4364-9AE4-CE59A07FB145}"/>
    <cellStyle name="40% - Accent6 13 5" xfId="32571" xr:uid="{49978AA4-4053-4F94-A73D-D4996786CB5A}"/>
    <cellStyle name="40% - Accent6 14" xfId="7609" xr:uid="{00000000-0005-0000-0000-00004B110000}"/>
    <cellStyle name="40% - Accent6 14 2" xfId="7610" xr:uid="{00000000-0005-0000-0000-00004C110000}"/>
    <cellStyle name="40% - Accent6 14 2 2" xfId="25206" xr:uid="{5D2A8B25-63FB-4928-985D-05B6ABE32CC2}"/>
    <cellStyle name="40% - Accent6 14 2 2 2" xfId="40177" xr:uid="{FE01F776-E5FD-4C03-B989-9F6A5B617AE3}"/>
    <cellStyle name="40% - Accent6 14 2 3" xfId="32574" xr:uid="{3B79338D-4F26-41A7-9AA8-B22B6342D5CF}"/>
    <cellStyle name="40% - Accent6 15" xfId="7611" xr:uid="{00000000-0005-0000-0000-00004D110000}"/>
    <cellStyle name="40% - Accent6 15 2" xfId="25207" xr:uid="{16CEA9FD-5E0E-42AE-8C0F-3F18C87933C4}"/>
    <cellStyle name="40% - Accent6 15 2 2" xfId="40178" xr:uid="{489BFD27-9A2A-442C-B56B-44659C5D1FB7}"/>
    <cellStyle name="40% - Accent6 15 3" xfId="32575" xr:uid="{82782252-DC57-42A7-8F2B-F4EDA45136D7}"/>
    <cellStyle name="40% - Accent6 16" xfId="7612" xr:uid="{00000000-0005-0000-0000-00004E110000}"/>
    <cellStyle name="40% - Accent6 17" xfId="20658" xr:uid="{FC316F58-0C71-44AE-B34C-1540158EF1C0}"/>
    <cellStyle name="40% - Accent6 17 2" xfId="35659" xr:uid="{77A44D28-D572-412F-9635-78A1197CE6B4}"/>
    <cellStyle name="40% - Accent6 18" xfId="27962" xr:uid="{A69DE3E0-4C06-4823-875C-6CEBF722DD2F}"/>
    <cellStyle name="40% - Accent6 2" xfId="251" xr:uid="{00000000-0005-0000-0000-00005A000000}"/>
    <cellStyle name="40% - Accent6 2 2" xfId="7613" xr:uid="{00000000-0005-0000-0000-000050110000}"/>
    <cellStyle name="40% - Accent6 2 3" xfId="7614" xr:uid="{00000000-0005-0000-0000-000051110000}"/>
    <cellStyle name="40% - Accent6 2 3 10" xfId="32576" xr:uid="{43148FBA-680D-434F-825B-FFF9E4AA0B85}"/>
    <cellStyle name="40% - Accent6 2 3 2" xfId="7615" xr:uid="{00000000-0005-0000-0000-000052110000}"/>
    <cellStyle name="40% - Accent6 2 3 2 2" xfId="7616" xr:uid="{00000000-0005-0000-0000-000053110000}"/>
    <cellStyle name="40% - Accent6 2 3 2 2 2" xfId="7617" xr:uid="{00000000-0005-0000-0000-000054110000}"/>
    <cellStyle name="40% - Accent6 2 3 2 2 2 2" xfId="7618" xr:uid="{00000000-0005-0000-0000-000055110000}"/>
    <cellStyle name="40% - Accent6 2 3 2 2 2 2 2" xfId="25212" xr:uid="{466641DD-C51D-4C2A-B7E7-89CECF3FBCF4}"/>
    <cellStyle name="40% - Accent6 2 3 2 2 2 2 2 2" xfId="40183" xr:uid="{33D84BA0-E69E-4778-9C2A-39231EFADE02}"/>
    <cellStyle name="40% - Accent6 2 3 2 2 2 2 3" xfId="32580" xr:uid="{7F0321E6-766F-4B87-AA36-42E7DAFD792A}"/>
    <cellStyle name="40% - Accent6 2 3 2 2 2 3" xfId="7619" xr:uid="{00000000-0005-0000-0000-000056110000}"/>
    <cellStyle name="40% - Accent6 2 3 2 2 2 3 2" xfId="25213" xr:uid="{1BAB9EF2-6EF6-4488-B321-666EC6EA9C2F}"/>
    <cellStyle name="40% - Accent6 2 3 2 2 2 3 2 2" xfId="40184" xr:uid="{8633B167-DC1A-4F68-8C58-F9BCB49CD436}"/>
    <cellStyle name="40% - Accent6 2 3 2 2 2 3 3" xfId="32581" xr:uid="{5ED3CA6E-86AA-46A5-8865-1DC59FF9DD75}"/>
    <cellStyle name="40% - Accent6 2 3 2 2 2 4" xfId="25211" xr:uid="{46A4D5FD-27AD-4F57-AFF9-8D405D155FDC}"/>
    <cellStyle name="40% - Accent6 2 3 2 2 2 4 2" xfId="40182" xr:uid="{508691D8-E3C6-487B-9786-20CA5FC29441}"/>
    <cellStyle name="40% - Accent6 2 3 2 2 2 5" xfId="32579" xr:uid="{9E7C538D-08C9-46CB-AC39-D62594E32CAB}"/>
    <cellStyle name="40% - Accent6 2 3 2 2 3" xfId="7620" xr:uid="{00000000-0005-0000-0000-000057110000}"/>
    <cellStyle name="40% - Accent6 2 3 2 2 3 2" xfId="7621" xr:uid="{00000000-0005-0000-0000-000058110000}"/>
    <cellStyle name="40% - Accent6 2 3 2 2 3 2 2" xfId="25215" xr:uid="{03CAC77F-153E-4CAD-9D11-4BC2C675AE8B}"/>
    <cellStyle name="40% - Accent6 2 3 2 2 3 2 2 2" xfId="40186" xr:uid="{D9FB618A-86C7-4684-A4FD-2C612B9BC40C}"/>
    <cellStyle name="40% - Accent6 2 3 2 2 3 2 3" xfId="32583" xr:uid="{BCCFFFE3-4C57-43DC-B1B7-FFF86202F847}"/>
    <cellStyle name="40% - Accent6 2 3 2 2 3 3" xfId="25214" xr:uid="{0C54DE1A-DEC9-460B-BA7F-FBBEC1783803}"/>
    <cellStyle name="40% - Accent6 2 3 2 2 3 3 2" xfId="40185" xr:uid="{99DD141A-E329-4540-B75C-5236286B70C9}"/>
    <cellStyle name="40% - Accent6 2 3 2 2 3 4" xfId="32582" xr:uid="{6EC15B24-E775-4A00-B7E5-C9024BD53E76}"/>
    <cellStyle name="40% - Accent6 2 3 2 2 4" xfId="7622" xr:uid="{00000000-0005-0000-0000-000059110000}"/>
    <cellStyle name="40% - Accent6 2 3 2 2 4 2" xfId="25216" xr:uid="{36F4A1CE-C66A-4152-B02E-0EB7434425A3}"/>
    <cellStyle name="40% - Accent6 2 3 2 2 4 2 2" xfId="40187" xr:uid="{7543573F-FD67-4A4B-BEA5-E23F24B4D9EE}"/>
    <cellStyle name="40% - Accent6 2 3 2 2 4 3" xfId="32584" xr:uid="{C7E9126F-4DB9-4DE8-8EA3-BA1C5F52F0A6}"/>
    <cellStyle name="40% - Accent6 2 3 2 2 5" xfId="25210" xr:uid="{B06B37C8-842E-4186-AF4C-C2F9F8D98FCD}"/>
    <cellStyle name="40% - Accent6 2 3 2 2 5 2" xfId="40181" xr:uid="{2A4C56A5-34BA-4D10-91E8-809772CBC3AB}"/>
    <cellStyle name="40% - Accent6 2 3 2 2 6" xfId="32578" xr:uid="{0B6DE86B-7453-4C51-931A-1F096B371866}"/>
    <cellStyle name="40% - Accent6 2 3 2 3" xfId="7623" xr:uid="{00000000-0005-0000-0000-00005A110000}"/>
    <cellStyle name="40% - Accent6 2 3 2 3 2" xfId="7624" xr:uid="{00000000-0005-0000-0000-00005B110000}"/>
    <cellStyle name="40% - Accent6 2 3 2 3 2 2" xfId="7625" xr:uid="{00000000-0005-0000-0000-00005C110000}"/>
    <cellStyle name="40% - Accent6 2 3 2 3 2 2 2" xfId="25219" xr:uid="{50599B20-347F-45CC-955A-E6DE1D40B2A9}"/>
    <cellStyle name="40% - Accent6 2 3 2 3 2 2 2 2" xfId="40190" xr:uid="{1CD8BC4E-BB34-4C9C-AC77-DDC81F55C091}"/>
    <cellStyle name="40% - Accent6 2 3 2 3 2 2 3" xfId="32587" xr:uid="{2FDFF5BE-070D-419F-BEB5-4305F2B88E2F}"/>
    <cellStyle name="40% - Accent6 2 3 2 3 2 3" xfId="7626" xr:uid="{00000000-0005-0000-0000-00005D110000}"/>
    <cellStyle name="40% - Accent6 2 3 2 3 2 3 2" xfId="25220" xr:uid="{7208A3FA-6338-4AE5-AF8F-362BD11D4BDB}"/>
    <cellStyle name="40% - Accent6 2 3 2 3 2 3 2 2" xfId="40191" xr:uid="{DE3DE182-EB7E-4929-8D69-3657BF308689}"/>
    <cellStyle name="40% - Accent6 2 3 2 3 2 3 3" xfId="32588" xr:uid="{55DC6265-1C34-48DA-9A55-661CA08F9F67}"/>
    <cellStyle name="40% - Accent6 2 3 2 3 2 4" xfId="25218" xr:uid="{CB698CDC-F541-4384-B910-3A821D157367}"/>
    <cellStyle name="40% - Accent6 2 3 2 3 2 4 2" xfId="40189" xr:uid="{F7BE8C28-F618-4ADB-B3B5-2F323AB211C4}"/>
    <cellStyle name="40% - Accent6 2 3 2 3 2 5" xfId="32586" xr:uid="{E612C2C1-36F3-4E1E-A960-445EBA3B406C}"/>
    <cellStyle name="40% - Accent6 2 3 2 3 3" xfId="7627" xr:uid="{00000000-0005-0000-0000-00005E110000}"/>
    <cellStyle name="40% - Accent6 2 3 2 3 3 2" xfId="7628" xr:uid="{00000000-0005-0000-0000-00005F110000}"/>
    <cellStyle name="40% - Accent6 2 3 2 3 3 2 2" xfId="25222" xr:uid="{41972AC1-63BD-4F2D-80DD-86105C4FF96D}"/>
    <cellStyle name="40% - Accent6 2 3 2 3 3 2 2 2" xfId="40193" xr:uid="{1BA2441F-669B-4F9E-9869-D33E681D347E}"/>
    <cellStyle name="40% - Accent6 2 3 2 3 3 2 3" xfId="32590" xr:uid="{C82AE933-42F6-437F-A184-6E62F9A15E9E}"/>
    <cellStyle name="40% - Accent6 2 3 2 3 3 3" xfId="25221" xr:uid="{D852DC31-DAB7-4005-9F84-5E75CA0B3565}"/>
    <cellStyle name="40% - Accent6 2 3 2 3 3 3 2" xfId="40192" xr:uid="{0D21B726-2F70-42A4-AAA0-BD4AC02F0315}"/>
    <cellStyle name="40% - Accent6 2 3 2 3 3 4" xfId="32589" xr:uid="{7A48C1ED-76EE-449C-A79A-52C751D15880}"/>
    <cellStyle name="40% - Accent6 2 3 2 3 4" xfId="7629" xr:uid="{00000000-0005-0000-0000-000060110000}"/>
    <cellStyle name="40% - Accent6 2 3 2 3 4 2" xfId="25223" xr:uid="{4DD18DEE-909A-4E5B-8187-96A4EA5F15DD}"/>
    <cellStyle name="40% - Accent6 2 3 2 3 4 2 2" xfId="40194" xr:uid="{317C425A-C18A-43C4-B3B5-F93CCE9BEF08}"/>
    <cellStyle name="40% - Accent6 2 3 2 3 4 3" xfId="32591" xr:uid="{A1985139-0DF9-4B14-B790-114A20DE758D}"/>
    <cellStyle name="40% - Accent6 2 3 2 3 5" xfId="25217" xr:uid="{322D5DF1-D556-44A1-BAC6-4F334FFD34E2}"/>
    <cellStyle name="40% - Accent6 2 3 2 3 5 2" xfId="40188" xr:uid="{1CA1636F-AEFB-45A7-9946-3539616D746A}"/>
    <cellStyle name="40% - Accent6 2 3 2 3 6" xfId="32585" xr:uid="{E0F67182-C7AD-473E-BDFF-93FBAE6A5F61}"/>
    <cellStyle name="40% - Accent6 2 3 2 4" xfId="7630" xr:uid="{00000000-0005-0000-0000-000061110000}"/>
    <cellStyle name="40% - Accent6 2 3 2 4 2" xfId="7631" xr:uid="{00000000-0005-0000-0000-000062110000}"/>
    <cellStyle name="40% - Accent6 2 3 2 4 2 2" xfId="25225" xr:uid="{00A1DF27-4FC2-485C-A36E-071A890EAB45}"/>
    <cellStyle name="40% - Accent6 2 3 2 4 2 2 2" xfId="40196" xr:uid="{4F33F053-A07B-4DCD-9653-EDF35AF26E1B}"/>
    <cellStyle name="40% - Accent6 2 3 2 4 2 3" xfId="32593" xr:uid="{98969D1E-16A9-4DD8-AD5C-B923D87E4584}"/>
    <cellStyle name="40% - Accent6 2 3 2 4 3" xfId="7632" xr:uid="{00000000-0005-0000-0000-000063110000}"/>
    <cellStyle name="40% - Accent6 2 3 2 4 3 2" xfId="25226" xr:uid="{09395EFD-AB80-4A2B-A0E2-2ABC9F2550CB}"/>
    <cellStyle name="40% - Accent6 2 3 2 4 3 2 2" xfId="40197" xr:uid="{CFE05BBC-E3D1-4C27-90EF-564E6E7D6029}"/>
    <cellStyle name="40% - Accent6 2 3 2 4 3 3" xfId="32594" xr:uid="{4B535FE6-8042-4378-AF53-3D672EC1BC67}"/>
    <cellStyle name="40% - Accent6 2 3 2 4 4" xfId="25224" xr:uid="{D3406276-5A16-4AAE-9707-731C4317C402}"/>
    <cellStyle name="40% - Accent6 2 3 2 4 4 2" xfId="40195" xr:uid="{76473ED2-16B4-4795-BD52-B9D82A146354}"/>
    <cellStyle name="40% - Accent6 2 3 2 4 5" xfId="32592" xr:uid="{289200B1-BBD7-4641-9CA8-00D46CDC7AA4}"/>
    <cellStyle name="40% - Accent6 2 3 2 5" xfId="7633" xr:uid="{00000000-0005-0000-0000-000064110000}"/>
    <cellStyle name="40% - Accent6 2 3 2 5 2" xfId="25227" xr:uid="{DB9618B7-8418-4E63-8D25-48B533440C76}"/>
    <cellStyle name="40% - Accent6 2 3 2 5 2 2" xfId="40198" xr:uid="{7FEE262A-5C9E-4123-A350-BAEA95FC5C1B}"/>
    <cellStyle name="40% - Accent6 2 3 2 5 3" xfId="32595" xr:uid="{14B2A0DE-48D7-40FA-B81F-37766FE0047A}"/>
    <cellStyle name="40% - Accent6 2 3 2 6" xfId="7634" xr:uid="{00000000-0005-0000-0000-000065110000}"/>
    <cellStyle name="40% - Accent6 2 3 2 6 2" xfId="7635" xr:uid="{00000000-0005-0000-0000-000066110000}"/>
    <cellStyle name="40% - Accent6 2 3 2 6 2 2" xfId="25229" xr:uid="{DFB12DD8-A95F-4615-8654-105199BB8FCB}"/>
    <cellStyle name="40% - Accent6 2 3 2 6 2 2 2" xfId="40200" xr:uid="{FEE5DC67-487E-4799-AEAB-F5EC88DA8097}"/>
    <cellStyle name="40% - Accent6 2 3 2 6 2 3" xfId="32597" xr:uid="{F7BEEEA0-5CB4-45CA-9623-F6027F171613}"/>
    <cellStyle name="40% - Accent6 2 3 2 6 3" xfId="25228" xr:uid="{1CF9A9E9-1AF7-42AA-9731-CCE0137142FF}"/>
    <cellStyle name="40% - Accent6 2 3 2 6 3 2" xfId="40199" xr:uid="{A7FFBFA6-78EE-4399-BE3D-195B4AA75ED5}"/>
    <cellStyle name="40% - Accent6 2 3 2 6 4" xfId="32596" xr:uid="{1F225EBD-FAF4-4FFA-A37F-A2BDA1ED7225}"/>
    <cellStyle name="40% - Accent6 2 3 2 7" xfId="7636" xr:uid="{00000000-0005-0000-0000-000067110000}"/>
    <cellStyle name="40% - Accent6 2 3 2 7 2" xfId="25230" xr:uid="{B3763F6E-531D-456F-879A-CFA250567D44}"/>
    <cellStyle name="40% - Accent6 2 3 2 7 2 2" xfId="40201" xr:uid="{764D8D4E-73E9-4242-9F2B-F0457CE51615}"/>
    <cellStyle name="40% - Accent6 2 3 2 7 3" xfId="32598" xr:uid="{BD563869-77D4-4C1D-9B41-BD9E80F9AE82}"/>
    <cellStyle name="40% - Accent6 2 3 2 8" xfId="25209" xr:uid="{74109AA7-2286-4BF4-9B16-E87D4AB1E4FC}"/>
    <cellStyle name="40% - Accent6 2 3 2 8 2" xfId="40180" xr:uid="{B02A4276-F950-4139-B234-EF427F9BFC14}"/>
    <cellStyle name="40% - Accent6 2 3 2 9" xfId="32577" xr:uid="{1670FF7F-41F0-4BC9-839B-96EA5BE1CD6E}"/>
    <cellStyle name="40% - Accent6 2 3 3" xfId="7637" xr:uid="{00000000-0005-0000-0000-000068110000}"/>
    <cellStyle name="40% - Accent6 2 3 3 2" xfId="7638" xr:uid="{00000000-0005-0000-0000-000069110000}"/>
    <cellStyle name="40% - Accent6 2 3 3 2 2" xfId="7639" xr:uid="{00000000-0005-0000-0000-00006A110000}"/>
    <cellStyle name="40% - Accent6 2 3 3 2 2 2" xfId="25233" xr:uid="{A40B1C13-ADFC-418A-969B-3AF86C972492}"/>
    <cellStyle name="40% - Accent6 2 3 3 2 2 2 2" xfId="40204" xr:uid="{C468DAEB-E1C7-4842-B70C-35FBA8403B4F}"/>
    <cellStyle name="40% - Accent6 2 3 3 2 2 3" xfId="32601" xr:uid="{EF784DD3-6F20-415F-9ECB-0A7AA6998CF3}"/>
    <cellStyle name="40% - Accent6 2 3 3 2 3" xfId="7640" xr:uid="{00000000-0005-0000-0000-00006B110000}"/>
    <cellStyle name="40% - Accent6 2 3 3 2 3 2" xfId="25234" xr:uid="{7A9301A1-AF4D-4E17-97B9-5C29B45588B8}"/>
    <cellStyle name="40% - Accent6 2 3 3 2 3 2 2" xfId="40205" xr:uid="{764A8CF7-CB37-4672-A402-6A4F78B4B423}"/>
    <cellStyle name="40% - Accent6 2 3 3 2 3 3" xfId="32602" xr:uid="{CC6213BD-C5E4-4AB0-AA4D-E66F76BC0E09}"/>
    <cellStyle name="40% - Accent6 2 3 3 2 4" xfId="25232" xr:uid="{774C8FC1-AB2D-4A29-8B5A-FF3EC3104C83}"/>
    <cellStyle name="40% - Accent6 2 3 3 2 4 2" xfId="40203" xr:uid="{9F02D8E5-4299-4677-9C6E-B8567CD5DD78}"/>
    <cellStyle name="40% - Accent6 2 3 3 2 5" xfId="32600" xr:uid="{CB42CEE9-A6EB-408B-94A6-A2C3684A1C61}"/>
    <cellStyle name="40% - Accent6 2 3 3 3" xfId="7641" xr:uid="{00000000-0005-0000-0000-00006C110000}"/>
    <cellStyle name="40% - Accent6 2 3 3 3 2" xfId="7642" xr:uid="{00000000-0005-0000-0000-00006D110000}"/>
    <cellStyle name="40% - Accent6 2 3 3 3 2 2" xfId="25236" xr:uid="{83E87C34-3C71-4F39-AF86-8F8631AD30B5}"/>
    <cellStyle name="40% - Accent6 2 3 3 3 2 2 2" xfId="40207" xr:uid="{1CFE9D2F-7127-4BF6-9847-A9E0D81E5E67}"/>
    <cellStyle name="40% - Accent6 2 3 3 3 2 3" xfId="32604" xr:uid="{E8DA0A81-D553-4044-BA9F-151505E262D4}"/>
    <cellStyle name="40% - Accent6 2 3 3 3 3" xfId="25235" xr:uid="{DE1A1FAB-4417-41FB-908E-79CFD62E4398}"/>
    <cellStyle name="40% - Accent6 2 3 3 3 3 2" xfId="40206" xr:uid="{327A2F1C-6AED-463C-A5F1-3C9CD88B8809}"/>
    <cellStyle name="40% - Accent6 2 3 3 3 4" xfId="32603" xr:uid="{06EB1FF6-5A7C-41A8-ABEC-5FFC61EFD1FA}"/>
    <cellStyle name="40% - Accent6 2 3 3 4" xfId="7643" xr:uid="{00000000-0005-0000-0000-00006E110000}"/>
    <cellStyle name="40% - Accent6 2 3 3 4 2" xfId="25237" xr:uid="{C8F5ADB9-5F98-46D1-91CA-69660567E772}"/>
    <cellStyle name="40% - Accent6 2 3 3 4 2 2" xfId="40208" xr:uid="{AEB7BC98-4C92-42D9-8B28-00ABE67B83DC}"/>
    <cellStyle name="40% - Accent6 2 3 3 4 3" xfId="32605" xr:uid="{0707F195-BEE4-4734-8FA2-3988649D9FA8}"/>
    <cellStyle name="40% - Accent6 2 3 3 5" xfId="25231" xr:uid="{33169465-E5D6-4F29-9FD7-C8CE4081FEE6}"/>
    <cellStyle name="40% - Accent6 2 3 3 5 2" xfId="40202" xr:uid="{142C2600-0F52-42D5-849C-FC510C41D424}"/>
    <cellStyle name="40% - Accent6 2 3 3 6" xfId="32599" xr:uid="{8EA2897D-E8AB-48A7-BD5E-ECCCBA11C271}"/>
    <cellStyle name="40% - Accent6 2 3 4" xfId="7644" xr:uid="{00000000-0005-0000-0000-00006F110000}"/>
    <cellStyle name="40% - Accent6 2 3 4 2" xfId="7645" xr:uid="{00000000-0005-0000-0000-000070110000}"/>
    <cellStyle name="40% - Accent6 2 3 4 2 2" xfId="7646" xr:uid="{00000000-0005-0000-0000-000071110000}"/>
    <cellStyle name="40% - Accent6 2 3 4 2 2 2" xfId="25240" xr:uid="{209FBACF-B7FC-465E-B41A-1138D2F6E1FA}"/>
    <cellStyle name="40% - Accent6 2 3 4 2 2 2 2" xfId="40211" xr:uid="{BB94A129-D6FB-443B-81D6-D2857D2F4F62}"/>
    <cellStyle name="40% - Accent6 2 3 4 2 2 3" xfId="32608" xr:uid="{05B310E8-E96F-4D64-B5B3-F46928BA0A04}"/>
    <cellStyle name="40% - Accent6 2 3 4 2 3" xfId="7647" xr:uid="{00000000-0005-0000-0000-000072110000}"/>
    <cellStyle name="40% - Accent6 2 3 4 2 3 2" xfId="25241" xr:uid="{6DEE7149-537F-4A81-B3A9-3D8F73D0A14B}"/>
    <cellStyle name="40% - Accent6 2 3 4 2 3 2 2" xfId="40212" xr:uid="{1C49482B-734C-4FC2-8969-7748E35A1311}"/>
    <cellStyle name="40% - Accent6 2 3 4 2 3 3" xfId="32609" xr:uid="{C2D5EC65-128E-43C0-A5BB-CF6971455290}"/>
    <cellStyle name="40% - Accent6 2 3 4 2 4" xfId="25239" xr:uid="{A1E85BDA-97A0-4DCC-AF3D-3636FBFE3BCE}"/>
    <cellStyle name="40% - Accent6 2 3 4 2 4 2" xfId="40210" xr:uid="{90E35818-2E25-4EEA-B28D-46DAE8F3473B}"/>
    <cellStyle name="40% - Accent6 2 3 4 2 5" xfId="32607" xr:uid="{A11C142A-A6A4-415C-9B5C-869FF0C61428}"/>
    <cellStyle name="40% - Accent6 2 3 4 3" xfId="7648" xr:uid="{00000000-0005-0000-0000-000073110000}"/>
    <cellStyle name="40% - Accent6 2 3 4 3 2" xfId="7649" xr:uid="{00000000-0005-0000-0000-000074110000}"/>
    <cellStyle name="40% - Accent6 2 3 4 3 2 2" xfId="25243" xr:uid="{D667A287-D72F-4FD4-9BE7-157F51FE7FE6}"/>
    <cellStyle name="40% - Accent6 2 3 4 3 2 2 2" xfId="40214" xr:uid="{2E1C6F3A-8CCF-4854-9BC1-7A710E5332F2}"/>
    <cellStyle name="40% - Accent6 2 3 4 3 2 3" xfId="32611" xr:uid="{CEA78EC9-CACA-491B-952A-6E6A9E884D0A}"/>
    <cellStyle name="40% - Accent6 2 3 4 3 3" xfId="25242" xr:uid="{64A3CE2C-8E80-4AA1-A27E-C624D48F78C8}"/>
    <cellStyle name="40% - Accent6 2 3 4 3 3 2" xfId="40213" xr:uid="{B822CEF8-CB0A-4411-8910-7DEE486C5A28}"/>
    <cellStyle name="40% - Accent6 2 3 4 3 4" xfId="32610" xr:uid="{8E4B967A-1CAE-4C95-BB77-6F89E5B70EB5}"/>
    <cellStyle name="40% - Accent6 2 3 4 4" xfId="7650" xr:uid="{00000000-0005-0000-0000-000075110000}"/>
    <cellStyle name="40% - Accent6 2 3 4 4 2" xfId="25244" xr:uid="{7DE89492-8244-4833-845F-33909662450E}"/>
    <cellStyle name="40% - Accent6 2 3 4 4 2 2" xfId="40215" xr:uid="{87EAD731-6006-4033-AD24-EEC11CD25083}"/>
    <cellStyle name="40% - Accent6 2 3 4 4 3" xfId="32612" xr:uid="{388103DB-F02F-4668-9A4D-B5B4BD55E0DD}"/>
    <cellStyle name="40% - Accent6 2 3 4 5" xfId="25238" xr:uid="{9BDE5D43-14EF-47CE-972B-906E1E1B2111}"/>
    <cellStyle name="40% - Accent6 2 3 4 5 2" xfId="40209" xr:uid="{3CE6ADF8-3A5A-4DAE-B49D-894CB2D37DF3}"/>
    <cellStyle name="40% - Accent6 2 3 4 6" xfId="32606" xr:uid="{DF30B179-8AC7-4E89-A921-70F9DF223C97}"/>
    <cellStyle name="40% - Accent6 2 3 5" xfId="7651" xr:uid="{00000000-0005-0000-0000-000076110000}"/>
    <cellStyle name="40% - Accent6 2 3 5 2" xfId="7652" xr:uid="{00000000-0005-0000-0000-000077110000}"/>
    <cellStyle name="40% - Accent6 2 3 5 2 2" xfId="25246" xr:uid="{D0742190-A0A7-4612-BD88-CB096BC6E9FE}"/>
    <cellStyle name="40% - Accent6 2 3 5 2 2 2" xfId="40217" xr:uid="{ADC86069-845D-4CA5-A598-3BFD42AFA72C}"/>
    <cellStyle name="40% - Accent6 2 3 5 2 3" xfId="32614" xr:uid="{5A976F62-5B2E-4948-8E58-3464FD6D9602}"/>
    <cellStyle name="40% - Accent6 2 3 5 3" xfId="7653" xr:uid="{00000000-0005-0000-0000-000078110000}"/>
    <cellStyle name="40% - Accent6 2 3 5 3 2" xfId="25247" xr:uid="{2121BE49-3426-422F-9D4D-40F15646D6A0}"/>
    <cellStyle name="40% - Accent6 2 3 5 3 2 2" xfId="40218" xr:uid="{C0457BF9-FC19-4BEA-94C9-5A58BB26AF08}"/>
    <cellStyle name="40% - Accent6 2 3 5 3 3" xfId="32615" xr:uid="{E883B269-1B72-4C46-842D-FC002E9E26C1}"/>
    <cellStyle name="40% - Accent6 2 3 5 4" xfId="25245" xr:uid="{08539B50-441D-44DF-83A3-825376561CA5}"/>
    <cellStyle name="40% - Accent6 2 3 5 4 2" xfId="40216" xr:uid="{917DE874-D63B-43C2-A29E-2B0D863B0E1B}"/>
    <cellStyle name="40% - Accent6 2 3 5 5" xfId="32613" xr:uid="{E0FEC8BA-5B2D-48D5-8226-AAD2D9D25A5F}"/>
    <cellStyle name="40% - Accent6 2 3 6" xfId="7654" xr:uid="{00000000-0005-0000-0000-000079110000}"/>
    <cellStyle name="40% - Accent6 2 3 6 2" xfId="25248" xr:uid="{97D0D077-A4C0-4F92-B95F-9572E54B8530}"/>
    <cellStyle name="40% - Accent6 2 3 6 2 2" xfId="40219" xr:uid="{BFC26FF4-029D-45AB-A815-DE681EAE34E4}"/>
    <cellStyle name="40% - Accent6 2 3 6 3" xfId="32616" xr:uid="{D403A400-564F-4C7A-AF92-AF4711BF3157}"/>
    <cellStyle name="40% - Accent6 2 3 7" xfId="7655" xr:uid="{00000000-0005-0000-0000-00007A110000}"/>
    <cellStyle name="40% - Accent6 2 3 7 2" xfId="7656" xr:uid="{00000000-0005-0000-0000-00007B110000}"/>
    <cellStyle name="40% - Accent6 2 3 7 2 2" xfId="25250" xr:uid="{C3C0D8FA-4B32-41B4-8AD0-858E716B8729}"/>
    <cellStyle name="40% - Accent6 2 3 7 2 2 2" xfId="40221" xr:uid="{A481AF32-CF5E-4405-AF88-76A4A6299AAF}"/>
    <cellStyle name="40% - Accent6 2 3 7 2 3" xfId="32618" xr:uid="{73BFC2B9-9CBD-4B50-A8BE-2880DAB96B53}"/>
    <cellStyle name="40% - Accent6 2 3 7 3" xfId="25249" xr:uid="{7260D9E4-FDA2-4C0A-92B6-30943A18F7A0}"/>
    <cellStyle name="40% - Accent6 2 3 7 3 2" xfId="40220" xr:uid="{86273849-7F8B-4D65-ABE0-4786EE4460F2}"/>
    <cellStyle name="40% - Accent6 2 3 7 4" xfId="32617" xr:uid="{F5758134-877D-4E85-AB4B-3A060314E20C}"/>
    <cellStyle name="40% - Accent6 2 3 8" xfId="7657" xr:uid="{00000000-0005-0000-0000-00007C110000}"/>
    <cellStyle name="40% - Accent6 2 3 8 2" xfId="25251" xr:uid="{836AD4F8-77F6-439E-8956-7EA825A07FA3}"/>
    <cellStyle name="40% - Accent6 2 3 8 2 2" xfId="40222" xr:uid="{068A14A2-203F-4D38-BFDE-A15C9DBC9A3D}"/>
    <cellStyle name="40% - Accent6 2 3 8 3" xfId="32619" xr:uid="{59E23E34-742A-43FE-B095-A65A135E6BCB}"/>
    <cellStyle name="40% - Accent6 2 3 9" xfId="25208" xr:uid="{3D087D00-5B1D-48F3-A142-C023BBAEA7FE}"/>
    <cellStyle name="40% - Accent6 2 3 9 2" xfId="40179" xr:uid="{5B7EF9E7-B550-4B63-BC06-FEFC9F888944}"/>
    <cellStyle name="40% - Accent6 2 4" xfId="7658" xr:uid="{00000000-0005-0000-0000-00007D110000}"/>
    <cellStyle name="40% - Accent6 2 4 10" xfId="32620" xr:uid="{419C1AE7-235C-4C0C-AD28-BDDDF0CEC145}"/>
    <cellStyle name="40% - Accent6 2 4 2" xfId="7659" xr:uid="{00000000-0005-0000-0000-00007E110000}"/>
    <cellStyle name="40% - Accent6 2 4 2 2" xfId="7660" xr:uid="{00000000-0005-0000-0000-00007F110000}"/>
    <cellStyle name="40% - Accent6 2 4 2 2 2" xfId="7661" xr:uid="{00000000-0005-0000-0000-000080110000}"/>
    <cellStyle name="40% - Accent6 2 4 2 2 2 2" xfId="7662" xr:uid="{00000000-0005-0000-0000-000081110000}"/>
    <cellStyle name="40% - Accent6 2 4 2 2 2 2 2" xfId="25256" xr:uid="{4C299884-F23D-46FA-92B8-4AA94F991BE0}"/>
    <cellStyle name="40% - Accent6 2 4 2 2 2 2 2 2" xfId="40227" xr:uid="{320EA8A7-FB79-44E1-8089-1EAA43915EE6}"/>
    <cellStyle name="40% - Accent6 2 4 2 2 2 2 3" xfId="32624" xr:uid="{873C1236-3CFC-423F-A96B-A235FE39DF77}"/>
    <cellStyle name="40% - Accent6 2 4 2 2 2 3" xfId="7663" xr:uid="{00000000-0005-0000-0000-000082110000}"/>
    <cellStyle name="40% - Accent6 2 4 2 2 2 3 2" xfId="25257" xr:uid="{5A3D8770-D17B-4C35-9591-71432C2F4A1B}"/>
    <cellStyle name="40% - Accent6 2 4 2 2 2 3 2 2" xfId="40228" xr:uid="{6E0D947F-1A3B-42B0-8803-97A00A982C4C}"/>
    <cellStyle name="40% - Accent6 2 4 2 2 2 3 3" xfId="32625" xr:uid="{49468FF2-45A9-4F51-AB39-E5629CB6D166}"/>
    <cellStyle name="40% - Accent6 2 4 2 2 2 4" xfId="25255" xr:uid="{C50A830F-2F99-49A9-A3D7-6A91F8D78A9B}"/>
    <cellStyle name="40% - Accent6 2 4 2 2 2 4 2" xfId="40226" xr:uid="{CD15C009-80D8-4C90-A790-A109EC162780}"/>
    <cellStyle name="40% - Accent6 2 4 2 2 2 5" xfId="32623" xr:uid="{90FEA6D8-C66A-42D7-A7AC-810F016574BB}"/>
    <cellStyle name="40% - Accent6 2 4 2 2 3" xfId="7664" xr:uid="{00000000-0005-0000-0000-000083110000}"/>
    <cellStyle name="40% - Accent6 2 4 2 2 3 2" xfId="7665" xr:uid="{00000000-0005-0000-0000-000084110000}"/>
    <cellStyle name="40% - Accent6 2 4 2 2 3 2 2" xfId="25259" xr:uid="{0F0833E0-1173-40F7-8CAE-98B3AE1F6E9E}"/>
    <cellStyle name="40% - Accent6 2 4 2 2 3 2 2 2" xfId="40230" xr:uid="{DBF0E193-61F3-47A8-8563-3AB34F84A751}"/>
    <cellStyle name="40% - Accent6 2 4 2 2 3 2 3" xfId="32627" xr:uid="{FF0CB143-E86A-4D3B-AD38-5F41A1C1985E}"/>
    <cellStyle name="40% - Accent6 2 4 2 2 3 3" xfId="25258" xr:uid="{EA2DEDFB-3801-432F-8797-AED34B3AD663}"/>
    <cellStyle name="40% - Accent6 2 4 2 2 3 3 2" xfId="40229" xr:uid="{D1301314-EF0D-412E-86F6-8F51E4A0801A}"/>
    <cellStyle name="40% - Accent6 2 4 2 2 3 4" xfId="32626" xr:uid="{047777D5-1B7C-41A2-9880-530FFEF38292}"/>
    <cellStyle name="40% - Accent6 2 4 2 2 4" xfId="7666" xr:uid="{00000000-0005-0000-0000-000085110000}"/>
    <cellStyle name="40% - Accent6 2 4 2 2 4 2" xfId="25260" xr:uid="{668282DC-CE96-4D09-991E-669D9D655CE5}"/>
    <cellStyle name="40% - Accent6 2 4 2 2 4 2 2" xfId="40231" xr:uid="{DBD61132-2A07-4988-9C96-42F8C31A25C9}"/>
    <cellStyle name="40% - Accent6 2 4 2 2 4 3" xfId="32628" xr:uid="{65E5F5A3-58D1-437A-8EC3-06509344BA33}"/>
    <cellStyle name="40% - Accent6 2 4 2 2 5" xfId="25254" xr:uid="{712650DB-C883-4846-A4CC-A84DBE3B28D9}"/>
    <cellStyle name="40% - Accent6 2 4 2 2 5 2" xfId="40225" xr:uid="{B5A90533-AE63-4778-8D6B-5FCF19785692}"/>
    <cellStyle name="40% - Accent6 2 4 2 2 6" xfId="32622" xr:uid="{BF13A32B-5526-43E6-BE84-B10EE1360F4F}"/>
    <cellStyle name="40% - Accent6 2 4 2 3" xfId="7667" xr:uid="{00000000-0005-0000-0000-000086110000}"/>
    <cellStyle name="40% - Accent6 2 4 2 3 2" xfId="7668" xr:uid="{00000000-0005-0000-0000-000087110000}"/>
    <cellStyle name="40% - Accent6 2 4 2 3 2 2" xfId="7669" xr:uid="{00000000-0005-0000-0000-000088110000}"/>
    <cellStyle name="40% - Accent6 2 4 2 3 2 2 2" xfId="25263" xr:uid="{2D1CFA46-985C-49C5-B824-75E34916524F}"/>
    <cellStyle name="40% - Accent6 2 4 2 3 2 2 2 2" xfId="40234" xr:uid="{CF1BA443-7768-42A4-A582-F8415A38EA24}"/>
    <cellStyle name="40% - Accent6 2 4 2 3 2 2 3" xfId="32631" xr:uid="{E99C9152-342C-4C9C-BF6A-D14841CB97F7}"/>
    <cellStyle name="40% - Accent6 2 4 2 3 2 3" xfId="7670" xr:uid="{00000000-0005-0000-0000-000089110000}"/>
    <cellStyle name="40% - Accent6 2 4 2 3 2 3 2" xfId="25264" xr:uid="{7CEE748A-A6D8-4122-A2E4-6A18381D1442}"/>
    <cellStyle name="40% - Accent6 2 4 2 3 2 3 2 2" xfId="40235" xr:uid="{0D56E8D7-4EB3-4779-8D55-7BCB3BB8CFA7}"/>
    <cellStyle name="40% - Accent6 2 4 2 3 2 3 3" xfId="32632" xr:uid="{F44B4224-5690-43B9-BC63-00C348CA4A36}"/>
    <cellStyle name="40% - Accent6 2 4 2 3 2 4" xfId="25262" xr:uid="{D6708C4F-40B0-494C-BF2C-21101B80DD11}"/>
    <cellStyle name="40% - Accent6 2 4 2 3 2 4 2" xfId="40233" xr:uid="{0450D55D-F04F-472F-8A60-8D60A9DDC4CF}"/>
    <cellStyle name="40% - Accent6 2 4 2 3 2 5" xfId="32630" xr:uid="{9A793743-89D7-4C97-A089-863EF0F0EFCC}"/>
    <cellStyle name="40% - Accent6 2 4 2 3 3" xfId="7671" xr:uid="{00000000-0005-0000-0000-00008A110000}"/>
    <cellStyle name="40% - Accent6 2 4 2 3 3 2" xfId="7672" xr:uid="{00000000-0005-0000-0000-00008B110000}"/>
    <cellStyle name="40% - Accent6 2 4 2 3 3 2 2" xfId="25266" xr:uid="{B931B1DB-0BC1-47D5-B60A-96A4C66AADA7}"/>
    <cellStyle name="40% - Accent6 2 4 2 3 3 2 2 2" xfId="40237" xr:uid="{E89DF233-641F-4E1A-81C7-CF4F031C3BA3}"/>
    <cellStyle name="40% - Accent6 2 4 2 3 3 2 3" xfId="32634" xr:uid="{4A7AF972-C79E-4177-947F-E4D1686F4FFB}"/>
    <cellStyle name="40% - Accent6 2 4 2 3 3 3" xfId="25265" xr:uid="{5D0DF45D-BEE5-4E8A-906B-CE10C1791086}"/>
    <cellStyle name="40% - Accent6 2 4 2 3 3 3 2" xfId="40236" xr:uid="{A7A77979-80B1-43C4-97B0-E2B8F9E862FB}"/>
    <cellStyle name="40% - Accent6 2 4 2 3 3 4" xfId="32633" xr:uid="{EC50B2B3-93BE-43EF-99A5-51A9BA9B624C}"/>
    <cellStyle name="40% - Accent6 2 4 2 3 4" xfId="7673" xr:uid="{00000000-0005-0000-0000-00008C110000}"/>
    <cellStyle name="40% - Accent6 2 4 2 3 4 2" xfId="25267" xr:uid="{3D244491-6110-4963-8447-56AE9CC812CD}"/>
    <cellStyle name="40% - Accent6 2 4 2 3 4 2 2" xfId="40238" xr:uid="{7F77ECA9-F8BB-40AA-BC37-16FF6F32C69D}"/>
    <cellStyle name="40% - Accent6 2 4 2 3 4 3" xfId="32635" xr:uid="{6A76BB28-1F76-4BA2-A559-29B049D17CC9}"/>
    <cellStyle name="40% - Accent6 2 4 2 3 5" xfId="25261" xr:uid="{1A1C44C7-29C6-4CF8-AB11-C6F116F13909}"/>
    <cellStyle name="40% - Accent6 2 4 2 3 5 2" xfId="40232" xr:uid="{89C763B6-FA1E-4CB5-88BF-61D984B975FB}"/>
    <cellStyle name="40% - Accent6 2 4 2 3 6" xfId="32629" xr:uid="{32FDFD10-6868-405F-8587-51108A58A571}"/>
    <cellStyle name="40% - Accent6 2 4 2 4" xfId="7674" xr:uid="{00000000-0005-0000-0000-00008D110000}"/>
    <cellStyle name="40% - Accent6 2 4 2 4 2" xfId="7675" xr:uid="{00000000-0005-0000-0000-00008E110000}"/>
    <cellStyle name="40% - Accent6 2 4 2 4 2 2" xfId="25269" xr:uid="{55FCD4E4-FFF1-4344-8CAE-27B40C57D497}"/>
    <cellStyle name="40% - Accent6 2 4 2 4 2 2 2" xfId="40240" xr:uid="{E70E1470-2D1B-4C52-BEBF-7F66EDFAD767}"/>
    <cellStyle name="40% - Accent6 2 4 2 4 2 3" xfId="32637" xr:uid="{4AFC3919-1AEF-489E-99FD-6E7F38DD3950}"/>
    <cellStyle name="40% - Accent6 2 4 2 4 3" xfId="7676" xr:uid="{00000000-0005-0000-0000-00008F110000}"/>
    <cellStyle name="40% - Accent6 2 4 2 4 3 2" xfId="25270" xr:uid="{E01D35FE-8066-46BC-A87D-11554F1090BF}"/>
    <cellStyle name="40% - Accent6 2 4 2 4 3 2 2" xfId="40241" xr:uid="{F4FF048E-C8F1-4BE8-9CAD-7D5FA58BE34F}"/>
    <cellStyle name="40% - Accent6 2 4 2 4 3 3" xfId="32638" xr:uid="{1DAB548F-7597-41BF-A098-8D5A70DE4713}"/>
    <cellStyle name="40% - Accent6 2 4 2 4 4" xfId="25268" xr:uid="{C7FB722E-8106-4219-847F-DCE7D482D07C}"/>
    <cellStyle name="40% - Accent6 2 4 2 4 4 2" xfId="40239" xr:uid="{DA091DEB-F38A-4A26-ACEA-C22C8B8FEB4E}"/>
    <cellStyle name="40% - Accent6 2 4 2 4 5" xfId="32636" xr:uid="{ACCF5B00-8579-4D1A-9B7E-52DF6E0C1FCC}"/>
    <cellStyle name="40% - Accent6 2 4 2 5" xfId="7677" xr:uid="{00000000-0005-0000-0000-000090110000}"/>
    <cellStyle name="40% - Accent6 2 4 2 5 2" xfId="25271" xr:uid="{D253F0CE-10C1-489B-8847-BB48CDBC31CE}"/>
    <cellStyle name="40% - Accent6 2 4 2 5 2 2" xfId="40242" xr:uid="{A458B7F9-A24E-4C4C-820D-9898FEC9298E}"/>
    <cellStyle name="40% - Accent6 2 4 2 5 3" xfId="32639" xr:uid="{D6B5F5EB-DDD9-4469-A3DF-9748DFA10EBE}"/>
    <cellStyle name="40% - Accent6 2 4 2 6" xfId="7678" xr:uid="{00000000-0005-0000-0000-000091110000}"/>
    <cellStyle name="40% - Accent6 2 4 2 6 2" xfId="7679" xr:uid="{00000000-0005-0000-0000-000092110000}"/>
    <cellStyle name="40% - Accent6 2 4 2 6 2 2" xfId="25273" xr:uid="{E1CC9E39-1596-46CA-917C-33D4EA61CAFD}"/>
    <cellStyle name="40% - Accent6 2 4 2 6 2 2 2" xfId="40244" xr:uid="{580DAA32-D858-4F91-B15C-3D15936FA27A}"/>
    <cellStyle name="40% - Accent6 2 4 2 6 2 3" xfId="32641" xr:uid="{2270E1F2-2ACA-46C2-812E-C6975C94C48D}"/>
    <cellStyle name="40% - Accent6 2 4 2 6 3" xfId="25272" xr:uid="{8A8C975B-2727-4859-94B8-1FE8B236B2C5}"/>
    <cellStyle name="40% - Accent6 2 4 2 6 3 2" xfId="40243" xr:uid="{7E220E9C-8927-48A3-964A-8A9A1E03B83E}"/>
    <cellStyle name="40% - Accent6 2 4 2 6 4" xfId="32640" xr:uid="{CE7ECB2E-8917-40E1-A0E8-ABE9886FB59A}"/>
    <cellStyle name="40% - Accent6 2 4 2 7" xfId="7680" xr:uid="{00000000-0005-0000-0000-000093110000}"/>
    <cellStyle name="40% - Accent6 2 4 2 7 2" xfId="25274" xr:uid="{6A9C0457-369B-4226-8F1E-970BCA5068B0}"/>
    <cellStyle name="40% - Accent6 2 4 2 7 2 2" xfId="40245" xr:uid="{8A5CA7B8-B879-4453-9938-D33505C9C1C0}"/>
    <cellStyle name="40% - Accent6 2 4 2 7 3" xfId="32642" xr:uid="{BC54F0A8-A1C8-49AB-9D2A-896364D3D598}"/>
    <cellStyle name="40% - Accent6 2 4 2 8" xfId="25253" xr:uid="{2C3C0448-4C73-45D3-B239-9761589F31FD}"/>
    <cellStyle name="40% - Accent6 2 4 2 8 2" xfId="40224" xr:uid="{D7442C9E-3F7B-4539-BC78-C98BBC40ED4B}"/>
    <cellStyle name="40% - Accent6 2 4 2 9" xfId="32621" xr:uid="{A27F42B0-8B72-4499-9520-8DA32CD0C9D4}"/>
    <cellStyle name="40% - Accent6 2 4 3" xfId="7681" xr:uid="{00000000-0005-0000-0000-000094110000}"/>
    <cellStyle name="40% - Accent6 2 4 3 2" xfId="7682" xr:uid="{00000000-0005-0000-0000-000095110000}"/>
    <cellStyle name="40% - Accent6 2 4 3 2 2" xfId="7683" xr:uid="{00000000-0005-0000-0000-000096110000}"/>
    <cellStyle name="40% - Accent6 2 4 3 2 2 2" xfId="25277" xr:uid="{29D414B8-52CD-46EC-B259-1567841F2273}"/>
    <cellStyle name="40% - Accent6 2 4 3 2 2 2 2" xfId="40248" xr:uid="{E23D0DFB-F1F2-42AC-BCD3-FF1B09396F08}"/>
    <cellStyle name="40% - Accent6 2 4 3 2 2 3" xfId="32645" xr:uid="{65F44B69-4A08-41EF-B0E1-AA20AFA34851}"/>
    <cellStyle name="40% - Accent6 2 4 3 2 3" xfId="7684" xr:uid="{00000000-0005-0000-0000-000097110000}"/>
    <cellStyle name="40% - Accent6 2 4 3 2 3 2" xfId="25278" xr:uid="{476024DE-C351-4850-AEFD-57145EC42EE5}"/>
    <cellStyle name="40% - Accent6 2 4 3 2 3 2 2" xfId="40249" xr:uid="{BDA7D366-C477-4816-833E-20AAB230D579}"/>
    <cellStyle name="40% - Accent6 2 4 3 2 3 3" xfId="32646" xr:uid="{F993AE20-D726-4EB8-877F-2D36AE1CDFD4}"/>
    <cellStyle name="40% - Accent6 2 4 3 2 4" xfId="25276" xr:uid="{2E03657A-A991-4C61-BB17-BC62A4A7798F}"/>
    <cellStyle name="40% - Accent6 2 4 3 2 4 2" xfId="40247" xr:uid="{8FDBE72C-75E3-4976-A39A-79957697A2AA}"/>
    <cellStyle name="40% - Accent6 2 4 3 2 5" xfId="32644" xr:uid="{5F0EE4B5-FE26-40B1-92DD-19E545CED51A}"/>
    <cellStyle name="40% - Accent6 2 4 3 3" xfId="7685" xr:uid="{00000000-0005-0000-0000-000098110000}"/>
    <cellStyle name="40% - Accent6 2 4 3 3 2" xfId="7686" xr:uid="{00000000-0005-0000-0000-000099110000}"/>
    <cellStyle name="40% - Accent6 2 4 3 3 2 2" xfId="25280" xr:uid="{017F8912-F860-4F23-A2AA-0333B0EFF9B6}"/>
    <cellStyle name="40% - Accent6 2 4 3 3 2 2 2" xfId="40251" xr:uid="{9F7B7845-E82B-4D00-BE5B-4D887F799934}"/>
    <cellStyle name="40% - Accent6 2 4 3 3 2 3" xfId="32648" xr:uid="{3A9095CB-A3AC-4EDC-AC65-517D7B99E715}"/>
    <cellStyle name="40% - Accent6 2 4 3 3 3" xfId="25279" xr:uid="{797D28B1-2276-4DB2-B8F7-D4CC362760AE}"/>
    <cellStyle name="40% - Accent6 2 4 3 3 3 2" xfId="40250" xr:uid="{58E7157D-5EA8-435C-AA92-CAC01EC29275}"/>
    <cellStyle name="40% - Accent6 2 4 3 3 4" xfId="32647" xr:uid="{F1AB1906-C242-4025-B42B-A377C1B16E0C}"/>
    <cellStyle name="40% - Accent6 2 4 3 4" xfId="7687" xr:uid="{00000000-0005-0000-0000-00009A110000}"/>
    <cellStyle name="40% - Accent6 2 4 3 4 2" xfId="25281" xr:uid="{719FBC1F-2EBE-453D-8816-9FB93B8580CD}"/>
    <cellStyle name="40% - Accent6 2 4 3 4 2 2" xfId="40252" xr:uid="{F9D0C11B-0FF1-4390-966C-CCB84F481564}"/>
    <cellStyle name="40% - Accent6 2 4 3 4 3" xfId="32649" xr:uid="{D69B3D2B-A3AC-4DCD-A87F-A4AA8A609048}"/>
    <cellStyle name="40% - Accent6 2 4 3 5" xfId="25275" xr:uid="{F4CBA8E2-4813-483D-8DEB-0644E7160F45}"/>
    <cellStyle name="40% - Accent6 2 4 3 5 2" xfId="40246" xr:uid="{A8598D14-B264-418D-94F6-39392DE3D4BD}"/>
    <cellStyle name="40% - Accent6 2 4 3 6" xfId="32643" xr:uid="{86489DBA-638E-48E1-B070-9D4FB0626888}"/>
    <cellStyle name="40% - Accent6 2 4 4" xfId="7688" xr:uid="{00000000-0005-0000-0000-00009B110000}"/>
    <cellStyle name="40% - Accent6 2 4 4 2" xfId="7689" xr:uid="{00000000-0005-0000-0000-00009C110000}"/>
    <cellStyle name="40% - Accent6 2 4 4 2 2" xfId="7690" xr:uid="{00000000-0005-0000-0000-00009D110000}"/>
    <cellStyle name="40% - Accent6 2 4 4 2 2 2" xfId="25284" xr:uid="{58A1B7D2-BEA0-4EF2-88DD-C02FA0B35F23}"/>
    <cellStyle name="40% - Accent6 2 4 4 2 2 2 2" xfId="40255" xr:uid="{1846581B-3B81-4AA2-9DB8-BD03D9754B56}"/>
    <cellStyle name="40% - Accent6 2 4 4 2 2 3" xfId="32652" xr:uid="{4B33707D-64D4-4B84-86C1-F938E4766189}"/>
    <cellStyle name="40% - Accent6 2 4 4 2 3" xfId="7691" xr:uid="{00000000-0005-0000-0000-00009E110000}"/>
    <cellStyle name="40% - Accent6 2 4 4 2 3 2" xfId="25285" xr:uid="{C91C1EDC-325C-4CB1-89EE-B38DD68693CB}"/>
    <cellStyle name="40% - Accent6 2 4 4 2 3 2 2" xfId="40256" xr:uid="{6C5DE93E-3947-4EBE-950D-FB620565467A}"/>
    <cellStyle name="40% - Accent6 2 4 4 2 3 3" xfId="32653" xr:uid="{C6DAE104-BE76-44E7-B2D9-6AC017C9FE03}"/>
    <cellStyle name="40% - Accent6 2 4 4 2 4" xfId="25283" xr:uid="{4C758885-4218-4AEB-976C-F78F1C22C878}"/>
    <cellStyle name="40% - Accent6 2 4 4 2 4 2" xfId="40254" xr:uid="{BC911509-EB6F-425A-949C-B95EEAF12C39}"/>
    <cellStyle name="40% - Accent6 2 4 4 2 5" xfId="32651" xr:uid="{E0C4491B-9144-48F6-A391-4D54F9169BB0}"/>
    <cellStyle name="40% - Accent6 2 4 4 3" xfId="7692" xr:uid="{00000000-0005-0000-0000-00009F110000}"/>
    <cellStyle name="40% - Accent6 2 4 4 3 2" xfId="7693" xr:uid="{00000000-0005-0000-0000-0000A0110000}"/>
    <cellStyle name="40% - Accent6 2 4 4 3 2 2" xfId="25287" xr:uid="{A9A96303-47BB-4D50-BD79-5F4C6F9AD324}"/>
    <cellStyle name="40% - Accent6 2 4 4 3 2 2 2" xfId="40258" xr:uid="{2C91A15B-8192-478D-9154-DC1646771F42}"/>
    <cellStyle name="40% - Accent6 2 4 4 3 2 3" xfId="32655" xr:uid="{F077838B-ECB2-4F73-9700-2EE14B11CDE5}"/>
    <cellStyle name="40% - Accent6 2 4 4 3 3" xfId="25286" xr:uid="{7E53D3F5-8B5F-4432-AB78-A9DA00A7D0F6}"/>
    <cellStyle name="40% - Accent6 2 4 4 3 3 2" xfId="40257" xr:uid="{1E383C6C-7612-47BA-950D-E34BA7BB0E39}"/>
    <cellStyle name="40% - Accent6 2 4 4 3 4" xfId="32654" xr:uid="{C1C9910D-D8A4-4467-BC08-EC1EEC80D65B}"/>
    <cellStyle name="40% - Accent6 2 4 4 4" xfId="7694" xr:uid="{00000000-0005-0000-0000-0000A1110000}"/>
    <cellStyle name="40% - Accent6 2 4 4 4 2" xfId="25288" xr:uid="{BD242D72-2FA3-47D1-8958-1F4C764213F4}"/>
    <cellStyle name="40% - Accent6 2 4 4 4 2 2" xfId="40259" xr:uid="{650A35B7-9F54-4D89-A495-5B4DF1B18A68}"/>
    <cellStyle name="40% - Accent6 2 4 4 4 3" xfId="32656" xr:uid="{8DF39724-7EEE-4E22-9CEA-D34EC91E3350}"/>
    <cellStyle name="40% - Accent6 2 4 4 5" xfId="25282" xr:uid="{F0284338-E590-40EC-9018-B5A8F5B673A3}"/>
    <cellStyle name="40% - Accent6 2 4 4 5 2" xfId="40253" xr:uid="{CE1B8362-B7E1-410D-8B12-23AACCDB2BC5}"/>
    <cellStyle name="40% - Accent6 2 4 4 6" xfId="32650" xr:uid="{547B9DFC-9B2C-4C06-AE39-FCC7CCDAD17F}"/>
    <cellStyle name="40% - Accent6 2 4 5" xfId="7695" xr:uid="{00000000-0005-0000-0000-0000A2110000}"/>
    <cellStyle name="40% - Accent6 2 4 5 2" xfId="7696" xr:uid="{00000000-0005-0000-0000-0000A3110000}"/>
    <cellStyle name="40% - Accent6 2 4 5 2 2" xfId="25290" xr:uid="{8A3599C5-74F1-4FE8-9258-295C425A03B6}"/>
    <cellStyle name="40% - Accent6 2 4 5 2 2 2" xfId="40261" xr:uid="{428EFBB2-CD62-47AB-A7A8-0423AC8EB6DE}"/>
    <cellStyle name="40% - Accent6 2 4 5 2 3" xfId="32658" xr:uid="{BC8E19B2-BD4F-4BBC-A806-FAFEA287C288}"/>
    <cellStyle name="40% - Accent6 2 4 5 3" xfId="7697" xr:uid="{00000000-0005-0000-0000-0000A4110000}"/>
    <cellStyle name="40% - Accent6 2 4 5 3 2" xfId="25291" xr:uid="{955BC600-BA52-44F7-9657-E94B643C4CAA}"/>
    <cellStyle name="40% - Accent6 2 4 5 3 2 2" xfId="40262" xr:uid="{90E8B452-8F18-4527-B9C1-0A168C82531F}"/>
    <cellStyle name="40% - Accent6 2 4 5 3 3" xfId="32659" xr:uid="{73102165-66EA-4F01-A0F9-5C3070EDBE7E}"/>
    <cellStyle name="40% - Accent6 2 4 5 4" xfId="25289" xr:uid="{92E338B6-CA02-4AB4-B107-F3F37C31E141}"/>
    <cellStyle name="40% - Accent6 2 4 5 4 2" xfId="40260" xr:uid="{5E4C795E-2003-45D3-9B8E-7D9563BD49AF}"/>
    <cellStyle name="40% - Accent6 2 4 5 5" xfId="32657" xr:uid="{CA2BECEB-DD7D-4A74-B8FD-2C939AA18DAC}"/>
    <cellStyle name="40% - Accent6 2 4 6" xfId="7698" xr:uid="{00000000-0005-0000-0000-0000A5110000}"/>
    <cellStyle name="40% - Accent6 2 4 6 2" xfId="25292" xr:uid="{BB4BD3BB-8561-41E6-A1BE-5B932877088F}"/>
    <cellStyle name="40% - Accent6 2 4 6 2 2" xfId="40263" xr:uid="{70CE1CB8-F228-4EBC-A313-1351827979D1}"/>
    <cellStyle name="40% - Accent6 2 4 6 3" xfId="32660" xr:uid="{76D4A5FA-EA1E-4410-8A7C-2BE2364FF413}"/>
    <cellStyle name="40% - Accent6 2 4 7" xfId="7699" xr:uid="{00000000-0005-0000-0000-0000A6110000}"/>
    <cellStyle name="40% - Accent6 2 4 7 2" xfId="7700" xr:uid="{00000000-0005-0000-0000-0000A7110000}"/>
    <cellStyle name="40% - Accent6 2 4 7 2 2" xfId="25294" xr:uid="{007006B0-548C-4A51-9168-D68FB2D13F0E}"/>
    <cellStyle name="40% - Accent6 2 4 7 2 2 2" xfId="40265" xr:uid="{DE896E9A-F11B-4AB3-A7E6-137896CF9247}"/>
    <cellStyle name="40% - Accent6 2 4 7 2 3" xfId="32662" xr:uid="{AE4130EA-9BF8-4DB6-88EE-40A8611120F4}"/>
    <cellStyle name="40% - Accent6 2 4 7 3" xfId="25293" xr:uid="{592A5DD8-6838-4C49-B5D4-E937C4CEC899}"/>
    <cellStyle name="40% - Accent6 2 4 7 3 2" xfId="40264" xr:uid="{B7A924EE-B633-4518-B729-CD14A619FEBE}"/>
    <cellStyle name="40% - Accent6 2 4 7 4" xfId="32661" xr:uid="{631778A3-B621-410A-94E1-01F33421C468}"/>
    <cellStyle name="40% - Accent6 2 4 8" xfId="7701" xr:uid="{00000000-0005-0000-0000-0000A8110000}"/>
    <cellStyle name="40% - Accent6 2 4 8 2" xfId="25295" xr:uid="{9A9CF180-103B-4134-94CC-BEBBBC9E951C}"/>
    <cellStyle name="40% - Accent6 2 4 8 2 2" xfId="40266" xr:uid="{34207623-39BF-4574-88A8-35269732A334}"/>
    <cellStyle name="40% - Accent6 2 4 8 3" xfId="32663" xr:uid="{9CE567DD-6553-4BF8-BDC6-803E8C322E30}"/>
    <cellStyle name="40% - Accent6 2 4 9" xfId="25252" xr:uid="{D28DC712-18ED-4527-B1AC-370618A10552}"/>
    <cellStyle name="40% - Accent6 2 4 9 2" xfId="40223" xr:uid="{82817EFD-10C0-494F-810D-140AF4B881AD}"/>
    <cellStyle name="40% - Accent6 2 5" xfId="7702" xr:uid="{00000000-0005-0000-0000-0000A9110000}"/>
    <cellStyle name="40% - Accent6 2 5 10" xfId="32664" xr:uid="{AEC52CD5-EB5E-4976-9422-46724A34BE9D}"/>
    <cellStyle name="40% - Accent6 2 5 2" xfId="7703" xr:uid="{00000000-0005-0000-0000-0000AA110000}"/>
    <cellStyle name="40% - Accent6 2 5 2 2" xfId="7704" xr:uid="{00000000-0005-0000-0000-0000AB110000}"/>
    <cellStyle name="40% - Accent6 2 5 2 2 2" xfId="7705" xr:uid="{00000000-0005-0000-0000-0000AC110000}"/>
    <cellStyle name="40% - Accent6 2 5 2 2 2 2" xfId="7706" xr:uid="{00000000-0005-0000-0000-0000AD110000}"/>
    <cellStyle name="40% - Accent6 2 5 2 2 2 2 2" xfId="25300" xr:uid="{E32D2CE5-1809-4352-BCF2-0A7D373A4F1E}"/>
    <cellStyle name="40% - Accent6 2 5 2 2 2 2 2 2" xfId="40271" xr:uid="{CD69BDB3-A3F8-430F-8A74-8B9E41F2244B}"/>
    <cellStyle name="40% - Accent6 2 5 2 2 2 2 3" xfId="32668" xr:uid="{11D3412C-F478-4101-B74B-7C1E1FB63A09}"/>
    <cellStyle name="40% - Accent6 2 5 2 2 2 3" xfId="7707" xr:uid="{00000000-0005-0000-0000-0000AE110000}"/>
    <cellStyle name="40% - Accent6 2 5 2 2 2 3 2" xfId="25301" xr:uid="{33EE7956-3A0A-40B2-B3A5-72C46D1A8FB8}"/>
    <cellStyle name="40% - Accent6 2 5 2 2 2 3 2 2" xfId="40272" xr:uid="{FC5A48FF-1316-471C-BC27-A692F7E7C987}"/>
    <cellStyle name="40% - Accent6 2 5 2 2 2 3 3" xfId="32669" xr:uid="{9A0D5A12-59C4-4447-BAAB-AD56E911A7EF}"/>
    <cellStyle name="40% - Accent6 2 5 2 2 2 4" xfId="25299" xr:uid="{707E2294-3D13-4C05-9CB6-244C48C10A09}"/>
    <cellStyle name="40% - Accent6 2 5 2 2 2 4 2" xfId="40270" xr:uid="{FF166B11-00E7-4BF8-9B68-49B9CA8CD892}"/>
    <cellStyle name="40% - Accent6 2 5 2 2 2 5" xfId="32667" xr:uid="{2569C6C2-414D-47AF-BE22-29B7F0D3ED7A}"/>
    <cellStyle name="40% - Accent6 2 5 2 2 3" xfId="7708" xr:uid="{00000000-0005-0000-0000-0000AF110000}"/>
    <cellStyle name="40% - Accent6 2 5 2 2 3 2" xfId="7709" xr:uid="{00000000-0005-0000-0000-0000B0110000}"/>
    <cellStyle name="40% - Accent6 2 5 2 2 3 2 2" xfId="25303" xr:uid="{6BCFF54F-482D-45F1-A420-BCE7228B3CEB}"/>
    <cellStyle name="40% - Accent6 2 5 2 2 3 2 2 2" xfId="40274" xr:uid="{201FE3A2-40FA-4ABE-B91E-A46A5860EE4E}"/>
    <cellStyle name="40% - Accent6 2 5 2 2 3 2 3" xfId="32671" xr:uid="{7AAF839B-D629-416B-8C2D-5F33BAF0A4BC}"/>
    <cellStyle name="40% - Accent6 2 5 2 2 3 3" xfId="25302" xr:uid="{0A727628-5504-4C44-9E1B-9D960F60270B}"/>
    <cellStyle name="40% - Accent6 2 5 2 2 3 3 2" xfId="40273" xr:uid="{053244E8-8933-42F0-891D-B76C471F1A02}"/>
    <cellStyle name="40% - Accent6 2 5 2 2 3 4" xfId="32670" xr:uid="{069E1824-6C92-49D9-BD5C-C7585547EB72}"/>
    <cellStyle name="40% - Accent6 2 5 2 2 4" xfId="7710" xr:uid="{00000000-0005-0000-0000-0000B1110000}"/>
    <cellStyle name="40% - Accent6 2 5 2 2 4 2" xfId="25304" xr:uid="{063DDA80-5EF3-48AC-8DFD-D15CAD609A12}"/>
    <cellStyle name="40% - Accent6 2 5 2 2 4 2 2" xfId="40275" xr:uid="{58D63DFD-8729-4248-AE12-D85D6890B6F2}"/>
    <cellStyle name="40% - Accent6 2 5 2 2 4 3" xfId="32672" xr:uid="{7AEDD869-3946-427E-8B0F-770D3E65CA90}"/>
    <cellStyle name="40% - Accent6 2 5 2 2 5" xfId="25298" xr:uid="{3A280D76-94DE-4373-8DE9-930C11BBDF19}"/>
    <cellStyle name="40% - Accent6 2 5 2 2 5 2" xfId="40269" xr:uid="{ECE38CB2-D66D-4923-A7F9-7744F9DBA899}"/>
    <cellStyle name="40% - Accent6 2 5 2 2 6" xfId="32666" xr:uid="{C698BC5D-C891-4DE3-BA50-073187FEBBB4}"/>
    <cellStyle name="40% - Accent6 2 5 2 3" xfId="7711" xr:uid="{00000000-0005-0000-0000-0000B2110000}"/>
    <cellStyle name="40% - Accent6 2 5 2 3 2" xfId="7712" xr:uid="{00000000-0005-0000-0000-0000B3110000}"/>
    <cellStyle name="40% - Accent6 2 5 2 3 2 2" xfId="7713" xr:uid="{00000000-0005-0000-0000-0000B4110000}"/>
    <cellStyle name="40% - Accent6 2 5 2 3 2 2 2" xfId="25307" xr:uid="{5ABE3B58-32E8-41FE-9436-1B9F26DB8552}"/>
    <cellStyle name="40% - Accent6 2 5 2 3 2 2 2 2" xfId="40278" xr:uid="{C1D3CC04-0B5B-41CC-8103-2A10C5F3CAA9}"/>
    <cellStyle name="40% - Accent6 2 5 2 3 2 2 3" xfId="32675" xr:uid="{179F056F-63E6-41D7-9676-282C38643510}"/>
    <cellStyle name="40% - Accent6 2 5 2 3 2 3" xfId="7714" xr:uid="{00000000-0005-0000-0000-0000B5110000}"/>
    <cellStyle name="40% - Accent6 2 5 2 3 2 3 2" xfId="25308" xr:uid="{D305EA21-3560-4D94-B565-9CFE76266DF0}"/>
    <cellStyle name="40% - Accent6 2 5 2 3 2 3 2 2" xfId="40279" xr:uid="{81E1B7B1-DD90-4DE4-BA95-1FFDCA0AE13A}"/>
    <cellStyle name="40% - Accent6 2 5 2 3 2 3 3" xfId="32676" xr:uid="{23ED943B-34CC-4D29-A6F9-2FD881484F26}"/>
    <cellStyle name="40% - Accent6 2 5 2 3 2 4" xfId="25306" xr:uid="{35FEE66E-C9D2-4D44-ACB0-D7FD231A9BC2}"/>
    <cellStyle name="40% - Accent6 2 5 2 3 2 4 2" xfId="40277" xr:uid="{0124AE33-E4D6-423C-AB8C-7B987674EC42}"/>
    <cellStyle name="40% - Accent6 2 5 2 3 2 5" xfId="32674" xr:uid="{F6E9085F-DF70-4A62-9F1F-4D050A1FE4A7}"/>
    <cellStyle name="40% - Accent6 2 5 2 3 3" xfId="7715" xr:uid="{00000000-0005-0000-0000-0000B6110000}"/>
    <cellStyle name="40% - Accent6 2 5 2 3 3 2" xfId="7716" xr:uid="{00000000-0005-0000-0000-0000B7110000}"/>
    <cellStyle name="40% - Accent6 2 5 2 3 3 2 2" xfId="25310" xr:uid="{3343B411-641C-4537-BF8B-B858A7956CC1}"/>
    <cellStyle name="40% - Accent6 2 5 2 3 3 2 2 2" xfId="40281" xr:uid="{5E3CFFC1-28A2-4BA4-BEBB-EDE4B139329C}"/>
    <cellStyle name="40% - Accent6 2 5 2 3 3 2 3" xfId="32678" xr:uid="{48B7F106-4E55-46C6-92F0-AF7AFB962B47}"/>
    <cellStyle name="40% - Accent6 2 5 2 3 3 3" xfId="25309" xr:uid="{4C5519E0-9B17-4411-9802-E5A177294833}"/>
    <cellStyle name="40% - Accent6 2 5 2 3 3 3 2" xfId="40280" xr:uid="{D159A9A5-1CB3-492B-9342-B250E0A9C601}"/>
    <cellStyle name="40% - Accent6 2 5 2 3 3 4" xfId="32677" xr:uid="{9B9B8FBA-34BC-4475-8CDE-27605E522ACD}"/>
    <cellStyle name="40% - Accent6 2 5 2 3 4" xfId="7717" xr:uid="{00000000-0005-0000-0000-0000B8110000}"/>
    <cellStyle name="40% - Accent6 2 5 2 3 4 2" xfId="25311" xr:uid="{3215AB15-7C30-4606-82C0-F2CADD35D36D}"/>
    <cellStyle name="40% - Accent6 2 5 2 3 4 2 2" xfId="40282" xr:uid="{B23503B9-788B-4927-9ECF-0B36C74CD159}"/>
    <cellStyle name="40% - Accent6 2 5 2 3 4 3" xfId="32679" xr:uid="{339DB53A-24C7-4451-8727-39BB4AC4916E}"/>
    <cellStyle name="40% - Accent6 2 5 2 3 5" xfId="25305" xr:uid="{23883EF6-6833-4FF1-8A34-85199D3368A0}"/>
    <cellStyle name="40% - Accent6 2 5 2 3 5 2" xfId="40276" xr:uid="{83FC40AA-F4EB-4613-86EA-6EAB7FD374D9}"/>
    <cellStyle name="40% - Accent6 2 5 2 3 6" xfId="32673" xr:uid="{86899914-4E90-44B4-B209-05F71A6D4C4E}"/>
    <cellStyle name="40% - Accent6 2 5 2 4" xfId="7718" xr:uid="{00000000-0005-0000-0000-0000B9110000}"/>
    <cellStyle name="40% - Accent6 2 5 2 4 2" xfId="7719" xr:uid="{00000000-0005-0000-0000-0000BA110000}"/>
    <cellStyle name="40% - Accent6 2 5 2 4 2 2" xfId="25313" xr:uid="{5D55DAF1-D439-4621-B364-96C8D1DC6154}"/>
    <cellStyle name="40% - Accent6 2 5 2 4 2 2 2" xfId="40284" xr:uid="{368E1EE4-7EB1-47BF-AB87-5130C72AE6C5}"/>
    <cellStyle name="40% - Accent6 2 5 2 4 2 3" xfId="32681" xr:uid="{FF5B0EE3-07AF-43E6-8A79-3ADB8403D10B}"/>
    <cellStyle name="40% - Accent6 2 5 2 4 3" xfId="7720" xr:uid="{00000000-0005-0000-0000-0000BB110000}"/>
    <cellStyle name="40% - Accent6 2 5 2 4 3 2" xfId="25314" xr:uid="{D6B6ED6B-F9FB-45C5-9593-4A689CE9A546}"/>
    <cellStyle name="40% - Accent6 2 5 2 4 3 2 2" xfId="40285" xr:uid="{E113C800-F438-4EF5-9F64-B92621942C99}"/>
    <cellStyle name="40% - Accent6 2 5 2 4 3 3" xfId="32682" xr:uid="{A23EAC19-F4D1-464B-A20A-214BC24980AD}"/>
    <cellStyle name="40% - Accent6 2 5 2 4 4" xfId="25312" xr:uid="{1384D0EB-DB3A-41B0-AB6E-E4350A9CBB29}"/>
    <cellStyle name="40% - Accent6 2 5 2 4 4 2" xfId="40283" xr:uid="{B55FD6FF-2FB1-43F1-A35C-B41963A64567}"/>
    <cellStyle name="40% - Accent6 2 5 2 4 5" xfId="32680" xr:uid="{C702992C-EF6B-4FB9-8DD8-7F3E50DD6307}"/>
    <cellStyle name="40% - Accent6 2 5 2 5" xfId="7721" xr:uid="{00000000-0005-0000-0000-0000BC110000}"/>
    <cellStyle name="40% - Accent6 2 5 2 5 2" xfId="25315" xr:uid="{7257A866-D4A3-4879-B491-D89EF1D040EE}"/>
    <cellStyle name="40% - Accent6 2 5 2 5 2 2" xfId="40286" xr:uid="{0D93BFC8-C283-4303-B1A7-C197BEC6CC71}"/>
    <cellStyle name="40% - Accent6 2 5 2 5 3" xfId="32683" xr:uid="{FE12AEA1-6FAF-4F0D-94C5-4D696F9C18B3}"/>
    <cellStyle name="40% - Accent6 2 5 2 6" xfId="7722" xr:uid="{00000000-0005-0000-0000-0000BD110000}"/>
    <cellStyle name="40% - Accent6 2 5 2 6 2" xfId="7723" xr:uid="{00000000-0005-0000-0000-0000BE110000}"/>
    <cellStyle name="40% - Accent6 2 5 2 6 2 2" xfId="25317" xr:uid="{1C3B70E1-6806-43D2-B1F0-AF5735174F11}"/>
    <cellStyle name="40% - Accent6 2 5 2 6 2 2 2" xfId="40288" xr:uid="{8C61ACED-DC6A-4346-8D93-9694A307714F}"/>
    <cellStyle name="40% - Accent6 2 5 2 6 2 3" xfId="32685" xr:uid="{D0909798-AF5F-4895-A095-91616EE0C170}"/>
    <cellStyle name="40% - Accent6 2 5 2 6 3" xfId="25316" xr:uid="{6E341F20-2146-4B2E-9CF4-0520CED3D5DD}"/>
    <cellStyle name="40% - Accent6 2 5 2 6 3 2" xfId="40287" xr:uid="{1771EB8F-1250-4DE1-88F2-B94B58AE298F}"/>
    <cellStyle name="40% - Accent6 2 5 2 6 4" xfId="32684" xr:uid="{369C5F7E-0AF5-406E-9F2F-18C76B4783D4}"/>
    <cellStyle name="40% - Accent6 2 5 2 7" xfId="7724" xr:uid="{00000000-0005-0000-0000-0000BF110000}"/>
    <cellStyle name="40% - Accent6 2 5 2 7 2" xfId="25318" xr:uid="{91D9B129-492A-4F2B-8DE6-09D466AA696D}"/>
    <cellStyle name="40% - Accent6 2 5 2 7 2 2" xfId="40289" xr:uid="{092C94B9-DEC0-4277-BF91-7695575B5FB4}"/>
    <cellStyle name="40% - Accent6 2 5 2 7 3" xfId="32686" xr:uid="{D079F402-D2CB-4DF8-8B41-8EF57412C8D0}"/>
    <cellStyle name="40% - Accent6 2 5 2 8" xfId="25297" xr:uid="{B0586008-DED2-4A74-BAB3-9C3E3F3E0F20}"/>
    <cellStyle name="40% - Accent6 2 5 2 8 2" xfId="40268" xr:uid="{892C85F0-D090-44A5-8AA6-BED6A5E1E4FE}"/>
    <cellStyle name="40% - Accent6 2 5 2 9" xfId="32665" xr:uid="{03644F86-DDB4-4AC3-9B32-7BA3C568F267}"/>
    <cellStyle name="40% - Accent6 2 5 3" xfId="7725" xr:uid="{00000000-0005-0000-0000-0000C0110000}"/>
    <cellStyle name="40% - Accent6 2 5 3 2" xfId="7726" xr:uid="{00000000-0005-0000-0000-0000C1110000}"/>
    <cellStyle name="40% - Accent6 2 5 3 2 2" xfId="7727" xr:uid="{00000000-0005-0000-0000-0000C2110000}"/>
    <cellStyle name="40% - Accent6 2 5 3 2 2 2" xfId="25321" xr:uid="{96E02A56-979E-42B9-BBFC-DBA3902E85AF}"/>
    <cellStyle name="40% - Accent6 2 5 3 2 2 2 2" xfId="40292" xr:uid="{02674E78-4A81-46C4-BDAE-E2F6F5447D70}"/>
    <cellStyle name="40% - Accent6 2 5 3 2 2 3" xfId="32689" xr:uid="{EC7BE4DD-5333-4094-BAF1-3C604B729AE6}"/>
    <cellStyle name="40% - Accent6 2 5 3 2 3" xfId="7728" xr:uid="{00000000-0005-0000-0000-0000C3110000}"/>
    <cellStyle name="40% - Accent6 2 5 3 2 3 2" xfId="25322" xr:uid="{175F85A7-3F29-4D26-9D7E-EA4C78075CA6}"/>
    <cellStyle name="40% - Accent6 2 5 3 2 3 2 2" xfId="40293" xr:uid="{0045B375-2D17-40F5-963A-E0487C10F056}"/>
    <cellStyle name="40% - Accent6 2 5 3 2 3 3" xfId="32690" xr:uid="{ACB79A63-9059-425E-8182-C001A2BCAA5B}"/>
    <cellStyle name="40% - Accent6 2 5 3 2 4" xfId="25320" xr:uid="{5B47102E-FD45-4BE1-90A5-9246334515D3}"/>
    <cellStyle name="40% - Accent6 2 5 3 2 4 2" xfId="40291" xr:uid="{A3CF7886-7C1A-43E2-83D2-D0CC68A7445C}"/>
    <cellStyle name="40% - Accent6 2 5 3 2 5" xfId="32688" xr:uid="{B0B7071C-4A43-4271-9066-CC0DED929784}"/>
    <cellStyle name="40% - Accent6 2 5 3 3" xfId="7729" xr:uid="{00000000-0005-0000-0000-0000C4110000}"/>
    <cellStyle name="40% - Accent6 2 5 3 3 2" xfId="7730" xr:uid="{00000000-0005-0000-0000-0000C5110000}"/>
    <cellStyle name="40% - Accent6 2 5 3 3 2 2" xfId="25324" xr:uid="{A6C66663-DB36-4A2D-B29E-858AF50A5B50}"/>
    <cellStyle name="40% - Accent6 2 5 3 3 2 2 2" xfId="40295" xr:uid="{CD2DAD6B-DCFF-46AC-B3D8-EA620FFA08DD}"/>
    <cellStyle name="40% - Accent6 2 5 3 3 2 3" xfId="32692" xr:uid="{DAB07743-D705-44FC-A2A7-64BDAB83AAAB}"/>
    <cellStyle name="40% - Accent6 2 5 3 3 3" xfId="25323" xr:uid="{DF0E4DAB-614A-473A-A85F-03B70A2D0F5D}"/>
    <cellStyle name="40% - Accent6 2 5 3 3 3 2" xfId="40294" xr:uid="{832B6DC1-48B5-4ED3-921E-FC5C1FE27F53}"/>
    <cellStyle name="40% - Accent6 2 5 3 3 4" xfId="32691" xr:uid="{B032145D-CEF2-4AFC-BB82-4718C86B5B49}"/>
    <cellStyle name="40% - Accent6 2 5 3 4" xfId="7731" xr:uid="{00000000-0005-0000-0000-0000C6110000}"/>
    <cellStyle name="40% - Accent6 2 5 3 4 2" xfId="25325" xr:uid="{F7A5FBEF-FFD2-4E3D-8042-EB55693729EF}"/>
    <cellStyle name="40% - Accent6 2 5 3 4 2 2" xfId="40296" xr:uid="{A10A579C-1C22-40C5-9E8A-11B9B83AC49A}"/>
    <cellStyle name="40% - Accent6 2 5 3 4 3" xfId="32693" xr:uid="{8FB986DF-D4F2-4674-B557-7143952C50D8}"/>
    <cellStyle name="40% - Accent6 2 5 3 5" xfId="25319" xr:uid="{85AC3FEC-11E4-4700-B920-8B1C7E71B371}"/>
    <cellStyle name="40% - Accent6 2 5 3 5 2" xfId="40290" xr:uid="{B255C30B-9A00-4D60-BEF5-08E45DCA3515}"/>
    <cellStyle name="40% - Accent6 2 5 3 6" xfId="32687" xr:uid="{D07D35DA-0D5F-40AA-B79E-D68F2EAED58B}"/>
    <cellStyle name="40% - Accent6 2 5 4" xfId="7732" xr:uid="{00000000-0005-0000-0000-0000C7110000}"/>
    <cellStyle name="40% - Accent6 2 5 4 2" xfId="7733" xr:uid="{00000000-0005-0000-0000-0000C8110000}"/>
    <cellStyle name="40% - Accent6 2 5 4 2 2" xfId="7734" xr:uid="{00000000-0005-0000-0000-0000C9110000}"/>
    <cellStyle name="40% - Accent6 2 5 4 2 2 2" xfId="25328" xr:uid="{E8919902-4DE4-45A0-B61F-4BB4103CF3C2}"/>
    <cellStyle name="40% - Accent6 2 5 4 2 2 2 2" xfId="40299" xr:uid="{E68D17FB-DF21-47F5-8A7A-69977AD513BC}"/>
    <cellStyle name="40% - Accent6 2 5 4 2 2 3" xfId="32696" xr:uid="{98AE89F0-C921-4D39-B75B-3C4F0180B5E2}"/>
    <cellStyle name="40% - Accent6 2 5 4 2 3" xfId="7735" xr:uid="{00000000-0005-0000-0000-0000CA110000}"/>
    <cellStyle name="40% - Accent6 2 5 4 2 3 2" xfId="25329" xr:uid="{C1BAAC7D-4732-4017-B9B4-5BD26783006A}"/>
    <cellStyle name="40% - Accent6 2 5 4 2 3 2 2" xfId="40300" xr:uid="{D2AD6091-5D99-471D-8590-3B164C0A8DDC}"/>
    <cellStyle name="40% - Accent6 2 5 4 2 3 3" xfId="32697" xr:uid="{2AF30537-1099-4538-B111-23C70FCC6FF0}"/>
    <cellStyle name="40% - Accent6 2 5 4 2 4" xfId="25327" xr:uid="{0BF75708-B665-4CA1-8450-E505F8D7FB05}"/>
    <cellStyle name="40% - Accent6 2 5 4 2 4 2" xfId="40298" xr:uid="{413C052E-9906-47D6-B7A2-6C80D1B55E07}"/>
    <cellStyle name="40% - Accent6 2 5 4 2 5" xfId="32695" xr:uid="{E8973F13-0D69-4F2F-9F54-C703D21A6A7B}"/>
    <cellStyle name="40% - Accent6 2 5 4 3" xfId="7736" xr:uid="{00000000-0005-0000-0000-0000CB110000}"/>
    <cellStyle name="40% - Accent6 2 5 4 3 2" xfId="7737" xr:uid="{00000000-0005-0000-0000-0000CC110000}"/>
    <cellStyle name="40% - Accent6 2 5 4 3 2 2" xfId="25331" xr:uid="{A55D73CD-90B6-4E75-99D4-2286D3C7E81D}"/>
    <cellStyle name="40% - Accent6 2 5 4 3 2 2 2" xfId="40302" xr:uid="{92A993B2-4B6B-4AE6-BAA6-170B80EA58AE}"/>
    <cellStyle name="40% - Accent6 2 5 4 3 2 3" xfId="32699" xr:uid="{6EF4CFE3-CEA4-4D38-9021-9D2AA0370488}"/>
    <cellStyle name="40% - Accent6 2 5 4 3 3" xfId="25330" xr:uid="{AC142E1C-9FA7-4D7A-898D-700424EE8417}"/>
    <cellStyle name="40% - Accent6 2 5 4 3 3 2" xfId="40301" xr:uid="{B865DED3-DBE4-4001-A47D-28D5953E1DAB}"/>
    <cellStyle name="40% - Accent6 2 5 4 3 4" xfId="32698" xr:uid="{D8BDA206-D0D5-43A1-AF15-9B6F6168FC38}"/>
    <cellStyle name="40% - Accent6 2 5 4 4" xfId="7738" xr:uid="{00000000-0005-0000-0000-0000CD110000}"/>
    <cellStyle name="40% - Accent6 2 5 4 4 2" xfId="25332" xr:uid="{42EE4514-E91C-4D69-B7A3-09B94AE05DAD}"/>
    <cellStyle name="40% - Accent6 2 5 4 4 2 2" xfId="40303" xr:uid="{3B154CA2-7982-466E-B039-558009CA65E0}"/>
    <cellStyle name="40% - Accent6 2 5 4 4 3" xfId="32700" xr:uid="{38E3BA31-4E9D-4941-A2FD-DEC6D26D0D34}"/>
    <cellStyle name="40% - Accent6 2 5 4 5" xfId="25326" xr:uid="{F4C1D5A3-EC91-41DB-B495-70B7E80783BC}"/>
    <cellStyle name="40% - Accent6 2 5 4 5 2" xfId="40297" xr:uid="{D49AF06E-B1C7-4B5F-81BD-59A8A50D5355}"/>
    <cellStyle name="40% - Accent6 2 5 4 6" xfId="32694" xr:uid="{A55F75CF-EAAA-4DEE-B50E-16167B6C29B4}"/>
    <cellStyle name="40% - Accent6 2 5 5" xfId="7739" xr:uid="{00000000-0005-0000-0000-0000CE110000}"/>
    <cellStyle name="40% - Accent6 2 5 5 2" xfId="7740" xr:uid="{00000000-0005-0000-0000-0000CF110000}"/>
    <cellStyle name="40% - Accent6 2 5 5 2 2" xfId="25334" xr:uid="{17FC123C-2075-479E-950C-197C70DB7D60}"/>
    <cellStyle name="40% - Accent6 2 5 5 2 2 2" xfId="40305" xr:uid="{90CB712F-6AE4-4FC3-80EB-AE30DE6A514A}"/>
    <cellStyle name="40% - Accent6 2 5 5 2 3" xfId="32702" xr:uid="{5D7B0ADC-66AE-439B-A7EF-5A9A994390F6}"/>
    <cellStyle name="40% - Accent6 2 5 5 3" xfId="7741" xr:uid="{00000000-0005-0000-0000-0000D0110000}"/>
    <cellStyle name="40% - Accent6 2 5 5 3 2" xfId="25335" xr:uid="{C54EDEE7-1E5F-4234-8F09-233C8185B0FE}"/>
    <cellStyle name="40% - Accent6 2 5 5 3 2 2" xfId="40306" xr:uid="{EB8AB91E-C31A-4BCB-A414-66B3F86F9A06}"/>
    <cellStyle name="40% - Accent6 2 5 5 3 3" xfId="32703" xr:uid="{C5DE4441-4737-4167-97B2-7C7CCB5AB284}"/>
    <cellStyle name="40% - Accent6 2 5 5 4" xfId="25333" xr:uid="{CC013D47-DEE6-4968-AE3C-D51D23E46631}"/>
    <cellStyle name="40% - Accent6 2 5 5 4 2" xfId="40304" xr:uid="{A0AA0F4A-1D88-4F87-8453-EF58BC77AC77}"/>
    <cellStyle name="40% - Accent6 2 5 5 5" xfId="32701" xr:uid="{48F5FAE0-7930-4FB6-AA37-E818E2E58B78}"/>
    <cellStyle name="40% - Accent6 2 5 6" xfId="7742" xr:uid="{00000000-0005-0000-0000-0000D1110000}"/>
    <cellStyle name="40% - Accent6 2 5 6 2" xfId="25336" xr:uid="{5039C869-6F85-4AE8-A3F6-83732476B56A}"/>
    <cellStyle name="40% - Accent6 2 5 6 2 2" xfId="40307" xr:uid="{CE658E7F-1DE4-47B5-98B4-F614F5EFB90C}"/>
    <cellStyle name="40% - Accent6 2 5 6 3" xfId="32704" xr:uid="{FFD7D7AB-0DC5-4A8A-820C-FED1B95E5E07}"/>
    <cellStyle name="40% - Accent6 2 5 7" xfId="7743" xr:uid="{00000000-0005-0000-0000-0000D2110000}"/>
    <cellStyle name="40% - Accent6 2 5 7 2" xfId="7744" xr:uid="{00000000-0005-0000-0000-0000D3110000}"/>
    <cellStyle name="40% - Accent6 2 5 7 2 2" xfId="25338" xr:uid="{7B077F53-9A6D-4E50-8CA0-990E159986AE}"/>
    <cellStyle name="40% - Accent6 2 5 7 2 2 2" xfId="40309" xr:uid="{41DFD64F-B988-4214-832F-683898B48C85}"/>
    <cellStyle name="40% - Accent6 2 5 7 2 3" xfId="32706" xr:uid="{BEBBE8B6-2D23-4BAD-9640-590882C8CFDB}"/>
    <cellStyle name="40% - Accent6 2 5 7 3" xfId="25337" xr:uid="{39E2AA5C-47E0-40D0-AFE1-6DB859611D92}"/>
    <cellStyle name="40% - Accent6 2 5 7 3 2" xfId="40308" xr:uid="{2669C6A5-BF80-4749-AF53-FA3D5D5FBEF8}"/>
    <cellStyle name="40% - Accent6 2 5 7 4" xfId="32705" xr:uid="{7B4BA1E9-7885-4E82-B0C5-6B317726E0EF}"/>
    <cellStyle name="40% - Accent6 2 5 8" xfId="7745" xr:uid="{00000000-0005-0000-0000-0000D4110000}"/>
    <cellStyle name="40% - Accent6 2 5 8 2" xfId="25339" xr:uid="{23B113E1-D97F-4F2F-A028-B09D546E17EE}"/>
    <cellStyle name="40% - Accent6 2 5 8 2 2" xfId="40310" xr:uid="{154B4CD9-80C6-4206-8999-1E2A118E90AA}"/>
    <cellStyle name="40% - Accent6 2 5 8 3" xfId="32707" xr:uid="{F13866A2-1BEC-4B9E-AF3E-3C2377DE8B9C}"/>
    <cellStyle name="40% - Accent6 2 5 9" xfId="25296" xr:uid="{6E83D473-5E8C-4DA8-8208-1EC836840AE5}"/>
    <cellStyle name="40% - Accent6 2 5 9 2" xfId="40267" xr:uid="{C5BFB0EC-927B-4D3E-BB42-88E1121BC56E}"/>
    <cellStyle name="40% - Accent6 2 6" xfId="7746" xr:uid="{00000000-0005-0000-0000-0000D5110000}"/>
    <cellStyle name="40% - Accent6 2 6 10" xfId="32708" xr:uid="{6850B16F-6E82-45C8-A03F-A0BE45DEACCF}"/>
    <cellStyle name="40% - Accent6 2 6 2" xfId="7747" xr:uid="{00000000-0005-0000-0000-0000D6110000}"/>
    <cellStyle name="40% - Accent6 2 6 2 2" xfId="7748" xr:uid="{00000000-0005-0000-0000-0000D7110000}"/>
    <cellStyle name="40% - Accent6 2 6 2 2 2" xfId="7749" xr:uid="{00000000-0005-0000-0000-0000D8110000}"/>
    <cellStyle name="40% - Accent6 2 6 2 2 2 2" xfId="7750" xr:uid="{00000000-0005-0000-0000-0000D9110000}"/>
    <cellStyle name="40% - Accent6 2 6 2 2 2 2 2" xfId="25344" xr:uid="{B35E83CA-64F7-4ED9-84E7-2C757C886EC8}"/>
    <cellStyle name="40% - Accent6 2 6 2 2 2 2 2 2" xfId="40315" xr:uid="{909B6993-1172-4411-9B3E-59EA6581E5E2}"/>
    <cellStyle name="40% - Accent6 2 6 2 2 2 2 3" xfId="32712" xr:uid="{EEF6D262-4CC6-4023-9971-432F1112C772}"/>
    <cellStyle name="40% - Accent6 2 6 2 2 2 3" xfId="7751" xr:uid="{00000000-0005-0000-0000-0000DA110000}"/>
    <cellStyle name="40% - Accent6 2 6 2 2 2 3 2" xfId="25345" xr:uid="{5C342EBE-F7E7-4BA3-B6E7-4C62FA520D7B}"/>
    <cellStyle name="40% - Accent6 2 6 2 2 2 3 2 2" xfId="40316" xr:uid="{1EF30FD1-3932-486E-8036-BBCBD92E65D5}"/>
    <cellStyle name="40% - Accent6 2 6 2 2 2 3 3" xfId="32713" xr:uid="{0CCF08B2-A000-49DA-BA77-A0A580E001B4}"/>
    <cellStyle name="40% - Accent6 2 6 2 2 2 4" xfId="25343" xr:uid="{AE0FC923-5DB6-48A7-B22F-C3D8F419BC98}"/>
    <cellStyle name="40% - Accent6 2 6 2 2 2 4 2" xfId="40314" xr:uid="{EC6D238A-DE14-444B-8FCC-8FD6D5529349}"/>
    <cellStyle name="40% - Accent6 2 6 2 2 2 5" xfId="32711" xr:uid="{C36E1CF2-B501-492E-96A8-C97F4E229EE5}"/>
    <cellStyle name="40% - Accent6 2 6 2 2 3" xfId="7752" xr:uid="{00000000-0005-0000-0000-0000DB110000}"/>
    <cellStyle name="40% - Accent6 2 6 2 2 3 2" xfId="7753" xr:uid="{00000000-0005-0000-0000-0000DC110000}"/>
    <cellStyle name="40% - Accent6 2 6 2 2 3 2 2" xfId="25347" xr:uid="{CDEE53CC-62FD-40B1-8834-15EDC4D5CCCE}"/>
    <cellStyle name="40% - Accent6 2 6 2 2 3 2 2 2" xfId="40318" xr:uid="{F50D8AC4-0D1D-46C7-A4C3-B5667FCBB576}"/>
    <cellStyle name="40% - Accent6 2 6 2 2 3 2 3" xfId="32715" xr:uid="{1E931DE5-7033-4F77-B097-32EA83D086C6}"/>
    <cellStyle name="40% - Accent6 2 6 2 2 3 3" xfId="25346" xr:uid="{0672CF47-FA64-4983-B422-EFB3FD4234F4}"/>
    <cellStyle name="40% - Accent6 2 6 2 2 3 3 2" xfId="40317" xr:uid="{8B1D4FF9-CE1A-45EC-80BD-930B26C18705}"/>
    <cellStyle name="40% - Accent6 2 6 2 2 3 4" xfId="32714" xr:uid="{5CD9918D-F62F-48F9-B07C-0AB637085398}"/>
    <cellStyle name="40% - Accent6 2 6 2 2 4" xfId="7754" xr:uid="{00000000-0005-0000-0000-0000DD110000}"/>
    <cellStyle name="40% - Accent6 2 6 2 2 4 2" xfId="25348" xr:uid="{AE36C144-268D-43AD-8FC7-679CDF9C239C}"/>
    <cellStyle name="40% - Accent6 2 6 2 2 4 2 2" xfId="40319" xr:uid="{3C8DC1B0-ED32-40D5-801C-DA408E21850B}"/>
    <cellStyle name="40% - Accent6 2 6 2 2 4 3" xfId="32716" xr:uid="{C1C669B1-7F95-4C0A-BE1D-DD035D6F79A1}"/>
    <cellStyle name="40% - Accent6 2 6 2 2 5" xfId="25342" xr:uid="{35600271-9842-4198-80C3-671414D19DC7}"/>
    <cellStyle name="40% - Accent6 2 6 2 2 5 2" xfId="40313" xr:uid="{9D288CAA-88C6-49CD-8BD6-5BDB1A6AD029}"/>
    <cellStyle name="40% - Accent6 2 6 2 2 6" xfId="32710" xr:uid="{F4345481-F632-42CC-96E2-FE00096837D0}"/>
    <cellStyle name="40% - Accent6 2 6 2 3" xfId="7755" xr:uid="{00000000-0005-0000-0000-0000DE110000}"/>
    <cellStyle name="40% - Accent6 2 6 2 3 2" xfId="7756" xr:uid="{00000000-0005-0000-0000-0000DF110000}"/>
    <cellStyle name="40% - Accent6 2 6 2 3 2 2" xfId="7757" xr:uid="{00000000-0005-0000-0000-0000E0110000}"/>
    <cellStyle name="40% - Accent6 2 6 2 3 2 2 2" xfId="25351" xr:uid="{A1647177-72D6-4039-9368-D20A48C2AF90}"/>
    <cellStyle name="40% - Accent6 2 6 2 3 2 2 2 2" xfId="40322" xr:uid="{B5B93ACC-473F-428E-9D7A-9C05D6279D8E}"/>
    <cellStyle name="40% - Accent6 2 6 2 3 2 2 3" xfId="32719" xr:uid="{4E8D7110-C0A7-4E2C-9A37-5C4597748060}"/>
    <cellStyle name="40% - Accent6 2 6 2 3 2 3" xfId="7758" xr:uid="{00000000-0005-0000-0000-0000E1110000}"/>
    <cellStyle name="40% - Accent6 2 6 2 3 2 3 2" xfId="25352" xr:uid="{7FC32B8A-2876-4330-BBDF-7E78AA7D8228}"/>
    <cellStyle name="40% - Accent6 2 6 2 3 2 3 2 2" xfId="40323" xr:uid="{6D190229-54DC-41DA-8193-37CAC0BBD51A}"/>
    <cellStyle name="40% - Accent6 2 6 2 3 2 3 3" xfId="32720" xr:uid="{85894FC9-5F66-4D84-9AA2-1F82D3AAE1D2}"/>
    <cellStyle name="40% - Accent6 2 6 2 3 2 4" xfId="25350" xr:uid="{D32D8A25-D7E3-4815-9D89-39A26A34B671}"/>
    <cellStyle name="40% - Accent6 2 6 2 3 2 4 2" xfId="40321" xr:uid="{C2CA340D-22DC-44DC-9D34-E9F36E7735E9}"/>
    <cellStyle name="40% - Accent6 2 6 2 3 2 5" xfId="32718" xr:uid="{30B79DC7-0C6E-4096-B2D5-5DBBE62BE19D}"/>
    <cellStyle name="40% - Accent6 2 6 2 3 3" xfId="7759" xr:uid="{00000000-0005-0000-0000-0000E2110000}"/>
    <cellStyle name="40% - Accent6 2 6 2 3 3 2" xfId="7760" xr:uid="{00000000-0005-0000-0000-0000E3110000}"/>
    <cellStyle name="40% - Accent6 2 6 2 3 3 2 2" xfId="25354" xr:uid="{590694D6-5DE2-4DB9-858C-FB0FA9DFB676}"/>
    <cellStyle name="40% - Accent6 2 6 2 3 3 2 2 2" xfId="40325" xr:uid="{027F8946-D676-46EA-9FA0-98B52A4864E7}"/>
    <cellStyle name="40% - Accent6 2 6 2 3 3 2 3" xfId="32722" xr:uid="{B3584CF1-4E85-4DF6-B28C-181C7130FC63}"/>
    <cellStyle name="40% - Accent6 2 6 2 3 3 3" xfId="25353" xr:uid="{99B2E818-7FDE-451A-8AD1-179EA6531D12}"/>
    <cellStyle name="40% - Accent6 2 6 2 3 3 3 2" xfId="40324" xr:uid="{9670C41C-2802-46B6-8B05-887FCA19A929}"/>
    <cellStyle name="40% - Accent6 2 6 2 3 3 4" xfId="32721" xr:uid="{02D6037F-C03A-4969-A24F-FBD869B2F653}"/>
    <cellStyle name="40% - Accent6 2 6 2 3 4" xfId="7761" xr:uid="{00000000-0005-0000-0000-0000E4110000}"/>
    <cellStyle name="40% - Accent6 2 6 2 3 4 2" xfId="25355" xr:uid="{D2F46D16-93CC-40CB-AFE8-999F0AB153EC}"/>
    <cellStyle name="40% - Accent6 2 6 2 3 4 2 2" xfId="40326" xr:uid="{2E0CBC5D-99B3-4E21-A462-2058A3FFA0D4}"/>
    <cellStyle name="40% - Accent6 2 6 2 3 4 3" xfId="32723" xr:uid="{468F37C3-720A-4B17-A665-57F254329D9A}"/>
    <cellStyle name="40% - Accent6 2 6 2 3 5" xfId="25349" xr:uid="{27765240-4ED5-4D78-95E7-F2DE01A2F38F}"/>
    <cellStyle name="40% - Accent6 2 6 2 3 5 2" xfId="40320" xr:uid="{9ECBC196-F4E2-4F61-BC4B-5DF87760FC60}"/>
    <cellStyle name="40% - Accent6 2 6 2 3 6" xfId="32717" xr:uid="{27E0C8A7-54E3-4D02-9F2C-2A19F3838977}"/>
    <cellStyle name="40% - Accent6 2 6 2 4" xfId="7762" xr:uid="{00000000-0005-0000-0000-0000E5110000}"/>
    <cellStyle name="40% - Accent6 2 6 2 4 2" xfId="7763" xr:uid="{00000000-0005-0000-0000-0000E6110000}"/>
    <cellStyle name="40% - Accent6 2 6 2 4 2 2" xfId="25357" xr:uid="{E8332529-94C9-4263-B22F-DFA00A96DDFD}"/>
    <cellStyle name="40% - Accent6 2 6 2 4 2 2 2" xfId="40328" xr:uid="{CBB635B0-170F-4CE5-8CB5-96146CE88CAD}"/>
    <cellStyle name="40% - Accent6 2 6 2 4 2 3" xfId="32725" xr:uid="{56F65486-6577-4718-A3A5-A809D5D5A5CB}"/>
    <cellStyle name="40% - Accent6 2 6 2 4 3" xfId="7764" xr:uid="{00000000-0005-0000-0000-0000E7110000}"/>
    <cellStyle name="40% - Accent6 2 6 2 4 3 2" xfId="25358" xr:uid="{0705175E-9B2E-46FD-9824-3716F8CAB53B}"/>
    <cellStyle name="40% - Accent6 2 6 2 4 3 2 2" xfId="40329" xr:uid="{4A308FC1-C861-479A-A6AF-B7FB3B6044FE}"/>
    <cellStyle name="40% - Accent6 2 6 2 4 3 3" xfId="32726" xr:uid="{5A9C2B0B-0EF0-48B3-96A6-7409BB65DAF6}"/>
    <cellStyle name="40% - Accent6 2 6 2 4 4" xfId="25356" xr:uid="{91C5D0B9-1244-444A-B196-7AC66DA580A6}"/>
    <cellStyle name="40% - Accent6 2 6 2 4 4 2" xfId="40327" xr:uid="{D3E83320-A665-46DD-86C1-B4B5DEB78F80}"/>
    <cellStyle name="40% - Accent6 2 6 2 4 5" xfId="32724" xr:uid="{5117F661-7E33-4FE4-AAFB-1DCF7B707A29}"/>
    <cellStyle name="40% - Accent6 2 6 2 5" xfId="7765" xr:uid="{00000000-0005-0000-0000-0000E8110000}"/>
    <cellStyle name="40% - Accent6 2 6 2 5 2" xfId="25359" xr:uid="{F7ECF6AE-3D9D-4CE5-8885-9571BAEE5B4A}"/>
    <cellStyle name="40% - Accent6 2 6 2 5 2 2" xfId="40330" xr:uid="{9A957274-90E6-45F7-9612-78A7C595E611}"/>
    <cellStyle name="40% - Accent6 2 6 2 5 3" xfId="32727" xr:uid="{74CF9E5F-97FB-4CC1-AA26-C80FDAA02F5A}"/>
    <cellStyle name="40% - Accent6 2 6 2 6" xfId="7766" xr:uid="{00000000-0005-0000-0000-0000E9110000}"/>
    <cellStyle name="40% - Accent6 2 6 2 6 2" xfId="7767" xr:uid="{00000000-0005-0000-0000-0000EA110000}"/>
    <cellStyle name="40% - Accent6 2 6 2 6 2 2" xfId="25361" xr:uid="{68F3D23C-3A83-4DF8-B4CA-9D9C6E030AA7}"/>
    <cellStyle name="40% - Accent6 2 6 2 6 2 2 2" xfId="40332" xr:uid="{2E30A593-F395-4EE3-BCB5-E72437D2FD05}"/>
    <cellStyle name="40% - Accent6 2 6 2 6 2 3" xfId="32729" xr:uid="{E556254A-51AE-4FED-B135-70712EDDD5F4}"/>
    <cellStyle name="40% - Accent6 2 6 2 6 3" xfId="25360" xr:uid="{EBBE02AB-6E55-4FC8-88E3-270B0FA1B444}"/>
    <cellStyle name="40% - Accent6 2 6 2 6 3 2" xfId="40331" xr:uid="{36290C81-1A10-4AC7-BB39-B1116BB251EB}"/>
    <cellStyle name="40% - Accent6 2 6 2 6 4" xfId="32728" xr:uid="{E725741E-FC44-4B66-91D4-A012853881C6}"/>
    <cellStyle name="40% - Accent6 2 6 2 7" xfId="7768" xr:uid="{00000000-0005-0000-0000-0000EB110000}"/>
    <cellStyle name="40% - Accent6 2 6 2 7 2" xfId="25362" xr:uid="{FC571E67-361A-4DF6-B72E-1BD415CCEC33}"/>
    <cellStyle name="40% - Accent6 2 6 2 7 2 2" xfId="40333" xr:uid="{68BAE204-203D-4587-B163-DBE94BCA68A7}"/>
    <cellStyle name="40% - Accent6 2 6 2 7 3" xfId="32730" xr:uid="{967F01B3-2CF8-4195-B443-1F3BB65FF409}"/>
    <cellStyle name="40% - Accent6 2 6 2 8" xfId="25341" xr:uid="{1E298F8C-6C52-4F46-9DF2-6EE040F19BE5}"/>
    <cellStyle name="40% - Accent6 2 6 2 8 2" xfId="40312" xr:uid="{AE8467E1-F5C1-4E9A-941E-91BB47883E0D}"/>
    <cellStyle name="40% - Accent6 2 6 2 9" xfId="32709" xr:uid="{C5505322-BFCB-4648-B94F-B61A5CFB193B}"/>
    <cellStyle name="40% - Accent6 2 6 3" xfId="7769" xr:uid="{00000000-0005-0000-0000-0000EC110000}"/>
    <cellStyle name="40% - Accent6 2 6 3 2" xfId="7770" xr:uid="{00000000-0005-0000-0000-0000ED110000}"/>
    <cellStyle name="40% - Accent6 2 6 3 2 2" xfId="7771" xr:uid="{00000000-0005-0000-0000-0000EE110000}"/>
    <cellStyle name="40% - Accent6 2 6 3 2 2 2" xfId="25365" xr:uid="{FBB3C818-2B6B-42EF-855A-8FA09BEE5CF4}"/>
    <cellStyle name="40% - Accent6 2 6 3 2 2 2 2" xfId="40336" xr:uid="{9B571C38-71DF-4888-BBCC-3D40803044D5}"/>
    <cellStyle name="40% - Accent6 2 6 3 2 2 3" xfId="32733" xr:uid="{07CBEA41-1079-4958-B58F-830453F4BE20}"/>
    <cellStyle name="40% - Accent6 2 6 3 2 3" xfId="7772" xr:uid="{00000000-0005-0000-0000-0000EF110000}"/>
    <cellStyle name="40% - Accent6 2 6 3 2 3 2" xfId="25366" xr:uid="{39FC9DF6-6FD1-43AE-A534-734CB98F5F58}"/>
    <cellStyle name="40% - Accent6 2 6 3 2 3 2 2" xfId="40337" xr:uid="{E32C63D1-EA17-4C82-862D-F7363BB0A918}"/>
    <cellStyle name="40% - Accent6 2 6 3 2 3 3" xfId="32734" xr:uid="{0E216D5B-1248-4335-843C-CF273C742636}"/>
    <cellStyle name="40% - Accent6 2 6 3 2 4" xfId="25364" xr:uid="{40FEC28A-A97B-4F0D-A019-C16EA3C6D456}"/>
    <cellStyle name="40% - Accent6 2 6 3 2 4 2" xfId="40335" xr:uid="{400B9EC0-D2B7-4066-BC47-0BCB1FDA8435}"/>
    <cellStyle name="40% - Accent6 2 6 3 2 5" xfId="32732" xr:uid="{16112BAF-3101-4734-995B-7EF6EED9C893}"/>
    <cellStyle name="40% - Accent6 2 6 3 3" xfId="7773" xr:uid="{00000000-0005-0000-0000-0000F0110000}"/>
    <cellStyle name="40% - Accent6 2 6 3 3 2" xfId="7774" xr:uid="{00000000-0005-0000-0000-0000F1110000}"/>
    <cellStyle name="40% - Accent6 2 6 3 3 2 2" xfId="25368" xr:uid="{E6DEB127-54AF-4431-A673-2E836FAD810B}"/>
    <cellStyle name="40% - Accent6 2 6 3 3 2 2 2" xfId="40339" xr:uid="{EC764F4A-4445-4C83-BE1D-3E375069B535}"/>
    <cellStyle name="40% - Accent6 2 6 3 3 2 3" xfId="32736" xr:uid="{F28A7C5F-8808-4AEE-BDB2-976652BC73E3}"/>
    <cellStyle name="40% - Accent6 2 6 3 3 3" xfId="25367" xr:uid="{41E5B713-D086-4564-8371-4F68B3D0783E}"/>
    <cellStyle name="40% - Accent6 2 6 3 3 3 2" xfId="40338" xr:uid="{6BEAFC73-95A6-41DA-B9CE-30D08D82C8E9}"/>
    <cellStyle name="40% - Accent6 2 6 3 3 4" xfId="32735" xr:uid="{1EFD8448-747C-43DF-A5DD-BD5664EAC196}"/>
    <cellStyle name="40% - Accent6 2 6 3 4" xfId="7775" xr:uid="{00000000-0005-0000-0000-0000F2110000}"/>
    <cellStyle name="40% - Accent6 2 6 3 4 2" xfId="25369" xr:uid="{ED5CB970-BD1C-4768-8AD7-CEAA39EDD196}"/>
    <cellStyle name="40% - Accent6 2 6 3 4 2 2" xfId="40340" xr:uid="{586DAC16-FB55-44F9-BFA0-DAE86B0474A2}"/>
    <cellStyle name="40% - Accent6 2 6 3 4 3" xfId="32737" xr:uid="{D2C353E1-CB82-48E8-8455-048C542F1060}"/>
    <cellStyle name="40% - Accent6 2 6 3 5" xfId="25363" xr:uid="{9B83039A-8035-4F00-942F-BEF93BBDB147}"/>
    <cellStyle name="40% - Accent6 2 6 3 5 2" xfId="40334" xr:uid="{376ACFE8-C703-4A11-9A9E-D124F345C7DD}"/>
    <cellStyle name="40% - Accent6 2 6 3 6" xfId="32731" xr:uid="{932D62F0-8EEE-40BB-9A7D-2A258075C328}"/>
    <cellStyle name="40% - Accent6 2 6 4" xfId="7776" xr:uid="{00000000-0005-0000-0000-0000F3110000}"/>
    <cellStyle name="40% - Accent6 2 6 4 2" xfId="7777" xr:uid="{00000000-0005-0000-0000-0000F4110000}"/>
    <cellStyle name="40% - Accent6 2 6 4 2 2" xfId="7778" xr:uid="{00000000-0005-0000-0000-0000F5110000}"/>
    <cellStyle name="40% - Accent6 2 6 4 2 2 2" xfId="25372" xr:uid="{867B5BD9-C578-4F29-955E-73F48790F1E0}"/>
    <cellStyle name="40% - Accent6 2 6 4 2 2 2 2" xfId="40343" xr:uid="{E8BF86B1-1A96-4756-BDCE-E86E3EB428BB}"/>
    <cellStyle name="40% - Accent6 2 6 4 2 2 3" xfId="32740" xr:uid="{02F98F3E-DABA-4E16-8AA3-01420414DCCB}"/>
    <cellStyle name="40% - Accent6 2 6 4 2 3" xfId="7779" xr:uid="{00000000-0005-0000-0000-0000F6110000}"/>
    <cellStyle name="40% - Accent6 2 6 4 2 3 2" xfId="25373" xr:uid="{AB3C143C-BD7E-4767-8D02-087A96E9F0D3}"/>
    <cellStyle name="40% - Accent6 2 6 4 2 3 2 2" xfId="40344" xr:uid="{A967BBB2-83D7-43C7-BFF9-F6E59510396F}"/>
    <cellStyle name="40% - Accent6 2 6 4 2 3 3" xfId="32741" xr:uid="{0E290ECE-BC51-4238-87B6-D03918E9DA1F}"/>
    <cellStyle name="40% - Accent6 2 6 4 2 4" xfId="25371" xr:uid="{E1381149-3AD1-421E-BF46-9C9C7F8D1F5F}"/>
    <cellStyle name="40% - Accent6 2 6 4 2 4 2" xfId="40342" xr:uid="{E790790B-C890-4331-B300-335621BA1933}"/>
    <cellStyle name="40% - Accent6 2 6 4 2 5" xfId="32739" xr:uid="{C2EFC549-2A48-4A30-92BD-3FBA3896EDFF}"/>
    <cellStyle name="40% - Accent6 2 6 4 3" xfId="7780" xr:uid="{00000000-0005-0000-0000-0000F7110000}"/>
    <cellStyle name="40% - Accent6 2 6 4 3 2" xfId="7781" xr:uid="{00000000-0005-0000-0000-0000F8110000}"/>
    <cellStyle name="40% - Accent6 2 6 4 3 2 2" xfId="25375" xr:uid="{0C5087CA-477D-44F9-AFF8-F648906D81F8}"/>
    <cellStyle name="40% - Accent6 2 6 4 3 2 2 2" xfId="40346" xr:uid="{A11AD300-EF76-41EA-B04E-53BC5FBCD97D}"/>
    <cellStyle name="40% - Accent6 2 6 4 3 2 3" xfId="32743" xr:uid="{E982EF35-8ED0-4F60-BE06-7188B895FC5F}"/>
    <cellStyle name="40% - Accent6 2 6 4 3 3" xfId="25374" xr:uid="{D3B1CC8E-58FD-4664-BBF6-901DD2B6BAFF}"/>
    <cellStyle name="40% - Accent6 2 6 4 3 3 2" xfId="40345" xr:uid="{4858550E-EB97-42D7-9D8A-73335F92BF23}"/>
    <cellStyle name="40% - Accent6 2 6 4 3 4" xfId="32742" xr:uid="{63D6CD08-6DEF-48B9-ABD0-38B0083E35CC}"/>
    <cellStyle name="40% - Accent6 2 6 4 4" xfId="7782" xr:uid="{00000000-0005-0000-0000-0000F9110000}"/>
    <cellStyle name="40% - Accent6 2 6 4 4 2" xfId="25376" xr:uid="{935D3BE2-A5BE-454B-BD2F-D946894503F1}"/>
    <cellStyle name="40% - Accent6 2 6 4 4 2 2" xfId="40347" xr:uid="{A304299B-D9FD-45CD-98E7-51A0358F4A7E}"/>
    <cellStyle name="40% - Accent6 2 6 4 4 3" xfId="32744" xr:uid="{57E5D299-3FFE-4826-9241-6DF47A980D20}"/>
    <cellStyle name="40% - Accent6 2 6 4 5" xfId="25370" xr:uid="{171DACDA-7CB4-48D4-A6B6-998335A3B155}"/>
    <cellStyle name="40% - Accent6 2 6 4 5 2" xfId="40341" xr:uid="{B61F4B1A-DA5B-4ED4-BE2D-D10715FDDCA0}"/>
    <cellStyle name="40% - Accent6 2 6 4 6" xfId="32738" xr:uid="{CDC75831-ABF0-428E-94EB-D0216AFAAEC1}"/>
    <cellStyle name="40% - Accent6 2 6 5" xfId="7783" xr:uid="{00000000-0005-0000-0000-0000FA110000}"/>
    <cellStyle name="40% - Accent6 2 6 5 2" xfId="7784" xr:uid="{00000000-0005-0000-0000-0000FB110000}"/>
    <cellStyle name="40% - Accent6 2 6 5 2 2" xfId="25378" xr:uid="{E85ADE01-DA50-4A89-B446-30677D280D53}"/>
    <cellStyle name="40% - Accent6 2 6 5 2 2 2" xfId="40349" xr:uid="{55869E3F-796D-40F8-B89D-2F41079490CC}"/>
    <cellStyle name="40% - Accent6 2 6 5 2 3" xfId="32746" xr:uid="{4780E926-7E56-44C5-B022-DA62A05DAD88}"/>
    <cellStyle name="40% - Accent6 2 6 5 3" xfId="7785" xr:uid="{00000000-0005-0000-0000-0000FC110000}"/>
    <cellStyle name="40% - Accent6 2 6 5 3 2" xfId="25379" xr:uid="{6308ACDF-53C8-4DBD-AC81-3F47B1179773}"/>
    <cellStyle name="40% - Accent6 2 6 5 3 2 2" xfId="40350" xr:uid="{BFC0AFF4-FFA9-4D17-9426-FE0D1D1271BA}"/>
    <cellStyle name="40% - Accent6 2 6 5 3 3" xfId="32747" xr:uid="{7A2F4541-01FD-4F2D-BCB9-D2F1001B19B9}"/>
    <cellStyle name="40% - Accent6 2 6 5 4" xfId="25377" xr:uid="{A6E6F37B-904A-41B7-B18B-DABF2E8CBC9C}"/>
    <cellStyle name="40% - Accent6 2 6 5 4 2" xfId="40348" xr:uid="{DB1FD551-BB0D-44DC-92B3-B0C7BD50AC3D}"/>
    <cellStyle name="40% - Accent6 2 6 5 5" xfId="32745" xr:uid="{0A95534F-5C0E-452A-82DB-E4DD8A58ABFB}"/>
    <cellStyle name="40% - Accent6 2 6 6" xfId="7786" xr:uid="{00000000-0005-0000-0000-0000FD110000}"/>
    <cellStyle name="40% - Accent6 2 6 6 2" xfId="25380" xr:uid="{7077499F-70A8-47B5-ADE0-E4A4DDC58AA4}"/>
    <cellStyle name="40% - Accent6 2 6 6 2 2" xfId="40351" xr:uid="{0363C058-BB68-41DA-A20D-D66403F1CD6F}"/>
    <cellStyle name="40% - Accent6 2 6 6 3" xfId="32748" xr:uid="{64B84842-A31C-4F73-8297-CD9D109D9695}"/>
    <cellStyle name="40% - Accent6 2 6 7" xfId="7787" xr:uid="{00000000-0005-0000-0000-0000FE110000}"/>
    <cellStyle name="40% - Accent6 2 6 7 2" xfId="7788" xr:uid="{00000000-0005-0000-0000-0000FF110000}"/>
    <cellStyle name="40% - Accent6 2 6 7 2 2" xfId="25382" xr:uid="{5BB5E930-4B5C-4521-A9FB-A737F2877C5C}"/>
    <cellStyle name="40% - Accent6 2 6 7 2 2 2" xfId="40353" xr:uid="{87487EB0-6840-4AB2-9473-ED6E089D5EF3}"/>
    <cellStyle name="40% - Accent6 2 6 7 2 3" xfId="32750" xr:uid="{5E557F45-6FBD-442F-AC5E-E900FCA2BB83}"/>
    <cellStyle name="40% - Accent6 2 6 7 3" xfId="25381" xr:uid="{04343C88-1558-42B3-B3D6-02D46C70E675}"/>
    <cellStyle name="40% - Accent6 2 6 7 3 2" xfId="40352" xr:uid="{C2BC7F93-8765-40DE-8B33-3D09CED2725E}"/>
    <cellStyle name="40% - Accent6 2 6 7 4" xfId="32749" xr:uid="{4FB9F3AF-176E-4BDC-B4F7-B974FEF17DAE}"/>
    <cellStyle name="40% - Accent6 2 6 8" xfId="7789" xr:uid="{00000000-0005-0000-0000-000000120000}"/>
    <cellStyle name="40% - Accent6 2 6 8 2" xfId="25383" xr:uid="{C8652645-96C5-4F47-8CCD-6F3839E11EED}"/>
    <cellStyle name="40% - Accent6 2 6 8 2 2" xfId="40354" xr:uid="{D64346FB-50FE-495F-8CB8-C5082971A5DB}"/>
    <cellStyle name="40% - Accent6 2 6 8 3" xfId="32751" xr:uid="{B482474B-9A1A-4C14-A577-0FC7C39A8702}"/>
    <cellStyle name="40% - Accent6 2 6 9" xfId="25340" xr:uid="{BB0F9BCF-B764-4467-A181-B5ABCC3AD97C}"/>
    <cellStyle name="40% - Accent6 2 6 9 2" xfId="40311" xr:uid="{C962F8A8-3898-44EF-8EA9-482A081D9246}"/>
    <cellStyle name="40% - Accent6 2 7" xfId="7790" xr:uid="{00000000-0005-0000-0000-000001120000}"/>
    <cellStyle name="40% - Accent6 2 7 2" xfId="7791" xr:uid="{00000000-0005-0000-0000-000002120000}"/>
    <cellStyle name="40% - Accent6 2 7 2 2" xfId="7792" xr:uid="{00000000-0005-0000-0000-000003120000}"/>
    <cellStyle name="40% - Accent6 2 7 2 2 2" xfId="25386" xr:uid="{02E81EDE-EB31-458D-B64F-28BCDCFA98F3}"/>
    <cellStyle name="40% - Accent6 2 7 2 2 2 2" xfId="40357" xr:uid="{B8443E37-F7AE-454C-B305-52D9A29B72E0}"/>
    <cellStyle name="40% - Accent6 2 7 2 2 3" xfId="32754" xr:uid="{B3C38107-4B39-4B2D-B343-A7EE1DEB8922}"/>
    <cellStyle name="40% - Accent6 2 7 2 3" xfId="7793" xr:uid="{00000000-0005-0000-0000-000004120000}"/>
    <cellStyle name="40% - Accent6 2 7 2 3 2" xfId="25387" xr:uid="{7F22216C-90E8-454D-A40C-FD9D70C144C4}"/>
    <cellStyle name="40% - Accent6 2 7 2 3 2 2" xfId="40358" xr:uid="{91952BD9-7EDF-4027-8881-3B9A92F79E59}"/>
    <cellStyle name="40% - Accent6 2 7 2 3 3" xfId="32755" xr:uid="{30947E41-9B9E-4220-A520-21A90C82984B}"/>
    <cellStyle name="40% - Accent6 2 7 2 4" xfId="25385" xr:uid="{65B08C51-6ED1-4BF4-8F8A-FE34003A0C03}"/>
    <cellStyle name="40% - Accent6 2 7 2 4 2" xfId="40356" xr:uid="{A7CD6E1D-A060-490E-B142-78195D88D8D5}"/>
    <cellStyle name="40% - Accent6 2 7 2 5" xfId="32753" xr:uid="{114E5F45-A39D-4BFB-AC7C-D32C9AFA7872}"/>
    <cellStyle name="40% - Accent6 2 7 3" xfId="7794" xr:uid="{00000000-0005-0000-0000-000005120000}"/>
    <cellStyle name="40% - Accent6 2 7 3 2" xfId="7795" xr:uid="{00000000-0005-0000-0000-000006120000}"/>
    <cellStyle name="40% - Accent6 2 7 3 2 2" xfId="25389" xr:uid="{DB0FF7C1-5216-4D4C-A402-43E736B4D722}"/>
    <cellStyle name="40% - Accent6 2 7 3 2 2 2" xfId="40360" xr:uid="{A9478DA0-0644-4F49-98A0-4ED47B131564}"/>
    <cellStyle name="40% - Accent6 2 7 3 2 3" xfId="32757" xr:uid="{4674860C-C177-4297-A36E-83AEDA1F7837}"/>
    <cellStyle name="40% - Accent6 2 7 3 3" xfId="25388" xr:uid="{220C8500-573F-4767-8C9B-50615820052C}"/>
    <cellStyle name="40% - Accent6 2 7 3 3 2" xfId="40359" xr:uid="{E2B05EEB-A430-4B4C-9038-49C7CBA5CE2A}"/>
    <cellStyle name="40% - Accent6 2 7 3 4" xfId="32756" xr:uid="{808806BB-338E-4633-9D65-80A976A7208D}"/>
    <cellStyle name="40% - Accent6 2 7 4" xfId="7796" xr:uid="{00000000-0005-0000-0000-000007120000}"/>
    <cellStyle name="40% - Accent6 2 7 4 2" xfId="25390" xr:uid="{8B26D7D1-E3CD-4A17-A94B-85473A53B8C8}"/>
    <cellStyle name="40% - Accent6 2 7 4 2 2" xfId="40361" xr:uid="{9B66134B-C16D-49A4-9556-1B1535D70E46}"/>
    <cellStyle name="40% - Accent6 2 7 4 3" xfId="32758" xr:uid="{C1A845E3-0B86-415A-B563-9E0C64F2DC15}"/>
    <cellStyle name="40% - Accent6 2 7 5" xfId="25384" xr:uid="{693044F0-1B6D-4E01-B578-7E0CCB942D7D}"/>
    <cellStyle name="40% - Accent6 2 7 5 2" xfId="40355" xr:uid="{D9112DFF-C853-41E4-8E80-93C4087EE1EF}"/>
    <cellStyle name="40% - Accent6 2 7 6" xfId="32752" xr:uid="{139B6E38-B6FD-4EA1-9FF6-E3967D608768}"/>
    <cellStyle name="40% - Accent6 3" xfId="252" xr:uid="{00000000-0005-0000-0000-00005B000000}"/>
    <cellStyle name="40% - Accent6 3 10" xfId="7797" xr:uid="{00000000-0005-0000-0000-000008120000}"/>
    <cellStyle name="40% - Accent6 3 10 2" xfId="25391" xr:uid="{078A8BA7-B873-4BB2-A783-E1B26FE9F98A}"/>
    <cellStyle name="40% - Accent6 3 10 2 2" xfId="40362" xr:uid="{3A79BE92-A991-4D56-8B41-13B8A5AF25E8}"/>
    <cellStyle name="40% - Accent6 3 10 3" xfId="32759" xr:uid="{9BD4D42A-B6C5-4F8C-8C24-AD1BC2D6319C}"/>
    <cellStyle name="40% - Accent6 3 2" xfId="7798" xr:uid="{00000000-0005-0000-0000-000009120000}"/>
    <cellStyle name="40% - Accent6 3 2 2" xfId="7799" xr:uid="{00000000-0005-0000-0000-00000A120000}"/>
    <cellStyle name="40% - Accent6 3 2 2 2" xfId="7800" xr:uid="{00000000-0005-0000-0000-00000B120000}"/>
    <cellStyle name="40% - Accent6 3 2 2 2 2" xfId="7801" xr:uid="{00000000-0005-0000-0000-00000C120000}"/>
    <cellStyle name="40% - Accent6 3 2 2 2 2 2" xfId="7802" xr:uid="{00000000-0005-0000-0000-00000D120000}"/>
    <cellStyle name="40% - Accent6 3 2 2 2 2 2 2" xfId="25395" xr:uid="{E787C5A6-B096-42C8-9E03-2D1D69FC7F46}"/>
    <cellStyle name="40% - Accent6 3 2 2 2 2 2 2 2" xfId="40366" xr:uid="{57778637-1C46-46C7-917E-B53566AE5604}"/>
    <cellStyle name="40% - Accent6 3 2 2 2 2 2 3" xfId="32763" xr:uid="{C350BA9D-9205-4EFB-8AEF-0331FC0F4CDA}"/>
    <cellStyle name="40% - Accent6 3 2 2 2 2 3" xfId="7803" xr:uid="{00000000-0005-0000-0000-00000E120000}"/>
    <cellStyle name="40% - Accent6 3 2 2 2 2 3 2" xfId="25396" xr:uid="{3904D3AF-38EB-46E8-BF68-D1F5FB801962}"/>
    <cellStyle name="40% - Accent6 3 2 2 2 2 3 2 2" xfId="40367" xr:uid="{C1BE4CB9-1AB5-4AC1-A8F7-FBD83AE8018A}"/>
    <cellStyle name="40% - Accent6 3 2 2 2 2 3 3" xfId="32764" xr:uid="{C7536A80-C252-4CDD-B2FB-52763A5E20AF}"/>
    <cellStyle name="40% - Accent6 3 2 2 2 2 4" xfId="25394" xr:uid="{7D857F98-4E07-4281-833B-57F9A67965BE}"/>
    <cellStyle name="40% - Accent6 3 2 2 2 2 4 2" xfId="40365" xr:uid="{05C53718-B8DF-449C-88E0-DE2E910F10D5}"/>
    <cellStyle name="40% - Accent6 3 2 2 2 2 5" xfId="32762" xr:uid="{9324BC8A-BFCD-47A1-8186-FADCEF34EAB9}"/>
    <cellStyle name="40% - Accent6 3 2 2 2 3" xfId="7804" xr:uid="{00000000-0005-0000-0000-00000F120000}"/>
    <cellStyle name="40% - Accent6 3 2 2 2 3 2" xfId="7805" xr:uid="{00000000-0005-0000-0000-000010120000}"/>
    <cellStyle name="40% - Accent6 3 2 2 2 3 2 2" xfId="25398" xr:uid="{49360B44-F384-46AB-94A9-89A0B09E2F74}"/>
    <cellStyle name="40% - Accent6 3 2 2 2 3 2 2 2" xfId="40369" xr:uid="{216E05ED-6119-47DC-B336-9B9107C7C026}"/>
    <cellStyle name="40% - Accent6 3 2 2 2 3 2 3" xfId="32766" xr:uid="{006035D7-BF94-4A25-81C6-E39FA91E513A}"/>
    <cellStyle name="40% - Accent6 3 2 2 2 3 3" xfId="25397" xr:uid="{882C9C56-65CA-439D-A76E-A6350FF7823E}"/>
    <cellStyle name="40% - Accent6 3 2 2 2 3 3 2" xfId="40368" xr:uid="{9907AC97-FCD8-49C1-8694-8F81D0628044}"/>
    <cellStyle name="40% - Accent6 3 2 2 2 3 4" xfId="32765" xr:uid="{3680BA0E-ED8D-4146-998D-D7FE643CA955}"/>
    <cellStyle name="40% - Accent6 3 2 2 2 4" xfId="7806" xr:uid="{00000000-0005-0000-0000-000011120000}"/>
    <cellStyle name="40% - Accent6 3 2 2 2 4 2" xfId="25399" xr:uid="{0E278058-8411-4A1A-BC01-8B794769685F}"/>
    <cellStyle name="40% - Accent6 3 2 2 2 4 2 2" xfId="40370" xr:uid="{8E1DB0A0-A48F-4CBE-822B-95C1FBDBE725}"/>
    <cellStyle name="40% - Accent6 3 2 2 2 4 3" xfId="32767" xr:uid="{1C085F23-DA94-4FA8-B764-8793D7510620}"/>
    <cellStyle name="40% - Accent6 3 2 2 2 5" xfId="25393" xr:uid="{66F54F22-AB4F-47B7-B695-0CE5678DFF4E}"/>
    <cellStyle name="40% - Accent6 3 2 2 2 5 2" xfId="40364" xr:uid="{1500E611-8852-47BA-9C56-68C64998A1B9}"/>
    <cellStyle name="40% - Accent6 3 2 2 2 6" xfId="32761" xr:uid="{59ABE52C-B891-454A-B307-A6364E86B9E6}"/>
    <cellStyle name="40% - Accent6 3 2 2 3" xfId="7807" xr:uid="{00000000-0005-0000-0000-000012120000}"/>
    <cellStyle name="40% - Accent6 3 2 2 3 2" xfId="7808" xr:uid="{00000000-0005-0000-0000-000013120000}"/>
    <cellStyle name="40% - Accent6 3 2 2 3 2 2" xfId="25401" xr:uid="{21992165-32DD-4693-B944-0D40D84917E4}"/>
    <cellStyle name="40% - Accent6 3 2 2 3 2 2 2" xfId="40372" xr:uid="{85FB2359-EBAA-43E5-B1F1-CD579C9304B0}"/>
    <cellStyle name="40% - Accent6 3 2 2 3 2 3" xfId="32769" xr:uid="{EB91DCE4-2924-47C1-9529-F4685516684C}"/>
    <cellStyle name="40% - Accent6 3 2 2 3 3" xfId="7809" xr:uid="{00000000-0005-0000-0000-000014120000}"/>
    <cellStyle name="40% - Accent6 3 2 2 3 3 2" xfId="25402" xr:uid="{5E2C3374-0043-442C-95F8-484CFAF4A58B}"/>
    <cellStyle name="40% - Accent6 3 2 2 3 3 2 2" xfId="40373" xr:uid="{3D93990F-AAB1-4AC4-A57A-EAD6CA79A5E2}"/>
    <cellStyle name="40% - Accent6 3 2 2 3 3 3" xfId="32770" xr:uid="{26FF2D2B-3BDF-4C66-89E6-F4B7DD0DBA30}"/>
    <cellStyle name="40% - Accent6 3 2 2 3 4" xfId="25400" xr:uid="{41374A50-1F0C-45E5-BDDE-04857C614434}"/>
    <cellStyle name="40% - Accent6 3 2 2 3 4 2" xfId="40371" xr:uid="{07604359-DC85-4970-A7E1-1195B6080E9C}"/>
    <cellStyle name="40% - Accent6 3 2 2 3 5" xfId="32768" xr:uid="{ABD6F0E4-1603-4E9A-B929-04A544710DED}"/>
    <cellStyle name="40% - Accent6 3 2 2 4" xfId="7810" xr:uid="{00000000-0005-0000-0000-000015120000}"/>
    <cellStyle name="40% - Accent6 3 2 2 4 2" xfId="25403" xr:uid="{19F93E14-8FDF-47F5-9864-409DF49E2D3E}"/>
    <cellStyle name="40% - Accent6 3 2 2 4 2 2" xfId="40374" xr:uid="{BEF74547-A7DF-4F37-BFDE-00F515E03604}"/>
    <cellStyle name="40% - Accent6 3 2 2 4 3" xfId="32771" xr:uid="{CF84ECEB-7B0C-4298-9DC5-E630BEA30DC7}"/>
    <cellStyle name="40% - Accent6 3 2 2 5" xfId="7811" xr:uid="{00000000-0005-0000-0000-000016120000}"/>
    <cellStyle name="40% - Accent6 3 2 2 5 2" xfId="7812" xr:uid="{00000000-0005-0000-0000-000017120000}"/>
    <cellStyle name="40% - Accent6 3 2 2 5 2 2" xfId="25405" xr:uid="{8D02D799-738E-43DE-9B6D-C66BE026095C}"/>
    <cellStyle name="40% - Accent6 3 2 2 5 2 2 2" xfId="40376" xr:uid="{4332C56C-EDD8-4093-8150-A649DDB41397}"/>
    <cellStyle name="40% - Accent6 3 2 2 5 2 3" xfId="32773" xr:uid="{0F2097A5-4AE5-4B3E-83C9-DF6C550B7F82}"/>
    <cellStyle name="40% - Accent6 3 2 2 5 3" xfId="25404" xr:uid="{21E81F14-9BE2-481F-A6BC-D5C35FEEE49C}"/>
    <cellStyle name="40% - Accent6 3 2 2 5 3 2" xfId="40375" xr:uid="{62A06EE3-0AE3-4D2C-972C-177F7A16461E}"/>
    <cellStyle name="40% - Accent6 3 2 2 5 4" xfId="32772" xr:uid="{797E02C1-7C5F-4560-A0A0-ADFC38F988C6}"/>
    <cellStyle name="40% - Accent6 3 2 2 6" xfId="7813" xr:uid="{00000000-0005-0000-0000-000018120000}"/>
    <cellStyle name="40% - Accent6 3 2 2 6 2" xfId="25406" xr:uid="{E601268A-FBBB-42DE-9198-639BF281FA00}"/>
    <cellStyle name="40% - Accent6 3 2 2 6 2 2" xfId="40377" xr:uid="{F5ED1493-DFA5-43F1-9D41-169C8E6AC09F}"/>
    <cellStyle name="40% - Accent6 3 2 2 6 3" xfId="32774" xr:uid="{4C3C2825-C28D-48AE-87AE-432674648B79}"/>
    <cellStyle name="40% - Accent6 3 2 2 7" xfId="25392" xr:uid="{B6B2F772-4E75-47A6-8AC2-53B41C1FE9E2}"/>
    <cellStyle name="40% - Accent6 3 2 2 7 2" xfId="40363" xr:uid="{555701C8-F18C-4453-A2D6-662AC555222C}"/>
    <cellStyle name="40% - Accent6 3 2 2 8" xfId="32760" xr:uid="{A7A55CB6-83E3-48CB-B8B1-D77716AE5CAC}"/>
    <cellStyle name="40% - Accent6 3 2 3" xfId="7814" xr:uid="{00000000-0005-0000-0000-000019120000}"/>
    <cellStyle name="40% - Accent6 3 2 3 2" xfId="7815" xr:uid="{00000000-0005-0000-0000-00001A120000}"/>
    <cellStyle name="40% - Accent6 3 2 3 2 2" xfId="7816" xr:uid="{00000000-0005-0000-0000-00001B120000}"/>
    <cellStyle name="40% - Accent6 3 2 3 2 2 2" xfId="25409" xr:uid="{3826A5B5-128C-4842-82AD-F98AFACCEE1D}"/>
    <cellStyle name="40% - Accent6 3 2 3 2 2 2 2" xfId="40380" xr:uid="{2366E22C-869F-4057-831A-B1B288C19F51}"/>
    <cellStyle name="40% - Accent6 3 2 3 2 2 3" xfId="32777" xr:uid="{529E4832-B7F2-4826-A652-78B46BB611B5}"/>
    <cellStyle name="40% - Accent6 3 2 3 2 3" xfId="7817" xr:uid="{00000000-0005-0000-0000-00001C120000}"/>
    <cellStyle name="40% - Accent6 3 2 3 2 3 2" xfId="25410" xr:uid="{2813087B-9E83-4536-AFB8-7F9438DB61D3}"/>
    <cellStyle name="40% - Accent6 3 2 3 2 3 2 2" xfId="40381" xr:uid="{4BF3F627-D452-4AF1-9755-3C1B3EC62B8B}"/>
    <cellStyle name="40% - Accent6 3 2 3 2 3 3" xfId="32778" xr:uid="{00D4BCF3-61E0-455C-8CC9-4F3B49F499F2}"/>
    <cellStyle name="40% - Accent6 3 2 3 2 4" xfId="25408" xr:uid="{82C2E5E7-2343-47AA-A9C7-6F428A685E31}"/>
    <cellStyle name="40% - Accent6 3 2 3 2 4 2" xfId="40379" xr:uid="{41B47337-0153-4340-BABA-3220A5DD5587}"/>
    <cellStyle name="40% - Accent6 3 2 3 2 5" xfId="32776" xr:uid="{5B5B080D-C615-4A0B-9EBB-084202ADEC5B}"/>
    <cellStyle name="40% - Accent6 3 2 3 3" xfId="7818" xr:uid="{00000000-0005-0000-0000-00001D120000}"/>
    <cellStyle name="40% - Accent6 3 2 3 3 2" xfId="7819" xr:uid="{00000000-0005-0000-0000-00001E120000}"/>
    <cellStyle name="40% - Accent6 3 2 3 3 2 2" xfId="25412" xr:uid="{464CFAD6-783A-4DAA-9792-8F1CFF1E57FA}"/>
    <cellStyle name="40% - Accent6 3 2 3 3 2 2 2" xfId="40383" xr:uid="{AFE3A177-C10C-4C11-A054-C2785A90FB5A}"/>
    <cellStyle name="40% - Accent6 3 2 3 3 2 3" xfId="32780" xr:uid="{A5E6FCE2-2116-4FCC-8C5C-B6C127DB24CC}"/>
    <cellStyle name="40% - Accent6 3 2 3 3 3" xfId="25411" xr:uid="{1769C163-0E6E-447A-8607-C8B06D3FF5E1}"/>
    <cellStyle name="40% - Accent6 3 2 3 3 3 2" xfId="40382" xr:uid="{A0116E99-AEA5-492D-97A8-E4865DA07DA3}"/>
    <cellStyle name="40% - Accent6 3 2 3 3 4" xfId="32779" xr:uid="{1E57AA40-AD1E-482A-B08A-7E438462A5A5}"/>
    <cellStyle name="40% - Accent6 3 2 3 4" xfId="7820" xr:uid="{00000000-0005-0000-0000-00001F120000}"/>
    <cellStyle name="40% - Accent6 3 2 3 4 2" xfId="25413" xr:uid="{C548E7FB-A267-4F6A-A2E3-062E3836E8CC}"/>
    <cellStyle name="40% - Accent6 3 2 3 4 2 2" xfId="40384" xr:uid="{E9FCD056-0784-4624-B749-5E9E4430FE1B}"/>
    <cellStyle name="40% - Accent6 3 2 3 4 3" xfId="32781" xr:uid="{9F8C8ACB-47E8-44AB-BDF2-178471A07908}"/>
    <cellStyle name="40% - Accent6 3 2 3 5" xfId="25407" xr:uid="{182889C5-4BB8-4288-A9C4-FB481290181A}"/>
    <cellStyle name="40% - Accent6 3 2 3 5 2" xfId="40378" xr:uid="{66F12766-69CD-4D91-AA78-16B0EFF88597}"/>
    <cellStyle name="40% - Accent6 3 2 3 6" xfId="32775" xr:uid="{8F362AD1-18E4-49FF-A007-3DB4907DE5CF}"/>
    <cellStyle name="40% - Accent6 3 2 4" xfId="7821" xr:uid="{00000000-0005-0000-0000-000020120000}"/>
    <cellStyle name="40% - Accent6 3 2 5" xfId="7822" xr:uid="{00000000-0005-0000-0000-000021120000}"/>
    <cellStyle name="40% - Accent6 3 2 5 2" xfId="25414" xr:uid="{BA75A573-070A-4FAA-8F88-8DBF31BAB1A1}"/>
    <cellStyle name="40% - Accent6 3 2 5 2 2" xfId="40385" xr:uid="{FEAA5187-9D7D-4B9A-8D58-6BD691A29773}"/>
    <cellStyle name="40% - Accent6 3 2 5 3" xfId="32782" xr:uid="{F5470FA5-FD80-4ECE-BCD0-C669FF6AAEEF}"/>
    <cellStyle name="40% - Accent6 3 3" xfId="7823" xr:uid="{00000000-0005-0000-0000-000022120000}"/>
    <cellStyle name="40% - Accent6 3 3 2" xfId="7824" xr:uid="{00000000-0005-0000-0000-000023120000}"/>
    <cellStyle name="40% - Accent6 3 3 2 2" xfId="7825" xr:uid="{00000000-0005-0000-0000-000024120000}"/>
    <cellStyle name="40% - Accent6 3 3 2 2 2" xfId="25417" xr:uid="{9B983911-22F4-4542-BAD3-AE5DB9EDA294}"/>
    <cellStyle name="40% - Accent6 3 3 2 2 2 2" xfId="40388" xr:uid="{1408C5EB-8AB2-49A1-8D3D-5155FC694FF3}"/>
    <cellStyle name="40% - Accent6 3 3 2 2 3" xfId="32785" xr:uid="{3D202028-8268-4344-B3A8-FC26BE7C9AB0}"/>
    <cellStyle name="40% - Accent6 3 3 2 3" xfId="7826" xr:uid="{00000000-0005-0000-0000-000025120000}"/>
    <cellStyle name="40% - Accent6 3 3 2 3 2" xfId="7827" xr:uid="{00000000-0005-0000-0000-000026120000}"/>
    <cellStyle name="40% - Accent6 3 3 2 3 2 2" xfId="25419" xr:uid="{5CB1A986-216C-46FA-ABAA-29BDDAEE025E}"/>
    <cellStyle name="40% - Accent6 3 3 2 3 2 2 2" xfId="40390" xr:uid="{C440FD94-FA56-4088-9DF7-0D40B97D59C9}"/>
    <cellStyle name="40% - Accent6 3 3 2 3 2 3" xfId="32787" xr:uid="{86DD1E32-3B1C-410D-AFD2-117928273FD6}"/>
    <cellStyle name="40% - Accent6 3 3 2 3 3" xfId="25418" xr:uid="{F8B3D9C3-FE19-42FB-BCAF-7A4D63E060C6}"/>
    <cellStyle name="40% - Accent6 3 3 2 3 3 2" xfId="40389" xr:uid="{640A53DB-BFCB-4FAC-BBA9-334677B7721A}"/>
    <cellStyle name="40% - Accent6 3 3 2 3 4" xfId="32786" xr:uid="{BA5C3060-54B4-405F-B0B7-D15ACE0E3AEB}"/>
    <cellStyle name="40% - Accent6 3 3 2 4" xfId="25416" xr:uid="{68433A96-E6C6-44AB-835E-6FFC875277D6}"/>
    <cellStyle name="40% - Accent6 3 3 2 4 2" xfId="40387" xr:uid="{A34828EB-1D07-4C1A-96B1-BCF5003B4A24}"/>
    <cellStyle name="40% - Accent6 3 3 2 5" xfId="32784" xr:uid="{F28986DC-F865-4644-91A4-C9ECB7332B0C}"/>
    <cellStyle name="40% - Accent6 3 3 3" xfId="7828" xr:uid="{00000000-0005-0000-0000-000027120000}"/>
    <cellStyle name="40% - Accent6 3 3 3 2" xfId="25420" xr:uid="{CB50CB49-E772-4D13-99C1-CBB28B7CA935}"/>
    <cellStyle name="40% - Accent6 3 3 3 2 2" xfId="40391" xr:uid="{76D58DB1-92E3-4B34-8998-BC35C00A9A76}"/>
    <cellStyle name="40% - Accent6 3 3 3 3" xfId="32788" xr:uid="{615A6D31-7AB6-48D3-A79A-DC13255CB09D}"/>
    <cellStyle name="40% - Accent6 3 3 4" xfId="7829" xr:uid="{00000000-0005-0000-0000-000028120000}"/>
    <cellStyle name="40% - Accent6 3 3 4 2" xfId="7830" xr:uid="{00000000-0005-0000-0000-000029120000}"/>
    <cellStyle name="40% - Accent6 3 3 4 2 2" xfId="25422" xr:uid="{538FF853-0B44-49E2-BB54-AE5F6AF65EED}"/>
    <cellStyle name="40% - Accent6 3 3 4 2 2 2" xfId="40393" xr:uid="{3B961CC0-DDB2-4A85-A47C-D0EB42FFA519}"/>
    <cellStyle name="40% - Accent6 3 3 4 2 3" xfId="32790" xr:uid="{0D3AB3F7-5BA5-4598-A44F-B24A67658B93}"/>
    <cellStyle name="40% - Accent6 3 3 4 3" xfId="25421" xr:uid="{D8C38D4C-259D-4F0D-8960-9AD6E73AC0B4}"/>
    <cellStyle name="40% - Accent6 3 3 4 3 2" xfId="40392" xr:uid="{B2768843-FFF0-45A6-830F-B7F53065825B}"/>
    <cellStyle name="40% - Accent6 3 3 4 4" xfId="32789" xr:uid="{FACB950C-1E11-4063-97F5-841E61CFBDF0}"/>
    <cellStyle name="40% - Accent6 3 3 5" xfId="7831" xr:uid="{00000000-0005-0000-0000-00002A120000}"/>
    <cellStyle name="40% - Accent6 3 3 5 2" xfId="25423" xr:uid="{AE812F6F-8CC9-4165-94AA-F3AA8CC4370C}"/>
    <cellStyle name="40% - Accent6 3 3 5 2 2" xfId="40394" xr:uid="{E2F1BF3F-2354-45A6-AA46-331F156D5A84}"/>
    <cellStyle name="40% - Accent6 3 3 5 3" xfId="32791" xr:uid="{564C0760-406C-4520-B93C-C7BDD8395381}"/>
    <cellStyle name="40% - Accent6 3 3 6" xfId="25415" xr:uid="{192FA793-14C4-42ED-86EB-D921CE62E4E7}"/>
    <cellStyle name="40% - Accent6 3 3 6 2" xfId="40386" xr:uid="{E37EF8BA-0D54-4F1B-9A3D-294DF5DA2DC6}"/>
    <cellStyle name="40% - Accent6 3 3 7" xfId="32783" xr:uid="{E4978FB6-84B0-44CB-B060-40C3E344BC1C}"/>
    <cellStyle name="40% - Accent6 3 4" xfId="7832" xr:uid="{00000000-0005-0000-0000-00002B120000}"/>
    <cellStyle name="40% - Accent6 3 4 2" xfId="7833" xr:uid="{00000000-0005-0000-0000-00002C120000}"/>
    <cellStyle name="40% - Accent6 3 4 2 2" xfId="7834" xr:uid="{00000000-0005-0000-0000-00002D120000}"/>
    <cellStyle name="40% - Accent6 3 4 2 2 2" xfId="25426" xr:uid="{3256B183-1327-4643-9F01-458509CC630C}"/>
    <cellStyle name="40% - Accent6 3 4 2 2 2 2" xfId="40397" xr:uid="{066293E5-23FF-4F58-B897-5EBB3D080E30}"/>
    <cellStyle name="40% - Accent6 3 4 2 2 3" xfId="32794" xr:uid="{9B835783-1BB6-4C17-AFFD-F712CBBFC874}"/>
    <cellStyle name="40% - Accent6 3 4 2 3" xfId="7835" xr:uid="{00000000-0005-0000-0000-00002E120000}"/>
    <cellStyle name="40% - Accent6 3 4 2 3 2" xfId="25427" xr:uid="{BCA70D95-6678-4F8A-B9E8-B00D4B8701A5}"/>
    <cellStyle name="40% - Accent6 3 4 2 3 2 2" xfId="40398" xr:uid="{0C74712D-7165-4168-B616-DBDD16F2121E}"/>
    <cellStyle name="40% - Accent6 3 4 2 3 3" xfId="32795" xr:uid="{2C8BCC3D-4221-41D8-87D1-BE60788AF1EB}"/>
    <cellStyle name="40% - Accent6 3 4 2 4" xfId="25425" xr:uid="{3FAF77D3-94DD-4F5A-A95D-11C44E344562}"/>
    <cellStyle name="40% - Accent6 3 4 2 4 2" xfId="40396" xr:uid="{6D7E1CA2-C3C1-426F-AE3C-699A4D1E94FA}"/>
    <cellStyle name="40% - Accent6 3 4 2 5" xfId="32793" xr:uid="{B1E659A3-F142-44BB-AEC0-B80B17104A4F}"/>
    <cellStyle name="40% - Accent6 3 4 3" xfId="7836" xr:uid="{00000000-0005-0000-0000-00002F120000}"/>
    <cellStyle name="40% - Accent6 3 4 3 2" xfId="25428" xr:uid="{3735E08C-3E03-4130-B451-96A7BBE323BA}"/>
    <cellStyle name="40% - Accent6 3 4 3 2 2" xfId="40399" xr:uid="{6A9B6AB6-11ED-4102-8B7F-431B525A49FB}"/>
    <cellStyle name="40% - Accent6 3 4 3 3" xfId="32796" xr:uid="{D93501A5-F87F-4558-AC54-64AF28D59C39}"/>
    <cellStyle name="40% - Accent6 3 4 4" xfId="7837" xr:uid="{00000000-0005-0000-0000-000030120000}"/>
    <cellStyle name="40% - Accent6 3 4 4 2" xfId="7838" xr:uid="{00000000-0005-0000-0000-000031120000}"/>
    <cellStyle name="40% - Accent6 3 4 4 2 2" xfId="25430" xr:uid="{9D3915DE-F0BD-4D7F-BAEA-E926E3DFB0BE}"/>
    <cellStyle name="40% - Accent6 3 4 4 2 2 2" xfId="40401" xr:uid="{3B5B760F-4EA0-4AB9-B182-A64E7C64EAEE}"/>
    <cellStyle name="40% - Accent6 3 4 4 2 3" xfId="32798" xr:uid="{40BDB7E3-09BB-49E4-BE3E-F63D8D510215}"/>
    <cellStyle name="40% - Accent6 3 4 4 3" xfId="25429" xr:uid="{9AFB5A20-3C81-4394-B621-3D9A79665852}"/>
    <cellStyle name="40% - Accent6 3 4 4 3 2" xfId="40400" xr:uid="{0D2717EC-0A3A-44BA-ADF2-88DA457EF52B}"/>
    <cellStyle name="40% - Accent6 3 4 4 4" xfId="32797" xr:uid="{00F75447-6D5E-414D-9733-5E3D994FBBD6}"/>
    <cellStyle name="40% - Accent6 3 4 5" xfId="7839" xr:uid="{00000000-0005-0000-0000-000032120000}"/>
    <cellStyle name="40% - Accent6 3 4 5 2" xfId="25431" xr:uid="{FDB8E017-A463-4F60-B66C-A765987BA39A}"/>
    <cellStyle name="40% - Accent6 3 4 5 2 2" xfId="40402" xr:uid="{7BC902E0-2307-4B19-A24F-87E2021EAEE6}"/>
    <cellStyle name="40% - Accent6 3 4 5 3" xfId="32799" xr:uid="{A2AB0680-8463-49D5-80C8-18E31EA59ECC}"/>
    <cellStyle name="40% - Accent6 3 4 6" xfId="25424" xr:uid="{75248636-6E9A-4D2B-B51E-F546BD5EDBF5}"/>
    <cellStyle name="40% - Accent6 3 4 6 2" xfId="40395" xr:uid="{A47D27D7-4C9C-4A5D-B0E3-9F0C472D3D36}"/>
    <cellStyle name="40% - Accent6 3 4 7" xfId="32792" xr:uid="{72D985B5-A94F-4811-83FF-66F86D1FF06E}"/>
    <cellStyle name="40% - Accent6 3 5" xfId="7840" xr:uid="{00000000-0005-0000-0000-000033120000}"/>
    <cellStyle name="40% - Accent6 3 5 2" xfId="7841" xr:uid="{00000000-0005-0000-0000-000034120000}"/>
    <cellStyle name="40% - Accent6 3 5 2 2" xfId="7842" xr:uid="{00000000-0005-0000-0000-000035120000}"/>
    <cellStyle name="40% - Accent6 3 5 2 2 2" xfId="25434" xr:uid="{41DD62F6-DC7F-438C-AD53-3E381DA02282}"/>
    <cellStyle name="40% - Accent6 3 5 2 2 2 2" xfId="40405" xr:uid="{949F195F-86F5-46C8-8581-4BA816271DD1}"/>
    <cellStyle name="40% - Accent6 3 5 2 2 3" xfId="32802" xr:uid="{A3A22FB0-525A-47C1-894D-E560865FDB12}"/>
    <cellStyle name="40% - Accent6 3 5 2 3" xfId="7843" xr:uid="{00000000-0005-0000-0000-000036120000}"/>
    <cellStyle name="40% - Accent6 3 5 2 3 2" xfId="25435" xr:uid="{2E190F4F-67C1-4DB7-BA4B-7A4B3C221110}"/>
    <cellStyle name="40% - Accent6 3 5 2 3 2 2" xfId="40406" xr:uid="{5CEF2BBE-C37D-4A49-ACA3-8B61C791AEA0}"/>
    <cellStyle name="40% - Accent6 3 5 2 3 3" xfId="32803" xr:uid="{BFB73F68-D96F-4177-BF1A-1A6456EC4C4B}"/>
    <cellStyle name="40% - Accent6 3 5 2 4" xfId="25433" xr:uid="{AC6238B2-221C-4D2C-91DF-DB610EC838FA}"/>
    <cellStyle name="40% - Accent6 3 5 2 4 2" xfId="40404" xr:uid="{D6B96541-5B94-4EEE-9DBB-334B62F77DCA}"/>
    <cellStyle name="40% - Accent6 3 5 2 5" xfId="32801" xr:uid="{6C26791A-8513-4D31-A269-F7379064F6C0}"/>
    <cellStyle name="40% - Accent6 3 5 3" xfId="7844" xr:uid="{00000000-0005-0000-0000-000037120000}"/>
    <cellStyle name="40% - Accent6 3 5 3 2" xfId="7845" xr:uid="{00000000-0005-0000-0000-000038120000}"/>
    <cellStyle name="40% - Accent6 3 5 3 2 2" xfId="25437" xr:uid="{39CCB610-E70B-4B98-98AA-98DE9D2DFDBA}"/>
    <cellStyle name="40% - Accent6 3 5 3 2 2 2" xfId="40408" xr:uid="{AD019434-C357-44F2-8F99-6BCCB46B1323}"/>
    <cellStyle name="40% - Accent6 3 5 3 2 3" xfId="32805" xr:uid="{3552894D-E93F-4ABE-8BA4-49A537797AB7}"/>
    <cellStyle name="40% - Accent6 3 5 3 3" xfId="25436" xr:uid="{18EAC2AC-B288-456E-8C14-6375C11640B1}"/>
    <cellStyle name="40% - Accent6 3 5 3 3 2" xfId="40407" xr:uid="{B25B55BB-6360-487B-B75A-C3CF5898739A}"/>
    <cellStyle name="40% - Accent6 3 5 3 4" xfId="32804" xr:uid="{7B61EE41-157D-48E8-B9D3-ADDFE17D6720}"/>
    <cellStyle name="40% - Accent6 3 5 4" xfId="7846" xr:uid="{00000000-0005-0000-0000-000039120000}"/>
    <cellStyle name="40% - Accent6 3 5 4 2" xfId="25438" xr:uid="{CAD3B068-D6FE-467D-9B94-B2FB4C58CD19}"/>
    <cellStyle name="40% - Accent6 3 5 4 2 2" xfId="40409" xr:uid="{85658ADC-6CC5-40AB-8143-8B27C7079C99}"/>
    <cellStyle name="40% - Accent6 3 5 4 3" xfId="32806" xr:uid="{F72E86E2-4E11-413B-ABD1-76B918560230}"/>
    <cellStyle name="40% - Accent6 3 5 5" xfId="25432" xr:uid="{C47AD84B-E2E2-45DF-9A0F-6BA2CAAD80CB}"/>
    <cellStyle name="40% - Accent6 3 5 5 2" xfId="40403" xr:uid="{48F53C7B-5324-4AEB-AAE8-EAF7C6F6B292}"/>
    <cellStyle name="40% - Accent6 3 5 6" xfId="32800" xr:uid="{48ACD209-7F45-46E3-93EA-CDF468F10DC2}"/>
    <cellStyle name="40% - Accent6 3 6" xfId="7847" xr:uid="{00000000-0005-0000-0000-00003A120000}"/>
    <cellStyle name="40% - Accent6 3 6 2" xfId="7848" xr:uid="{00000000-0005-0000-0000-00003B120000}"/>
    <cellStyle name="40% - Accent6 3 6 2 2" xfId="25440" xr:uid="{FCFF2D17-6D15-4887-9A5F-0B59F7D28F79}"/>
    <cellStyle name="40% - Accent6 3 6 2 2 2" xfId="40411" xr:uid="{DD4E210A-0803-49BA-BCF3-297FD6968A90}"/>
    <cellStyle name="40% - Accent6 3 6 2 3" xfId="32808" xr:uid="{95D238E1-8174-41EE-87E2-CB9B66D294ED}"/>
    <cellStyle name="40% - Accent6 3 6 3" xfId="7849" xr:uid="{00000000-0005-0000-0000-00003C120000}"/>
    <cellStyle name="40% - Accent6 3 6 3 2" xfId="25441" xr:uid="{6D9B91C9-41BE-4A59-BCDE-C3D84E12460E}"/>
    <cellStyle name="40% - Accent6 3 6 3 2 2" xfId="40412" xr:uid="{FB4F6470-0AA3-4036-A8F4-2DA9F0E8034E}"/>
    <cellStyle name="40% - Accent6 3 6 3 3" xfId="32809" xr:uid="{C8FCA549-C89E-4DFE-A696-81B847AC2DBA}"/>
    <cellStyle name="40% - Accent6 3 6 4" xfId="25439" xr:uid="{296FC830-0847-4EB6-8F69-0629CC02FFEE}"/>
    <cellStyle name="40% - Accent6 3 6 4 2" xfId="40410" xr:uid="{DC67A35B-AC2B-41F8-8A4E-D6A8150D5542}"/>
    <cellStyle name="40% - Accent6 3 6 5" xfId="32807" xr:uid="{7667F00F-BB9C-4C80-AFCE-74DE3D80ACE1}"/>
    <cellStyle name="40% - Accent6 3 7" xfId="7850" xr:uid="{00000000-0005-0000-0000-00003D120000}"/>
    <cellStyle name="40% - Accent6 3 7 2" xfId="25442" xr:uid="{48C9D35B-E665-4CC7-9F18-09A624A0BAA3}"/>
    <cellStyle name="40% - Accent6 3 7 2 2" xfId="40413" xr:uid="{3C2DDA22-68D8-467B-B57E-A7DD07887D90}"/>
    <cellStyle name="40% - Accent6 3 7 3" xfId="32810" xr:uid="{6368C95E-C2E1-4B51-94B9-AF548F8CC336}"/>
    <cellStyle name="40% - Accent6 3 8" xfId="7851" xr:uid="{00000000-0005-0000-0000-00003E120000}"/>
    <cellStyle name="40% - Accent6 3 8 2" xfId="7852" xr:uid="{00000000-0005-0000-0000-00003F120000}"/>
    <cellStyle name="40% - Accent6 3 8 2 2" xfId="25444" xr:uid="{61EC323A-D4A3-40B0-9F0F-398AAEA1BCAE}"/>
    <cellStyle name="40% - Accent6 3 8 2 2 2" xfId="40415" xr:uid="{DA16C726-6CB5-4596-81A8-D1657BEC65A5}"/>
    <cellStyle name="40% - Accent6 3 8 2 3" xfId="32812" xr:uid="{76B5F383-9935-4783-BDAC-35895BECED6B}"/>
    <cellStyle name="40% - Accent6 3 8 3" xfId="25443" xr:uid="{8FF9BE35-81A9-4DD4-92BC-60D2B397D006}"/>
    <cellStyle name="40% - Accent6 3 8 3 2" xfId="40414" xr:uid="{CB97B481-F841-46D4-A80C-9556B36F252D}"/>
    <cellStyle name="40% - Accent6 3 8 4" xfId="32811" xr:uid="{0DDC7EAB-AB44-46CD-9110-5F7D202DDD86}"/>
    <cellStyle name="40% - Accent6 3 9" xfId="7853" xr:uid="{00000000-0005-0000-0000-000040120000}"/>
    <cellStyle name="40% - Accent6 3 9 2" xfId="25445" xr:uid="{0CD75CDA-7906-466A-BC23-F29487997659}"/>
    <cellStyle name="40% - Accent6 3 9 2 2" xfId="40416" xr:uid="{20FCE905-7F01-4B59-9FAB-9D985A868A7D}"/>
    <cellStyle name="40% - Accent6 3 9 3" xfId="32813" xr:uid="{AF226C7C-6C80-4FB6-B0D2-F3D8BEF9ECAE}"/>
    <cellStyle name="40% - Accent6 4" xfId="253" xr:uid="{00000000-0005-0000-0000-00005C000000}"/>
    <cellStyle name="40% - Accent6 4 10" xfId="7854" xr:uid="{00000000-0005-0000-0000-000041120000}"/>
    <cellStyle name="40% - Accent6 4 10 2" xfId="25446" xr:uid="{6BF7225C-A95C-496E-A1B6-43C6E796F9BA}"/>
    <cellStyle name="40% - Accent6 4 10 2 2" xfId="40417" xr:uid="{A65DF177-68B9-4B7E-8B5F-A04FFB99D045}"/>
    <cellStyle name="40% - Accent6 4 10 3" xfId="32814" xr:uid="{B029EBC7-353F-46AC-AE46-757C01F2C803}"/>
    <cellStyle name="40% - Accent6 4 2" xfId="7855" xr:uid="{00000000-0005-0000-0000-000042120000}"/>
    <cellStyle name="40% - Accent6 4 2 2" xfId="7856" xr:uid="{00000000-0005-0000-0000-000043120000}"/>
    <cellStyle name="40% - Accent6 4 2 2 2" xfId="7857" xr:uid="{00000000-0005-0000-0000-000044120000}"/>
    <cellStyle name="40% - Accent6 4 2 2 2 2" xfId="7858" xr:uid="{00000000-0005-0000-0000-000045120000}"/>
    <cellStyle name="40% - Accent6 4 2 2 2 2 2" xfId="7859" xr:uid="{00000000-0005-0000-0000-000046120000}"/>
    <cellStyle name="40% - Accent6 4 2 2 2 2 2 2" xfId="25450" xr:uid="{5C574CA6-9A09-4897-8C50-FFC7AF4F283A}"/>
    <cellStyle name="40% - Accent6 4 2 2 2 2 2 2 2" xfId="40421" xr:uid="{7EBFC4E9-57BA-4009-8F8E-383C14B8A0C9}"/>
    <cellStyle name="40% - Accent6 4 2 2 2 2 2 3" xfId="32818" xr:uid="{9C8FA348-FEB8-4745-B1FC-1C2F79A88668}"/>
    <cellStyle name="40% - Accent6 4 2 2 2 2 3" xfId="7860" xr:uid="{00000000-0005-0000-0000-000047120000}"/>
    <cellStyle name="40% - Accent6 4 2 2 2 2 3 2" xfId="25451" xr:uid="{9AE890AC-65A3-493A-ABD2-CA679C006D25}"/>
    <cellStyle name="40% - Accent6 4 2 2 2 2 3 2 2" xfId="40422" xr:uid="{8EFF70C7-F00E-4488-9A38-65EDEFEFA499}"/>
    <cellStyle name="40% - Accent6 4 2 2 2 2 3 3" xfId="32819" xr:uid="{DB8A1F6F-3B06-4D54-8B99-FC73EC4CB187}"/>
    <cellStyle name="40% - Accent6 4 2 2 2 2 4" xfId="25449" xr:uid="{BD24A119-E060-471E-AA74-8698E9006AD7}"/>
    <cellStyle name="40% - Accent6 4 2 2 2 2 4 2" xfId="40420" xr:uid="{81E70F79-EE52-4863-9085-D69CA8D6B5DF}"/>
    <cellStyle name="40% - Accent6 4 2 2 2 2 5" xfId="32817" xr:uid="{4D07E336-0745-477C-89C6-6485D26B5469}"/>
    <cellStyle name="40% - Accent6 4 2 2 2 3" xfId="7861" xr:uid="{00000000-0005-0000-0000-000048120000}"/>
    <cellStyle name="40% - Accent6 4 2 2 2 3 2" xfId="7862" xr:uid="{00000000-0005-0000-0000-000049120000}"/>
    <cellStyle name="40% - Accent6 4 2 2 2 3 2 2" xfId="25453" xr:uid="{C8A98733-46FC-426C-AC2A-EC4027434BD3}"/>
    <cellStyle name="40% - Accent6 4 2 2 2 3 2 2 2" xfId="40424" xr:uid="{4AC61DDF-6F6E-4551-A02D-3F429F350E8B}"/>
    <cellStyle name="40% - Accent6 4 2 2 2 3 2 3" xfId="32821" xr:uid="{65D779A3-27FE-47E8-B0D1-10320BEE5257}"/>
    <cellStyle name="40% - Accent6 4 2 2 2 3 3" xfId="25452" xr:uid="{F46969DA-489F-486B-936D-9E2B643499BA}"/>
    <cellStyle name="40% - Accent6 4 2 2 2 3 3 2" xfId="40423" xr:uid="{404CE4EA-F841-4772-899F-CBC6387E8CCD}"/>
    <cellStyle name="40% - Accent6 4 2 2 2 3 4" xfId="32820" xr:uid="{99407F70-C080-4F3F-8C7C-1475C17AD432}"/>
    <cellStyle name="40% - Accent6 4 2 2 2 4" xfId="7863" xr:uid="{00000000-0005-0000-0000-00004A120000}"/>
    <cellStyle name="40% - Accent6 4 2 2 2 4 2" xfId="25454" xr:uid="{7C1EE37A-ADA0-4A29-9A11-9996FB666D37}"/>
    <cellStyle name="40% - Accent6 4 2 2 2 4 2 2" xfId="40425" xr:uid="{9E4F4D5E-EF59-4E20-9AB2-B449F417C92F}"/>
    <cellStyle name="40% - Accent6 4 2 2 2 4 3" xfId="32822" xr:uid="{7607FAAA-817B-41E3-BC0C-A03FE757CAA0}"/>
    <cellStyle name="40% - Accent6 4 2 2 2 5" xfId="25448" xr:uid="{DE299782-25BF-4713-BF7C-0CF409E89136}"/>
    <cellStyle name="40% - Accent6 4 2 2 2 5 2" xfId="40419" xr:uid="{F9427585-2922-4680-9A93-CCBB22A9A995}"/>
    <cellStyle name="40% - Accent6 4 2 2 2 6" xfId="32816" xr:uid="{F3FB0483-A630-48B9-8311-398CBBB549F5}"/>
    <cellStyle name="40% - Accent6 4 2 2 3" xfId="7864" xr:uid="{00000000-0005-0000-0000-00004B120000}"/>
    <cellStyle name="40% - Accent6 4 2 2 3 2" xfId="7865" xr:uid="{00000000-0005-0000-0000-00004C120000}"/>
    <cellStyle name="40% - Accent6 4 2 2 3 2 2" xfId="25456" xr:uid="{252D9901-FD2D-4EB6-A99E-8FC63A364024}"/>
    <cellStyle name="40% - Accent6 4 2 2 3 2 2 2" xfId="40427" xr:uid="{E8F445E6-C152-44B8-9AE5-2515B4B210AC}"/>
    <cellStyle name="40% - Accent6 4 2 2 3 2 3" xfId="32824" xr:uid="{7C4044AF-5421-4BD8-B831-6E572FD0B58F}"/>
    <cellStyle name="40% - Accent6 4 2 2 3 3" xfId="7866" xr:uid="{00000000-0005-0000-0000-00004D120000}"/>
    <cellStyle name="40% - Accent6 4 2 2 3 3 2" xfId="25457" xr:uid="{11971692-A84A-45BC-8169-DE931EB9C79C}"/>
    <cellStyle name="40% - Accent6 4 2 2 3 3 2 2" xfId="40428" xr:uid="{5681CBF1-B143-4645-979A-C6E33D640D4C}"/>
    <cellStyle name="40% - Accent6 4 2 2 3 3 3" xfId="32825" xr:uid="{3529D783-AE64-4795-8075-5C7F04C306D6}"/>
    <cellStyle name="40% - Accent6 4 2 2 3 4" xfId="25455" xr:uid="{A1C8CEB4-112D-4BC1-B5CF-95EFFC094B47}"/>
    <cellStyle name="40% - Accent6 4 2 2 3 4 2" xfId="40426" xr:uid="{930281AF-DF3E-4FB3-BD7E-6564718F09F4}"/>
    <cellStyle name="40% - Accent6 4 2 2 3 5" xfId="32823" xr:uid="{EDD7E906-5A8F-458E-B0CC-578235A07DB2}"/>
    <cellStyle name="40% - Accent6 4 2 2 4" xfId="7867" xr:uid="{00000000-0005-0000-0000-00004E120000}"/>
    <cellStyle name="40% - Accent6 4 2 2 4 2" xfId="25458" xr:uid="{FB16DE10-D89C-4E11-B573-B1A151924DDF}"/>
    <cellStyle name="40% - Accent6 4 2 2 4 2 2" xfId="40429" xr:uid="{758DA865-AC66-4DE3-BFEC-519470D1CAB6}"/>
    <cellStyle name="40% - Accent6 4 2 2 4 3" xfId="32826" xr:uid="{23B3D4C7-8B8D-4548-93D0-DBE6BCAD593A}"/>
    <cellStyle name="40% - Accent6 4 2 2 5" xfId="7868" xr:uid="{00000000-0005-0000-0000-00004F120000}"/>
    <cellStyle name="40% - Accent6 4 2 2 5 2" xfId="7869" xr:uid="{00000000-0005-0000-0000-000050120000}"/>
    <cellStyle name="40% - Accent6 4 2 2 5 2 2" xfId="25460" xr:uid="{76ABEA00-F12C-43A7-B117-37FFC451A6B9}"/>
    <cellStyle name="40% - Accent6 4 2 2 5 2 2 2" xfId="40431" xr:uid="{43FA9AB8-DB60-4E3D-9B34-AB2026B47F71}"/>
    <cellStyle name="40% - Accent6 4 2 2 5 2 3" xfId="32828" xr:uid="{D5F90C74-3908-4692-B72E-7C1F1C0494EC}"/>
    <cellStyle name="40% - Accent6 4 2 2 5 3" xfId="25459" xr:uid="{23F8FA1E-2AD3-40BA-8118-CB44DDA0CB68}"/>
    <cellStyle name="40% - Accent6 4 2 2 5 3 2" xfId="40430" xr:uid="{1C59AA68-CD66-4CC7-99F0-8C6D271BC4CA}"/>
    <cellStyle name="40% - Accent6 4 2 2 5 4" xfId="32827" xr:uid="{B6A539BB-E35A-4FFF-9A10-1D975A34CCAA}"/>
    <cellStyle name="40% - Accent6 4 2 2 6" xfId="7870" xr:uid="{00000000-0005-0000-0000-000051120000}"/>
    <cellStyle name="40% - Accent6 4 2 2 6 2" xfId="25461" xr:uid="{FC21BDF2-DC53-43B0-9B1F-8E3C0427BABE}"/>
    <cellStyle name="40% - Accent6 4 2 2 6 2 2" xfId="40432" xr:uid="{F620375B-B417-4284-8194-5732E1ABD9FC}"/>
    <cellStyle name="40% - Accent6 4 2 2 6 3" xfId="32829" xr:uid="{15737A59-8A14-4E49-82FD-DC9891E553F5}"/>
    <cellStyle name="40% - Accent6 4 2 2 7" xfId="25447" xr:uid="{6343FBFE-EC50-4E06-9879-BACB0F770C35}"/>
    <cellStyle name="40% - Accent6 4 2 2 7 2" xfId="40418" xr:uid="{0CA0DCC6-60CD-4D35-913B-54C86D23C4C0}"/>
    <cellStyle name="40% - Accent6 4 2 2 8" xfId="32815" xr:uid="{22A2F4B8-0B6B-4DCD-ACE7-A12880DB6CE9}"/>
    <cellStyle name="40% - Accent6 4 2 3" xfId="7871" xr:uid="{00000000-0005-0000-0000-000052120000}"/>
    <cellStyle name="40% - Accent6 4 2 3 2" xfId="7872" xr:uid="{00000000-0005-0000-0000-000053120000}"/>
    <cellStyle name="40% - Accent6 4 2 3 2 2" xfId="7873" xr:uid="{00000000-0005-0000-0000-000054120000}"/>
    <cellStyle name="40% - Accent6 4 2 3 2 2 2" xfId="25464" xr:uid="{7FB88530-462F-4E4F-B077-AF3DF1C61B45}"/>
    <cellStyle name="40% - Accent6 4 2 3 2 2 2 2" xfId="40435" xr:uid="{B9BC84EB-C887-451E-802D-EF61274084A0}"/>
    <cellStyle name="40% - Accent6 4 2 3 2 2 3" xfId="32832" xr:uid="{FEE72FE7-83BD-4BA2-A63C-EE5EE9864642}"/>
    <cellStyle name="40% - Accent6 4 2 3 2 3" xfId="7874" xr:uid="{00000000-0005-0000-0000-000055120000}"/>
    <cellStyle name="40% - Accent6 4 2 3 2 3 2" xfId="25465" xr:uid="{917BE995-AB13-4EEE-855F-ADDF9CF2315F}"/>
    <cellStyle name="40% - Accent6 4 2 3 2 3 2 2" xfId="40436" xr:uid="{1E947702-5FC3-4897-B3C2-A336E5927487}"/>
    <cellStyle name="40% - Accent6 4 2 3 2 3 3" xfId="32833" xr:uid="{15BF9DDC-5B32-4C50-BBF7-7A71291124B1}"/>
    <cellStyle name="40% - Accent6 4 2 3 2 4" xfId="25463" xr:uid="{5F1CBB72-D4A4-4EEB-B9E1-E0037922F491}"/>
    <cellStyle name="40% - Accent6 4 2 3 2 4 2" xfId="40434" xr:uid="{A9CE5F30-96FA-4586-94F3-B1075654A4BE}"/>
    <cellStyle name="40% - Accent6 4 2 3 2 5" xfId="32831" xr:uid="{75B3E4F7-E0B3-4AFC-B34E-7FC51B2E3E05}"/>
    <cellStyle name="40% - Accent6 4 2 3 3" xfId="7875" xr:uid="{00000000-0005-0000-0000-000056120000}"/>
    <cellStyle name="40% - Accent6 4 2 3 3 2" xfId="7876" xr:uid="{00000000-0005-0000-0000-000057120000}"/>
    <cellStyle name="40% - Accent6 4 2 3 3 2 2" xfId="25467" xr:uid="{FC67DBC5-8C7D-4FAA-A14D-B6E79FFF9A22}"/>
    <cellStyle name="40% - Accent6 4 2 3 3 2 2 2" xfId="40438" xr:uid="{D97FCBA3-677E-453C-857F-985E550C6847}"/>
    <cellStyle name="40% - Accent6 4 2 3 3 2 3" xfId="32835" xr:uid="{54E0DBB9-24F3-4F0A-9E23-E2C36A543CBC}"/>
    <cellStyle name="40% - Accent6 4 2 3 3 3" xfId="25466" xr:uid="{EFA81546-01C8-4D94-9EA2-C07D8837E5B2}"/>
    <cellStyle name="40% - Accent6 4 2 3 3 3 2" xfId="40437" xr:uid="{4DDC9C84-3EAD-4632-820A-9F5B9FE1B0A8}"/>
    <cellStyle name="40% - Accent6 4 2 3 3 4" xfId="32834" xr:uid="{8CDF20C8-8190-4A41-B8FE-8C335104DF8D}"/>
    <cellStyle name="40% - Accent6 4 2 3 4" xfId="7877" xr:uid="{00000000-0005-0000-0000-000058120000}"/>
    <cellStyle name="40% - Accent6 4 2 3 4 2" xfId="25468" xr:uid="{D678F8A5-0879-41F1-855E-92A7D6A1B9A3}"/>
    <cellStyle name="40% - Accent6 4 2 3 4 2 2" xfId="40439" xr:uid="{33ED08CA-49C7-439F-830B-8A13B1DF7BE3}"/>
    <cellStyle name="40% - Accent6 4 2 3 4 3" xfId="32836" xr:uid="{AAB80D6F-A526-462F-8614-C4991332CF8D}"/>
    <cellStyle name="40% - Accent6 4 2 3 5" xfId="25462" xr:uid="{173BE6A4-F034-415B-AE8F-3210F6EDD0F2}"/>
    <cellStyle name="40% - Accent6 4 2 3 5 2" xfId="40433" xr:uid="{187374CB-1297-4321-82B0-6B39EAEE8FA3}"/>
    <cellStyle name="40% - Accent6 4 2 3 6" xfId="32830" xr:uid="{E5649A85-8DE9-45D7-B7E7-1542DEC82DD9}"/>
    <cellStyle name="40% - Accent6 4 2 4" xfId="7878" xr:uid="{00000000-0005-0000-0000-000059120000}"/>
    <cellStyle name="40% - Accent6 4 2 5" xfId="7879" xr:uid="{00000000-0005-0000-0000-00005A120000}"/>
    <cellStyle name="40% - Accent6 4 2 5 2" xfId="25469" xr:uid="{9F274377-1BAE-4BB6-94DA-D852579454A9}"/>
    <cellStyle name="40% - Accent6 4 2 5 2 2" xfId="40440" xr:uid="{2FD7A772-9BF3-40C2-8EFB-E4A989E81D95}"/>
    <cellStyle name="40% - Accent6 4 2 5 3" xfId="32837" xr:uid="{68752ACE-F135-43B1-9291-BF45E606FF0D}"/>
    <cellStyle name="40% - Accent6 4 3" xfId="7880" xr:uid="{00000000-0005-0000-0000-00005B120000}"/>
    <cellStyle name="40% - Accent6 4 3 2" xfId="7881" xr:uid="{00000000-0005-0000-0000-00005C120000}"/>
    <cellStyle name="40% - Accent6 4 3 2 2" xfId="7882" xr:uid="{00000000-0005-0000-0000-00005D120000}"/>
    <cellStyle name="40% - Accent6 4 3 2 2 2" xfId="25472" xr:uid="{85A868C1-1F4F-441F-B84C-1AE763DEAA02}"/>
    <cellStyle name="40% - Accent6 4 3 2 2 2 2" xfId="40443" xr:uid="{52B42858-B506-492F-8FB0-6E37D43FBF2B}"/>
    <cellStyle name="40% - Accent6 4 3 2 2 3" xfId="32840" xr:uid="{3E25977F-63B6-4361-9FFD-F6E66097DAD4}"/>
    <cellStyle name="40% - Accent6 4 3 2 3" xfId="7883" xr:uid="{00000000-0005-0000-0000-00005E120000}"/>
    <cellStyle name="40% - Accent6 4 3 2 3 2" xfId="25473" xr:uid="{B4ACFADE-90D7-4D13-8047-30681E4C5990}"/>
    <cellStyle name="40% - Accent6 4 3 2 3 2 2" xfId="40444" xr:uid="{E82ED6F4-D136-486A-B2B6-565A195D3A7A}"/>
    <cellStyle name="40% - Accent6 4 3 2 3 3" xfId="32841" xr:uid="{540F2AB1-54FE-412E-A988-4A854BA6D5A0}"/>
    <cellStyle name="40% - Accent6 4 3 2 4" xfId="25471" xr:uid="{E7A3366F-40B5-4148-9DDF-586C4721E899}"/>
    <cellStyle name="40% - Accent6 4 3 2 4 2" xfId="40442" xr:uid="{4681E5EA-3C67-4863-94F7-47F651F4B8C0}"/>
    <cellStyle name="40% - Accent6 4 3 2 5" xfId="32839" xr:uid="{7414C1CE-FA10-4568-A6DE-F4B356A0B114}"/>
    <cellStyle name="40% - Accent6 4 3 3" xfId="7884" xr:uid="{00000000-0005-0000-0000-00005F120000}"/>
    <cellStyle name="40% - Accent6 4 3 3 2" xfId="25474" xr:uid="{AC03D0AC-0FE8-4114-A3DF-35113710A361}"/>
    <cellStyle name="40% - Accent6 4 3 3 2 2" xfId="40445" xr:uid="{C63B2C12-4EB3-47BC-A295-638B7544FC15}"/>
    <cellStyle name="40% - Accent6 4 3 3 3" xfId="32842" xr:uid="{755D721D-AA5E-4ED8-8C92-4BD5CE2344DF}"/>
    <cellStyle name="40% - Accent6 4 3 4" xfId="7885" xr:uid="{00000000-0005-0000-0000-000060120000}"/>
    <cellStyle name="40% - Accent6 4 3 4 2" xfId="7886" xr:uid="{00000000-0005-0000-0000-000061120000}"/>
    <cellStyle name="40% - Accent6 4 3 4 2 2" xfId="25476" xr:uid="{C12D1ACB-A528-43BE-86D6-CA5215F2893C}"/>
    <cellStyle name="40% - Accent6 4 3 4 2 2 2" xfId="40447" xr:uid="{38369E78-59EE-47C9-A554-38737E27E139}"/>
    <cellStyle name="40% - Accent6 4 3 4 2 3" xfId="32844" xr:uid="{170B3B21-D9D2-415A-9AD8-78635646E022}"/>
    <cellStyle name="40% - Accent6 4 3 4 3" xfId="25475" xr:uid="{ACD0C77A-5904-408E-A20C-B4E8FE68AD92}"/>
    <cellStyle name="40% - Accent6 4 3 4 3 2" xfId="40446" xr:uid="{6C633CEB-461D-46FF-BED7-2BDAD3EC9DA9}"/>
    <cellStyle name="40% - Accent6 4 3 4 4" xfId="32843" xr:uid="{2E693CE6-01C8-4AC7-B26C-F86E92F6E586}"/>
    <cellStyle name="40% - Accent6 4 3 5" xfId="7887" xr:uid="{00000000-0005-0000-0000-000062120000}"/>
    <cellStyle name="40% - Accent6 4 3 5 2" xfId="25477" xr:uid="{C1D7FF73-3360-4BA6-8BA0-184C57CCDA87}"/>
    <cellStyle name="40% - Accent6 4 3 5 2 2" xfId="40448" xr:uid="{C656D526-D003-4D54-A5D1-F6ECED9085A1}"/>
    <cellStyle name="40% - Accent6 4 3 5 3" xfId="32845" xr:uid="{639401C2-1524-4252-9A4A-31ADE270A55D}"/>
    <cellStyle name="40% - Accent6 4 3 6" xfId="25470" xr:uid="{EEC8608F-67E9-4636-A025-A28E046DFFBA}"/>
    <cellStyle name="40% - Accent6 4 3 6 2" xfId="40441" xr:uid="{B6EB1F21-6E85-4A30-B598-7ABD1E2E2594}"/>
    <cellStyle name="40% - Accent6 4 3 7" xfId="32838" xr:uid="{EA4579B2-C5DB-49F0-B753-4EA19F6DCC21}"/>
    <cellStyle name="40% - Accent6 4 4" xfId="7888" xr:uid="{00000000-0005-0000-0000-000063120000}"/>
    <cellStyle name="40% - Accent6 4 4 2" xfId="7889" xr:uid="{00000000-0005-0000-0000-000064120000}"/>
    <cellStyle name="40% - Accent6 4 4 2 2" xfId="7890" xr:uid="{00000000-0005-0000-0000-000065120000}"/>
    <cellStyle name="40% - Accent6 4 4 2 2 2" xfId="25480" xr:uid="{FDF52B7A-A74F-4837-9088-A1207FA3E55C}"/>
    <cellStyle name="40% - Accent6 4 4 2 2 2 2" xfId="40451" xr:uid="{D0A176EB-4D30-440E-919E-F13AC5DA3954}"/>
    <cellStyle name="40% - Accent6 4 4 2 2 3" xfId="32848" xr:uid="{CE9A5135-5794-46D6-B2D5-52DB0FAC4368}"/>
    <cellStyle name="40% - Accent6 4 4 2 3" xfId="7891" xr:uid="{00000000-0005-0000-0000-000066120000}"/>
    <cellStyle name="40% - Accent6 4 4 2 3 2" xfId="25481" xr:uid="{415EC41D-73B9-42F4-AA52-66C12A1DDA16}"/>
    <cellStyle name="40% - Accent6 4 4 2 3 2 2" xfId="40452" xr:uid="{E7A83ED9-0DA8-4654-A52B-ED2416F907EA}"/>
    <cellStyle name="40% - Accent6 4 4 2 3 3" xfId="32849" xr:uid="{D3EF146C-A40D-45ED-AC32-A8399B3DBC28}"/>
    <cellStyle name="40% - Accent6 4 4 2 4" xfId="25479" xr:uid="{E5A20575-6F6C-43A8-B9D9-5B5A6B670DC3}"/>
    <cellStyle name="40% - Accent6 4 4 2 4 2" xfId="40450" xr:uid="{1662B7CD-A805-4B14-BFDA-6225AEE92933}"/>
    <cellStyle name="40% - Accent6 4 4 2 5" xfId="32847" xr:uid="{3C8AF7B5-3E96-4187-8DBA-7255800AF537}"/>
    <cellStyle name="40% - Accent6 4 4 3" xfId="7892" xr:uid="{00000000-0005-0000-0000-000067120000}"/>
    <cellStyle name="40% - Accent6 4 4 3 2" xfId="7893" xr:uid="{00000000-0005-0000-0000-000068120000}"/>
    <cellStyle name="40% - Accent6 4 4 3 2 2" xfId="25483" xr:uid="{B54B762B-02E5-4104-A858-F92C6938F143}"/>
    <cellStyle name="40% - Accent6 4 4 3 2 2 2" xfId="40454" xr:uid="{0FFB606B-F55F-423A-858B-6BFE169646D5}"/>
    <cellStyle name="40% - Accent6 4 4 3 2 3" xfId="32851" xr:uid="{E1060634-77E5-4A45-99E8-605122C690C6}"/>
    <cellStyle name="40% - Accent6 4 4 3 3" xfId="25482" xr:uid="{61FD566A-B059-48CA-90AA-BBBB6C6C5D17}"/>
    <cellStyle name="40% - Accent6 4 4 3 3 2" xfId="40453" xr:uid="{D2A15D63-4D56-4CC0-99CC-361A8C49FC76}"/>
    <cellStyle name="40% - Accent6 4 4 3 4" xfId="32850" xr:uid="{BC06E27D-853D-4EF8-B3A9-439D9EAA49CA}"/>
    <cellStyle name="40% - Accent6 4 4 4" xfId="7894" xr:uid="{00000000-0005-0000-0000-000069120000}"/>
    <cellStyle name="40% - Accent6 4 4 4 2" xfId="25484" xr:uid="{DC299AD4-C71C-478F-9BC4-3C0909FE0CA1}"/>
    <cellStyle name="40% - Accent6 4 4 4 2 2" xfId="40455" xr:uid="{AFECB01E-E976-4958-B3FC-086A72032D37}"/>
    <cellStyle name="40% - Accent6 4 4 4 3" xfId="32852" xr:uid="{77929812-2943-4FA6-A8EF-F005D031C833}"/>
    <cellStyle name="40% - Accent6 4 4 5" xfId="25478" xr:uid="{3A8F7410-6BA8-4C36-B957-287B20232FD4}"/>
    <cellStyle name="40% - Accent6 4 4 5 2" xfId="40449" xr:uid="{6D75A53E-A863-461B-8C4B-FC78A6E21527}"/>
    <cellStyle name="40% - Accent6 4 4 6" xfId="32846" xr:uid="{90C9F9FB-BC08-4E98-B1D1-8FDE81D83B93}"/>
    <cellStyle name="40% - Accent6 4 5" xfId="7895" xr:uid="{00000000-0005-0000-0000-00006A120000}"/>
    <cellStyle name="40% - Accent6 4 5 2" xfId="7896" xr:uid="{00000000-0005-0000-0000-00006B120000}"/>
    <cellStyle name="40% - Accent6 4 5 2 2" xfId="7897" xr:uid="{00000000-0005-0000-0000-00006C120000}"/>
    <cellStyle name="40% - Accent6 4 5 2 2 2" xfId="25487" xr:uid="{8FD13EA3-536F-43F5-9A2D-E648F475DE42}"/>
    <cellStyle name="40% - Accent6 4 5 2 2 2 2" xfId="40458" xr:uid="{FF395E0B-03F8-47B0-AD86-CF6A3B1C3AA1}"/>
    <cellStyle name="40% - Accent6 4 5 2 2 3" xfId="32855" xr:uid="{A81FFFD1-4DB2-484D-95C6-6C62C9674166}"/>
    <cellStyle name="40% - Accent6 4 5 2 3" xfId="7898" xr:uid="{00000000-0005-0000-0000-00006D120000}"/>
    <cellStyle name="40% - Accent6 4 5 2 3 2" xfId="25488" xr:uid="{669715AB-A4FF-484F-AAE5-2B3BF8656ABE}"/>
    <cellStyle name="40% - Accent6 4 5 2 3 2 2" xfId="40459" xr:uid="{D0942A30-BCE4-4CEC-9CFB-26CE17DBAC9C}"/>
    <cellStyle name="40% - Accent6 4 5 2 3 3" xfId="32856" xr:uid="{54609508-69E4-4E99-BF1F-2AAF6828C977}"/>
    <cellStyle name="40% - Accent6 4 5 2 4" xfId="25486" xr:uid="{AFB6D4E6-2CBC-407C-AA49-8889D8C69ABB}"/>
    <cellStyle name="40% - Accent6 4 5 2 4 2" xfId="40457" xr:uid="{49ECA3AA-7B4C-41EB-9531-D5C3EE3A3923}"/>
    <cellStyle name="40% - Accent6 4 5 2 5" xfId="32854" xr:uid="{D6D90D34-4634-45F8-A546-94525B8C94E3}"/>
    <cellStyle name="40% - Accent6 4 5 3" xfId="7899" xr:uid="{00000000-0005-0000-0000-00006E120000}"/>
    <cellStyle name="40% - Accent6 4 5 3 2" xfId="7900" xr:uid="{00000000-0005-0000-0000-00006F120000}"/>
    <cellStyle name="40% - Accent6 4 5 3 2 2" xfId="25490" xr:uid="{843F3DF2-4FCD-4F3C-B026-7B7999357F5F}"/>
    <cellStyle name="40% - Accent6 4 5 3 2 2 2" xfId="40461" xr:uid="{32E6446A-928C-4721-85E4-3591D30F3A12}"/>
    <cellStyle name="40% - Accent6 4 5 3 2 3" xfId="32858" xr:uid="{4BFF81CD-FAAC-4FB8-8824-D65BCDFDEC6D}"/>
    <cellStyle name="40% - Accent6 4 5 3 3" xfId="25489" xr:uid="{27BB7267-F3BC-4C37-AC72-9A0B296C1BA3}"/>
    <cellStyle name="40% - Accent6 4 5 3 3 2" xfId="40460" xr:uid="{178F60AD-3021-40FB-BEEA-DE3FC516AC64}"/>
    <cellStyle name="40% - Accent6 4 5 3 4" xfId="32857" xr:uid="{0E022817-23CA-4329-89B0-BA9F41BA5CD2}"/>
    <cellStyle name="40% - Accent6 4 5 4" xfId="7901" xr:uid="{00000000-0005-0000-0000-000070120000}"/>
    <cellStyle name="40% - Accent6 4 5 4 2" xfId="25491" xr:uid="{3F6B8560-EF04-4F91-8CBA-D4BAAFC6C57C}"/>
    <cellStyle name="40% - Accent6 4 5 4 2 2" xfId="40462" xr:uid="{9620162F-9B9A-41E4-8613-53B01B8193B2}"/>
    <cellStyle name="40% - Accent6 4 5 4 3" xfId="32859" xr:uid="{A6B3212A-F4F1-44CE-BDF2-0A572BA6567C}"/>
    <cellStyle name="40% - Accent6 4 5 5" xfId="25485" xr:uid="{DB32BB22-1650-401B-A593-1D4F66B5C779}"/>
    <cellStyle name="40% - Accent6 4 5 5 2" xfId="40456" xr:uid="{F7AEAE93-D4CA-47F8-9D71-A659935D8BD5}"/>
    <cellStyle name="40% - Accent6 4 5 6" xfId="32853" xr:uid="{6D1D0E21-480A-4D0C-958F-B7BC86860C5A}"/>
    <cellStyle name="40% - Accent6 4 6" xfId="7902" xr:uid="{00000000-0005-0000-0000-000071120000}"/>
    <cellStyle name="40% - Accent6 4 6 2" xfId="7903" xr:uid="{00000000-0005-0000-0000-000072120000}"/>
    <cellStyle name="40% - Accent6 4 6 2 2" xfId="25493" xr:uid="{83E4E028-0FE6-4F6F-BC08-29FC6A8A0AF4}"/>
    <cellStyle name="40% - Accent6 4 6 2 2 2" xfId="40464" xr:uid="{3DAF3AE7-72EB-45A5-8BE3-8E1B3A3C48CF}"/>
    <cellStyle name="40% - Accent6 4 6 2 3" xfId="32861" xr:uid="{3615E5EF-ECA7-44F2-85F1-F7E4BF8D9FF9}"/>
    <cellStyle name="40% - Accent6 4 6 3" xfId="7904" xr:uid="{00000000-0005-0000-0000-000073120000}"/>
    <cellStyle name="40% - Accent6 4 6 3 2" xfId="25494" xr:uid="{F9A0E61A-35DC-4038-B203-6D53CBF69275}"/>
    <cellStyle name="40% - Accent6 4 6 3 2 2" xfId="40465" xr:uid="{7B5006B1-D924-408B-ABB1-9A43DD94ACF3}"/>
    <cellStyle name="40% - Accent6 4 6 3 3" xfId="32862" xr:uid="{0075AF2A-1A2B-4EB8-9BA4-203F7F9C9E81}"/>
    <cellStyle name="40% - Accent6 4 6 4" xfId="25492" xr:uid="{01266104-43A3-4D94-BF51-DC7B848BE9C7}"/>
    <cellStyle name="40% - Accent6 4 6 4 2" xfId="40463" xr:uid="{3D8F65CB-E761-4AC7-9F0F-D72CB819E020}"/>
    <cellStyle name="40% - Accent6 4 6 5" xfId="32860" xr:uid="{245B71B4-4112-4893-BFC2-AD2B8F28C08C}"/>
    <cellStyle name="40% - Accent6 4 7" xfId="7905" xr:uid="{00000000-0005-0000-0000-000074120000}"/>
    <cellStyle name="40% - Accent6 4 7 2" xfId="25495" xr:uid="{65971CDC-D1CE-438B-A14B-8CC7C7E6BB00}"/>
    <cellStyle name="40% - Accent6 4 7 2 2" xfId="40466" xr:uid="{CAA3F642-C88B-4824-A3BB-BB11A6E25E9B}"/>
    <cellStyle name="40% - Accent6 4 7 3" xfId="32863" xr:uid="{3D607E4C-5868-4629-B11B-63BFEE4BC209}"/>
    <cellStyle name="40% - Accent6 4 8" xfId="7906" xr:uid="{00000000-0005-0000-0000-000075120000}"/>
    <cellStyle name="40% - Accent6 4 8 2" xfId="7907" xr:uid="{00000000-0005-0000-0000-000076120000}"/>
    <cellStyle name="40% - Accent6 4 8 2 2" xfId="25497" xr:uid="{6F1CE5E8-4B62-44F5-9FD5-6DE084F81314}"/>
    <cellStyle name="40% - Accent6 4 8 2 2 2" xfId="40468" xr:uid="{A8BFC1F2-7791-4DA2-9D4F-72907B078E73}"/>
    <cellStyle name="40% - Accent6 4 8 2 3" xfId="32865" xr:uid="{1C8D7864-C713-48C7-A15B-9D66A5D3A463}"/>
    <cellStyle name="40% - Accent6 4 8 3" xfId="25496" xr:uid="{9BEE873C-E6A1-4241-8882-E4A779D7824C}"/>
    <cellStyle name="40% - Accent6 4 8 3 2" xfId="40467" xr:uid="{B10B392F-993A-4B03-9F83-9E24603A083A}"/>
    <cellStyle name="40% - Accent6 4 8 4" xfId="32864" xr:uid="{38E3F264-1082-4085-8EEE-EDB22B03213C}"/>
    <cellStyle name="40% - Accent6 4 9" xfId="7908" xr:uid="{00000000-0005-0000-0000-000077120000}"/>
    <cellStyle name="40% - Accent6 4 9 2" xfId="25498" xr:uid="{940E1096-3A15-4436-B999-738069CAAE51}"/>
    <cellStyle name="40% - Accent6 4 9 2 2" xfId="40469" xr:uid="{E2009130-501C-45EC-8C31-0ACC2A6D841E}"/>
    <cellStyle name="40% - Accent6 4 9 3" xfId="32866" xr:uid="{1A820B30-313C-4962-BAEA-4CC3001794FA}"/>
    <cellStyle name="40% - Accent6 5" xfId="254" xr:uid="{00000000-0005-0000-0000-00005D000000}"/>
    <cellStyle name="40% - Accent6 5 2" xfId="7910" xr:uid="{00000000-0005-0000-0000-000079120000}"/>
    <cellStyle name="40% - Accent6 5 2 2" xfId="7911" xr:uid="{00000000-0005-0000-0000-00007A120000}"/>
    <cellStyle name="40% - Accent6 5 2 2 2" xfId="7912" xr:uid="{00000000-0005-0000-0000-00007B120000}"/>
    <cellStyle name="40% - Accent6 5 2 2 2 2" xfId="7913" xr:uid="{00000000-0005-0000-0000-00007C120000}"/>
    <cellStyle name="40% - Accent6 5 2 2 2 2 2" xfId="7914" xr:uid="{00000000-0005-0000-0000-00007D120000}"/>
    <cellStyle name="40% - Accent6 5 2 2 2 2 2 2" xfId="25503" xr:uid="{55AEBE17-76E7-43C7-A192-5D0C35BE1CFD}"/>
    <cellStyle name="40% - Accent6 5 2 2 2 2 2 2 2" xfId="40474" xr:uid="{D2685C73-C5B4-4C5F-8940-F7439F1F3B90}"/>
    <cellStyle name="40% - Accent6 5 2 2 2 2 2 3" xfId="32871" xr:uid="{BB30E41F-533F-4910-B5D9-11CB33DA3369}"/>
    <cellStyle name="40% - Accent6 5 2 2 2 2 3" xfId="7915" xr:uid="{00000000-0005-0000-0000-00007E120000}"/>
    <cellStyle name="40% - Accent6 5 2 2 2 2 3 2" xfId="25504" xr:uid="{0926E5DC-820F-4E87-85FF-B7CF5CE8B827}"/>
    <cellStyle name="40% - Accent6 5 2 2 2 2 3 2 2" xfId="40475" xr:uid="{DADB964C-F7B1-4700-B8CE-28B1F488704D}"/>
    <cellStyle name="40% - Accent6 5 2 2 2 2 3 3" xfId="32872" xr:uid="{E06FA513-F487-4080-B693-435B4CED3692}"/>
    <cellStyle name="40% - Accent6 5 2 2 2 2 4" xfId="25502" xr:uid="{22A7D97C-8D6A-43BF-B111-816D7229ABCF}"/>
    <cellStyle name="40% - Accent6 5 2 2 2 2 4 2" xfId="40473" xr:uid="{AC0BBC0C-20A2-4467-BADC-BD7A7AC8A1F7}"/>
    <cellStyle name="40% - Accent6 5 2 2 2 2 5" xfId="32870" xr:uid="{182FBE57-82BA-4F90-96AD-75026D81F4DF}"/>
    <cellStyle name="40% - Accent6 5 2 2 2 3" xfId="7916" xr:uid="{00000000-0005-0000-0000-00007F120000}"/>
    <cellStyle name="40% - Accent6 5 2 2 2 3 2" xfId="7917" xr:uid="{00000000-0005-0000-0000-000080120000}"/>
    <cellStyle name="40% - Accent6 5 2 2 2 3 2 2" xfId="25506" xr:uid="{C71ACB66-76CC-4EE8-8FBE-1D5FC224375E}"/>
    <cellStyle name="40% - Accent6 5 2 2 2 3 2 2 2" xfId="40477" xr:uid="{31884226-9728-476C-8595-755418C25465}"/>
    <cellStyle name="40% - Accent6 5 2 2 2 3 2 3" xfId="32874" xr:uid="{2521E687-D851-48E6-9237-A3588AED3C7F}"/>
    <cellStyle name="40% - Accent6 5 2 2 2 3 3" xfId="25505" xr:uid="{E7276A20-B1AC-4E45-96E6-55BA7FEC47EA}"/>
    <cellStyle name="40% - Accent6 5 2 2 2 3 3 2" xfId="40476" xr:uid="{AE0AC50A-B07D-4B87-A427-B0DB39CEBFB8}"/>
    <cellStyle name="40% - Accent6 5 2 2 2 3 4" xfId="32873" xr:uid="{A73D4004-5078-4AE5-A423-B10B4BA2BD61}"/>
    <cellStyle name="40% - Accent6 5 2 2 2 4" xfId="7918" xr:uid="{00000000-0005-0000-0000-000081120000}"/>
    <cellStyle name="40% - Accent6 5 2 2 2 4 2" xfId="25507" xr:uid="{D636E839-70EB-4441-9168-C9BDE5366822}"/>
    <cellStyle name="40% - Accent6 5 2 2 2 4 2 2" xfId="40478" xr:uid="{5AFE574B-C350-4083-B8D7-CF7E1C23C3E6}"/>
    <cellStyle name="40% - Accent6 5 2 2 2 4 3" xfId="32875" xr:uid="{B70C14B5-6FCE-494E-B5A9-D4E058D6734C}"/>
    <cellStyle name="40% - Accent6 5 2 2 2 5" xfId="25501" xr:uid="{7E246505-E17F-4AAE-8551-BC39DC37E4C3}"/>
    <cellStyle name="40% - Accent6 5 2 2 2 5 2" xfId="40472" xr:uid="{A2CD3015-244C-4DED-A162-1943D03B1642}"/>
    <cellStyle name="40% - Accent6 5 2 2 2 6" xfId="32869" xr:uid="{D2777370-EDEA-42B0-ADA6-9CD70B108A27}"/>
    <cellStyle name="40% - Accent6 5 2 2 3" xfId="7919" xr:uid="{00000000-0005-0000-0000-000082120000}"/>
    <cellStyle name="40% - Accent6 5 2 2 3 2" xfId="7920" xr:uid="{00000000-0005-0000-0000-000083120000}"/>
    <cellStyle name="40% - Accent6 5 2 2 3 2 2" xfId="25509" xr:uid="{37A70B64-844C-460A-A0F5-589FC402AB44}"/>
    <cellStyle name="40% - Accent6 5 2 2 3 2 2 2" xfId="40480" xr:uid="{2CA3778D-A525-4E86-BF19-7F52206B0437}"/>
    <cellStyle name="40% - Accent6 5 2 2 3 2 3" xfId="32877" xr:uid="{8C13BE57-5ABC-458F-9CD0-5D9C6B6D1D5C}"/>
    <cellStyle name="40% - Accent6 5 2 2 3 3" xfId="7921" xr:uid="{00000000-0005-0000-0000-000084120000}"/>
    <cellStyle name="40% - Accent6 5 2 2 3 3 2" xfId="25510" xr:uid="{740E2533-B2C5-4A72-ADA6-B3DB96EA2598}"/>
    <cellStyle name="40% - Accent6 5 2 2 3 3 2 2" xfId="40481" xr:uid="{9E52F6ED-BA21-4EB1-9B1A-C5C5285F0097}"/>
    <cellStyle name="40% - Accent6 5 2 2 3 3 3" xfId="32878" xr:uid="{B57DB05B-82A4-4FA7-9F8B-085CA4D90314}"/>
    <cellStyle name="40% - Accent6 5 2 2 3 4" xfId="25508" xr:uid="{F40E90D5-DCE2-4B01-A3C7-A4B1FEC593B9}"/>
    <cellStyle name="40% - Accent6 5 2 2 3 4 2" xfId="40479" xr:uid="{6800F667-E760-47D0-9169-AE868D19B094}"/>
    <cellStyle name="40% - Accent6 5 2 2 3 5" xfId="32876" xr:uid="{2DDBF8D1-9780-4404-A17D-4E3793410F71}"/>
    <cellStyle name="40% - Accent6 5 2 2 4" xfId="7922" xr:uid="{00000000-0005-0000-0000-000085120000}"/>
    <cellStyle name="40% - Accent6 5 2 2 4 2" xfId="25511" xr:uid="{39BBDE14-F2FC-4B83-8F6F-3B0A140BF516}"/>
    <cellStyle name="40% - Accent6 5 2 2 4 2 2" xfId="40482" xr:uid="{009D3795-2B4E-4E35-84F2-1EEF7A0A3478}"/>
    <cellStyle name="40% - Accent6 5 2 2 4 3" xfId="32879" xr:uid="{F9AFA928-9FBF-4D41-AD7D-34971577D630}"/>
    <cellStyle name="40% - Accent6 5 2 2 5" xfId="7923" xr:uid="{00000000-0005-0000-0000-000086120000}"/>
    <cellStyle name="40% - Accent6 5 2 2 5 2" xfId="7924" xr:uid="{00000000-0005-0000-0000-000087120000}"/>
    <cellStyle name="40% - Accent6 5 2 2 5 2 2" xfId="25513" xr:uid="{F86EB939-B314-48C3-8C08-4758CACCE779}"/>
    <cellStyle name="40% - Accent6 5 2 2 5 2 2 2" xfId="40484" xr:uid="{040B6ACE-8F99-4DE5-A4C1-FD69F45E5DAA}"/>
    <cellStyle name="40% - Accent6 5 2 2 5 2 3" xfId="32881" xr:uid="{50FF7B47-8439-4736-96C3-0B1DB968CEE2}"/>
    <cellStyle name="40% - Accent6 5 2 2 5 3" xfId="25512" xr:uid="{B23ED001-6158-48E8-BFBA-C72DBA2DABA6}"/>
    <cellStyle name="40% - Accent6 5 2 2 5 3 2" xfId="40483" xr:uid="{FB2023A4-4C4D-4380-BDD7-F51B4B903F58}"/>
    <cellStyle name="40% - Accent6 5 2 2 5 4" xfId="32880" xr:uid="{9782E87C-86B4-4AE2-8D2F-7AE439DC73A1}"/>
    <cellStyle name="40% - Accent6 5 2 2 6" xfId="7925" xr:uid="{00000000-0005-0000-0000-000088120000}"/>
    <cellStyle name="40% - Accent6 5 2 2 6 2" xfId="25514" xr:uid="{D1EE3F9B-9DCB-49B6-AC28-56ECA2D5D354}"/>
    <cellStyle name="40% - Accent6 5 2 2 6 2 2" xfId="40485" xr:uid="{50FF9CB9-2A3C-43E3-AE30-3FE83E9A1B06}"/>
    <cellStyle name="40% - Accent6 5 2 2 6 3" xfId="32882" xr:uid="{CD6D77D1-29F2-4FC0-A751-2A9E6072AED0}"/>
    <cellStyle name="40% - Accent6 5 2 2 7" xfId="25500" xr:uid="{7337AA1D-E74A-44EA-9140-CECE27BF8ACD}"/>
    <cellStyle name="40% - Accent6 5 2 2 7 2" xfId="40471" xr:uid="{0B270D0A-4407-4EE7-998F-FF6E827DD217}"/>
    <cellStyle name="40% - Accent6 5 2 2 8" xfId="32868" xr:uid="{340D8D8B-7E8B-4A24-B7E4-93B9725E4C76}"/>
    <cellStyle name="40% - Accent6 5 2 3" xfId="7926" xr:uid="{00000000-0005-0000-0000-000089120000}"/>
    <cellStyle name="40% - Accent6 5 2 3 2" xfId="7927" xr:uid="{00000000-0005-0000-0000-00008A120000}"/>
    <cellStyle name="40% - Accent6 5 2 3 2 2" xfId="7928" xr:uid="{00000000-0005-0000-0000-00008B120000}"/>
    <cellStyle name="40% - Accent6 5 2 3 2 2 2" xfId="25517" xr:uid="{02F2FB81-BB3E-42F4-AD49-B6B08A5A4714}"/>
    <cellStyle name="40% - Accent6 5 2 3 2 2 2 2" xfId="40488" xr:uid="{E72B9956-4EEA-441D-803B-EDD203A55D6A}"/>
    <cellStyle name="40% - Accent6 5 2 3 2 2 3" xfId="32885" xr:uid="{C5104509-9A00-4556-B5F5-0FE43AFCE2F9}"/>
    <cellStyle name="40% - Accent6 5 2 3 2 3" xfId="7929" xr:uid="{00000000-0005-0000-0000-00008C120000}"/>
    <cellStyle name="40% - Accent6 5 2 3 2 3 2" xfId="25518" xr:uid="{26B3A54B-A702-4D22-BA54-0BCA654ADE71}"/>
    <cellStyle name="40% - Accent6 5 2 3 2 3 2 2" xfId="40489" xr:uid="{40A6D769-9E3A-4ADF-AFE8-D91C7C0C4F99}"/>
    <cellStyle name="40% - Accent6 5 2 3 2 3 3" xfId="32886" xr:uid="{F43F88B2-6D91-4F9D-ABD4-58B12ADB0C79}"/>
    <cellStyle name="40% - Accent6 5 2 3 2 4" xfId="25516" xr:uid="{FAC9C2AB-8ACA-422B-A4C8-14D194B62A59}"/>
    <cellStyle name="40% - Accent6 5 2 3 2 4 2" xfId="40487" xr:uid="{D7DC9654-5592-4835-AC20-66D9945860D3}"/>
    <cellStyle name="40% - Accent6 5 2 3 2 5" xfId="32884" xr:uid="{10C0D0D4-C4AA-41F3-9ACD-D308893A6573}"/>
    <cellStyle name="40% - Accent6 5 2 3 3" xfId="7930" xr:uid="{00000000-0005-0000-0000-00008D120000}"/>
    <cellStyle name="40% - Accent6 5 2 3 3 2" xfId="7931" xr:uid="{00000000-0005-0000-0000-00008E120000}"/>
    <cellStyle name="40% - Accent6 5 2 3 3 2 2" xfId="25520" xr:uid="{6BB5C9C9-59F0-40BD-8B51-3712F24D502A}"/>
    <cellStyle name="40% - Accent6 5 2 3 3 2 2 2" xfId="40491" xr:uid="{D35C53B7-9235-4B7A-8C23-7D42D843AB96}"/>
    <cellStyle name="40% - Accent6 5 2 3 3 2 3" xfId="32888" xr:uid="{29ED956A-8D1C-448E-BD2B-FFE5B8D01B10}"/>
    <cellStyle name="40% - Accent6 5 2 3 3 3" xfId="25519" xr:uid="{1B2C54CA-E82E-4CCF-A8FA-AD7D3D09F270}"/>
    <cellStyle name="40% - Accent6 5 2 3 3 3 2" xfId="40490" xr:uid="{60738F13-E820-4E1F-B11C-20E6D8D5D51A}"/>
    <cellStyle name="40% - Accent6 5 2 3 3 4" xfId="32887" xr:uid="{D4D7C595-5B7B-4562-9920-4DD03D5DAB3F}"/>
    <cellStyle name="40% - Accent6 5 2 3 4" xfId="7932" xr:uid="{00000000-0005-0000-0000-00008F120000}"/>
    <cellStyle name="40% - Accent6 5 2 3 4 2" xfId="25521" xr:uid="{F9DEAE28-2DB8-4241-B1A0-F13817AB4A5E}"/>
    <cellStyle name="40% - Accent6 5 2 3 4 2 2" xfId="40492" xr:uid="{AA630CF5-CF15-4CC0-ADF6-01B7BF877644}"/>
    <cellStyle name="40% - Accent6 5 2 3 4 3" xfId="32889" xr:uid="{F874219D-8484-44DB-8797-B3E7D2325F8F}"/>
    <cellStyle name="40% - Accent6 5 2 3 5" xfId="25515" xr:uid="{1E5CCAE3-4975-4061-A4D4-2063EE049914}"/>
    <cellStyle name="40% - Accent6 5 2 3 5 2" xfId="40486" xr:uid="{63172DCE-2F8D-4310-B400-8AED4E57BFEB}"/>
    <cellStyle name="40% - Accent6 5 2 3 6" xfId="32883" xr:uid="{D5C43DE5-D5BE-44D4-82B1-0F07999CDF6F}"/>
    <cellStyle name="40% - Accent6 5 2 4" xfId="7933" xr:uid="{00000000-0005-0000-0000-000090120000}"/>
    <cellStyle name="40% - Accent6 5 2 5" xfId="7934" xr:uid="{00000000-0005-0000-0000-000091120000}"/>
    <cellStyle name="40% - Accent6 5 2 5 2" xfId="25522" xr:uid="{FEEE1EF4-6B17-4178-917C-A6E3738FD1B0}"/>
    <cellStyle name="40% - Accent6 5 2 5 2 2" xfId="40493" xr:uid="{AA1EB2B3-4A4E-45F7-9A41-44BA1E68C889}"/>
    <cellStyle name="40% - Accent6 5 2 5 3" xfId="32890" xr:uid="{73D6E8CC-019A-4C42-B329-D3F72088B26B}"/>
    <cellStyle name="40% - Accent6 5 3" xfId="7935" xr:uid="{00000000-0005-0000-0000-000092120000}"/>
    <cellStyle name="40% - Accent6 5 3 2" xfId="7936" xr:uid="{00000000-0005-0000-0000-000093120000}"/>
    <cellStyle name="40% - Accent6 5 3 2 2" xfId="7937" xr:uid="{00000000-0005-0000-0000-000094120000}"/>
    <cellStyle name="40% - Accent6 5 3 2 2 2" xfId="25525" xr:uid="{4AB3926B-B1AB-4B33-93DF-5FACFA1A12C6}"/>
    <cellStyle name="40% - Accent6 5 3 2 2 2 2" xfId="40496" xr:uid="{7970A40E-6603-4667-80C1-D21F5F52A69D}"/>
    <cellStyle name="40% - Accent6 5 3 2 2 3" xfId="32893" xr:uid="{DE8A73AC-7B6C-4868-8249-38B54628E465}"/>
    <cellStyle name="40% - Accent6 5 3 2 3" xfId="7938" xr:uid="{00000000-0005-0000-0000-000095120000}"/>
    <cellStyle name="40% - Accent6 5 3 2 3 2" xfId="25526" xr:uid="{622E4C68-CB76-4F4F-B7E9-B9FD14EEE04A}"/>
    <cellStyle name="40% - Accent6 5 3 2 3 2 2" xfId="40497" xr:uid="{CFBAA758-D4D1-4BAE-95AE-02FA324C8467}"/>
    <cellStyle name="40% - Accent6 5 3 2 3 3" xfId="32894" xr:uid="{AD088F78-1935-42D3-A85A-DBEDB49F1C87}"/>
    <cellStyle name="40% - Accent6 5 3 2 4" xfId="25524" xr:uid="{AC2F683C-5CDA-4614-A69E-FB478C20DD3F}"/>
    <cellStyle name="40% - Accent6 5 3 2 4 2" xfId="40495" xr:uid="{F5A8078F-DCB2-4C16-BD00-A81B81216CE8}"/>
    <cellStyle name="40% - Accent6 5 3 2 5" xfId="32892" xr:uid="{5B4BE330-58C5-4A41-AC1C-54C46EC38BB7}"/>
    <cellStyle name="40% - Accent6 5 3 3" xfId="7939" xr:uid="{00000000-0005-0000-0000-000096120000}"/>
    <cellStyle name="40% - Accent6 5 3 3 2" xfId="25527" xr:uid="{59A3FBE0-99FA-483B-96C9-38D67ACB8339}"/>
    <cellStyle name="40% - Accent6 5 3 3 2 2" xfId="40498" xr:uid="{A71F0949-D423-446A-A648-0F232CFA3018}"/>
    <cellStyle name="40% - Accent6 5 3 3 3" xfId="32895" xr:uid="{722E3306-A101-46A8-8734-5B698EECF3DE}"/>
    <cellStyle name="40% - Accent6 5 3 4" xfId="7940" xr:uid="{00000000-0005-0000-0000-000097120000}"/>
    <cellStyle name="40% - Accent6 5 3 4 2" xfId="7941" xr:uid="{00000000-0005-0000-0000-000098120000}"/>
    <cellStyle name="40% - Accent6 5 3 4 2 2" xfId="25529" xr:uid="{F0B5BBB5-7DDD-4C55-9E0F-F6F92E90977C}"/>
    <cellStyle name="40% - Accent6 5 3 4 2 2 2" xfId="40500" xr:uid="{93840691-54D3-4A32-8B69-CD2AD226C7BA}"/>
    <cellStyle name="40% - Accent6 5 3 4 2 3" xfId="32897" xr:uid="{8C8297D9-3BDC-41A5-AAA3-E5EB64B14780}"/>
    <cellStyle name="40% - Accent6 5 3 4 3" xfId="25528" xr:uid="{6A12FF85-7C0F-4C42-A54A-085882AFD920}"/>
    <cellStyle name="40% - Accent6 5 3 4 3 2" xfId="40499" xr:uid="{5E78B9AD-24F6-4A2F-B0D6-4DCC68A8A19A}"/>
    <cellStyle name="40% - Accent6 5 3 4 4" xfId="32896" xr:uid="{B372FD48-6030-4424-9D97-8FE81468109A}"/>
    <cellStyle name="40% - Accent6 5 3 5" xfId="7942" xr:uid="{00000000-0005-0000-0000-000099120000}"/>
    <cellStyle name="40% - Accent6 5 3 5 2" xfId="25530" xr:uid="{242C4100-3DF1-4D9D-9FCD-048078FFEA61}"/>
    <cellStyle name="40% - Accent6 5 3 5 2 2" xfId="40501" xr:uid="{991DF2EE-C3FC-4C17-B6D1-A8EB8D4063CD}"/>
    <cellStyle name="40% - Accent6 5 3 5 3" xfId="32898" xr:uid="{AEC9048A-F86E-47C8-82CA-10C39820D5B3}"/>
    <cellStyle name="40% - Accent6 5 3 6" xfId="25523" xr:uid="{C2E278D8-956C-4A81-9E0A-C3620774A08D}"/>
    <cellStyle name="40% - Accent6 5 3 6 2" xfId="40494" xr:uid="{B02B2C65-4F7E-4001-8AD7-31BB958DBE4D}"/>
    <cellStyle name="40% - Accent6 5 3 7" xfId="32891" xr:uid="{0086655E-4848-48D5-B730-2C60009D10F1}"/>
    <cellStyle name="40% - Accent6 5 4" xfId="7943" xr:uid="{00000000-0005-0000-0000-00009A120000}"/>
    <cellStyle name="40% - Accent6 5 4 2" xfId="7944" xr:uid="{00000000-0005-0000-0000-00009B120000}"/>
    <cellStyle name="40% - Accent6 5 4 2 2" xfId="7945" xr:uid="{00000000-0005-0000-0000-00009C120000}"/>
    <cellStyle name="40% - Accent6 5 4 2 2 2" xfId="25533" xr:uid="{A62F9015-506F-4072-A1A1-1DDA3896C9D8}"/>
    <cellStyle name="40% - Accent6 5 4 2 2 2 2" xfId="40504" xr:uid="{05AB1FA0-3A0C-470F-9BBB-4021354CD7BE}"/>
    <cellStyle name="40% - Accent6 5 4 2 2 3" xfId="32901" xr:uid="{BE8E7B32-FA9E-49CE-B102-A29B719459C5}"/>
    <cellStyle name="40% - Accent6 5 4 2 3" xfId="7946" xr:uid="{00000000-0005-0000-0000-00009D120000}"/>
    <cellStyle name="40% - Accent6 5 4 2 3 2" xfId="25534" xr:uid="{BAA06955-4990-4399-9D17-5659E42AE875}"/>
    <cellStyle name="40% - Accent6 5 4 2 3 2 2" xfId="40505" xr:uid="{E2D56FDB-BD00-471A-9F1A-2E8F0A037709}"/>
    <cellStyle name="40% - Accent6 5 4 2 3 3" xfId="32902" xr:uid="{EB0503A0-5814-4CC3-A0A8-370372EB99D0}"/>
    <cellStyle name="40% - Accent6 5 4 2 4" xfId="25532" xr:uid="{547B0B47-62B3-4241-878C-73B51D4B9681}"/>
    <cellStyle name="40% - Accent6 5 4 2 4 2" xfId="40503" xr:uid="{054ECA85-6A43-4FBC-B09E-7B28FE1F89AD}"/>
    <cellStyle name="40% - Accent6 5 4 2 5" xfId="32900" xr:uid="{D4CC29B9-DAB3-4E05-818F-D6B8DBFBFE7A}"/>
    <cellStyle name="40% - Accent6 5 4 3" xfId="7947" xr:uid="{00000000-0005-0000-0000-00009E120000}"/>
    <cellStyle name="40% - Accent6 5 4 3 2" xfId="7948" xr:uid="{00000000-0005-0000-0000-00009F120000}"/>
    <cellStyle name="40% - Accent6 5 4 3 2 2" xfId="25536" xr:uid="{74B1F779-8072-450B-9092-26C51CC2E73D}"/>
    <cellStyle name="40% - Accent6 5 4 3 2 2 2" xfId="40507" xr:uid="{96E68573-5285-4E31-B25A-A99FCEFB1182}"/>
    <cellStyle name="40% - Accent6 5 4 3 2 3" xfId="32904" xr:uid="{D7F03C38-5B6F-4F44-9C24-77B95FEB6CF7}"/>
    <cellStyle name="40% - Accent6 5 4 3 3" xfId="25535" xr:uid="{E6B76D07-F3B6-4AC1-96F4-F7A8847BF41C}"/>
    <cellStyle name="40% - Accent6 5 4 3 3 2" xfId="40506" xr:uid="{D5EC523A-62EA-429A-A897-B0CB7EF0B03E}"/>
    <cellStyle name="40% - Accent6 5 4 3 4" xfId="32903" xr:uid="{5E5C24C8-A3F5-48CA-A20B-91F07EAFEFEC}"/>
    <cellStyle name="40% - Accent6 5 4 4" xfId="7949" xr:uid="{00000000-0005-0000-0000-0000A0120000}"/>
    <cellStyle name="40% - Accent6 5 4 4 2" xfId="25537" xr:uid="{31A301C8-2FA9-4ECE-9A42-B49D4993AF2C}"/>
    <cellStyle name="40% - Accent6 5 4 4 2 2" xfId="40508" xr:uid="{89A230A7-860B-47F4-9B85-B61BCA350412}"/>
    <cellStyle name="40% - Accent6 5 4 4 3" xfId="32905" xr:uid="{9FDEDDE8-8458-4DF3-972A-D5AD0944E353}"/>
    <cellStyle name="40% - Accent6 5 4 5" xfId="25531" xr:uid="{47E74ADE-49D6-44E5-B5F6-185A5ADEA54F}"/>
    <cellStyle name="40% - Accent6 5 4 5 2" xfId="40502" xr:uid="{6ECE41A2-86E5-4913-B9B7-020270B8929B}"/>
    <cellStyle name="40% - Accent6 5 4 6" xfId="32899" xr:uid="{A0D7E6D4-FC37-4076-9D50-09E9A077BC7C}"/>
    <cellStyle name="40% - Accent6 5 5" xfId="7950" xr:uid="{00000000-0005-0000-0000-0000A1120000}"/>
    <cellStyle name="40% - Accent6 5 5 2" xfId="7951" xr:uid="{00000000-0005-0000-0000-0000A2120000}"/>
    <cellStyle name="40% - Accent6 5 5 2 2" xfId="25539" xr:uid="{2477C80B-C4C9-47E8-A8C3-EB7EEEE87A96}"/>
    <cellStyle name="40% - Accent6 5 5 2 2 2" xfId="40510" xr:uid="{6136FDD2-E888-444D-BA9C-A6C9B25F5820}"/>
    <cellStyle name="40% - Accent6 5 5 2 3" xfId="32907" xr:uid="{37474E48-0415-477C-9691-AC2DA977082C}"/>
    <cellStyle name="40% - Accent6 5 5 3" xfId="7952" xr:uid="{00000000-0005-0000-0000-0000A3120000}"/>
    <cellStyle name="40% - Accent6 5 5 3 2" xfId="25540" xr:uid="{FA25719D-BF89-43E4-B755-25B75331EF09}"/>
    <cellStyle name="40% - Accent6 5 5 3 2 2" xfId="40511" xr:uid="{50DFF968-5CAE-4B1F-BECA-3615CC0C080F}"/>
    <cellStyle name="40% - Accent6 5 5 3 3" xfId="32908" xr:uid="{873EB5AC-6527-4A1C-9FB6-460FC3E023F8}"/>
    <cellStyle name="40% - Accent6 5 5 4" xfId="25538" xr:uid="{C60BA891-E524-4285-8421-D5DD17C6AF01}"/>
    <cellStyle name="40% - Accent6 5 5 4 2" xfId="40509" xr:uid="{F3693AA1-F1F7-4E29-9FA2-575A993E16AF}"/>
    <cellStyle name="40% - Accent6 5 5 5" xfId="32906" xr:uid="{2A845859-DDF9-4A56-9E6D-7BB444F547D1}"/>
    <cellStyle name="40% - Accent6 5 6" xfId="7953" xr:uid="{00000000-0005-0000-0000-0000A4120000}"/>
    <cellStyle name="40% - Accent6 5 6 2" xfId="25541" xr:uid="{9AAAFB19-9DDA-4B4B-99EE-566C3A52D4BB}"/>
    <cellStyle name="40% - Accent6 5 6 2 2" xfId="40512" xr:uid="{1AF1DE32-5D40-4748-9466-F28A5B49EC66}"/>
    <cellStyle name="40% - Accent6 5 6 3" xfId="32909" xr:uid="{618C8B16-8635-40DB-87DE-F9F9EA5E0F63}"/>
    <cellStyle name="40% - Accent6 5 7" xfId="7954" xr:uid="{00000000-0005-0000-0000-0000A5120000}"/>
    <cellStyle name="40% - Accent6 5 7 2" xfId="7955" xr:uid="{00000000-0005-0000-0000-0000A6120000}"/>
    <cellStyle name="40% - Accent6 5 7 2 2" xfId="25543" xr:uid="{BA67134E-F6F2-419C-9F6E-91AC145EC71A}"/>
    <cellStyle name="40% - Accent6 5 7 2 2 2" xfId="40514" xr:uid="{1FF9786E-6E68-458B-8A51-93ABE4AB1D3E}"/>
    <cellStyle name="40% - Accent6 5 7 2 3" xfId="32911" xr:uid="{96936402-36B9-495B-AA5D-B348CFB2F27C}"/>
    <cellStyle name="40% - Accent6 5 7 3" xfId="25542" xr:uid="{F50BFA68-EF5C-4295-AC74-DD1EC67BEAD6}"/>
    <cellStyle name="40% - Accent6 5 7 3 2" xfId="40513" xr:uid="{74875ECB-AE0D-4D76-9E38-19FE2BE15C8A}"/>
    <cellStyle name="40% - Accent6 5 7 4" xfId="32910" xr:uid="{8C700F54-3CE0-456B-9DD7-E76EB2A53E8E}"/>
    <cellStyle name="40% - Accent6 5 8" xfId="7956" xr:uid="{00000000-0005-0000-0000-0000A7120000}"/>
    <cellStyle name="40% - Accent6 5 8 2" xfId="25544" xr:uid="{B79069F4-F52A-4ED5-98A0-B826731CB557}"/>
    <cellStyle name="40% - Accent6 5 8 2 2" xfId="40515" xr:uid="{23B769FA-E72A-44B2-886D-95ABB9916E52}"/>
    <cellStyle name="40% - Accent6 5 8 3" xfId="32912" xr:uid="{A59AA4F5-A4B4-44E7-839F-BB9318FCD507}"/>
    <cellStyle name="40% - Accent6 5 9" xfId="7909" xr:uid="{00000000-0005-0000-0000-000078120000}"/>
    <cellStyle name="40% - Accent6 5 9 2" xfId="25499" xr:uid="{B5EEF82F-A851-4B8F-8750-0E6EB9E4EDA2}"/>
    <cellStyle name="40% - Accent6 5 9 2 2" xfId="40470" xr:uid="{38F5012A-9E75-4845-BBB8-EAFD02EF394D}"/>
    <cellStyle name="40% - Accent6 5 9 3" xfId="32867" xr:uid="{11269CF4-2456-4FE2-B1FC-AE07E786A1F0}"/>
    <cellStyle name="40% - Accent6 6" xfId="255" xr:uid="{00000000-0005-0000-0000-00005E000000}"/>
    <cellStyle name="40% - Accent6 6 2" xfId="7957" xr:uid="{00000000-0005-0000-0000-0000A9120000}"/>
    <cellStyle name="40% - Accent6 6 2 2" xfId="7958" xr:uid="{00000000-0005-0000-0000-0000AA120000}"/>
    <cellStyle name="40% - Accent6 6 2 2 2" xfId="7959" xr:uid="{00000000-0005-0000-0000-0000AB120000}"/>
    <cellStyle name="40% - Accent6 6 2 2 2 2" xfId="7960" xr:uid="{00000000-0005-0000-0000-0000AC120000}"/>
    <cellStyle name="40% - Accent6 6 2 2 2 2 2" xfId="25548" xr:uid="{3F955C2C-873C-4BA9-A91F-44008C76A96D}"/>
    <cellStyle name="40% - Accent6 6 2 2 2 2 2 2" xfId="40519" xr:uid="{38C6E317-6D5C-45BB-8C08-71EF3D569AC1}"/>
    <cellStyle name="40% - Accent6 6 2 2 2 2 3" xfId="32916" xr:uid="{DE0F0741-621D-4C4B-BC64-85BA135D1B1C}"/>
    <cellStyle name="40% - Accent6 6 2 2 2 3" xfId="7961" xr:uid="{00000000-0005-0000-0000-0000AD120000}"/>
    <cellStyle name="40% - Accent6 6 2 2 2 3 2" xfId="25549" xr:uid="{3898AF9D-F141-4AE0-810C-A942F8CB77FE}"/>
    <cellStyle name="40% - Accent6 6 2 2 2 3 2 2" xfId="40520" xr:uid="{7A0FE364-3871-4A7F-992C-8BEE14D63E2B}"/>
    <cellStyle name="40% - Accent6 6 2 2 2 3 3" xfId="32917" xr:uid="{BAF8D1F2-2ED5-4B35-A980-E8CA2845FAE1}"/>
    <cellStyle name="40% - Accent6 6 2 2 2 4" xfId="25547" xr:uid="{CC2B80F3-FE45-410E-B74E-D66AE918547F}"/>
    <cellStyle name="40% - Accent6 6 2 2 2 4 2" xfId="40518" xr:uid="{DAAB146A-99DA-462B-8745-B21F238A99D2}"/>
    <cellStyle name="40% - Accent6 6 2 2 2 5" xfId="32915" xr:uid="{1568ACE1-B0CC-4076-B3EC-68B54D49BCDF}"/>
    <cellStyle name="40% - Accent6 6 2 2 3" xfId="7962" xr:uid="{00000000-0005-0000-0000-0000AE120000}"/>
    <cellStyle name="40% - Accent6 6 2 2 3 2" xfId="7963" xr:uid="{00000000-0005-0000-0000-0000AF120000}"/>
    <cellStyle name="40% - Accent6 6 2 2 3 2 2" xfId="25551" xr:uid="{D0C99296-48F3-47A8-ABFC-051D66B780B9}"/>
    <cellStyle name="40% - Accent6 6 2 2 3 2 2 2" xfId="40522" xr:uid="{B53186AB-05A8-44DC-98A7-2AFCF5E35125}"/>
    <cellStyle name="40% - Accent6 6 2 2 3 2 3" xfId="32919" xr:uid="{3E2D14BB-21B3-48DE-B707-1DD1AFFE9D11}"/>
    <cellStyle name="40% - Accent6 6 2 2 3 3" xfId="25550" xr:uid="{DE45268D-2662-4A59-912B-A9AE7C2D21E7}"/>
    <cellStyle name="40% - Accent6 6 2 2 3 3 2" xfId="40521" xr:uid="{F471BBB5-72F9-4F89-99AA-7A23CEC0FA8D}"/>
    <cellStyle name="40% - Accent6 6 2 2 3 4" xfId="32918" xr:uid="{AD26F165-8325-4E5A-8C3E-A6F6719CB83F}"/>
    <cellStyle name="40% - Accent6 6 2 2 4" xfId="7964" xr:uid="{00000000-0005-0000-0000-0000B0120000}"/>
    <cellStyle name="40% - Accent6 6 2 2 4 2" xfId="25552" xr:uid="{80C0ADE8-9B80-46FA-84A5-09967CA50C7D}"/>
    <cellStyle name="40% - Accent6 6 2 2 4 2 2" xfId="40523" xr:uid="{2F256539-0E92-49B4-84BF-AF2273486570}"/>
    <cellStyle name="40% - Accent6 6 2 2 4 3" xfId="32920" xr:uid="{CBC4E3A3-CA1D-4D29-A478-05196A90B62A}"/>
    <cellStyle name="40% - Accent6 6 2 2 5" xfId="25546" xr:uid="{9125AE59-D2E4-4F0B-9649-F8920555A3C1}"/>
    <cellStyle name="40% - Accent6 6 2 2 5 2" xfId="40517" xr:uid="{3D84BFC2-C18A-4FD6-9025-5EEC6CA4FEA2}"/>
    <cellStyle name="40% - Accent6 6 2 2 6" xfId="32914" xr:uid="{A58E4D78-C211-48E9-ADF4-5901373203C3}"/>
    <cellStyle name="40% - Accent6 6 2 3" xfId="7965" xr:uid="{00000000-0005-0000-0000-0000B1120000}"/>
    <cellStyle name="40% - Accent6 6 2 3 2" xfId="7966" xr:uid="{00000000-0005-0000-0000-0000B2120000}"/>
    <cellStyle name="40% - Accent6 6 2 3 2 2" xfId="25554" xr:uid="{A7A6D521-968E-4ECA-ABD9-38A3F9F8D381}"/>
    <cellStyle name="40% - Accent6 6 2 3 2 2 2" xfId="40525" xr:uid="{3911ADBD-03C6-43BB-9FBC-06C0362C6B3F}"/>
    <cellStyle name="40% - Accent6 6 2 3 2 3" xfId="32922" xr:uid="{A9A6D75C-1F0A-413A-BA9C-E344DB6D3461}"/>
    <cellStyle name="40% - Accent6 6 2 3 3" xfId="7967" xr:uid="{00000000-0005-0000-0000-0000B3120000}"/>
    <cellStyle name="40% - Accent6 6 2 3 3 2" xfId="25555" xr:uid="{349F7D37-011A-446A-8F5A-6766595B8B31}"/>
    <cellStyle name="40% - Accent6 6 2 3 3 2 2" xfId="40526" xr:uid="{5B53D7B0-23FA-4D15-9D78-1C474776C6E7}"/>
    <cellStyle name="40% - Accent6 6 2 3 3 3" xfId="32923" xr:uid="{D8AA5798-35CB-48DC-BC32-DDC13FA20BAF}"/>
    <cellStyle name="40% - Accent6 6 2 3 4" xfId="25553" xr:uid="{A1BA4FC4-7E58-47FC-B7FF-DFFC35B22D44}"/>
    <cellStyle name="40% - Accent6 6 2 3 4 2" xfId="40524" xr:uid="{F9F6284C-1A76-4B79-910A-8C911812C52D}"/>
    <cellStyle name="40% - Accent6 6 2 3 5" xfId="32921" xr:uid="{4F0FB6FB-BA01-4159-993A-B20FB9D49E37}"/>
    <cellStyle name="40% - Accent6 6 2 4" xfId="7968" xr:uid="{00000000-0005-0000-0000-0000B4120000}"/>
    <cellStyle name="40% - Accent6 6 2 4 2" xfId="25556" xr:uid="{3AF22F81-417B-424E-8D49-0EC2BFF16B83}"/>
    <cellStyle name="40% - Accent6 6 2 4 2 2" xfId="40527" xr:uid="{44BDC25F-D3A3-4424-92F8-F77E68071CB3}"/>
    <cellStyle name="40% - Accent6 6 2 4 3" xfId="32924" xr:uid="{33EE381F-5BF7-497A-9B00-812454AC3394}"/>
    <cellStyle name="40% - Accent6 6 2 5" xfId="7969" xr:uid="{00000000-0005-0000-0000-0000B5120000}"/>
    <cellStyle name="40% - Accent6 6 2 5 2" xfId="7970" xr:uid="{00000000-0005-0000-0000-0000B6120000}"/>
    <cellStyle name="40% - Accent6 6 2 5 2 2" xfId="25558" xr:uid="{67CDE071-6026-419C-9D08-8057DABB1CBA}"/>
    <cellStyle name="40% - Accent6 6 2 5 2 2 2" xfId="40529" xr:uid="{84D4D58C-5B46-4D63-9F95-EF5F4EAAD754}"/>
    <cellStyle name="40% - Accent6 6 2 5 2 3" xfId="32926" xr:uid="{B7198555-202B-4463-95C6-4D01341E2F79}"/>
    <cellStyle name="40% - Accent6 6 2 5 3" xfId="25557" xr:uid="{A7338B48-6DBE-4096-9E5D-EA288DDE19E0}"/>
    <cellStyle name="40% - Accent6 6 2 5 3 2" xfId="40528" xr:uid="{D21E58C5-29C6-4489-A58B-5D6AFCF47DF4}"/>
    <cellStyle name="40% - Accent6 6 2 5 4" xfId="32925" xr:uid="{F53E1AA4-8374-41E2-8A81-62D1A218CEDF}"/>
    <cellStyle name="40% - Accent6 6 2 6" xfId="7971" xr:uid="{00000000-0005-0000-0000-0000B7120000}"/>
    <cellStyle name="40% - Accent6 6 2 6 2" xfId="25559" xr:uid="{7C7BFF12-B297-40AE-BBFA-2F9F2283D7CE}"/>
    <cellStyle name="40% - Accent6 6 2 6 2 2" xfId="40530" xr:uid="{88614F36-0735-4AD1-977E-247D5A99EB3B}"/>
    <cellStyle name="40% - Accent6 6 2 6 3" xfId="32927" xr:uid="{D04D9479-31C3-40F8-8066-ED68FA3DA75F}"/>
    <cellStyle name="40% - Accent6 6 2 7" xfId="25545" xr:uid="{1B1C0C18-1016-4AA8-9F29-072BEF36EBDB}"/>
    <cellStyle name="40% - Accent6 6 2 7 2" xfId="40516" xr:uid="{CE3B2495-E8A3-49E3-A490-61EEA3841308}"/>
    <cellStyle name="40% - Accent6 6 2 8" xfId="32913" xr:uid="{C5184DAA-2F6E-450E-BB6B-0D6723CF8AAF}"/>
    <cellStyle name="40% - Accent6 6 3" xfId="7972" xr:uid="{00000000-0005-0000-0000-0000B8120000}"/>
    <cellStyle name="40% - Accent6 6 3 2" xfId="7973" xr:uid="{00000000-0005-0000-0000-0000B9120000}"/>
    <cellStyle name="40% - Accent6 6 3 2 2" xfId="7974" xr:uid="{00000000-0005-0000-0000-0000BA120000}"/>
    <cellStyle name="40% - Accent6 6 3 2 2 2" xfId="25562" xr:uid="{F708F360-3C08-4A73-8A9F-7DD85EAD9E8C}"/>
    <cellStyle name="40% - Accent6 6 3 2 2 2 2" xfId="40533" xr:uid="{C5974C18-FF62-4ECD-87E5-A7A5CE958DE3}"/>
    <cellStyle name="40% - Accent6 6 3 2 2 3" xfId="32930" xr:uid="{708362B3-4FDE-411E-91C2-351B60E6E633}"/>
    <cellStyle name="40% - Accent6 6 3 2 3" xfId="7975" xr:uid="{00000000-0005-0000-0000-0000BB120000}"/>
    <cellStyle name="40% - Accent6 6 3 2 3 2" xfId="25563" xr:uid="{739F8FD5-6A11-4597-9CE7-712AAC94E8B4}"/>
    <cellStyle name="40% - Accent6 6 3 2 3 2 2" xfId="40534" xr:uid="{9BB3B0C6-381C-466C-B634-ADB607775F92}"/>
    <cellStyle name="40% - Accent6 6 3 2 3 3" xfId="32931" xr:uid="{A3C07998-14B3-4753-97E4-B8B1BC8A2A9B}"/>
    <cellStyle name="40% - Accent6 6 3 2 4" xfId="25561" xr:uid="{DF775399-68AA-4FD1-B7F6-8B5EF0E4FFA4}"/>
    <cellStyle name="40% - Accent6 6 3 2 4 2" xfId="40532" xr:uid="{B9E34631-5262-471C-878E-15FA5B379A37}"/>
    <cellStyle name="40% - Accent6 6 3 2 5" xfId="32929" xr:uid="{68DA17B8-F361-40C5-954C-7204CB67078D}"/>
    <cellStyle name="40% - Accent6 6 3 3" xfId="7976" xr:uid="{00000000-0005-0000-0000-0000BC120000}"/>
    <cellStyle name="40% - Accent6 6 3 3 2" xfId="7977" xr:uid="{00000000-0005-0000-0000-0000BD120000}"/>
    <cellStyle name="40% - Accent6 6 3 3 2 2" xfId="25565" xr:uid="{17D32A94-8C88-4131-8DD2-01EB3B0656EF}"/>
    <cellStyle name="40% - Accent6 6 3 3 2 2 2" xfId="40536" xr:uid="{C178CC59-FE2E-45DB-8CC2-34D0089ADFD2}"/>
    <cellStyle name="40% - Accent6 6 3 3 2 3" xfId="32933" xr:uid="{F7DFC333-45A4-4299-9AC5-1CDE43989163}"/>
    <cellStyle name="40% - Accent6 6 3 3 3" xfId="25564" xr:uid="{1BA345BE-0932-417C-B4B8-29C5842CCE8F}"/>
    <cellStyle name="40% - Accent6 6 3 3 3 2" xfId="40535" xr:uid="{AA7968DE-487D-48F3-8485-29FE3ED922F8}"/>
    <cellStyle name="40% - Accent6 6 3 3 4" xfId="32932" xr:uid="{30FCB78E-6E27-4DDA-9A88-DED681AAF02B}"/>
    <cellStyle name="40% - Accent6 6 3 4" xfId="7978" xr:uid="{00000000-0005-0000-0000-0000BE120000}"/>
    <cellStyle name="40% - Accent6 6 3 4 2" xfId="25566" xr:uid="{125F7052-1227-4C1D-AD9D-21112769F278}"/>
    <cellStyle name="40% - Accent6 6 3 4 2 2" xfId="40537" xr:uid="{FC877072-8DD5-438A-A750-BBD9ECC59E48}"/>
    <cellStyle name="40% - Accent6 6 3 4 3" xfId="32934" xr:uid="{3C2AE03C-8218-488B-8AFF-C36FC6F5AF46}"/>
    <cellStyle name="40% - Accent6 6 3 5" xfId="25560" xr:uid="{F60AEA50-9F32-4EB5-A51C-2CAE10992AE5}"/>
    <cellStyle name="40% - Accent6 6 3 5 2" xfId="40531" xr:uid="{125A253C-BF73-45E0-81CC-6ACF1B10ED6F}"/>
    <cellStyle name="40% - Accent6 6 3 6" xfId="32928" xr:uid="{969824B8-FBFC-466E-8E4D-59D66584E85B}"/>
    <cellStyle name="40% - Accent6 6 4" xfId="7979" xr:uid="{00000000-0005-0000-0000-0000BF120000}"/>
    <cellStyle name="40% - Accent6 6 5" xfId="7980" xr:uid="{00000000-0005-0000-0000-0000C0120000}"/>
    <cellStyle name="40% - Accent6 6 5 2" xfId="25567" xr:uid="{5C2B46B5-A7D4-4F4D-852C-4C0CCEA9EDB1}"/>
    <cellStyle name="40% - Accent6 6 5 2 2" xfId="40538" xr:uid="{554E1144-9632-4D1D-A348-B3D4A3BCAC17}"/>
    <cellStyle name="40% - Accent6 6 5 3" xfId="32935" xr:uid="{D6100754-686F-4B79-AE6B-75523C848684}"/>
    <cellStyle name="40% - Accent6 7" xfId="256" xr:uid="{00000000-0005-0000-0000-00005F000000}"/>
    <cellStyle name="40% - Accent6 7 2" xfId="7981" xr:uid="{00000000-0005-0000-0000-0000C2120000}"/>
    <cellStyle name="40% - Accent6 7 2 2" xfId="25568" xr:uid="{D7594DEF-197B-4053-B992-4DF43711FBA2}"/>
    <cellStyle name="40% - Accent6 7 2 2 2" xfId="40539" xr:uid="{A9745431-DC4D-4A27-AB8D-B5C6B89B372A}"/>
    <cellStyle name="40% - Accent6 7 2 3" xfId="32936" xr:uid="{D29BD5DC-1F7E-49F1-96FD-5491207A3296}"/>
    <cellStyle name="40% - Accent6 7 3" xfId="7982" xr:uid="{00000000-0005-0000-0000-0000C3120000}"/>
    <cellStyle name="40% - Accent6 7 4" xfId="7983" xr:uid="{00000000-0005-0000-0000-0000C4120000}"/>
    <cellStyle name="40% - Accent6 7 4 2" xfId="25569" xr:uid="{36796CD6-CDE6-4AE4-8299-40864C8749DC}"/>
    <cellStyle name="40% - Accent6 7 4 2 2" xfId="40540" xr:uid="{1B5AF95D-80A6-4BC8-B6F1-48C3CA0576F4}"/>
    <cellStyle name="40% - Accent6 7 4 3" xfId="32937" xr:uid="{E632D29B-0610-449E-8B36-7C6E176B9BBA}"/>
    <cellStyle name="40% - Accent6 8" xfId="7984" xr:uid="{00000000-0005-0000-0000-0000C5120000}"/>
    <cellStyle name="40% - Accent6 8 2" xfId="7985" xr:uid="{00000000-0005-0000-0000-0000C6120000}"/>
    <cellStyle name="40% - Accent6 8 2 2" xfId="7986" xr:uid="{00000000-0005-0000-0000-0000C7120000}"/>
    <cellStyle name="40% - Accent6 8 2 2 2" xfId="25572" xr:uid="{9499F01D-58E2-4A6A-87DA-E800A2E086E0}"/>
    <cellStyle name="40% - Accent6 8 2 2 2 2" xfId="40543" xr:uid="{C7338B1D-F94E-4B12-B8A9-3E75E1A19EB9}"/>
    <cellStyle name="40% - Accent6 8 2 2 3" xfId="32940" xr:uid="{1BEE341C-4692-4B89-870B-FDECBAE6D652}"/>
    <cellStyle name="40% - Accent6 8 2 3" xfId="7987" xr:uid="{00000000-0005-0000-0000-0000C8120000}"/>
    <cellStyle name="40% - Accent6 8 2 3 2" xfId="7988" xr:uid="{00000000-0005-0000-0000-0000C9120000}"/>
    <cellStyle name="40% - Accent6 8 2 3 2 2" xfId="25574" xr:uid="{96A7EA10-8521-49F0-A9CA-E06F1CF9CBA4}"/>
    <cellStyle name="40% - Accent6 8 2 3 2 2 2" xfId="40545" xr:uid="{0D320BEC-631B-4DE9-83F5-06C60B946733}"/>
    <cellStyle name="40% - Accent6 8 2 3 2 3" xfId="32942" xr:uid="{2141FDC1-5627-4831-805F-035350CE8265}"/>
    <cellStyle name="40% - Accent6 8 2 3 3" xfId="25573" xr:uid="{916C32D9-D049-4B93-9ED5-90FDF71788D4}"/>
    <cellStyle name="40% - Accent6 8 2 3 3 2" xfId="40544" xr:uid="{44E2D909-0013-47A9-A61C-D531A58E3FF8}"/>
    <cellStyle name="40% - Accent6 8 2 3 4" xfId="32941" xr:uid="{23014F6E-810A-4904-996D-19D9827BBAD7}"/>
    <cellStyle name="40% - Accent6 8 2 4" xfId="25571" xr:uid="{53FE178E-C833-4F4C-8109-29355FBCDF0C}"/>
    <cellStyle name="40% - Accent6 8 2 4 2" xfId="40542" xr:uid="{9E4BD7FB-F8D4-45F6-AE7A-15B97939777C}"/>
    <cellStyle name="40% - Accent6 8 2 5" xfId="32939" xr:uid="{D59FE094-741F-4BEA-BADB-E88E85C47734}"/>
    <cellStyle name="40% - Accent6 8 3" xfId="7989" xr:uid="{00000000-0005-0000-0000-0000CA120000}"/>
    <cellStyle name="40% - Accent6 8 3 2" xfId="25575" xr:uid="{3B7E3967-C0F2-4566-B85B-9BC153437590}"/>
    <cellStyle name="40% - Accent6 8 3 2 2" xfId="40546" xr:uid="{FB10B2E1-D527-45F0-92E7-D971406F1FF3}"/>
    <cellStyle name="40% - Accent6 8 3 3" xfId="32943" xr:uid="{40CCC7B4-B27F-4AE2-AD04-F55970AB42F6}"/>
    <cellStyle name="40% - Accent6 8 4" xfId="7990" xr:uid="{00000000-0005-0000-0000-0000CB120000}"/>
    <cellStyle name="40% - Accent6 8 4 2" xfId="7991" xr:uid="{00000000-0005-0000-0000-0000CC120000}"/>
    <cellStyle name="40% - Accent6 8 4 2 2" xfId="25577" xr:uid="{F558D1D4-7528-4140-A939-BE977643EF49}"/>
    <cellStyle name="40% - Accent6 8 4 2 2 2" xfId="40548" xr:uid="{A86B9071-478A-4A47-BA73-F72D4CF79C3A}"/>
    <cellStyle name="40% - Accent6 8 4 2 3" xfId="32945" xr:uid="{CD07C7F7-80A7-4CF3-801A-8519A17B27C5}"/>
    <cellStyle name="40% - Accent6 8 4 3" xfId="25576" xr:uid="{E4C29AF2-F8E3-4E8F-BB76-72EE3FB2D750}"/>
    <cellStyle name="40% - Accent6 8 4 3 2" xfId="40547" xr:uid="{31F6CFC5-07DF-44D5-A575-DB4E9BE74AB3}"/>
    <cellStyle name="40% - Accent6 8 4 4" xfId="32944" xr:uid="{AFC6BB3E-D38C-4357-92B9-8685314EDD78}"/>
    <cellStyle name="40% - Accent6 8 5" xfId="7992" xr:uid="{00000000-0005-0000-0000-0000CD120000}"/>
    <cellStyle name="40% - Accent6 8 5 2" xfId="25578" xr:uid="{9DA31FDE-8226-42FF-A8A1-1D9B0C0F3AC4}"/>
    <cellStyle name="40% - Accent6 8 5 2 2" xfId="40549" xr:uid="{B15C4067-EC8B-4981-B288-244550DB6E6F}"/>
    <cellStyle name="40% - Accent6 8 5 3" xfId="32946" xr:uid="{C758740F-C701-4913-9CC2-EF17BB06F5AA}"/>
    <cellStyle name="40% - Accent6 8 6" xfId="25570" xr:uid="{6905BB10-20D4-4430-8E5E-2FA7A188F42E}"/>
    <cellStyle name="40% - Accent6 8 6 2" xfId="40541" xr:uid="{E49A56A1-DC7A-4BBE-B011-981835648CC0}"/>
    <cellStyle name="40% - Accent6 8 7" xfId="32938" xr:uid="{B20C820E-DD90-47E2-813E-058B7C3D1A23}"/>
    <cellStyle name="40% - Accent6 9" xfId="7993" xr:uid="{00000000-0005-0000-0000-0000CE120000}"/>
    <cellStyle name="40% - Accent6 9 2" xfId="7994" xr:uid="{00000000-0005-0000-0000-0000CF120000}"/>
    <cellStyle name="40% - Accent6 9 2 2" xfId="7995" xr:uid="{00000000-0005-0000-0000-0000D0120000}"/>
    <cellStyle name="40% - Accent6 9 2 2 2" xfId="25581" xr:uid="{8EF2B5C1-C8A5-4E5E-A626-7CE04EC1782C}"/>
    <cellStyle name="40% - Accent6 9 2 2 2 2" xfId="40552" xr:uid="{E70FD877-6093-4E5D-8B92-EDEC867D7460}"/>
    <cellStyle name="40% - Accent6 9 2 2 3" xfId="32949" xr:uid="{0912D261-C914-4933-8728-3E9907DC29A8}"/>
    <cellStyle name="40% - Accent6 9 2 3" xfId="7996" xr:uid="{00000000-0005-0000-0000-0000D1120000}"/>
    <cellStyle name="40% - Accent6 9 2 3 2" xfId="25582" xr:uid="{CBBAA223-FCE2-4642-B5E2-FC31BE9D991A}"/>
    <cellStyle name="40% - Accent6 9 2 3 2 2" xfId="40553" xr:uid="{14A64DF7-2B54-4506-B0AD-104D48981B72}"/>
    <cellStyle name="40% - Accent6 9 2 3 3" xfId="32950" xr:uid="{757EC8A6-830E-4F81-BEDB-3D39A5C5A876}"/>
    <cellStyle name="40% - Accent6 9 2 4" xfId="25580" xr:uid="{BB2B7DE1-DF4E-41B5-977D-03E0EE4CEF8B}"/>
    <cellStyle name="40% - Accent6 9 2 4 2" xfId="40551" xr:uid="{65B4164B-77F4-477C-8FF8-34CE166C9714}"/>
    <cellStyle name="40% - Accent6 9 2 5" xfId="32948" xr:uid="{9AEA05E9-B29F-4DBC-A01B-E6BEFE5DA5D4}"/>
    <cellStyle name="40% - Accent6 9 3" xfId="7997" xr:uid="{00000000-0005-0000-0000-0000D2120000}"/>
    <cellStyle name="40% - Accent6 9 3 2" xfId="25583" xr:uid="{D4ECD2EB-B298-4A9C-AE44-F1591EAD6C21}"/>
    <cellStyle name="40% - Accent6 9 3 2 2" xfId="40554" xr:uid="{F9ABF20B-145D-4D0F-A851-6B3F101BE59D}"/>
    <cellStyle name="40% - Accent6 9 3 3" xfId="32951" xr:uid="{D3C324C8-9A16-4F99-BDDC-5B4C300A3A63}"/>
    <cellStyle name="40% - Accent6 9 4" xfId="7998" xr:uid="{00000000-0005-0000-0000-0000D3120000}"/>
    <cellStyle name="40% - Accent6 9 4 2" xfId="7999" xr:uid="{00000000-0005-0000-0000-0000D4120000}"/>
    <cellStyle name="40% - Accent6 9 4 2 2" xfId="25585" xr:uid="{9BA9F799-647C-48CF-8BFA-747AAD570262}"/>
    <cellStyle name="40% - Accent6 9 4 2 2 2" xfId="40556" xr:uid="{07E2ADE4-01BF-4C92-BE12-BDAC329343D9}"/>
    <cellStyle name="40% - Accent6 9 4 2 3" xfId="32953" xr:uid="{8ABA9394-1855-4F6F-9C5A-E6641A78C4C2}"/>
    <cellStyle name="40% - Accent6 9 4 3" xfId="25584" xr:uid="{8377E3AD-F045-4618-8992-3079CAC8CF7E}"/>
    <cellStyle name="40% - Accent6 9 4 3 2" xfId="40555" xr:uid="{6EF18365-EEC6-4E48-9932-3CE2B9C011CC}"/>
    <cellStyle name="40% - Accent6 9 4 4" xfId="32952" xr:uid="{06B47803-E552-435C-9F89-5CC0196721EF}"/>
    <cellStyle name="40% - Accent6 9 5" xfId="8000" xr:uid="{00000000-0005-0000-0000-0000D5120000}"/>
    <cellStyle name="40% - Accent6 9 5 2" xfId="25586" xr:uid="{8B0E1907-FA99-416E-BC6C-6B028E0A430A}"/>
    <cellStyle name="40% - Accent6 9 5 2 2" xfId="40557" xr:uid="{D9367DD4-37E4-48FD-8420-B4E507B12B44}"/>
    <cellStyle name="40% - Accent6 9 5 3" xfId="32954" xr:uid="{239D89C0-C668-42D3-8D07-C84F586F5D62}"/>
    <cellStyle name="40% - Accent6 9 6" xfId="25579" xr:uid="{9969E11E-D288-44EA-BE14-25B6F69BAC92}"/>
    <cellStyle name="40% - Accent6 9 6 2" xfId="40550" xr:uid="{0B6DE57E-1619-4406-9221-81F19CE17ABE}"/>
    <cellStyle name="40% - Accent6 9 7" xfId="32947" xr:uid="{9544BAE8-500C-412E-A344-C08DA00BDA3E}"/>
    <cellStyle name="5 in (Normal)" xfId="257" xr:uid="{00000000-0005-0000-0000-000060000000}"/>
    <cellStyle name="60% - Accent1" xfId="84" builtinId="32" customBuiltin="1"/>
    <cellStyle name="60% - Accent1 10" xfId="8001" xr:uid="{00000000-0005-0000-0000-0000D7120000}"/>
    <cellStyle name="60% - Accent1 11" xfId="8002" xr:uid="{00000000-0005-0000-0000-0000D8120000}"/>
    <cellStyle name="60% - Accent1 12" xfId="20644" xr:uid="{867553B6-F47D-4681-9C80-51C92BD8C5BD}"/>
    <cellStyle name="60% - Accent1 12 2" xfId="35645" xr:uid="{ADDC3FDB-4B64-4572-9447-4E37A77BC1A6}"/>
    <cellStyle name="60% - Accent1 13" xfId="27948" xr:uid="{BC7B30DB-A545-4A82-A385-52A34E5EC5FB}"/>
    <cellStyle name="60% - Accent1 2" xfId="258" xr:uid="{00000000-0005-0000-0000-000061000000}"/>
    <cellStyle name="60% - Accent1 3" xfId="259" xr:uid="{00000000-0005-0000-0000-000062000000}"/>
    <cellStyle name="60% - Accent1 3 2" xfId="8003" xr:uid="{00000000-0005-0000-0000-0000DB120000}"/>
    <cellStyle name="60% - Accent1 3 3" xfId="8004" xr:uid="{00000000-0005-0000-0000-0000DC120000}"/>
    <cellStyle name="60% - Accent1 4" xfId="260" xr:uid="{00000000-0005-0000-0000-000063000000}"/>
    <cellStyle name="60% - Accent1 5" xfId="261" xr:uid="{00000000-0005-0000-0000-000064000000}"/>
    <cellStyle name="60% - Accent1 6" xfId="262" xr:uid="{00000000-0005-0000-0000-000065000000}"/>
    <cellStyle name="60% - Accent1 7" xfId="263" xr:uid="{00000000-0005-0000-0000-000066000000}"/>
    <cellStyle name="60% - Accent1 8" xfId="8005" xr:uid="{00000000-0005-0000-0000-0000E1120000}"/>
    <cellStyle name="60% - Accent1 9" xfId="8006" xr:uid="{00000000-0005-0000-0000-0000E2120000}"/>
    <cellStyle name="60% - Accent2" xfId="88" builtinId="36" customBuiltin="1"/>
    <cellStyle name="60% - Accent2 10" xfId="8007" xr:uid="{00000000-0005-0000-0000-0000E3120000}"/>
    <cellStyle name="60% - Accent2 11" xfId="8008" xr:uid="{00000000-0005-0000-0000-0000E4120000}"/>
    <cellStyle name="60% - Accent2 12" xfId="20647" xr:uid="{D379E9AC-EC80-4CB2-96E5-169CD6D97FAB}"/>
    <cellStyle name="60% - Accent2 12 2" xfId="35648" xr:uid="{4F7505A3-7D5F-47B2-B5ED-FA517AA19E02}"/>
    <cellStyle name="60% - Accent2 13" xfId="27951" xr:uid="{B8340D52-BB35-4288-9715-1595F8B24D87}"/>
    <cellStyle name="60% - Accent2 2" xfId="264" xr:uid="{00000000-0005-0000-0000-000067000000}"/>
    <cellStyle name="60% - Accent2 3" xfId="265" xr:uid="{00000000-0005-0000-0000-000068000000}"/>
    <cellStyle name="60% - Accent2 3 2" xfId="8009" xr:uid="{00000000-0005-0000-0000-0000E7120000}"/>
    <cellStyle name="60% - Accent2 3 3" xfId="8010" xr:uid="{00000000-0005-0000-0000-0000E8120000}"/>
    <cellStyle name="60% - Accent2 4" xfId="266" xr:uid="{00000000-0005-0000-0000-000069000000}"/>
    <cellStyle name="60% - Accent2 5" xfId="267" xr:uid="{00000000-0005-0000-0000-00006A000000}"/>
    <cellStyle name="60% - Accent2 6" xfId="268" xr:uid="{00000000-0005-0000-0000-00006B000000}"/>
    <cellStyle name="60% - Accent2 7" xfId="269" xr:uid="{00000000-0005-0000-0000-00006C000000}"/>
    <cellStyle name="60% - Accent2 8" xfId="8011" xr:uid="{00000000-0005-0000-0000-0000ED120000}"/>
    <cellStyle name="60% - Accent2 9" xfId="8012" xr:uid="{00000000-0005-0000-0000-0000EE120000}"/>
    <cellStyle name="60% - Accent3" xfId="92" builtinId="40" customBuiltin="1"/>
    <cellStyle name="60% - Accent3 10" xfId="8013" xr:uid="{00000000-0005-0000-0000-0000EF120000}"/>
    <cellStyle name="60% - Accent3 11" xfId="8014" xr:uid="{00000000-0005-0000-0000-0000F0120000}"/>
    <cellStyle name="60% - Accent3 12" xfId="20650" xr:uid="{E480EA19-44B3-42A6-AE1B-40DDE9E9701F}"/>
    <cellStyle name="60% - Accent3 12 2" xfId="35651" xr:uid="{5C9EA08D-E916-4F0E-B691-7EB8DF2CA9AD}"/>
    <cellStyle name="60% - Accent3 13" xfId="27954" xr:uid="{F1B66AC2-11DB-427E-AE57-D6C3C7A8D12F}"/>
    <cellStyle name="60% - Accent3 2" xfId="270" xr:uid="{00000000-0005-0000-0000-00006D000000}"/>
    <cellStyle name="60% - Accent3 3" xfId="271" xr:uid="{00000000-0005-0000-0000-00006E000000}"/>
    <cellStyle name="60% - Accent3 3 2" xfId="8015" xr:uid="{00000000-0005-0000-0000-0000F3120000}"/>
    <cellStyle name="60% - Accent3 3 3" xfId="8016" xr:uid="{00000000-0005-0000-0000-0000F4120000}"/>
    <cellStyle name="60% - Accent3 4" xfId="272" xr:uid="{00000000-0005-0000-0000-00006F000000}"/>
    <cellStyle name="60% - Accent3 5" xfId="273" xr:uid="{00000000-0005-0000-0000-000070000000}"/>
    <cellStyle name="60% - Accent3 6" xfId="274" xr:uid="{00000000-0005-0000-0000-000071000000}"/>
    <cellStyle name="60% - Accent3 7" xfId="275" xr:uid="{00000000-0005-0000-0000-000072000000}"/>
    <cellStyle name="60% - Accent3 8" xfId="8017" xr:uid="{00000000-0005-0000-0000-0000F9120000}"/>
    <cellStyle name="60% - Accent3 9" xfId="8018" xr:uid="{00000000-0005-0000-0000-0000FA120000}"/>
    <cellStyle name="60% - Accent4" xfId="96" builtinId="44" customBuiltin="1"/>
    <cellStyle name="60% - Accent4 10" xfId="8019" xr:uid="{00000000-0005-0000-0000-0000FB120000}"/>
    <cellStyle name="60% - Accent4 11" xfId="8020" xr:uid="{00000000-0005-0000-0000-0000FC120000}"/>
    <cellStyle name="60% - Accent4 12" xfId="20653" xr:uid="{284AB94A-18B6-458B-9E3B-ED9A8B42B31E}"/>
    <cellStyle name="60% - Accent4 12 2" xfId="35654" xr:uid="{A568DCA4-9A25-440D-B737-6A1D8C4C0CBF}"/>
    <cellStyle name="60% - Accent4 13" xfId="27957" xr:uid="{29BA636E-A786-4E1B-8508-1CAB6DC83E9A}"/>
    <cellStyle name="60% - Accent4 2" xfId="276" xr:uid="{00000000-0005-0000-0000-000073000000}"/>
    <cellStyle name="60% - Accent4 3" xfId="277" xr:uid="{00000000-0005-0000-0000-000074000000}"/>
    <cellStyle name="60% - Accent4 3 2" xfId="8021" xr:uid="{00000000-0005-0000-0000-0000FF120000}"/>
    <cellStyle name="60% - Accent4 3 3" xfId="8022" xr:uid="{00000000-0005-0000-0000-000000130000}"/>
    <cellStyle name="60% - Accent4 4" xfId="278" xr:uid="{00000000-0005-0000-0000-000075000000}"/>
    <cellStyle name="60% - Accent4 5" xfId="279" xr:uid="{00000000-0005-0000-0000-000076000000}"/>
    <cellStyle name="60% - Accent4 6" xfId="280" xr:uid="{00000000-0005-0000-0000-000077000000}"/>
    <cellStyle name="60% - Accent4 7" xfId="281" xr:uid="{00000000-0005-0000-0000-000078000000}"/>
    <cellStyle name="60% - Accent4 8" xfId="8023" xr:uid="{00000000-0005-0000-0000-000005130000}"/>
    <cellStyle name="60% - Accent4 9" xfId="8024" xr:uid="{00000000-0005-0000-0000-000006130000}"/>
    <cellStyle name="60% - Accent5" xfId="100" builtinId="48" customBuiltin="1"/>
    <cellStyle name="60% - Accent5 10" xfId="8025" xr:uid="{00000000-0005-0000-0000-000007130000}"/>
    <cellStyle name="60% - Accent5 11" xfId="8026" xr:uid="{00000000-0005-0000-0000-000008130000}"/>
    <cellStyle name="60% - Accent5 12" xfId="20656" xr:uid="{684FDCAF-E0B3-48F0-9BF9-1B1E2891D388}"/>
    <cellStyle name="60% - Accent5 12 2" xfId="35657" xr:uid="{77F48632-A5D1-4C86-8F2A-CAEA33638DB6}"/>
    <cellStyle name="60% - Accent5 13" xfId="27960" xr:uid="{E5B57319-209A-4CCF-85E8-3735C3532BBF}"/>
    <cellStyle name="60% - Accent5 2" xfId="282" xr:uid="{00000000-0005-0000-0000-000079000000}"/>
    <cellStyle name="60% - Accent5 3" xfId="283" xr:uid="{00000000-0005-0000-0000-00007A000000}"/>
    <cellStyle name="60% - Accent5 3 2" xfId="8027" xr:uid="{00000000-0005-0000-0000-00000B130000}"/>
    <cellStyle name="60% - Accent5 3 3" xfId="8028" xr:uid="{00000000-0005-0000-0000-00000C130000}"/>
    <cellStyle name="60% - Accent5 4" xfId="284" xr:uid="{00000000-0005-0000-0000-00007B000000}"/>
    <cellStyle name="60% - Accent5 5" xfId="285" xr:uid="{00000000-0005-0000-0000-00007C000000}"/>
    <cellStyle name="60% - Accent5 6" xfId="286" xr:uid="{00000000-0005-0000-0000-00007D000000}"/>
    <cellStyle name="60% - Accent5 7" xfId="287" xr:uid="{00000000-0005-0000-0000-00007E000000}"/>
    <cellStyle name="60% - Accent5 8" xfId="8029" xr:uid="{00000000-0005-0000-0000-000011130000}"/>
    <cellStyle name="60% - Accent5 9" xfId="8030" xr:uid="{00000000-0005-0000-0000-000012130000}"/>
    <cellStyle name="60% - Accent6" xfId="104" builtinId="52" customBuiltin="1"/>
    <cellStyle name="60% - Accent6 10" xfId="8031" xr:uid="{00000000-0005-0000-0000-000013130000}"/>
    <cellStyle name="60% - Accent6 11" xfId="8032" xr:uid="{00000000-0005-0000-0000-000014130000}"/>
    <cellStyle name="60% - Accent6 12" xfId="20659" xr:uid="{579ED23A-BF3C-47A6-B82F-3103B07F2A18}"/>
    <cellStyle name="60% - Accent6 12 2" xfId="35660" xr:uid="{06737BB7-E271-46F0-842B-3BAB6566C583}"/>
    <cellStyle name="60% - Accent6 13" xfId="27963" xr:uid="{FAE119B4-0CAB-4BA9-930C-E1D9CF332B9E}"/>
    <cellStyle name="60% - Accent6 2" xfId="288" xr:uid="{00000000-0005-0000-0000-00007F000000}"/>
    <cellStyle name="60% - Accent6 3" xfId="289" xr:uid="{00000000-0005-0000-0000-000080000000}"/>
    <cellStyle name="60% - Accent6 3 2" xfId="8033" xr:uid="{00000000-0005-0000-0000-000017130000}"/>
    <cellStyle name="60% - Accent6 3 3" xfId="8034" xr:uid="{00000000-0005-0000-0000-000018130000}"/>
    <cellStyle name="60% - Accent6 4" xfId="290" xr:uid="{00000000-0005-0000-0000-000081000000}"/>
    <cellStyle name="60% - Accent6 5" xfId="291" xr:uid="{00000000-0005-0000-0000-000082000000}"/>
    <cellStyle name="60% - Accent6 6" xfId="292" xr:uid="{00000000-0005-0000-0000-000083000000}"/>
    <cellStyle name="60% - Accent6 7" xfId="293" xr:uid="{00000000-0005-0000-0000-000084000000}"/>
    <cellStyle name="60% - Accent6 8" xfId="8035" xr:uid="{00000000-0005-0000-0000-00001D130000}"/>
    <cellStyle name="60% - Accent6 9" xfId="8036" xr:uid="{00000000-0005-0000-0000-00001E130000}"/>
    <cellStyle name="Accent1" xfId="81" builtinId="29" customBuiltin="1"/>
    <cellStyle name="Accent1 - 20%" xfId="294" xr:uid="{00000000-0005-0000-0000-000085000000}"/>
    <cellStyle name="Accent1 - 20% 2" xfId="8038" xr:uid="{00000000-0005-0000-0000-000020130000}"/>
    <cellStyle name="Accent1 - 20% 3" xfId="8039" xr:uid="{00000000-0005-0000-0000-000021130000}"/>
    <cellStyle name="Accent1 - 20% 3 2" xfId="8040" xr:uid="{00000000-0005-0000-0000-000022130000}"/>
    <cellStyle name="Accent1 - 20% 3 3" xfId="8041" xr:uid="{00000000-0005-0000-0000-000023130000}"/>
    <cellStyle name="Accent1 - 20% 4" xfId="8037" xr:uid="{00000000-0005-0000-0000-00001F130000}"/>
    <cellStyle name="Accent1 - 40%" xfId="295" xr:uid="{00000000-0005-0000-0000-000086000000}"/>
    <cellStyle name="Accent1 - 40% 2" xfId="8043" xr:uid="{00000000-0005-0000-0000-000025130000}"/>
    <cellStyle name="Accent1 - 40% 3" xfId="8044" xr:uid="{00000000-0005-0000-0000-000026130000}"/>
    <cellStyle name="Accent1 - 40% 3 2" xfId="8045" xr:uid="{00000000-0005-0000-0000-000027130000}"/>
    <cellStyle name="Accent1 - 40% 3 3" xfId="8046" xr:uid="{00000000-0005-0000-0000-000028130000}"/>
    <cellStyle name="Accent1 - 40% 4" xfId="8042" xr:uid="{00000000-0005-0000-0000-000024130000}"/>
    <cellStyle name="Accent1 - 60%" xfId="296" xr:uid="{00000000-0005-0000-0000-000087000000}"/>
    <cellStyle name="Accent1 - 60% 2" xfId="8048" xr:uid="{00000000-0005-0000-0000-00002A130000}"/>
    <cellStyle name="Accent1 - 60% 2 2" xfId="8049" xr:uid="{00000000-0005-0000-0000-00002B130000}"/>
    <cellStyle name="Accent1 - 60% 2 3" xfId="8050" xr:uid="{00000000-0005-0000-0000-00002C130000}"/>
    <cellStyle name="Accent1 - 60% 3" xfId="8047" xr:uid="{00000000-0005-0000-0000-000029130000}"/>
    <cellStyle name="Accent1 10" xfId="8051" xr:uid="{00000000-0005-0000-0000-00002D130000}"/>
    <cellStyle name="Accent1 11" xfId="8052" xr:uid="{00000000-0005-0000-0000-00002E130000}"/>
    <cellStyle name="Accent1 12" xfId="8053" xr:uid="{00000000-0005-0000-0000-00002F130000}"/>
    <cellStyle name="Accent1 13" xfId="8054" xr:uid="{00000000-0005-0000-0000-000030130000}"/>
    <cellStyle name="Accent1 14" xfId="8055" xr:uid="{00000000-0005-0000-0000-000031130000}"/>
    <cellStyle name="Accent1 15" xfId="8056" xr:uid="{00000000-0005-0000-0000-000032130000}"/>
    <cellStyle name="Accent1 16" xfId="8057" xr:uid="{00000000-0005-0000-0000-000033130000}"/>
    <cellStyle name="Accent1 17" xfId="8058" xr:uid="{00000000-0005-0000-0000-000034130000}"/>
    <cellStyle name="Accent1 18" xfId="8059" xr:uid="{00000000-0005-0000-0000-000035130000}"/>
    <cellStyle name="Accent1 19" xfId="8060" xr:uid="{00000000-0005-0000-0000-000036130000}"/>
    <cellStyle name="Accent1 2" xfId="297" xr:uid="{00000000-0005-0000-0000-000088000000}"/>
    <cellStyle name="Accent1 2 2" xfId="8062" xr:uid="{00000000-0005-0000-0000-000038130000}"/>
    <cellStyle name="Accent1 2 2 2" xfId="8063" xr:uid="{00000000-0005-0000-0000-000039130000}"/>
    <cellStyle name="Accent1 2 3" xfId="8064" xr:uid="{00000000-0005-0000-0000-00003A130000}"/>
    <cellStyle name="Accent1 2 4" xfId="8061" xr:uid="{00000000-0005-0000-0000-000037130000}"/>
    <cellStyle name="Accent1 20" xfId="8065" xr:uid="{00000000-0005-0000-0000-00003B130000}"/>
    <cellStyle name="Accent1 21" xfId="8066" xr:uid="{00000000-0005-0000-0000-00003C130000}"/>
    <cellStyle name="Accent1 22" xfId="8067" xr:uid="{00000000-0005-0000-0000-00003D130000}"/>
    <cellStyle name="Accent1 23" xfId="8068" xr:uid="{00000000-0005-0000-0000-00003E130000}"/>
    <cellStyle name="Accent1 24" xfId="8069" xr:uid="{00000000-0005-0000-0000-00003F130000}"/>
    <cellStyle name="Accent1 24 2" xfId="8070" xr:uid="{00000000-0005-0000-0000-000040130000}"/>
    <cellStyle name="Accent1 24 3" xfId="8071" xr:uid="{00000000-0005-0000-0000-000041130000}"/>
    <cellStyle name="Accent1 25" xfId="8072" xr:uid="{00000000-0005-0000-0000-000042130000}"/>
    <cellStyle name="Accent1 25 2" xfId="8073" xr:uid="{00000000-0005-0000-0000-000043130000}"/>
    <cellStyle name="Accent1 25 3" xfId="8074" xr:uid="{00000000-0005-0000-0000-000044130000}"/>
    <cellStyle name="Accent1 26" xfId="8075" xr:uid="{00000000-0005-0000-0000-000045130000}"/>
    <cellStyle name="Accent1 26 2" xfId="8076" xr:uid="{00000000-0005-0000-0000-000046130000}"/>
    <cellStyle name="Accent1 26 3" xfId="8077" xr:uid="{00000000-0005-0000-0000-000047130000}"/>
    <cellStyle name="Accent1 27" xfId="8078" xr:uid="{00000000-0005-0000-0000-000048130000}"/>
    <cellStyle name="Accent1 27 2" xfId="8079" xr:uid="{00000000-0005-0000-0000-000049130000}"/>
    <cellStyle name="Accent1 27 3" xfId="8080" xr:uid="{00000000-0005-0000-0000-00004A130000}"/>
    <cellStyle name="Accent1 28" xfId="8081" xr:uid="{00000000-0005-0000-0000-00004B130000}"/>
    <cellStyle name="Accent1 28 2" xfId="8082" xr:uid="{00000000-0005-0000-0000-00004C130000}"/>
    <cellStyle name="Accent1 28 3" xfId="8083" xr:uid="{00000000-0005-0000-0000-00004D130000}"/>
    <cellStyle name="Accent1 29" xfId="8084" xr:uid="{00000000-0005-0000-0000-00004E130000}"/>
    <cellStyle name="Accent1 29 2" xfId="8085" xr:uid="{00000000-0005-0000-0000-00004F130000}"/>
    <cellStyle name="Accent1 29 3" xfId="8086" xr:uid="{00000000-0005-0000-0000-000050130000}"/>
    <cellStyle name="Accent1 3" xfId="298" xr:uid="{00000000-0005-0000-0000-000089000000}"/>
    <cellStyle name="Accent1 3 2" xfId="8088" xr:uid="{00000000-0005-0000-0000-000052130000}"/>
    <cellStyle name="Accent1 3 3" xfId="8089" xr:uid="{00000000-0005-0000-0000-000053130000}"/>
    <cellStyle name="Accent1 3 4" xfId="8087" xr:uid="{00000000-0005-0000-0000-000051130000}"/>
    <cellStyle name="Accent1 30" xfId="8090" xr:uid="{00000000-0005-0000-0000-000054130000}"/>
    <cellStyle name="Accent1 31" xfId="8091" xr:uid="{00000000-0005-0000-0000-000055130000}"/>
    <cellStyle name="Accent1 31 2" xfId="8092" xr:uid="{00000000-0005-0000-0000-000056130000}"/>
    <cellStyle name="Accent1 32" xfId="8093" xr:uid="{00000000-0005-0000-0000-000057130000}"/>
    <cellStyle name="Accent1 33" xfId="8094" xr:uid="{00000000-0005-0000-0000-000058130000}"/>
    <cellStyle name="Accent1 34" xfId="8095" xr:uid="{00000000-0005-0000-0000-000059130000}"/>
    <cellStyle name="Accent1 35" xfId="8096" xr:uid="{00000000-0005-0000-0000-00005A130000}"/>
    <cellStyle name="Accent1 36" xfId="8097" xr:uid="{00000000-0005-0000-0000-00005B130000}"/>
    <cellStyle name="Accent1 37" xfId="8098" xr:uid="{00000000-0005-0000-0000-00005C130000}"/>
    <cellStyle name="Accent1 38" xfId="8099" xr:uid="{00000000-0005-0000-0000-00005D130000}"/>
    <cellStyle name="Accent1 39" xfId="8100" xr:uid="{00000000-0005-0000-0000-00005E130000}"/>
    <cellStyle name="Accent1 4" xfId="299" xr:uid="{00000000-0005-0000-0000-00008A000000}"/>
    <cellStyle name="Accent1 4 2" xfId="8102" xr:uid="{00000000-0005-0000-0000-000060130000}"/>
    <cellStyle name="Accent1 4 3" xfId="8103" xr:uid="{00000000-0005-0000-0000-000061130000}"/>
    <cellStyle name="Accent1 4 4" xfId="8101" xr:uid="{00000000-0005-0000-0000-00005F130000}"/>
    <cellStyle name="Accent1 40" xfId="8104" xr:uid="{00000000-0005-0000-0000-000062130000}"/>
    <cellStyle name="Accent1 41" xfId="8105" xr:uid="{00000000-0005-0000-0000-000063130000}"/>
    <cellStyle name="Accent1 42" xfId="8106" xr:uid="{00000000-0005-0000-0000-000064130000}"/>
    <cellStyle name="Accent1 43" xfId="8107" xr:uid="{00000000-0005-0000-0000-000065130000}"/>
    <cellStyle name="Accent1 44" xfId="8108" xr:uid="{00000000-0005-0000-0000-000066130000}"/>
    <cellStyle name="Accent1 45" xfId="8109" xr:uid="{00000000-0005-0000-0000-000067130000}"/>
    <cellStyle name="Accent1 46" xfId="8110" xr:uid="{00000000-0005-0000-0000-000068130000}"/>
    <cellStyle name="Accent1 47" xfId="8111" xr:uid="{00000000-0005-0000-0000-000069130000}"/>
    <cellStyle name="Accent1 48" xfId="8112" xr:uid="{00000000-0005-0000-0000-00006A130000}"/>
    <cellStyle name="Accent1 49" xfId="8113" xr:uid="{00000000-0005-0000-0000-00006B130000}"/>
    <cellStyle name="Accent1 5" xfId="300" xr:uid="{00000000-0005-0000-0000-00008B000000}"/>
    <cellStyle name="Accent1 5 2" xfId="8115" xr:uid="{00000000-0005-0000-0000-00006D130000}"/>
    <cellStyle name="Accent1 5 3" xfId="8116" xr:uid="{00000000-0005-0000-0000-00006E130000}"/>
    <cellStyle name="Accent1 5 4" xfId="8114" xr:uid="{00000000-0005-0000-0000-00006C130000}"/>
    <cellStyle name="Accent1 50" xfId="8117" xr:uid="{00000000-0005-0000-0000-00006F130000}"/>
    <cellStyle name="Accent1 51" xfId="8118" xr:uid="{00000000-0005-0000-0000-000070130000}"/>
    <cellStyle name="Accent1 52" xfId="8119" xr:uid="{00000000-0005-0000-0000-000071130000}"/>
    <cellStyle name="Accent1 53" xfId="8120" xr:uid="{00000000-0005-0000-0000-000072130000}"/>
    <cellStyle name="Accent1 54" xfId="8121" xr:uid="{00000000-0005-0000-0000-000073130000}"/>
    <cellStyle name="Accent1 55" xfId="8122" xr:uid="{00000000-0005-0000-0000-000074130000}"/>
    <cellStyle name="Accent1 56" xfId="8123" xr:uid="{00000000-0005-0000-0000-000075130000}"/>
    <cellStyle name="Accent1 57" xfId="8124" xr:uid="{00000000-0005-0000-0000-000076130000}"/>
    <cellStyle name="Accent1 58" xfId="8125" xr:uid="{00000000-0005-0000-0000-000077130000}"/>
    <cellStyle name="Accent1 59" xfId="8126" xr:uid="{00000000-0005-0000-0000-000078130000}"/>
    <cellStyle name="Accent1 6" xfId="301" xr:uid="{00000000-0005-0000-0000-00008C000000}"/>
    <cellStyle name="Accent1 6 2" xfId="8128" xr:uid="{00000000-0005-0000-0000-00007A130000}"/>
    <cellStyle name="Accent1 6 3" xfId="8129" xr:uid="{00000000-0005-0000-0000-00007B130000}"/>
    <cellStyle name="Accent1 6 4" xfId="8127" xr:uid="{00000000-0005-0000-0000-000079130000}"/>
    <cellStyle name="Accent1 60" xfId="8130" xr:uid="{00000000-0005-0000-0000-00007C130000}"/>
    <cellStyle name="Accent1 7" xfId="302" xr:uid="{00000000-0005-0000-0000-00008D000000}"/>
    <cellStyle name="Accent1 7 2" xfId="8132" xr:uid="{00000000-0005-0000-0000-00007E130000}"/>
    <cellStyle name="Accent1 7 3" xfId="8131" xr:uid="{00000000-0005-0000-0000-00007D130000}"/>
    <cellStyle name="Accent1 8" xfId="8133" xr:uid="{00000000-0005-0000-0000-00007F130000}"/>
    <cellStyle name="Accent1 9" xfId="8134" xr:uid="{00000000-0005-0000-0000-000080130000}"/>
    <cellStyle name="Accent2" xfId="85" builtinId="33" customBuiltin="1"/>
    <cellStyle name="Accent2 - 20%" xfId="303" xr:uid="{00000000-0005-0000-0000-00008E000000}"/>
    <cellStyle name="Accent2 - 20% 2" xfId="8136" xr:uid="{00000000-0005-0000-0000-000082130000}"/>
    <cellStyle name="Accent2 - 20% 3" xfId="8137" xr:uid="{00000000-0005-0000-0000-000083130000}"/>
    <cellStyle name="Accent2 - 20% 3 2" xfId="8138" xr:uid="{00000000-0005-0000-0000-000084130000}"/>
    <cellStyle name="Accent2 - 20% 3 3" xfId="8139" xr:uid="{00000000-0005-0000-0000-000085130000}"/>
    <cellStyle name="Accent2 - 20% 4" xfId="8135" xr:uid="{00000000-0005-0000-0000-000081130000}"/>
    <cellStyle name="Accent2 - 40%" xfId="304" xr:uid="{00000000-0005-0000-0000-00008F000000}"/>
    <cellStyle name="Accent2 - 40% 2" xfId="8141" xr:uid="{00000000-0005-0000-0000-000087130000}"/>
    <cellStyle name="Accent2 - 40% 3" xfId="8142" xr:uid="{00000000-0005-0000-0000-000088130000}"/>
    <cellStyle name="Accent2 - 40% 3 2" xfId="8143" xr:uid="{00000000-0005-0000-0000-000089130000}"/>
    <cellStyle name="Accent2 - 40% 3 3" xfId="8144" xr:uid="{00000000-0005-0000-0000-00008A130000}"/>
    <cellStyle name="Accent2 - 40% 4" xfId="8140" xr:uid="{00000000-0005-0000-0000-000086130000}"/>
    <cellStyle name="Accent2 - 60%" xfId="305" xr:uid="{00000000-0005-0000-0000-000090000000}"/>
    <cellStyle name="Accent2 - 60% 2" xfId="8146" xr:uid="{00000000-0005-0000-0000-00008C130000}"/>
    <cellStyle name="Accent2 - 60% 2 2" xfId="8147" xr:uid="{00000000-0005-0000-0000-00008D130000}"/>
    <cellStyle name="Accent2 - 60% 2 3" xfId="8148" xr:uid="{00000000-0005-0000-0000-00008E130000}"/>
    <cellStyle name="Accent2 - 60% 3" xfId="8145" xr:uid="{00000000-0005-0000-0000-00008B130000}"/>
    <cellStyle name="Accent2 10" xfId="8149" xr:uid="{00000000-0005-0000-0000-00008F130000}"/>
    <cellStyle name="Accent2 11" xfId="8150" xr:uid="{00000000-0005-0000-0000-000090130000}"/>
    <cellStyle name="Accent2 12" xfId="8151" xr:uid="{00000000-0005-0000-0000-000091130000}"/>
    <cellStyle name="Accent2 13" xfId="8152" xr:uid="{00000000-0005-0000-0000-000092130000}"/>
    <cellStyle name="Accent2 14" xfId="8153" xr:uid="{00000000-0005-0000-0000-000093130000}"/>
    <cellStyle name="Accent2 15" xfId="8154" xr:uid="{00000000-0005-0000-0000-000094130000}"/>
    <cellStyle name="Accent2 16" xfId="8155" xr:uid="{00000000-0005-0000-0000-000095130000}"/>
    <cellStyle name="Accent2 17" xfId="8156" xr:uid="{00000000-0005-0000-0000-000096130000}"/>
    <cellStyle name="Accent2 18" xfId="8157" xr:uid="{00000000-0005-0000-0000-000097130000}"/>
    <cellStyle name="Accent2 19" xfId="8158" xr:uid="{00000000-0005-0000-0000-000098130000}"/>
    <cellStyle name="Accent2 2" xfId="306" xr:uid="{00000000-0005-0000-0000-000091000000}"/>
    <cellStyle name="Accent2 2 2" xfId="8160" xr:uid="{00000000-0005-0000-0000-00009A130000}"/>
    <cellStyle name="Accent2 2 2 2" xfId="8161" xr:uid="{00000000-0005-0000-0000-00009B130000}"/>
    <cellStyle name="Accent2 2 3" xfId="8162" xr:uid="{00000000-0005-0000-0000-00009C130000}"/>
    <cellStyle name="Accent2 2 4" xfId="8159" xr:uid="{00000000-0005-0000-0000-000099130000}"/>
    <cellStyle name="Accent2 20" xfId="8163" xr:uid="{00000000-0005-0000-0000-00009D130000}"/>
    <cellStyle name="Accent2 21" xfId="8164" xr:uid="{00000000-0005-0000-0000-00009E130000}"/>
    <cellStyle name="Accent2 22" xfId="8165" xr:uid="{00000000-0005-0000-0000-00009F130000}"/>
    <cellStyle name="Accent2 23" xfId="8166" xr:uid="{00000000-0005-0000-0000-0000A0130000}"/>
    <cellStyle name="Accent2 24" xfId="8167" xr:uid="{00000000-0005-0000-0000-0000A1130000}"/>
    <cellStyle name="Accent2 24 2" xfId="8168" xr:uid="{00000000-0005-0000-0000-0000A2130000}"/>
    <cellStyle name="Accent2 24 3" xfId="8169" xr:uid="{00000000-0005-0000-0000-0000A3130000}"/>
    <cellStyle name="Accent2 25" xfId="8170" xr:uid="{00000000-0005-0000-0000-0000A4130000}"/>
    <cellStyle name="Accent2 25 2" xfId="8171" xr:uid="{00000000-0005-0000-0000-0000A5130000}"/>
    <cellStyle name="Accent2 25 3" xfId="8172" xr:uid="{00000000-0005-0000-0000-0000A6130000}"/>
    <cellStyle name="Accent2 26" xfId="8173" xr:uid="{00000000-0005-0000-0000-0000A7130000}"/>
    <cellStyle name="Accent2 26 2" xfId="8174" xr:uid="{00000000-0005-0000-0000-0000A8130000}"/>
    <cellStyle name="Accent2 26 3" xfId="8175" xr:uid="{00000000-0005-0000-0000-0000A9130000}"/>
    <cellStyle name="Accent2 27" xfId="8176" xr:uid="{00000000-0005-0000-0000-0000AA130000}"/>
    <cellStyle name="Accent2 27 2" xfId="8177" xr:uid="{00000000-0005-0000-0000-0000AB130000}"/>
    <cellStyle name="Accent2 27 3" xfId="8178" xr:uid="{00000000-0005-0000-0000-0000AC130000}"/>
    <cellStyle name="Accent2 28" xfId="8179" xr:uid="{00000000-0005-0000-0000-0000AD130000}"/>
    <cellStyle name="Accent2 28 2" xfId="8180" xr:uid="{00000000-0005-0000-0000-0000AE130000}"/>
    <cellStyle name="Accent2 28 3" xfId="8181" xr:uid="{00000000-0005-0000-0000-0000AF130000}"/>
    <cellStyle name="Accent2 29" xfId="8182" xr:uid="{00000000-0005-0000-0000-0000B0130000}"/>
    <cellStyle name="Accent2 29 2" xfId="8183" xr:uid="{00000000-0005-0000-0000-0000B1130000}"/>
    <cellStyle name="Accent2 29 3" xfId="8184" xr:uid="{00000000-0005-0000-0000-0000B2130000}"/>
    <cellStyle name="Accent2 3" xfId="307" xr:uid="{00000000-0005-0000-0000-000092000000}"/>
    <cellStyle name="Accent2 3 2" xfId="8185" xr:uid="{00000000-0005-0000-0000-0000B4130000}"/>
    <cellStyle name="Accent2 30" xfId="8186" xr:uid="{00000000-0005-0000-0000-0000B5130000}"/>
    <cellStyle name="Accent2 31" xfId="8187" xr:uid="{00000000-0005-0000-0000-0000B6130000}"/>
    <cellStyle name="Accent2 31 2" xfId="8188" xr:uid="{00000000-0005-0000-0000-0000B7130000}"/>
    <cellStyle name="Accent2 32" xfId="8189" xr:uid="{00000000-0005-0000-0000-0000B8130000}"/>
    <cellStyle name="Accent2 33" xfId="8190" xr:uid="{00000000-0005-0000-0000-0000B9130000}"/>
    <cellStyle name="Accent2 34" xfId="8191" xr:uid="{00000000-0005-0000-0000-0000BA130000}"/>
    <cellStyle name="Accent2 35" xfId="8192" xr:uid="{00000000-0005-0000-0000-0000BB130000}"/>
    <cellStyle name="Accent2 36" xfId="8193" xr:uid="{00000000-0005-0000-0000-0000BC130000}"/>
    <cellStyle name="Accent2 37" xfId="8194" xr:uid="{00000000-0005-0000-0000-0000BD130000}"/>
    <cellStyle name="Accent2 38" xfId="8195" xr:uid="{00000000-0005-0000-0000-0000BE130000}"/>
    <cellStyle name="Accent2 39" xfId="8196" xr:uid="{00000000-0005-0000-0000-0000BF130000}"/>
    <cellStyle name="Accent2 4" xfId="308" xr:uid="{00000000-0005-0000-0000-000093000000}"/>
    <cellStyle name="Accent2 4 2" xfId="8197" xr:uid="{00000000-0005-0000-0000-0000C1130000}"/>
    <cellStyle name="Accent2 40" xfId="8198" xr:uid="{00000000-0005-0000-0000-0000C2130000}"/>
    <cellStyle name="Accent2 41" xfId="8199" xr:uid="{00000000-0005-0000-0000-0000C3130000}"/>
    <cellStyle name="Accent2 42" xfId="8200" xr:uid="{00000000-0005-0000-0000-0000C4130000}"/>
    <cellStyle name="Accent2 43" xfId="8201" xr:uid="{00000000-0005-0000-0000-0000C5130000}"/>
    <cellStyle name="Accent2 44" xfId="8202" xr:uid="{00000000-0005-0000-0000-0000C6130000}"/>
    <cellStyle name="Accent2 45" xfId="8203" xr:uid="{00000000-0005-0000-0000-0000C7130000}"/>
    <cellStyle name="Accent2 46" xfId="8204" xr:uid="{00000000-0005-0000-0000-0000C8130000}"/>
    <cellStyle name="Accent2 47" xfId="8205" xr:uid="{00000000-0005-0000-0000-0000C9130000}"/>
    <cellStyle name="Accent2 48" xfId="8206" xr:uid="{00000000-0005-0000-0000-0000CA130000}"/>
    <cellStyle name="Accent2 49" xfId="8207" xr:uid="{00000000-0005-0000-0000-0000CB130000}"/>
    <cellStyle name="Accent2 5" xfId="309" xr:uid="{00000000-0005-0000-0000-000094000000}"/>
    <cellStyle name="Accent2 5 2" xfId="8208" xr:uid="{00000000-0005-0000-0000-0000CD130000}"/>
    <cellStyle name="Accent2 50" xfId="8209" xr:uid="{00000000-0005-0000-0000-0000CE130000}"/>
    <cellStyle name="Accent2 51" xfId="8210" xr:uid="{00000000-0005-0000-0000-0000CF130000}"/>
    <cellStyle name="Accent2 52" xfId="8211" xr:uid="{00000000-0005-0000-0000-0000D0130000}"/>
    <cellStyle name="Accent2 53" xfId="8212" xr:uid="{00000000-0005-0000-0000-0000D1130000}"/>
    <cellStyle name="Accent2 54" xfId="8213" xr:uid="{00000000-0005-0000-0000-0000D2130000}"/>
    <cellStyle name="Accent2 55" xfId="8214" xr:uid="{00000000-0005-0000-0000-0000D3130000}"/>
    <cellStyle name="Accent2 56" xfId="8215" xr:uid="{00000000-0005-0000-0000-0000D4130000}"/>
    <cellStyle name="Accent2 57" xfId="8216" xr:uid="{00000000-0005-0000-0000-0000D5130000}"/>
    <cellStyle name="Accent2 58" xfId="8217" xr:uid="{00000000-0005-0000-0000-0000D6130000}"/>
    <cellStyle name="Accent2 59" xfId="8218" xr:uid="{00000000-0005-0000-0000-0000D7130000}"/>
    <cellStyle name="Accent2 6" xfId="310" xr:uid="{00000000-0005-0000-0000-000095000000}"/>
    <cellStyle name="Accent2 6 2" xfId="8219" xr:uid="{00000000-0005-0000-0000-0000D9130000}"/>
    <cellStyle name="Accent2 60" xfId="8220" xr:uid="{00000000-0005-0000-0000-0000DA130000}"/>
    <cellStyle name="Accent2 7" xfId="311" xr:uid="{00000000-0005-0000-0000-000096000000}"/>
    <cellStyle name="Accent2 7 2" xfId="8222" xr:uid="{00000000-0005-0000-0000-0000DC130000}"/>
    <cellStyle name="Accent2 7 3" xfId="8221" xr:uid="{00000000-0005-0000-0000-0000DB130000}"/>
    <cellStyle name="Accent2 8" xfId="8223" xr:uid="{00000000-0005-0000-0000-0000DD130000}"/>
    <cellStyle name="Accent2 9" xfId="8224" xr:uid="{00000000-0005-0000-0000-0000DE130000}"/>
    <cellStyle name="Accent3" xfId="89" builtinId="37" customBuiltin="1"/>
    <cellStyle name="Accent3 - 20%" xfId="312" xr:uid="{00000000-0005-0000-0000-000097000000}"/>
    <cellStyle name="Accent3 - 20% 2" xfId="8226" xr:uid="{00000000-0005-0000-0000-0000E0130000}"/>
    <cellStyle name="Accent3 - 20% 3" xfId="8227" xr:uid="{00000000-0005-0000-0000-0000E1130000}"/>
    <cellStyle name="Accent3 - 20% 3 2" xfId="8228" xr:uid="{00000000-0005-0000-0000-0000E2130000}"/>
    <cellStyle name="Accent3 - 20% 3 3" xfId="8229" xr:uid="{00000000-0005-0000-0000-0000E3130000}"/>
    <cellStyle name="Accent3 - 20% 4" xfId="8225" xr:uid="{00000000-0005-0000-0000-0000DF130000}"/>
    <cellStyle name="Accent3 - 40%" xfId="313" xr:uid="{00000000-0005-0000-0000-000098000000}"/>
    <cellStyle name="Accent3 - 40% 2" xfId="8231" xr:uid="{00000000-0005-0000-0000-0000E5130000}"/>
    <cellStyle name="Accent3 - 40% 3" xfId="8232" xr:uid="{00000000-0005-0000-0000-0000E6130000}"/>
    <cellStyle name="Accent3 - 40% 3 2" xfId="8233" xr:uid="{00000000-0005-0000-0000-0000E7130000}"/>
    <cellStyle name="Accent3 - 40% 3 3" xfId="8234" xr:uid="{00000000-0005-0000-0000-0000E8130000}"/>
    <cellStyle name="Accent3 - 40% 4" xfId="8230" xr:uid="{00000000-0005-0000-0000-0000E4130000}"/>
    <cellStyle name="Accent3 - 60%" xfId="314" xr:uid="{00000000-0005-0000-0000-000099000000}"/>
    <cellStyle name="Accent3 - 60% 2" xfId="8236" xr:uid="{00000000-0005-0000-0000-0000EA130000}"/>
    <cellStyle name="Accent3 - 60% 2 2" xfId="8237" xr:uid="{00000000-0005-0000-0000-0000EB130000}"/>
    <cellStyle name="Accent3 - 60% 2 3" xfId="8238" xr:uid="{00000000-0005-0000-0000-0000EC130000}"/>
    <cellStyle name="Accent3 - 60% 3" xfId="8235" xr:uid="{00000000-0005-0000-0000-0000E9130000}"/>
    <cellStyle name="Accent3 10" xfId="8239" xr:uid="{00000000-0005-0000-0000-0000ED130000}"/>
    <cellStyle name="Accent3 11" xfId="8240" xr:uid="{00000000-0005-0000-0000-0000EE130000}"/>
    <cellStyle name="Accent3 12" xfId="8241" xr:uid="{00000000-0005-0000-0000-0000EF130000}"/>
    <cellStyle name="Accent3 13" xfId="8242" xr:uid="{00000000-0005-0000-0000-0000F0130000}"/>
    <cellStyle name="Accent3 14" xfId="8243" xr:uid="{00000000-0005-0000-0000-0000F1130000}"/>
    <cellStyle name="Accent3 15" xfId="8244" xr:uid="{00000000-0005-0000-0000-0000F2130000}"/>
    <cellStyle name="Accent3 16" xfId="8245" xr:uid="{00000000-0005-0000-0000-0000F3130000}"/>
    <cellStyle name="Accent3 17" xfId="8246" xr:uid="{00000000-0005-0000-0000-0000F4130000}"/>
    <cellStyle name="Accent3 18" xfId="8247" xr:uid="{00000000-0005-0000-0000-0000F5130000}"/>
    <cellStyle name="Accent3 19" xfId="8248" xr:uid="{00000000-0005-0000-0000-0000F6130000}"/>
    <cellStyle name="Accent3 2" xfId="315" xr:uid="{00000000-0005-0000-0000-00009A000000}"/>
    <cellStyle name="Accent3 2 2" xfId="8250" xr:uid="{00000000-0005-0000-0000-0000F8130000}"/>
    <cellStyle name="Accent3 2 2 2" xfId="8251" xr:uid="{00000000-0005-0000-0000-0000F9130000}"/>
    <cellStyle name="Accent3 2 3" xfId="8252" xr:uid="{00000000-0005-0000-0000-0000FA130000}"/>
    <cellStyle name="Accent3 2 4" xfId="8249" xr:uid="{00000000-0005-0000-0000-0000F7130000}"/>
    <cellStyle name="Accent3 20" xfId="8253" xr:uid="{00000000-0005-0000-0000-0000FB130000}"/>
    <cellStyle name="Accent3 21" xfId="8254" xr:uid="{00000000-0005-0000-0000-0000FC130000}"/>
    <cellStyle name="Accent3 22" xfId="8255" xr:uid="{00000000-0005-0000-0000-0000FD130000}"/>
    <cellStyle name="Accent3 23" xfId="8256" xr:uid="{00000000-0005-0000-0000-0000FE130000}"/>
    <cellStyle name="Accent3 24" xfId="8257" xr:uid="{00000000-0005-0000-0000-0000FF130000}"/>
    <cellStyle name="Accent3 24 2" xfId="8258" xr:uid="{00000000-0005-0000-0000-000000140000}"/>
    <cellStyle name="Accent3 24 3" xfId="8259" xr:uid="{00000000-0005-0000-0000-000001140000}"/>
    <cellStyle name="Accent3 25" xfId="8260" xr:uid="{00000000-0005-0000-0000-000002140000}"/>
    <cellStyle name="Accent3 25 2" xfId="8261" xr:uid="{00000000-0005-0000-0000-000003140000}"/>
    <cellStyle name="Accent3 25 3" xfId="8262" xr:uid="{00000000-0005-0000-0000-000004140000}"/>
    <cellStyle name="Accent3 26" xfId="8263" xr:uid="{00000000-0005-0000-0000-000005140000}"/>
    <cellStyle name="Accent3 26 2" xfId="8264" xr:uid="{00000000-0005-0000-0000-000006140000}"/>
    <cellStyle name="Accent3 26 3" xfId="8265" xr:uid="{00000000-0005-0000-0000-000007140000}"/>
    <cellStyle name="Accent3 27" xfId="8266" xr:uid="{00000000-0005-0000-0000-000008140000}"/>
    <cellStyle name="Accent3 27 2" xfId="8267" xr:uid="{00000000-0005-0000-0000-000009140000}"/>
    <cellStyle name="Accent3 27 3" xfId="8268" xr:uid="{00000000-0005-0000-0000-00000A140000}"/>
    <cellStyle name="Accent3 28" xfId="8269" xr:uid="{00000000-0005-0000-0000-00000B140000}"/>
    <cellStyle name="Accent3 28 2" xfId="8270" xr:uid="{00000000-0005-0000-0000-00000C140000}"/>
    <cellStyle name="Accent3 28 3" xfId="8271" xr:uid="{00000000-0005-0000-0000-00000D140000}"/>
    <cellStyle name="Accent3 29" xfId="8272" xr:uid="{00000000-0005-0000-0000-00000E140000}"/>
    <cellStyle name="Accent3 29 2" xfId="8273" xr:uid="{00000000-0005-0000-0000-00000F140000}"/>
    <cellStyle name="Accent3 29 3" xfId="8274" xr:uid="{00000000-0005-0000-0000-000010140000}"/>
    <cellStyle name="Accent3 3" xfId="316" xr:uid="{00000000-0005-0000-0000-00009B000000}"/>
    <cellStyle name="Accent3 3 2" xfId="8275" xr:uid="{00000000-0005-0000-0000-000012140000}"/>
    <cellStyle name="Accent3 30" xfId="8276" xr:uid="{00000000-0005-0000-0000-000013140000}"/>
    <cellStyle name="Accent3 31" xfId="8277" xr:uid="{00000000-0005-0000-0000-000014140000}"/>
    <cellStyle name="Accent3 31 2" xfId="8278" xr:uid="{00000000-0005-0000-0000-000015140000}"/>
    <cellStyle name="Accent3 32" xfId="8279" xr:uid="{00000000-0005-0000-0000-000016140000}"/>
    <cellStyle name="Accent3 33" xfId="8280" xr:uid="{00000000-0005-0000-0000-000017140000}"/>
    <cellStyle name="Accent3 34" xfId="8281" xr:uid="{00000000-0005-0000-0000-000018140000}"/>
    <cellStyle name="Accent3 35" xfId="8282" xr:uid="{00000000-0005-0000-0000-000019140000}"/>
    <cellStyle name="Accent3 36" xfId="8283" xr:uid="{00000000-0005-0000-0000-00001A140000}"/>
    <cellStyle name="Accent3 37" xfId="8284" xr:uid="{00000000-0005-0000-0000-00001B140000}"/>
    <cellStyle name="Accent3 38" xfId="8285" xr:uid="{00000000-0005-0000-0000-00001C140000}"/>
    <cellStyle name="Accent3 39" xfId="8286" xr:uid="{00000000-0005-0000-0000-00001D140000}"/>
    <cellStyle name="Accent3 4" xfId="317" xr:uid="{00000000-0005-0000-0000-00009C000000}"/>
    <cellStyle name="Accent3 4 2" xfId="8287" xr:uid="{00000000-0005-0000-0000-00001F140000}"/>
    <cellStyle name="Accent3 40" xfId="8288" xr:uid="{00000000-0005-0000-0000-000020140000}"/>
    <cellStyle name="Accent3 41" xfId="8289" xr:uid="{00000000-0005-0000-0000-000021140000}"/>
    <cellStyle name="Accent3 42" xfId="8290" xr:uid="{00000000-0005-0000-0000-000022140000}"/>
    <cellStyle name="Accent3 43" xfId="8291" xr:uid="{00000000-0005-0000-0000-000023140000}"/>
    <cellStyle name="Accent3 44" xfId="8292" xr:uid="{00000000-0005-0000-0000-000024140000}"/>
    <cellStyle name="Accent3 45" xfId="8293" xr:uid="{00000000-0005-0000-0000-000025140000}"/>
    <cellStyle name="Accent3 46" xfId="8294" xr:uid="{00000000-0005-0000-0000-000026140000}"/>
    <cellStyle name="Accent3 47" xfId="8295" xr:uid="{00000000-0005-0000-0000-000027140000}"/>
    <cellStyle name="Accent3 48" xfId="8296" xr:uid="{00000000-0005-0000-0000-000028140000}"/>
    <cellStyle name="Accent3 49" xfId="8297" xr:uid="{00000000-0005-0000-0000-000029140000}"/>
    <cellStyle name="Accent3 5" xfId="318" xr:uid="{00000000-0005-0000-0000-00009D000000}"/>
    <cellStyle name="Accent3 5 2" xfId="8298" xr:uid="{00000000-0005-0000-0000-00002B140000}"/>
    <cellStyle name="Accent3 50" xfId="8299" xr:uid="{00000000-0005-0000-0000-00002C140000}"/>
    <cellStyle name="Accent3 51" xfId="8300" xr:uid="{00000000-0005-0000-0000-00002D140000}"/>
    <cellStyle name="Accent3 52" xfId="8301" xr:uid="{00000000-0005-0000-0000-00002E140000}"/>
    <cellStyle name="Accent3 53" xfId="8302" xr:uid="{00000000-0005-0000-0000-00002F140000}"/>
    <cellStyle name="Accent3 54" xfId="8303" xr:uid="{00000000-0005-0000-0000-000030140000}"/>
    <cellStyle name="Accent3 55" xfId="8304" xr:uid="{00000000-0005-0000-0000-000031140000}"/>
    <cellStyle name="Accent3 56" xfId="8305" xr:uid="{00000000-0005-0000-0000-000032140000}"/>
    <cellStyle name="Accent3 57" xfId="8306" xr:uid="{00000000-0005-0000-0000-000033140000}"/>
    <cellStyle name="Accent3 58" xfId="8307" xr:uid="{00000000-0005-0000-0000-000034140000}"/>
    <cellStyle name="Accent3 59" xfId="8308" xr:uid="{00000000-0005-0000-0000-000035140000}"/>
    <cellStyle name="Accent3 6" xfId="319" xr:uid="{00000000-0005-0000-0000-00009E000000}"/>
    <cellStyle name="Accent3 6 2" xfId="8309" xr:uid="{00000000-0005-0000-0000-000037140000}"/>
    <cellStyle name="Accent3 60" xfId="8310" xr:uid="{00000000-0005-0000-0000-000038140000}"/>
    <cellStyle name="Accent3 7" xfId="320" xr:uid="{00000000-0005-0000-0000-00009F000000}"/>
    <cellStyle name="Accent3 7 2" xfId="8312" xr:uid="{00000000-0005-0000-0000-00003A140000}"/>
    <cellStyle name="Accent3 7 3" xfId="8311" xr:uid="{00000000-0005-0000-0000-000039140000}"/>
    <cellStyle name="Accent3 8" xfId="8313" xr:uid="{00000000-0005-0000-0000-00003B140000}"/>
    <cellStyle name="Accent3 9" xfId="8314" xr:uid="{00000000-0005-0000-0000-00003C140000}"/>
    <cellStyle name="Accent4" xfId="93" builtinId="41" customBuiltin="1"/>
    <cellStyle name="Accent4 - 20%" xfId="321" xr:uid="{00000000-0005-0000-0000-0000A0000000}"/>
    <cellStyle name="Accent4 - 20% 2" xfId="8316" xr:uid="{00000000-0005-0000-0000-00003E140000}"/>
    <cellStyle name="Accent4 - 20% 3" xfId="8317" xr:uid="{00000000-0005-0000-0000-00003F140000}"/>
    <cellStyle name="Accent4 - 20% 3 2" xfId="8318" xr:uid="{00000000-0005-0000-0000-000040140000}"/>
    <cellStyle name="Accent4 - 20% 3 3" xfId="8319" xr:uid="{00000000-0005-0000-0000-000041140000}"/>
    <cellStyle name="Accent4 - 20% 4" xfId="8315" xr:uid="{00000000-0005-0000-0000-00003D140000}"/>
    <cellStyle name="Accent4 - 40%" xfId="322" xr:uid="{00000000-0005-0000-0000-0000A1000000}"/>
    <cellStyle name="Accent4 - 40% 2" xfId="8321" xr:uid="{00000000-0005-0000-0000-000043140000}"/>
    <cellStyle name="Accent4 - 40% 3" xfId="8322" xr:uid="{00000000-0005-0000-0000-000044140000}"/>
    <cellStyle name="Accent4 - 40% 3 2" xfId="8323" xr:uid="{00000000-0005-0000-0000-000045140000}"/>
    <cellStyle name="Accent4 - 40% 3 3" xfId="8324" xr:uid="{00000000-0005-0000-0000-000046140000}"/>
    <cellStyle name="Accent4 - 40% 4" xfId="8320" xr:uid="{00000000-0005-0000-0000-000042140000}"/>
    <cellStyle name="Accent4 - 60%" xfId="323" xr:uid="{00000000-0005-0000-0000-0000A2000000}"/>
    <cellStyle name="Accent4 - 60% 2" xfId="8326" xr:uid="{00000000-0005-0000-0000-000048140000}"/>
    <cellStyle name="Accent4 - 60% 2 2" xfId="8327" xr:uid="{00000000-0005-0000-0000-000049140000}"/>
    <cellStyle name="Accent4 - 60% 2 3" xfId="8328" xr:uid="{00000000-0005-0000-0000-00004A140000}"/>
    <cellStyle name="Accent4 - 60% 3" xfId="8325" xr:uid="{00000000-0005-0000-0000-000047140000}"/>
    <cellStyle name="Accent4 10" xfId="8329" xr:uid="{00000000-0005-0000-0000-00004B140000}"/>
    <cellStyle name="Accent4 11" xfId="8330" xr:uid="{00000000-0005-0000-0000-00004C140000}"/>
    <cellStyle name="Accent4 12" xfId="8331" xr:uid="{00000000-0005-0000-0000-00004D140000}"/>
    <cellStyle name="Accent4 13" xfId="8332" xr:uid="{00000000-0005-0000-0000-00004E140000}"/>
    <cellStyle name="Accent4 14" xfId="8333" xr:uid="{00000000-0005-0000-0000-00004F140000}"/>
    <cellStyle name="Accent4 15" xfId="8334" xr:uid="{00000000-0005-0000-0000-000050140000}"/>
    <cellStyle name="Accent4 16" xfId="8335" xr:uid="{00000000-0005-0000-0000-000051140000}"/>
    <cellStyle name="Accent4 17" xfId="8336" xr:uid="{00000000-0005-0000-0000-000052140000}"/>
    <cellStyle name="Accent4 18" xfId="8337" xr:uid="{00000000-0005-0000-0000-000053140000}"/>
    <cellStyle name="Accent4 19" xfId="8338" xr:uid="{00000000-0005-0000-0000-000054140000}"/>
    <cellStyle name="Accent4 2" xfId="324" xr:uid="{00000000-0005-0000-0000-0000A3000000}"/>
    <cellStyle name="Accent4 2 2" xfId="8340" xr:uid="{00000000-0005-0000-0000-000056140000}"/>
    <cellStyle name="Accent4 2 2 2" xfId="8341" xr:uid="{00000000-0005-0000-0000-000057140000}"/>
    <cellStyle name="Accent4 2 3" xfId="8342" xr:uid="{00000000-0005-0000-0000-000058140000}"/>
    <cellStyle name="Accent4 2 4" xfId="8339" xr:uid="{00000000-0005-0000-0000-000055140000}"/>
    <cellStyle name="Accent4 20" xfId="8343" xr:uid="{00000000-0005-0000-0000-000059140000}"/>
    <cellStyle name="Accent4 21" xfId="8344" xr:uid="{00000000-0005-0000-0000-00005A140000}"/>
    <cellStyle name="Accent4 22" xfId="8345" xr:uid="{00000000-0005-0000-0000-00005B140000}"/>
    <cellStyle name="Accent4 23" xfId="8346" xr:uid="{00000000-0005-0000-0000-00005C140000}"/>
    <cellStyle name="Accent4 24" xfId="8347" xr:uid="{00000000-0005-0000-0000-00005D140000}"/>
    <cellStyle name="Accent4 24 2" xfId="8348" xr:uid="{00000000-0005-0000-0000-00005E140000}"/>
    <cellStyle name="Accent4 24 3" xfId="8349" xr:uid="{00000000-0005-0000-0000-00005F140000}"/>
    <cellStyle name="Accent4 25" xfId="8350" xr:uid="{00000000-0005-0000-0000-000060140000}"/>
    <cellStyle name="Accent4 25 2" xfId="8351" xr:uid="{00000000-0005-0000-0000-000061140000}"/>
    <cellStyle name="Accent4 25 3" xfId="8352" xr:uid="{00000000-0005-0000-0000-000062140000}"/>
    <cellStyle name="Accent4 26" xfId="8353" xr:uid="{00000000-0005-0000-0000-000063140000}"/>
    <cellStyle name="Accent4 26 2" xfId="8354" xr:uid="{00000000-0005-0000-0000-000064140000}"/>
    <cellStyle name="Accent4 26 3" xfId="8355" xr:uid="{00000000-0005-0000-0000-000065140000}"/>
    <cellStyle name="Accent4 27" xfId="8356" xr:uid="{00000000-0005-0000-0000-000066140000}"/>
    <cellStyle name="Accent4 27 2" xfId="8357" xr:uid="{00000000-0005-0000-0000-000067140000}"/>
    <cellStyle name="Accent4 27 3" xfId="8358" xr:uid="{00000000-0005-0000-0000-000068140000}"/>
    <cellStyle name="Accent4 28" xfId="8359" xr:uid="{00000000-0005-0000-0000-000069140000}"/>
    <cellStyle name="Accent4 28 2" xfId="8360" xr:uid="{00000000-0005-0000-0000-00006A140000}"/>
    <cellStyle name="Accent4 28 3" xfId="8361" xr:uid="{00000000-0005-0000-0000-00006B140000}"/>
    <cellStyle name="Accent4 29" xfId="8362" xr:uid="{00000000-0005-0000-0000-00006C140000}"/>
    <cellStyle name="Accent4 29 2" xfId="8363" xr:uid="{00000000-0005-0000-0000-00006D140000}"/>
    <cellStyle name="Accent4 29 3" xfId="8364" xr:uid="{00000000-0005-0000-0000-00006E140000}"/>
    <cellStyle name="Accent4 3" xfId="325" xr:uid="{00000000-0005-0000-0000-0000A4000000}"/>
    <cellStyle name="Accent4 3 2" xfId="8366" xr:uid="{00000000-0005-0000-0000-000070140000}"/>
    <cellStyle name="Accent4 3 3" xfId="8367" xr:uid="{00000000-0005-0000-0000-000071140000}"/>
    <cellStyle name="Accent4 3 4" xfId="8365" xr:uid="{00000000-0005-0000-0000-00006F140000}"/>
    <cellStyle name="Accent4 30" xfId="8368" xr:uid="{00000000-0005-0000-0000-000072140000}"/>
    <cellStyle name="Accent4 31" xfId="8369" xr:uid="{00000000-0005-0000-0000-000073140000}"/>
    <cellStyle name="Accent4 31 2" xfId="8370" xr:uid="{00000000-0005-0000-0000-000074140000}"/>
    <cellStyle name="Accent4 32" xfId="8371" xr:uid="{00000000-0005-0000-0000-000075140000}"/>
    <cellStyle name="Accent4 33" xfId="8372" xr:uid="{00000000-0005-0000-0000-000076140000}"/>
    <cellStyle name="Accent4 34" xfId="8373" xr:uid="{00000000-0005-0000-0000-000077140000}"/>
    <cellStyle name="Accent4 35" xfId="8374" xr:uid="{00000000-0005-0000-0000-000078140000}"/>
    <cellStyle name="Accent4 36" xfId="8375" xr:uid="{00000000-0005-0000-0000-000079140000}"/>
    <cellStyle name="Accent4 37" xfId="8376" xr:uid="{00000000-0005-0000-0000-00007A140000}"/>
    <cellStyle name="Accent4 38" xfId="8377" xr:uid="{00000000-0005-0000-0000-00007B140000}"/>
    <cellStyle name="Accent4 39" xfId="8378" xr:uid="{00000000-0005-0000-0000-00007C140000}"/>
    <cellStyle name="Accent4 4" xfId="326" xr:uid="{00000000-0005-0000-0000-0000A5000000}"/>
    <cellStyle name="Accent4 4 2" xfId="8380" xr:uid="{00000000-0005-0000-0000-00007E140000}"/>
    <cellStyle name="Accent4 4 3" xfId="8381" xr:uid="{00000000-0005-0000-0000-00007F140000}"/>
    <cellStyle name="Accent4 4 4" xfId="8379" xr:uid="{00000000-0005-0000-0000-00007D140000}"/>
    <cellStyle name="Accent4 40" xfId="8382" xr:uid="{00000000-0005-0000-0000-000080140000}"/>
    <cellStyle name="Accent4 41" xfId="8383" xr:uid="{00000000-0005-0000-0000-000081140000}"/>
    <cellStyle name="Accent4 42" xfId="8384" xr:uid="{00000000-0005-0000-0000-000082140000}"/>
    <cellStyle name="Accent4 43" xfId="8385" xr:uid="{00000000-0005-0000-0000-000083140000}"/>
    <cellStyle name="Accent4 44" xfId="8386" xr:uid="{00000000-0005-0000-0000-000084140000}"/>
    <cellStyle name="Accent4 45" xfId="8387" xr:uid="{00000000-0005-0000-0000-000085140000}"/>
    <cellStyle name="Accent4 46" xfId="8388" xr:uid="{00000000-0005-0000-0000-000086140000}"/>
    <cellStyle name="Accent4 47" xfId="8389" xr:uid="{00000000-0005-0000-0000-000087140000}"/>
    <cellStyle name="Accent4 48" xfId="8390" xr:uid="{00000000-0005-0000-0000-000088140000}"/>
    <cellStyle name="Accent4 49" xfId="8391" xr:uid="{00000000-0005-0000-0000-000089140000}"/>
    <cellStyle name="Accent4 5" xfId="327" xr:uid="{00000000-0005-0000-0000-0000A6000000}"/>
    <cellStyle name="Accent4 5 2" xfId="8393" xr:uid="{00000000-0005-0000-0000-00008B140000}"/>
    <cellStyle name="Accent4 5 3" xfId="8394" xr:uid="{00000000-0005-0000-0000-00008C140000}"/>
    <cellStyle name="Accent4 5 4" xfId="8392" xr:uid="{00000000-0005-0000-0000-00008A140000}"/>
    <cellStyle name="Accent4 50" xfId="8395" xr:uid="{00000000-0005-0000-0000-00008D140000}"/>
    <cellStyle name="Accent4 51" xfId="8396" xr:uid="{00000000-0005-0000-0000-00008E140000}"/>
    <cellStyle name="Accent4 52" xfId="8397" xr:uid="{00000000-0005-0000-0000-00008F140000}"/>
    <cellStyle name="Accent4 53" xfId="8398" xr:uid="{00000000-0005-0000-0000-000090140000}"/>
    <cellStyle name="Accent4 54" xfId="8399" xr:uid="{00000000-0005-0000-0000-000091140000}"/>
    <cellStyle name="Accent4 55" xfId="8400" xr:uid="{00000000-0005-0000-0000-000092140000}"/>
    <cellStyle name="Accent4 56" xfId="8401" xr:uid="{00000000-0005-0000-0000-000093140000}"/>
    <cellStyle name="Accent4 57" xfId="8402" xr:uid="{00000000-0005-0000-0000-000094140000}"/>
    <cellStyle name="Accent4 58" xfId="8403" xr:uid="{00000000-0005-0000-0000-000095140000}"/>
    <cellStyle name="Accent4 59" xfId="8404" xr:uid="{00000000-0005-0000-0000-000096140000}"/>
    <cellStyle name="Accent4 6" xfId="328" xr:uid="{00000000-0005-0000-0000-0000A7000000}"/>
    <cellStyle name="Accent4 6 2" xfId="8406" xr:uid="{00000000-0005-0000-0000-000098140000}"/>
    <cellStyle name="Accent4 6 3" xfId="8407" xr:uid="{00000000-0005-0000-0000-000099140000}"/>
    <cellStyle name="Accent4 6 4" xfId="8405" xr:uid="{00000000-0005-0000-0000-000097140000}"/>
    <cellStyle name="Accent4 60" xfId="8408" xr:uid="{00000000-0005-0000-0000-00009A140000}"/>
    <cellStyle name="Accent4 7" xfId="329" xr:uid="{00000000-0005-0000-0000-0000A8000000}"/>
    <cellStyle name="Accent4 7 2" xfId="8410" xr:uid="{00000000-0005-0000-0000-00009C140000}"/>
    <cellStyle name="Accent4 7 3" xfId="8409" xr:uid="{00000000-0005-0000-0000-00009B140000}"/>
    <cellStyle name="Accent4 8" xfId="8411" xr:uid="{00000000-0005-0000-0000-00009D140000}"/>
    <cellStyle name="Accent4 9" xfId="8412" xr:uid="{00000000-0005-0000-0000-00009E140000}"/>
    <cellStyle name="Accent5" xfId="97" builtinId="45" customBuiltin="1"/>
    <cellStyle name="Accent5 - 20%" xfId="330" xr:uid="{00000000-0005-0000-0000-0000A9000000}"/>
    <cellStyle name="Accent5 - 20% 2" xfId="8414" xr:uid="{00000000-0005-0000-0000-0000A0140000}"/>
    <cellStyle name="Accent5 - 20% 3" xfId="8415" xr:uid="{00000000-0005-0000-0000-0000A1140000}"/>
    <cellStyle name="Accent5 - 20% 3 2" xfId="8416" xr:uid="{00000000-0005-0000-0000-0000A2140000}"/>
    <cellStyle name="Accent5 - 20% 3 3" xfId="8417" xr:uid="{00000000-0005-0000-0000-0000A3140000}"/>
    <cellStyle name="Accent5 - 20% 4" xfId="8413" xr:uid="{00000000-0005-0000-0000-00009F140000}"/>
    <cellStyle name="Accent5 - 40%" xfId="331" xr:uid="{00000000-0005-0000-0000-0000AA000000}"/>
    <cellStyle name="Accent5 - 40% 2" xfId="8418" xr:uid="{00000000-0005-0000-0000-0000A5140000}"/>
    <cellStyle name="Accent5 - 60%" xfId="332" xr:uid="{00000000-0005-0000-0000-0000AB000000}"/>
    <cellStyle name="Accent5 - 60% 2" xfId="8420" xr:uid="{00000000-0005-0000-0000-0000A7140000}"/>
    <cellStyle name="Accent5 - 60% 2 2" xfId="8421" xr:uid="{00000000-0005-0000-0000-0000A8140000}"/>
    <cellStyle name="Accent5 - 60% 2 3" xfId="8422" xr:uid="{00000000-0005-0000-0000-0000A9140000}"/>
    <cellStyle name="Accent5 - 60% 3" xfId="8419" xr:uid="{00000000-0005-0000-0000-0000A6140000}"/>
    <cellStyle name="Accent5 10" xfId="8423" xr:uid="{00000000-0005-0000-0000-0000AA140000}"/>
    <cellStyle name="Accent5 11" xfId="8424" xr:uid="{00000000-0005-0000-0000-0000AB140000}"/>
    <cellStyle name="Accent5 12" xfId="8425" xr:uid="{00000000-0005-0000-0000-0000AC140000}"/>
    <cellStyle name="Accent5 13" xfId="8426" xr:uid="{00000000-0005-0000-0000-0000AD140000}"/>
    <cellStyle name="Accent5 14" xfId="8427" xr:uid="{00000000-0005-0000-0000-0000AE140000}"/>
    <cellStyle name="Accent5 15" xfId="8428" xr:uid="{00000000-0005-0000-0000-0000AF140000}"/>
    <cellStyle name="Accent5 16" xfId="8429" xr:uid="{00000000-0005-0000-0000-0000B0140000}"/>
    <cellStyle name="Accent5 17" xfId="8430" xr:uid="{00000000-0005-0000-0000-0000B1140000}"/>
    <cellStyle name="Accent5 18" xfId="8431" xr:uid="{00000000-0005-0000-0000-0000B2140000}"/>
    <cellStyle name="Accent5 19" xfId="8432" xr:uid="{00000000-0005-0000-0000-0000B3140000}"/>
    <cellStyle name="Accent5 2" xfId="333" xr:uid="{00000000-0005-0000-0000-0000AC000000}"/>
    <cellStyle name="Accent5 2 2" xfId="8434" xr:uid="{00000000-0005-0000-0000-0000B5140000}"/>
    <cellStyle name="Accent5 2 2 2" xfId="8435" xr:uid="{00000000-0005-0000-0000-0000B6140000}"/>
    <cellStyle name="Accent5 2 3" xfId="8436" xr:uid="{00000000-0005-0000-0000-0000B7140000}"/>
    <cellStyle name="Accent5 2 4" xfId="8433" xr:uid="{00000000-0005-0000-0000-0000B4140000}"/>
    <cellStyle name="Accent5 20" xfId="8437" xr:uid="{00000000-0005-0000-0000-0000B8140000}"/>
    <cellStyle name="Accent5 21" xfId="8438" xr:uid="{00000000-0005-0000-0000-0000B9140000}"/>
    <cellStyle name="Accent5 22" xfId="8439" xr:uid="{00000000-0005-0000-0000-0000BA140000}"/>
    <cellStyle name="Accent5 23" xfId="8440" xr:uid="{00000000-0005-0000-0000-0000BB140000}"/>
    <cellStyle name="Accent5 24" xfId="8441" xr:uid="{00000000-0005-0000-0000-0000BC140000}"/>
    <cellStyle name="Accent5 24 2" xfId="8442" xr:uid="{00000000-0005-0000-0000-0000BD140000}"/>
    <cellStyle name="Accent5 24 3" xfId="8443" xr:uid="{00000000-0005-0000-0000-0000BE140000}"/>
    <cellStyle name="Accent5 25" xfId="8444" xr:uid="{00000000-0005-0000-0000-0000BF140000}"/>
    <cellStyle name="Accent5 25 2" xfId="8445" xr:uid="{00000000-0005-0000-0000-0000C0140000}"/>
    <cellStyle name="Accent5 25 3" xfId="8446" xr:uid="{00000000-0005-0000-0000-0000C1140000}"/>
    <cellStyle name="Accent5 26" xfId="8447" xr:uid="{00000000-0005-0000-0000-0000C2140000}"/>
    <cellStyle name="Accent5 26 2" xfId="8448" xr:uid="{00000000-0005-0000-0000-0000C3140000}"/>
    <cellStyle name="Accent5 26 3" xfId="8449" xr:uid="{00000000-0005-0000-0000-0000C4140000}"/>
    <cellStyle name="Accent5 27" xfId="8450" xr:uid="{00000000-0005-0000-0000-0000C5140000}"/>
    <cellStyle name="Accent5 27 2" xfId="8451" xr:uid="{00000000-0005-0000-0000-0000C6140000}"/>
    <cellStyle name="Accent5 27 3" xfId="8452" xr:uid="{00000000-0005-0000-0000-0000C7140000}"/>
    <cellStyle name="Accent5 28" xfId="8453" xr:uid="{00000000-0005-0000-0000-0000C8140000}"/>
    <cellStyle name="Accent5 28 2" xfId="8454" xr:uid="{00000000-0005-0000-0000-0000C9140000}"/>
    <cellStyle name="Accent5 28 3" xfId="8455" xr:uid="{00000000-0005-0000-0000-0000CA140000}"/>
    <cellStyle name="Accent5 29" xfId="8456" xr:uid="{00000000-0005-0000-0000-0000CB140000}"/>
    <cellStyle name="Accent5 3" xfId="334" xr:uid="{00000000-0005-0000-0000-0000AD000000}"/>
    <cellStyle name="Accent5 3 2" xfId="8457" xr:uid="{00000000-0005-0000-0000-0000CD140000}"/>
    <cellStyle name="Accent5 30" xfId="8458" xr:uid="{00000000-0005-0000-0000-0000CE140000}"/>
    <cellStyle name="Accent5 31" xfId="8459" xr:uid="{00000000-0005-0000-0000-0000CF140000}"/>
    <cellStyle name="Accent5 31 2" xfId="8460" xr:uid="{00000000-0005-0000-0000-0000D0140000}"/>
    <cellStyle name="Accent5 32" xfId="8461" xr:uid="{00000000-0005-0000-0000-0000D1140000}"/>
    <cellStyle name="Accent5 33" xfId="8462" xr:uid="{00000000-0005-0000-0000-0000D2140000}"/>
    <cellStyle name="Accent5 34" xfId="8463" xr:uid="{00000000-0005-0000-0000-0000D3140000}"/>
    <cellStyle name="Accent5 35" xfId="8464" xr:uid="{00000000-0005-0000-0000-0000D4140000}"/>
    <cellStyle name="Accent5 36" xfId="8465" xr:uid="{00000000-0005-0000-0000-0000D5140000}"/>
    <cellStyle name="Accent5 37" xfId="8466" xr:uid="{00000000-0005-0000-0000-0000D6140000}"/>
    <cellStyle name="Accent5 38" xfId="8467" xr:uid="{00000000-0005-0000-0000-0000D7140000}"/>
    <cellStyle name="Accent5 39" xfId="8468" xr:uid="{00000000-0005-0000-0000-0000D8140000}"/>
    <cellStyle name="Accent5 4" xfId="335" xr:uid="{00000000-0005-0000-0000-0000AE000000}"/>
    <cellStyle name="Accent5 4 2" xfId="8469" xr:uid="{00000000-0005-0000-0000-0000DA140000}"/>
    <cellStyle name="Accent5 40" xfId="8470" xr:uid="{00000000-0005-0000-0000-0000DB140000}"/>
    <cellStyle name="Accent5 41" xfId="8471" xr:uid="{00000000-0005-0000-0000-0000DC140000}"/>
    <cellStyle name="Accent5 42" xfId="8472" xr:uid="{00000000-0005-0000-0000-0000DD140000}"/>
    <cellStyle name="Accent5 43" xfId="8473" xr:uid="{00000000-0005-0000-0000-0000DE140000}"/>
    <cellStyle name="Accent5 44" xfId="8474" xr:uid="{00000000-0005-0000-0000-0000DF140000}"/>
    <cellStyle name="Accent5 45" xfId="8475" xr:uid="{00000000-0005-0000-0000-0000E0140000}"/>
    <cellStyle name="Accent5 46" xfId="8476" xr:uid="{00000000-0005-0000-0000-0000E1140000}"/>
    <cellStyle name="Accent5 47" xfId="8477" xr:uid="{00000000-0005-0000-0000-0000E2140000}"/>
    <cellStyle name="Accent5 48" xfId="8478" xr:uid="{00000000-0005-0000-0000-0000E3140000}"/>
    <cellStyle name="Accent5 49" xfId="8479" xr:uid="{00000000-0005-0000-0000-0000E4140000}"/>
    <cellStyle name="Accent5 5" xfId="336" xr:uid="{00000000-0005-0000-0000-0000AF000000}"/>
    <cellStyle name="Accent5 5 2" xfId="8480" xr:uid="{00000000-0005-0000-0000-0000E6140000}"/>
    <cellStyle name="Accent5 50" xfId="8481" xr:uid="{00000000-0005-0000-0000-0000E7140000}"/>
    <cellStyle name="Accent5 51" xfId="8482" xr:uid="{00000000-0005-0000-0000-0000E8140000}"/>
    <cellStyle name="Accent5 52" xfId="8483" xr:uid="{00000000-0005-0000-0000-0000E9140000}"/>
    <cellStyle name="Accent5 53" xfId="8484" xr:uid="{00000000-0005-0000-0000-0000EA140000}"/>
    <cellStyle name="Accent5 54" xfId="8485" xr:uid="{00000000-0005-0000-0000-0000EB140000}"/>
    <cellStyle name="Accent5 55" xfId="8486" xr:uid="{00000000-0005-0000-0000-0000EC140000}"/>
    <cellStyle name="Accent5 56" xfId="8487" xr:uid="{00000000-0005-0000-0000-0000ED140000}"/>
    <cellStyle name="Accent5 57" xfId="8488" xr:uid="{00000000-0005-0000-0000-0000EE140000}"/>
    <cellStyle name="Accent5 58" xfId="8489" xr:uid="{00000000-0005-0000-0000-0000EF140000}"/>
    <cellStyle name="Accent5 59" xfId="8490" xr:uid="{00000000-0005-0000-0000-0000F0140000}"/>
    <cellStyle name="Accent5 6" xfId="337" xr:uid="{00000000-0005-0000-0000-0000B0000000}"/>
    <cellStyle name="Accent5 6 2" xfId="8491" xr:uid="{00000000-0005-0000-0000-0000F2140000}"/>
    <cellStyle name="Accent5 60" xfId="8492" xr:uid="{00000000-0005-0000-0000-0000F3140000}"/>
    <cellStyle name="Accent5 7" xfId="338" xr:uid="{00000000-0005-0000-0000-0000B1000000}"/>
    <cellStyle name="Accent5 7 2" xfId="8494" xr:uid="{00000000-0005-0000-0000-0000F5140000}"/>
    <cellStyle name="Accent5 7 3" xfId="8493" xr:uid="{00000000-0005-0000-0000-0000F4140000}"/>
    <cellStyle name="Accent5 8" xfId="8495" xr:uid="{00000000-0005-0000-0000-0000F6140000}"/>
    <cellStyle name="Accent5 9" xfId="8496" xr:uid="{00000000-0005-0000-0000-0000F7140000}"/>
    <cellStyle name="Accent6" xfId="101" builtinId="49" customBuiltin="1"/>
    <cellStyle name="Accent6 - 20%" xfId="339" xr:uid="{00000000-0005-0000-0000-0000B2000000}"/>
    <cellStyle name="Accent6 - 20% 2" xfId="8497" xr:uid="{00000000-0005-0000-0000-0000F9140000}"/>
    <cellStyle name="Accent6 - 40%" xfId="340" xr:uid="{00000000-0005-0000-0000-0000B3000000}"/>
    <cellStyle name="Accent6 - 40% 2" xfId="8499" xr:uid="{00000000-0005-0000-0000-0000FB140000}"/>
    <cellStyle name="Accent6 - 40% 3" xfId="8500" xr:uid="{00000000-0005-0000-0000-0000FC140000}"/>
    <cellStyle name="Accent6 - 40% 3 2" xfId="8501" xr:uid="{00000000-0005-0000-0000-0000FD140000}"/>
    <cellStyle name="Accent6 - 40% 3 3" xfId="8502" xr:uid="{00000000-0005-0000-0000-0000FE140000}"/>
    <cellStyle name="Accent6 - 40% 4" xfId="8498" xr:uid="{00000000-0005-0000-0000-0000FA140000}"/>
    <cellStyle name="Accent6 - 60%" xfId="341" xr:uid="{00000000-0005-0000-0000-0000B4000000}"/>
    <cellStyle name="Accent6 - 60% 2" xfId="8504" xr:uid="{00000000-0005-0000-0000-000000150000}"/>
    <cellStyle name="Accent6 - 60% 2 2" xfId="8505" xr:uid="{00000000-0005-0000-0000-000001150000}"/>
    <cellStyle name="Accent6 - 60% 2 3" xfId="8506" xr:uid="{00000000-0005-0000-0000-000002150000}"/>
    <cellStyle name="Accent6 - 60% 3" xfId="8503" xr:uid="{00000000-0005-0000-0000-0000FF140000}"/>
    <cellStyle name="Accent6 10" xfId="8507" xr:uid="{00000000-0005-0000-0000-000003150000}"/>
    <cellStyle name="Accent6 11" xfId="8508" xr:uid="{00000000-0005-0000-0000-000004150000}"/>
    <cellStyle name="Accent6 12" xfId="8509" xr:uid="{00000000-0005-0000-0000-000005150000}"/>
    <cellStyle name="Accent6 13" xfId="8510" xr:uid="{00000000-0005-0000-0000-000006150000}"/>
    <cellStyle name="Accent6 14" xfId="8511" xr:uid="{00000000-0005-0000-0000-000007150000}"/>
    <cellStyle name="Accent6 15" xfId="8512" xr:uid="{00000000-0005-0000-0000-000008150000}"/>
    <cellStyle name="Accent6 16" xfId="8513" xr:uid="{00000000-0005-0000-0000-000009150000}"/>
    <cellStyle name="Accent6 17" xfId="8514" xr:uid="{00000000-0005-0000-0000-00000A150000}"/>
    <cellStyle name="Accent6 18" xfId="8515" xr:uid="{00000000-0005-0000-0000-00000B150000}"/>
    <cellStyle name="Accent6 19" xfId="8516" xr:uid="{00000000-0005-0000-0000-00000C150000}"/>
    <cellStyle name="Accent6 2" xfId="342" xr:uid="{00000000-0005-0000-0000-0000B5000000}"/>
    <cellStyle name="Accent6 2 2" xfId="8518" xr:uid="{00000000-0005-0000-0000-00000E150000}"/>
    <cellStyle name="Accent6 2 2 2" xfId="8519" xr:uid="{00000000-0005-0000-0000-00000F150000}"/>
    <cellStyle name="Accent6 2 3" xfId="8520" xr:uid="{00000000-0005-0000-0000-000010150000}"/>
    <cellStyle name="Accent6 2 4" xfId="8517" xr:uid="{00000000-0005-0000-0000-00000D150000}"/>
    <cellStyle name="Accent6 20" xfId="8521" xr:uid="{00000000-0005-0000-0000-000011150000}"/>
    <cellStyle name="Accent6 21" xfId="8522" xr:uid="{00000000-0005-0000-0000-000012150000}"/>
    <cellStyle name="Accent6 22" xfId="8523" xr:uid="{00000000-0005-0000-0000-000013150000}"/>
    <cellStyle name="Accent6 23" xfId="8524" xr:uid="{00000000-0005-0000-0000-000014150000}"/>
    <cellStyle name="Accent6 24" xfId="8525" xr:uid="{00000000-0005-0000-0000-000015150000}"/>
    <cellStyle name="Accent6 24 2" xfId="8526" xr:uid="{00000000-0005-0000-0000-000016150000}"/>
    <cellStyle name="Accent6 24 3" xfId="8527" xr:uid="{00000000-0005-0000-0000-000017150000}"/>
    <cellStyle name="Accent6 25" xfId="8528" xr:uid="{00000000-0005-0000-0000-000018150000}"/>
    <cellStyle name="Accent6 25 2" xfId="8529" xr:uid="{00000000-0005-0000-0000-000019150000}"/>
    <cellStyle name="Accent6 25 3" xfId="8530" xr:uid="{00000000-0005-0000-0000-00001A150000}"/>
    <cellStyle name="Accent6 26" xfId="8531" xr:uid="{00000000-0005-0000-0000-00001B150000}"/>
    <cellStyle name="Accent6 26 2" xfId="8532" xr:uid="{00000000-0005-0000-0000-00001C150000}"/>
    <cellStyle name="Accent6 26 3" xfId="8533" xr:uid="{00000000-0005-0000-0000-00001D150000}"/>
    <cellStyle name="Accent6 27" xfId="8534" xr:uid="{00000000-0005-0000-0000-00001E150000}"/>
    <cellStyle name="Accent6 27 2" xfId="8535" xr:uid="{00000000-0005-0000-0000-00001F150000}"/>
    <cellStyle name="Accent6 27 3" xfId="8536" xr:uid="{00000000-0005-0000-0000-000020150000}"/>
    <cellStyle name="Accent6 28" xfId="8537" xr:uid="{00000000-0005-0000-0000-000021150000}"/>
    <cellStyle name="Accent6 28 2" xfId="8538" xr:uid="{00000000-0005-0000-0000-000022150000}"/>
    <cellStyle name="Accent6 28 3" xfId="8539" xr:uid="{00000000-0005-0000-0000-000023150000}"/>
    <cellStyle name="Accent6 29" xfId="8540" xr:uid="{00000000-0005-0000-0000-000024150000}"/>
    <cellStyle name="Accent6 29 2" xfId="8541" xr:uid="{00000000-0005-0000-0000-000025150000}"/>
    <cellStyle name="Accent6 29 3" xfId="8542" xr:uid="{00000000-0005-0000-0000-000026150000}"/>
    <cellStyle name="Accent6 3" xfId="343" xr:uid="{00000000-0005-0000-0000-0000B6000000}"/>
    <cellStyle name="Accent6 3 2" xfId="8544" xr:uid="{00000000-0005-0000-0000-000028150000}"/>
    <cellStyle name="Accent6 3 3" xfId="8545" xr:uid="{00000000-0005-0000-0000-000029150000}"/>
    <cellStyle name="Accent6 3 4" xfId="8543" xr:uid="{00000000-0005-0000-0000-000027150000}"/>
    <cellStyle name="Accent6 30" xfId="8546" xr:uid="{00000000-0005-0000-0000-00002A150000}"/>
    <cellStyle name="Accent6 31" xfId="8547" xr:uid="{00000000-0005-0000-0000-00002B150000}"/>
    <cellStyle name="Accent6 31 2" xfId="8548" xr:uid="{00000000-0005-0000-0000-00002C150000}"/>
    <cellStyle name="Accent6 32" xfId="8549" xr:uid="{00000000-0005-0000-0000-00002D150000}"/>
    <cellStyle name="Accent6 33" xfId="8550" xr:uid="{00000000-0005-0000-0000-00002E150000}"/>
    <cellStyle name="Accent6 34" xfId="8551" xr:uid="{00000000-0005-0000-0000-00002F150000}"/>
    <cellStyle name="Accent6 35" xfId="8552" xr:uid="{00000000-0005-0000-0000-000030150000}"/>
    <cellStyle name="Accent6 36" xfId="8553" xr:uid="{00000000-0005-0000-0000-000031150000}"/>
    <cellStyle name="Accent6 37" xfId="8554" xr:uid="{00000000-0005-0000-0000-000032150000}"/>
    <cellStyle name="Accent6 38" xfId="8555" xr:uid="{00000000-0005-0000-0000-000033150000}"/>
    <cellStyle name="Accent6 39" xfId="8556" xr:uid="{00000000-0005-0000-0000-000034150000}"/>
    <cellStyle name="Accent6 4" xfId="344" xr:uid="{00000000-0005-0000-0000-0000B7000000}"/>
    <cellStyle name="Accent6 4 2" xfId="8558" xr:uid="{00000000-0005-0000-0000-000036150000}"/>
    <cellStyle name="Accent6 4 3" xfId="8559" xr:uid="{00000000-0005-0000-0000-000037150000}"/>
    <cellStyle name="Accent6 4 4" xfId="8557" xr:uid="{00000000-0005-0000-0000-000035150000}"/>
    <cellStyle name="Accent6 40" xfId="8560" xr:uid="{00000000-0005-0000-0000-000038150000}"/>
    <cellStyle name="Accent6 41" xfId="8561" xr:uid="{00000000-0005-0000-0000-000039150000}"/>
    <cellStyle name="Accent6 42" xfId="8562" xr:uid="{00000000-0005-0000-0000-00003A150000}"/>
    <cellStyle name="Accent6 43" xfId="8563" xr:uid="{00000000-0005-0000-0000-00003B150000}"/>
    <cellStyle name="Accent6 44" xfId="8564" xr:uid="{00000000-0005-0000-0000-00003C150000}"/>
    <cellStyle name="Accent6 45" xfId="8565" xr:uid="{00000000-0005-0000-0000-00003D150000}"/>
    <cellStyle name="Accent6 46" xfId="8566" xr:uid="{00000000-0005-0000-0000-00003E150000}"/>
    <cellStyle name="Accent6 47" xfId="8567" xr:uid="{00000000-0005-0000-0000-00003F150000}"/>
    <cellStyle name="Accent6 48" xfId="8568" xr:uid="{00000000-0005-0000-0000-000040150000}"/>
    <cellStyle name="Accent6 49" xfId="8569" xr:uid="{00000000-0005-0000-0000-000041150000}"/>
    <cellStyle name="Accent6 5" xfId="345" xr:uid="{00000000-0005-0000-0000-0000B8000000}"/>
    <cellStyle name="Accent6 5 2" xfId="8571" xr:uid="{00000000-0005-0000-0000-000043150000}"/>
    <cellStyle name="Accent6 5 3" xfId="8572" xr:uid="{00000000-0005-0000-0000-000044150000}"/>
    <cellStyle name="Accent6 5 4" xfId="8570" xr:uid="{00000000-0005-0000-0000-000042150000}"/>
    <cellStyle name="Accent6 50" xfId="8573" xr:uid="{00000000-0005-0000-0000-000045150000}"/>
    <cellStyle name="Accent6 51" xfId="8574" xr:uid="{00000000-0005-0000-0000-000046150000}"/>
    <cellStyle name="Accent6 52" xfId="8575" xr:uid="{00000000-0005-0000-0000-000047150000}"/>
    <cellStyle name="Accent6 53" xfId="8576" xr:uid="{00000000-0005-0000-0000-000048150000}"/>
    <cellStyle name="Accent6 54" xfId="8577" xr:uid="{00000000-0005-0000-0000-000049150000}"/>
    <cellStyle name="Accent6 55" xfId="8578" xr:uid="{00000000-0005-0000-0000-00004A150000}"/>
    <cellStyle name="Accent6 56" xfId="8579" xr:uid="{00000000-0005-0000-0000-00004B150000}"/>
    <cellStyle name="Accent6 57" xfId="8580" xr:uid="{00000000-0005-0000-0000-00004C150000}"/>
    <cellStyle name="Accent6 58" xfId="8581" xr:uid="{00000000-0005-0000-0000-00004D150000}"/>
    <cellStyle name="Accent6 59" xfId="8582" xr:uid="{00000000-0005-0000-0000-00004E150000}"/>
    <cellStyle name="Accent6 6" xfId="346" xr:uid="{00000000-0005-0000-0000-0000B9000000}"/>
    <cellStyle name="Accent6 6 2" xfId="8584" xr:uid="{00000000-0005-0000-0000-000050150000}"/>
    <cellStyle name="Accent6 6 3" xfId="8585" xr:uid="{00000000-0005-0000-0000-000051150000}"/>
    <cellStyle name="Accent6 6 4" xfId="8583" xr:uid="{00000000-0005-0000-0000-00004F150000}"/>
    <cellStyle name="Accent6 60" xfId="8586" xr:uid="{00000000-0005-0000-0000-000052150000}"/>
    <cellStyle name="Accent6 7" xfId="347" xr:uid="{00000000-0005-0000-0000-0000BA000000}"/>
    <cellStyle name="Accent6 7 2" xfId="8588" xr:uid="{00000000-0005-0000-0000-000054150000}"/>
    <cellStyle name="Accent6 7 3" xfId="8587" xr:uid="{00000000-0005-0000-0000-000053150000}"/>
    <cellStyle name="Accent6 8" xfId="8589" xr:uid="{00000000-0005-0000-0000-000055150000}"/>
    <cellStyle name="Accent6 9" xfId="8590" xr:uid="{00000000-0005-0000-0000-000056150000}"/>
    <cellStyle name="Actual Date" xfId="348" xr:uid="{00000000-0005-0000-0000-0000BB000000}"/>
    <cellStyle name="Actual Date 2" xfId="349" xr:uid="{00000000-0005-0000-0000-0000BC000000}"/>
    <cellStyle name="Actual Date 2 2" xfId="8591" xr:uid="{00000000-0005-0000-0000-000059150000}"/>
    <cellStyle name="Actual Date 2 3" xfId="8592" xr:uid="{00000000-0005-0000-0000-00005A150000}"/>
    <cellStyle name="Actual Date 2 4" xfId="5494" xr:uid="{00000000-0005-0000-0000-000058150000}"/>
    <cellStyle name="Actual Date 3" xfId="350" xr:uid="{00000000-0005-0000-0000-0000BD000000}"/>
    <cellStyle name="Actual Date 4" xfId="8593" xr:uid="{00000000-0005-0000-0000-00005C150000}"/>
    <cellStyle name="Actual Date 5" xfId="8594" xr:uid="{00000000-0005-0000-0000-00005D150000}"/>
    <cellStyle name="Actual Date_2010-2012 Program Workbook_Incent_FS" xfId="351" xr:uid="{00000000-0005-0000-0000-0000BE000000}"/>
    <cellStyle name="Address" xfId="352" xr:uid="{00000000-0005-0000-0000-0000BF000000}"/>
    <cellStyle name="Address 2" xfId="5493" xr:uid="{00000000-0005-0000-0000-000060150000}"/>
    <cellStyle name="Address 2 2" xfId="15264" xr:uid="{00000000-0005-0000-0000-000060150000}"/>
    <cellStyle name="Address 2 2 2" xfId="34127" xr:uid="{9B878624-5127-4DE6-B74A-AE70D1E29085}"/>
    <cellStyle name="Address 3" xfId="5508" xr:uid="{00000000-0005-0000-0000-00005F150000}"/>
    <cellStyle name="ariel" xfId="8595" xr:uid="{00000000-0005-0000-0000-000061150000}"/>
    <cellStyle name="ariel 2" xfId="8596" xr:uid="{00000000-0005-0000-0000-000062150000}"/>
    <cellStyle name="ariel 3" xfId="8597" xr:uid="{00000000-0005-0000-0000-000063150000}"/>
    <cellStyle name="ariel_Table G-2" xfId="8598" xr:uid="{00000000-0005-0000-0000-000064150000}"/>
    <cellStyle name="Array Enter" xfId="353" xr:uid="{00000000-0005-0000-0000-0000C0000000}"/>
    <cellStyle name="Array Enter 2" xfId="8599" xr:uid="{00000000-0005-0000-0000-000065150000}"/>
    <cellStyle name="Bad" xfId="71" builtinId="27" customBuiltin="1"/>
    <cellStyle name="Bad 10" xfId="8600" xr:uid="{00000000-0005-0000-0000-000066150000}"/>
    <cellStyle name="Bad 2" xfId="354" xr:uid="{00000000-0005-0000-0000-0000C1000000}"/>
    <cellStyle name="Bad 2 2" xfId="8602" xr:uid="{00000000-0005-0000-0000-000068150000}"/>
    <cellStyle name="Bad 2 2 2" xfId="8603" xr:uid="{00000000-0005-0000-0000-000069150000}"/>
    <cellStyle name="Bad 2 2 2 2" xfId="8604" xr:uid="{00000000-0005-0000-0000-00006A150000}"/>
    <cellStyle name="Bad 2 2 3" xfId="8605" xr:uid="{00000000-0005-0000-0000-00006B150000}"/>
    <cellStyle name="Bad 2 3" xfId="8606" xr:uid="{00000000-0005-0000-0000-00006C150000}"/>
    <cellStyle name="Bad 2 3 2" xfId="8607" xr:uid="{00000000-0005-0000-0000-00006D150000}"/>
    <cellStyle name="Bad 2 3 3" xfId="8608" xr:uid="{00000000-0005-0000-0000-00006E150000}"/>
    <cellStyle name="Bad 2 4" xfId="8609" xr:uid="{00000000-0005-0000-0000-00006F150000}"/>
    <cellStyle name="Bad 2 5" xfId="8601" xr:uid="{00000000-0005-0000-0000-000067150000}"/>
    <cellStyle name="Bad 3" xfId="355" xr:uid="{00000000-0005-0000-0000-0000C2000000}"/>
    <cellStyle name="Bad 3 2" xfId="8611" xr:uid="{00000000-0005-0000-0000-000071150000}"/>
    <cellStyle name="Bad 3 3" xfId="8610" xr:uid="{00000000-0005-0000-0000-000070150000}"/>
    <cellStyle name="Bad 4" xfId="356" xr:uid="{00000000-0005-0000-0000-0000C3000000}"/>
    <cellStyle name="Bad 4 2" xfId="8612" xr:uid="{00000000-0005-0000-0000-000073150000}"/>
    <cellStyle name="Bad 4 3" xfId="8613" xr:uid="{00000000-0005-0000-0000-000074150000}"/>
    <cellStyle name="Bad 5" xfId="357" xr:uid="{00000000-0005-0000-0000-0000C4000000}"/>
    <cellStyle name="Bad 6" xfId="358" xr:uid="{00000000-0005-0000-0000-0000C5000000}"/>
    <cellStyle name="Bad 7" xfId="359" xr:uid="{00000000-0005-0000-0000-0000C6000000}"/>
    <cellStyle name="Bad 8" xfId="8614" xr:uid="{00000000-0005-0000-0000-000078150000}"/>
    <cellStyle name="Bad 9" xfId="8615" xr:uid="{00000000-0005-0000-0000-000079150000}"/>
    <cellStyle name="basic" xfId="360" xr:uid="{00000000-0005-0000-0000-0000C7000000}"/>
    <cellStyle name="billion" xfId="361" xr:uid="{00000000-0005-0000-0000-0000C8000000}"/>
    <cellStyle name="Calc Currency (0)" xfId="362" xr:uid="{00000000-0005-0000-0000-0000C9000000}"/>
    <cellStyle name="Calculation" xfId="75" builtinId="22" customBuiltin="1"/>
    <cellStyle name="Calculation 10" xfId="8616" xr:uid="{00000000-0005-0000-0000-00007D150000}"/>
    <cellStyle name="Calculation 10 2" xfId="20124" xr:uid="{00000000-0005-0000-0000-00007D150000}"/>
    <cellStyle name="Calculation 10 2 2" xfId="27566" xr:uid="{818BDC7C-EB38-47F8-B027-AD6840CCE90F}"/>
    <cellStyle name="Calculation 10 2 2 2" xfId="42503" xr:uid="{AE5D25E7-E899-48DD-80F5-EB17B940783D}"/>
    <cellStyle name="Calculation 10 2 3" xfId="35142" xr:uid="{CD026160-B352-404A-8961-83AA7C8E9377}"/>
    <cellStyle name="Calculation 10 3" xfId="32955" xr:uid="{90558E34-086E-4A06-8209-4B8BDD03BE75}"/>
    <cellStyle name="Calculation 11" xfId="8617" xr:uid="{00000000-0005-0000-0000-00007E150000}"/>
    <cellStyle name="Calculation 11 2" xfId="20125" xr:uid="{00000000-0005-0000-0000-00007E150000}"/>
    <cellStyle name="Calculation 11 2 2" xfId="27567" xr:uid="{FD3AC3C8-58B9-472F-BB33-7792C7EC5983}"/>
    <cellStyle name="Calculation 11 2 2 2" xfId="42504" xr:uid="{4251024F-CB28-4F79-8C31-8A39E905D11E}"/>
    <cellStyle name="Calculation 11 2 3" xfId="35143" xr:uid="{0A498C8C-C450-409F-89C1-059CD94D2446}"/>
    <cellStyle name="Calculation 11 3" xfId="32956" xr:uid="{3ED4FE02-CDBC-4041-ACD5-F7A37E85D3B9}"/>
    <cellStyle name="Calculation 2" xfId="363" xr:uid="{00000000-0005-0000-0000-0000CA000000}"/>
    <cellStyle name="Calculation 2 2" xfId="364" xr:uid="{00000000-0005-0000-0000-0000CB000000}"/>
    <cellStyle name="Calculation 2 2 2" xfId="8619" xr:uid="{00000000-0005-0000-0000-000081150000}"/>
    <cellStyle name="Calculation 2 2 2 2" xfId="20128" xr:uid="{00000000-0005-0000-0000-000081150000}"/>
    <cellStyle name="Calculation 2 2 2 2 2" xfId="27570" xr:uid="{C983E932-92DA-4E93-BF3C-C20526ACA8A0}"/>
    <cellStyle name="Calculation 2 2 2 2 2 2" xfId="42507" xr:uid="{5AC3D8FC-1E1E-4B66-BA61-0A6F5C844876}"/>
    <cellStyle name="Calculation 2 2 2 2 3" xfId="35146" xr:uid="{B8DB1EA8-1D7C-4CAB-9445-2403013AC165}"/>
    <cellStyle name="Calculation 2 2 2 3" xfId="25588" xr:uid="{DAFDE728-ED1F-422C-8589-D816076423CB}"/>
    <cellStyle name="Calculation 2 2 2 3 2" xfId="40559" xr:uid="{06535EF8-4C2A-4D61-939F-27607DD6E375}"/>
    <cellStyle name="Calculation 2 2 2 4" xfId="32958" xr:uid="{174DE4B4-511C-4782-A8C1-1DB171DD74C7}"/>
    <cellStyle name="Calculation 2 2 3" xfId="20127" xr:uid="{00000000-0005-0000-0000-000080150000}"/>
    <cellStyle name="Calculation 2 2 3 2" xfId="27569" xr:uid="{8ED82FFC-3060-4910-A00F-FF4757D0E8C4}"/>
    <cellStyle name="Calculation 2 2 3 2 2" xfId="42506" xr:uid="{7701159B-B947-4879-9884-8477220FE0FB}"/>
    <cellStyle name="Calculation 2 2 3 3" xfId="35145" xr:uid="{D0F31AB0-D815-4A04-ABEE-4F87ED9C63E4}"/>
    <cellStyle name="Calculation 2 2 4" xfId="28021" xr:uid="{A5A5519B-46CF-4633-B5DA-A1164E2E94C6}"/>
    <cellStyle name="Calculation 2 3" xfId="8620" xr:uid="{00000000-0005-0000-0000-000082150000}"/>
    <cellStyle name="Calculation 2 3 2" xfId="20129" xr:uid="{00000000-0005-0000-0000-000082150000}"/>
    <cellStyle name="Calculation 2 3 2 2" xfId="27571" xr:uid="{C7AD4BA0-D01D-436F-9FF2-5F7AFFD7B550}"/>
    <cellStyle name="Calculation 2 3 2 2 2" xfId="42508" xr:uid="{E2D560D1-24CE-4580-93BB-824C2C45E78D}"/>
    <cellStyle name="Calculation 2 3 2 3" xfId="35147" xr:uid="{71F33590-E505-4687-B4EA-5EA5859D38C9}"/>
    <cellStyle name="Calculation 2 3 3" xfId="25589" xr:uid="{49EDF541-6E67-4CFE-A53C-219EBC035792}"/>
    <cellStyle name="Calculation 2 3 3 2" xfId="40560" xr:uid="{F3ED706A-E837-4536-9BA5-679EAA8D70E1}"/>
    <cellStyle name="Calculation 2 3 4" xfId="32959" xr:uid="{568F5A91-B1F3-4D35-9B7C-758A9DB287E2}"/>
    <cellStyle name="Calculation 2 4" xfId="8618" xr:uid="{00000000-0005-0000-0000-00007F150000}"/>
    <cellStyle name="Calculation 2 4 2" xfId="25587" xr:uid="{19EA8EFE-11B0-4592-9277-814BB6FB6E0D}"/>
    <cellStyle name="Calculation 2 4 2 2" xfId="40558" xr:uid="{2E3740B4-274E-4EA2-9689-46CE14578A63}"/>
    <cellStyle name="Calculation 2 4 3" xfId="32957" xr:uid="{251EF3EA-B6C1-451A-8CCE-0F8AAE525E61}"/>
    <cellStyle name="Calculation 2 5" xfId="20126" xr:uid="{00000000-0005-0000-0000-00007F150000}"/>
    <cellStyle name="Calculation 2 5 2" xfId="27568" xr:uid="{4DC63321-6429-4333-99A0-0DE0C0B28CC1}"/>
    <cellStyle name="Calculation 2 5 2 2" xfId="42505" xr:uid="{1AFE6320-BEFF-44F1-B583-A43838F5C3D0}"/>
    <cellStyle name="Calculation 2 5 3" xfId="35144" xr:uid="{B07CFB14-C053-4CA7-8C8E-D39564CDB1D4}"/>
    <cellStyle name="Calculation 2 6" xfId="28020" xr:uid="{24E8AABF-128B-469C-88DB-605822DBD581}"/>
    <cellStyle name="Calculation 3" xfId="365" xr:uid="{00000000-0005-0000-0000-0000CC000000}"/>
    <cellStyle name="Calculation 3 2" xfId="366" xr:uid="{00000000-0005-0000-0000-0000CD000000}"/>
    <cellStyle name="Calculation 3 2 2" xfId="20131" xr:uid="{00000000-0005-0000-0000-000084150000}"/>
    <cellStyle name="Calculation 3 2 2 2" xfId="27573" xr:uid="{143912B7-F1CD-47FE-9CC5-ABC9261BC199}"/>
    <cellStyle name="Calculation 3 2 2 2 2" xfId="42510" xr:uid="{3E902B1D-8A0F-4389-8B64-5B53648E5490}"/>
    <cellStyle name="Calculation 3 2 2 3" xfId="35149" xr:uid="{AAC3ED97-6ADB-489E-AEEB-13F1C54BB00D}"/>
    <cellStyle name="Calculation 3 2 3" xfId="28023" xr:uid="{78C9E071-BDDA-4243-A838-42347E05B395}"/>
    <cellStyle name="Calculation 3 3" xfId="8621" xr:uid="{00000000-0005-0000-0000-000085150000}"/>
    <cellStyle name="Calculation 3 4" xfId="20130" xr:uid="{00000000-0005-0000-0000-000083150000}"/>
    <cellStyle name="Calculation 3 4 2" xfId="27572" xr:uid="{D4D236FE-537A-46A4-8243-F838CEB112DF}"/>
    <cellStyle name="Calculation 3 4 2 2" xfId="42509" xr:uid="{F02A0E17-7324-4096-BCE6-6B8E36009FA8}"/>
    <cellStyle name="Calculation 3 4 3" xfId="35148" xr:uid="{A8BBD10B-0CC8-44C0-B63A-83D3DA8BCE64}"/>
    <cellStyle name="Calculation 3 5" xfId="28022" xr:uid="{EF66BBD2-FE57-46A7-8761-08AD04609580}"/>
    <cellStyle name="Calculation 4" xfId="367" xr:uid="{00000000-0005-0000-0000-0000CE000000}"/>
    <cellStyle name="Calculation 4 2" xfId="368" xr:uid="{00000000-0005-0000-0000-0000CF000000}"/>
    <cellStyle name="Calculation 4 2 2" xfId="20716" xr:uid="{EC54A27B-191D-429D-B0C5-DFE182D0A25D}"/>
    <cellStyle name="Calculation 4 2 2 2" xfId="35717" xr:uid="{872B8454-1046-4619-AFE3-5E705525A537}"/>
    <cellStyle name="Calculation 4 2 3" xfId="28025" xr:uid="{1DBFAE30-E48A-40B3-8524-1E06B2B65952}"/>
    <cellStyle name="Calculation 4 3" xfId="20132" xr:uid="{00000000-0005-0000-0000-000086150000}"/>
    <cellStyle name="Calculation 4 3 2" xfId="27574" xr:uid="{D375672D-744B-4198-BFE8-6D8DA527D394}"/>
    <cellStyle name="Calculation 4 3 2 2" xfId="42511" xr:uid="{304CDBBE-22A3-462B-AA6F-9DB6EEFFDA37}"/>
    <cellStyle name="Calculation 4 3 3" xfId="35150" xr:uid="{A4A1D39C-1E6E-4F32-A49E-8056F19FD79C}"/>
    <cellStyle name="Calculation 4 4" xfId="28024" xr:uid="{22AAA3FA-55D8-4EA6-BE3A-C40935FFD781}"/>
    <cellStyle name="Calculation 5" xfId="369" xr:uid="{00000000-0005-0000-0000-0000D0000000}"/>
    <cellStyle name="Calculation 5 2" xfId="370" xr:uid="{00000000-0005-0000-0000-0000D1000000}"/>
    <cellStyle name="Calculation 5 2 2" xfId="20717" xr:uid="{5EFA589C-F48D-43E3-93EB-39619B12DE37}"/>
    <cellStyle name="Calculation 5 2 2 2" xfId="35718" xr:uid="{48F829C2-4B27-4FF6-BA37-AEC98AA07E34}"/>
    <cellStyle name="Calculation 5 2 3" xfId="28027" xr:uid="{2F3FDA6D-A373-40F8-A001-F524C1AA9180}"/>
    <cellStyle name="Calculation 5 3" xfId="20133" xr:uid="{00000000-0005-0000-0000-000087150000}"/>
    <cellStyle name="Calculation 5 3 2" xfId="27575" xr:uid="{BB434E42-87E0-4F44-B661-B9AEADB62DCE}"/>
    <cellStyle name="Calculation 5 3 2 2" xfId="42512" xr:uid="{F2303D2E-F822-4F1C-860E-3AE992CC2638}"/>
    <cellStyle name="Calculation 5 3 3" xfId="35151" xr:uid="{3D948440-8090-498A-BABE-E32A6EF4D166}"/>
    <cellStyle name="Calculation 5 4" xfId="28026" xr:uid="{D288EBFD-BD15-4293-AC2D-86D9CCE45755}"/>
    <cellStyle name="Calculation 6" xfId="371" xr:uid="{00000000-0005-0000-0000-0000D2000000}"/>
    <cellStyle name="Calculation 6 2" xfId="372" xr:uid="{00000000-0005-0000-0000-0000D3000000}"/>
    <cellStyle name="Calculation 6 2 2" xfId="20718" xr:uid="{6794E333-4878-42D8-8E10-3A9B72F1B513}"/>
    <cellStyle name="Calculation 6 2 2 2" xfId="35719" xr:uid="{38584B68-1171-429A-B9F8-23612A8E12D9}"/>
    <cellStyle name="Calculation 6 2 3" xfId="28029" xr:uid="{FB4B6BC7-451C-4517-B3C3-719FBC7E5337}"/>
    <cellStyle name="Calculation 6 3" xfId="20134" xr:uid="{00000000-0005-0000-0000-000088150000}"/>
    <cellStyle name="Calculation 6 3 2" xfId="27576" xr:uid="{9E3CC90D-75B3-46BB-BD56-060A801D094D}"/>
    <cellStyle name="Calculation 6 3 2 2" xfId="42513" xr:uid="{F0825447-B32F-4D4B-AB4F-CBFBF4CB9C8F}"/>
    <cellStyle name="Calculation 6 3 3" xfId="35152" xr:uid="{D0F09878-82E5-4927-8160-89B342782727}"/>
    <cellStyle name="Calculation 6 4" xfId="28028" xr:uid="{FC72BBA1-6AB5-4DCA-B5A6-F30FE73991DD}"/>
    <cellStyle name="Calculation 7" xfId="373" xr:uid="{00000000-0005-0000-0000-0000D4000000}"/>
    <cellStyle name="Calculation 7 2" xfId="374" xr:uid="{00000000-0005-0000-0000-0000D5000000}"/>
    <cellStyle name="Calculation 7 2 2" xfId="20719" xr:uid="{386D061D-A010-4C12-8BBB-181C05169BF8}"/>
    <cellStyle name="Calculation 7 2 2 2" xfId="35720" xr:uid="{AACA45AD-A0C0-4738-8390-B46BCE077810}"/>
    <cellStyle name="Calculation 7 2 3" xfId="28031" xr:uid="{5F7EA6E6-68C3-4E10-8683-0E82FDF74366}"/>
    <cellStyle name="Calculation 7 3" xfId="20135" xr:uid="{00000000-0005-0000-0000-000089150000}"/>
    <cellStyle name="Calculation 7 3 2" xfId="27577" xr:uid="{0F25DB11-9B32-461E-94F1-8F3D96164DAF}"/>
    <cellStyle name="Calculation 7 3 2 2" xfId="42514" xr:uid="{1BB3B44B-43C6-47AB-8C4F-4758DF321F50}"/>
    <cellStyle name="Calculation 7 3 3" xfId="35153" xr:uid="{4880EEDB-E783-4429-B49E-B88FBF188F52}"/>
    <cellStyle name="Calculation 7 4" xfId="28030" xr:uid="{0845B79E-7DE3-4675-8600-296E928A9B45}"/>
    <cellStyle name="Calculation 8" xfId="8622" xr:uid="{00000000-0005-0000-0000-00008A150000}"/>
    <cellStyle name="Calculation 9" xfId="8623" xr:uid="{00000000-0005-0000-0000-00008B150000}"/>
    <cellStyle name="Check Cell" xfId="77" builtinId="23" customBuiltin="1"/>
    <cellStyle name="Check Cell 10" xfId="8624" xr:uid="{00000000-0005-0000-0000-00008C150000}"/>
    <cellStyle name="Check Cell 2" xfId="375" xr:uid="{00000000-0005-0000-0000-0000D6000000}"/>
    <cellStyle name="Check Cell 2 2" xfId="8626" xr:uid="{00000000-0005-0000-0000-00008E150000}"/>
    <cellStyle name="Check Cell 2 2 2" xfId="8627" xr:uid="{00000000-0005-0000-0000-00008F150000}"/>
    <cellStyle name="Check Cell 2 3" xfId="8628" xr:uid="{00000000-0005-0000-0000-000090150000}"/>
    <cellStyle name="Check Cell 2 4" xfId="8625" xr:uid="{00000000-0005-0000-0000-00008D150000}"/>
    <cellStyle name="Check Cell 3" xfId="376" xr:uid="{00000000-0005-0000-0000-0000D7000000}"/>
    <cellStyle name="Check Cell 3 2" xfId="8629" xr:uid="{00000000-0005-0000-0000-000092150000}"/>
    <cellStyle name="Check Cell 3 3" xfId="8630" xr:uid="{00000000-0005-0000-0000-000093150000}"/>
    <cellStyle name="Check Cell 4" xfId="377" xr:uid="{00000000-0005-0000-0000-0000D8000000}"/>
    <cellStyle name="Check Cell 5" xfId="378" xr:uid="{00000000-0005-0000-0000-0000D9000000}"/>
    <cellStyle name="Check Cell 6" xfId="379" xr:uid="{00000000-0005-0000-0000-0000DA000000}"/>
    <cellStyle name="Check Cell 7" xfId="380" xr:uid="{00000000-0005-0000-0000-0000DB000000}"/>
    <cellStyle name="Check Cell 8" xfId="8631" xr:uid="{00000000-0005-0000-0000-000098150000}"/>
    <cellStyle name="Check Cell 9" xfId="8632" xr:uid="{00000000-0005-0000-0000-000099150000}"/>
    <cellStyle name="City" xfId="381" xr:uid="{00000000-0005-0000-0000-0000DC000000}"/>
    <cellStyle name="City 2" xfId="5492" xr:uid="{00000000-0005-0000-0000-00009B150000}"/>
    <cellStyle name="City 2 2" xfId="15239" xr:uid="{00000000-0005-0000-0000-00009B150000}"/>
    <cellStyle name="City 2 2 2" xfId="34118" xr:uid="{49AF55C6-E109-4D7A-8952-997696A0C432}"/>
    <cellStyle name="City 3" xfId="5560" xr:uid="{00000000-0005-0000-0000-00009A150000}"/>
    <cellStyle name="Comma" xfId="64" builtinId="3"/>
    <cellStyle name="Comma  - Style1" xfId="382" xr:uid="{00000000-0005-0000-0000-0000DE000000}"/>
    <cellStyle name="Comma  - Style1 2" xfId="5491" xr:uid="{00000000-0005-0000-0000-00009E150000}"/>
    <cellStyle name="Comma  - Style2" xfId="383" xr:uid="{00000000-0005-0000-0000-0000DF000000}"/>
    <cellStyle name="Comma  - Style2 2" xfId="5490" xr:uid="{00000000-0005-0000-0000-0000A0150000}"/>
    <cellStyle name="Comma  - Style3" xfId="384" xr:uid="{00000000-0005-0000-0000-0000E0000000}"/>
    <cellStyle name="Comma  - Style3 2" xfId="5489" xr:uid="{00000000-0005-0000-0000-0000A2150000}"/>
    <cellStyle name="Comma  - Style4" xfId="385" xr:uid="{00000000-0005-0000-0000-0000E1000000}"/>
    <cellStyle name="Comma  - Style4 2" xfId="5488" xr:uid="{00000000-0005-0000-0000-0000A4150000}"/>
    <cellStyle name="Comma  - Style5" xfId="386" xr:uid="{00000000-0005-0000-0000-0000E2000000}"/>
    <cellStyle name="Comma  - Style5 2" xfId="5487" xr:uid="{00000000-0005-0000-0000-0000A6150000}"/>
    <cellStyle name="Comma  - Style6" xfId="387" xr:uid="{00000000-0005-0000-0000-0000E3000000}"/>
    <cellStyle name="Comma  - Style6 2" xfId="5550" xr:uid="{00000000-0005-0000-0000-0000A8150000}"/>
    <cellStyle name="Comma  - Style7" xfId="388" xr:uid="{00000000-0005-0000-0000-0000E4000000}"/>
    <cellStyle name="Comma  - Style7 2" xfId="5486" xr:uid="{00000000-0005-0000-0000-0000AA150000}"/>
    <cellStyle name="Comma  - Style8" xfId="389" xr:uid="{00000000-0005-0000-0000-0000E5000000}"/>
    <cellStyle name="Comma  - Style8 2" xfId="5485" xr:uid="{00000000-0005-0000-0000-0000AC150000}"/>
    <cellStyle name="Comma [0] 2" xfId="8633" xr:uid="{00000000-0005-0000-0000-0000AD150000}"/>
    <cellStyle name="Comma [0] 2 2" xfId="8634" xr:uid="{00000000-0005-0000-0000-0000AE150000}"/>
    <cellStyle name="Comma [0] 2 2 2" xfId="8635" xr:uid="{00000000-0005-0000-0000-0000AF150000}"/>
    <cellStyle name="Comma [0] 2 3" xfId="8636" xr:uid="{00000000-0005-0000-0000-0000B0150000}"/>
    <cellStyle name="Comma [0] 3" xfId="8637" xr:uid="{00000000-0005-0000-0000-0000B1150000}"/>
    <cellStyle name="Comma 10" xfId="390" xr:uid="{00000000-0005-0000-0000-0000E6000000}"/>
    <cellStyle name="Comma 10 2" xfId="5483" xr:uid="{00000000-0005-0000-0000-0000B3150000}"/>
    <cellStyle name="Comma 10 2 2" xfId="8638" xr:uid="{00000000-0005-0000-0000-0000B4150000}"/>
    <cellStyle name="Comma 10 2 2 2" xfId="8639" xr:uid="{00000000-0005-0000-0000-0000B5150000}"/>
    <cellStyle name="Comma 10 2 3" xfId="8640" xr:uid="{00000000-0005-0000-0000-0000B6150000}"/>
    <cellStyle name="Comma 10 2 3 2" xfId="8641" xr:uid="{00000000-0005-0000-0000-0000B7150000}"/>
    <cellStyle name="Comma 10 3" xfId="8642" xr:uid="{00000000-0005-0000-0000-0000B8150000}"/>
    <cellStyle name="Comma 10 3 2" xfId="8643" xr:uid="{00000000-0005-0000-0000-0000B9150000}"/>
    <cellStyle name="Comma 10 4" xfId="8644" xr:uid="{00000000-0005-0000-0000-0000BA150000}"/>
    <cellStyle name="Comma 10 5" xfId="8645" xr:uid="{00000000-0005-0000-0000-0000BB150000}"/>
    <cellStyle name="Comma 10 6" xfId="8646" xr:uid="{00000000-0005-0000-0000-0000BC150000}"/>
    <cellStyle name="Comma 10 7" xfId="5484" xr:uid="{00000000-0005-0000-0000-0000B2150000}"/>
    <cellStyle name="Comma 100" xfId="8647" xr:uid="{00000000-0005-0000-0000-0000BD150000}"/>
    <cellStyle name="Comma 101" xfId="8648" xr:uid="{00000000-0005-0000-0000-0000BE150000}"/>
    <cellStyle name="Comma 102" xfId="8649" xr:uid="{00000000-0005-0000-0000-0000BF150000}"/>
    <cellStyle name="Comma 103" xfId="8650" xr:uid="{00000000-0005-0000-0000-0000C0150000}"/>
    <cellStyle name="Comma 104" xfId="8651" xr:uid="{00000000-0005-0000-0000-0000C1150000}"/>
    <cellStyle name="Comma 105" xfId="8652" xr:uid="{00000000-0005-0000-0000-0000C2150000}"/>
    <cellStyle name="Comma 106" xfId="8653" xr:uid="{00000000-0005-0000-0000-0000C3150000}"/>
    <cellStyle name="Comma 107" xfId="8654" xr:uid="{00000000-0005-0000-0000-0000C4150000}"/>
    <cellStyle name="Comma 108" xfId="8655" xr:uid="{00000000-0005-0000-0000-0000C5150000}"/>
    <cellStyle name="Comma 109" xfId="8656" xr:uid="{00000000-0005-0000-0000-0000C6150000}"/>
    <cellStyle name="Comma 11" xfId="391" xr:uid="{00000000-0005-0000-0000-0000E7000000}"/>
    <cellStyle name="Comma 11 2" xfId="5481" xr:uid="{00000000-0005-0000-0000-0000C8150000}"/>
    <cellStyle name="Comma 11 2 2" xfId="8657" xr:uid="{00000000-0005-0000-0000-0000C9150000}"/>
    <cellStyle name="Comma 11 2 2 2" xfId="8658" xr:uid="{00000000-0005-0000-0000-0000CA150000}"/>
    <cellStyle name="Comma 11 3" xfId="8659" xr:uid="{00000000-0005-0000-0000-0000CB150000}"/>
    <cellStyle name="Comma 11 3 2" xfId="8660" xr:uid="{00000000-0005-0000-0000-0000CC150000}"/>
    <cellStyle name="Comma 11 4" xfId="8661" xr:uid="{00000000-0005-0000-0000-0000CD150000}"/>
    <cellStyle name="Comma 11 5" xfId="5482" xr:uid="{00000000-0005-0000-0000-0000C7150000}"/>
    <cellStyle name="Comma 110" xfId="8662" xr:uid="{00000000-0005-0000-0000-0000CE150000}"/>
    <cellStyle name="Comma 110 2" xfId="25590" xr:uid="{5DCE7407-3308-42FD-8DC9-BDD36A3FF094}"/>
    <cellStyle name="Comma 110 2 2" xfId="40561" xr:uid="{88004B44-6B48-450C-A193-F0B247EACBDD}"/>
    <cellStyle name="Comma 110 3" xfId="32960" xr:uid="{64E08EF6-6370-4160-B5F3-29CC90133A93}"/>
    <cellStyle name="Comma 111" xfId="8663" xr:uid="{00000000-0005-0000-0000-0000CF150000}"/>
    <cellStyle name="Comma 112" xfId="8664" xr:uid="{00000000-0005-0000-0000-0000D0150000}"/>
    <cellStyle name="Comma 113" xfId="5507" xr:uid="{00000000-0005-0000-0000-0000C1200000}"/>
    <cellStyle name="Comma 114" xfId="5500" xr:uid="{00000000-0005-0000-0000-0000BA4E0000}"/>
    <cellStyle name="Comma 115" xfId="13594" xr:uid="{00000000-0005-0000-0000-00005C500000}"/>
    <cellStyle name="Comma 115 2" xfId="26466" xr:uid="{3A11737D-DB36-4BF8-86ED-BF50B8339D56}"/>
    <cellStyle name="Comma 115 2 2" xfId="41429" xr:uid="{F3A8E6E3-5874-41AA-832A-E7F3769D24EA}"/>
    <cellStyle name="Comma 115 3" xfId="33834" xr:uid="{DBA92D42-1E2C-4BAB-BB1A-60293EF4DE58}"/>
    <cellStyle name="Comma 116" xfId="20535" xr:uid="{12A2F1FA-E9CF-451B-BE52-93BF7210B93A}"/>
    <cellStyle name="Comma 116 2" xfId="27842" xr:uid="{D7DD9CB3-E50F-40FE-9243-18B22A0A35D7}"/>
    <cellStyle name="Comma 116 2 2" xfId="42779" xr:uid="{0E5F6412-026E-4B94-BFFB-704F10E777A3}"/>
    <cellStyle name="Comma 116 3" xfId="35551" xr:uid="{3649D46C-7FA1-4752-8F11-EEA123A237D0}"/>
    <cellStyle name="Comma 117" xfId="20537" xr:uid="{16161602-253E-40AA-974E-F858333CD9EB}"/>
    <cellStyle name="Comma 117 2" xfId="20553" xr:uid="{38B1619A-B829-4005-8F58-4531BCD53FB3}"/>
    <cellStyle name="Comma 117 2 2" xfId="20565" xr:uid="{45822DFC-07CA-40B5-8723-40F8F3FFE95A}"/>
    <cellStyle name="Comma 117 2 2 2" xfId="27863" xr:uid="{D116A1BE-C732-430A-A9DA-62FE2A8228FD}"/>
    <cellStyle name="Comma 117 2 2 2 2" xfId="42800" xr:uid="{29ADF739-4F86-47E2-96A9-1DAF2ED55375}"/>
    <cellStyle name="Comma 117 2 2 3" xfId="35572" xr:uid="{C9571401-4869-43A1-92C7-B813CC7B5EB5}"/>
    <cellStyle name="Comma 117 2 3" xfId="27857" xr:uid="{513C5569-7BDD-4860-8982-1E7326861018}"/>
    <cellStyle name="Comma 117 2 3 2" xfId="42794" xr:uid="{6C8A82B7-F92F-4C67-BB67-781D69F405C4}"/>
    <cellStyle name="Comma 117 2 4" xfId="35566" xr:uid="{290BFF79-6D1F-4556-8AF6-5B4BD8A60213}"/>
    <cellStyle name="Comma 117 3" xfId="27844" xr:uid="{1483F4EF-4DBC-4ADC-90FB-6F9356CFFC81}"/>
    <cellStyle name="Comma 117 3 2" xfId="42781" xr:uid="{C8689261-C2F1-4CAF-ADDA-615F7EF69409}"/>
    <cellStyle name="Comma 117 4" xfId="35553" xr:uid="{8F6B2CC7-6453-419A-BCF9-5F8551CE998B}"/>
    <cellStyle name="Comma 118" xfId="20576" xr:uid="{88319FD2-5A9B-4B0F-94E5-B714B385A4BC}"/>
    <cellStyle name="Comma 118 2" xfId="27869" xr:uid="{412538F3-5BD9-4F6E-81BB-13C845907C60}"/>
    <cellStyle name="Comma 118 2 2" xfId="42806" xr:uid="{938D1AD9-5761-4386-8B58-466E6761F8AA}"/>
    <cellStyle name="Comma 118 3" xfId="35578" xr:uid="{CDCEAC2F-8E10-4380-8C00-3DF7F18B9260}"/>
    <cellStyle name="Comma 119" xfId="20588" xr:uid="{E0DE906F-290D-41BD-8BBA-7CABC1AB3F63}"/>
    <cellStyle name="Comma 119 2" xfId="27881" xr:uid="{6513F8FA-828E-4A0E-B1A4-630D35501DC0}"/>
    <cellStyle name="Comma 119 2 2" xfId="42818" xr:uid="{AC929CAE-FFD2-4325-927E-0EBEE79DE94F}"/>
    <cellStyle name="Comma 119 3" xfId="35590" xr:uid="{04A1E49B-2885-46B2-AFD3-B9863EA91C43}"/>
    <cellStyle name="Comma 12" xfId="392" xr:uid="{00000000-0005-0000-0000-0000E8000000}"/>
    <cellStyle name="Comma 12 2" xfId="5479" xr:uid="{00000000-0005-0000-0000-0000D2150000}"/>
    <cellStyle name="Comma 12 2 2" xfId="8665" xr:uid="{00000000-0005-0000-0000-0000D3150000}"/>
    <cellStyle name="Comma 12 2 2 2" xfId="8666" xr:uid="{00000000-0005-0000-0000-0000D4150000}"/>
    <cellStyle name="Comma 12 2 3" xfId="8667" xr:uid="{00000000-0005-0000-0000-0000D5150000}"/>
    <cellStyle name="Comma 12 2 3 2" xfId="8668" xr:uid="{00000000-0005-0000-0000-0000D6150000}"/>
    <cellStyle name="Comma 12 3" xfId="8669" xr:uid="{00000000-0005-0000-0000-0000D7150000}"/>
    <cellStyle name="Comma 12 3 2" xfId="8670" xr:uid="{00000000-0005-0000-0000-0000D8150000}"/>
    <cellStyle name="Comma 12 3 2 2" xfId="8671" xr:uid="{00000000-0005-0000-0000-0000D9150000}"/>
    <cellStyle name="Comma 12 3 3" xfId="8672" xr:uid="{00000000-0005-0000-0000-0000DA150000}"/>
    <cellStyle name="Comma 12 3 4" xfId="8673" xr:uid="{00000000-0005-0000-0000-0000DB150000}"/>
    <cellStyle name="Comma 12 4" xfId="8674" xr:uid="{00000000-0005-0000-0000-0000DC150000}"/>
    <cellStyle name="Comma 12 4 2" xfId="8675" xr:uid="{00000000-0005-0000-0000-0000DD150000}"/>
    <cellStyle name="Comma 12 5" xfId="8676" xr:uid="{00000000-0005-0000-0000-0000DE150000}"/>
    <cellStyle name="Comma 12 5 2" xfId="8677" xr:uid="{00000000-0005-0000-0000-0000DF150000}"/>
    <cellStyle name="Comma 12 6" xfId="8678" xr:uid="{00000000-0005-0000-0000-0000E0150000}"/>
    <cellStyle name="Comma 12 7" xfId="8679" xr:uid="{00000000-0005-0000-0000-0000E1150000}"/>
    <cellStyle name="Comma 12 8" xfId="5480" xr:uid="{00000000-0005-0000-0000-0000D1150000}"/>
    <cellStyle name="Comma 13" xfId="393" xr:uid="{00000000-0005-0000-0000-0000E9000000}"/>
    <cellStyle name="Comma 13 2" xfId="5477" xr:uid="{00000000-0005-0000-0000-0000E3150000}"/>
    <cellStyle name="Comma 13 2 2" xfId="8680" xr:uid="{00000000-0005-0000-0000-0000E4150000}"/>
    <cellStyle name="Comma 13 2 2 2" xfId="8681" xr:uid="{00000000-0005-0000-0000-0000E5150000}"/>
    <cellStyle name="Comma 13 2 2 2 2" xfId="25591" xr:uid="{345382FB-9759-4352-82A3-37C97B6D7FD8}"/>
    <cellStyle name="Comma 13 2 2 2 2 2" xfId="40562" xr:uid="{315B7294-CE12-4D03-B108-3735C68DEE7A}"/>
    <cellStyle name="Comma 13 2 2 2 3" xfId="32961" xr:uid="{62227B42-C004-4619-B074-F5D3BB334C85}"/>
    <cellStyle name="Comma 13 3" xfId="8682" xr:uid="{00000000-0005-0000-0000-0000E6150000}"/>
    <cellStyle name="Comma 13 3 2" xfId="8683" xr:uid="{00000000-0005-0000-0000-0000E7150000}"/>
    <cellStyle name="Comma 13 3 2 2" xfId="25592" xr:uid="{FB4EB75D-C01B-41DB-824E-9E768D7C096E}"/>
    <cellStyle name="Comma 13 3 2 2 2" xfId="40563" xr:uid="{D0CBFC76-2EF8-4065-B12D-647DBB851B98}"/>
    <cellStyle name="Comma 13 3 2 3" xfId="32962" xr:uid="{FE8B075B-3F46-4FC3-A1BB-5B1704AFCC85}"/>
    <cellStyle name="Comma 13 4" xfId="8684" xr:uid="{00000000-0005-0000-0000-0000E8150000}"/>
    <cellStyle name="Comma 13 5" xfId="8685" xr:uid="{00000000-0005-0000-0000-0000E9150000}"/>
    <cellStyle name="Comma 13 6" xfId="8686" xr:uid="{00000000-0005-0000-0000-0000EA150000}"/>
    <cellStyle name="Comma 13 7" xfId="5478" xr:uid="{00000000-0005-0000-0000-0000E2150000}"/>
    <cellStyle name="Comma 14" xfId="394" xr:uid="{00000000-0005-0000-0000-0000EA000000}"/>
    <cellStyle name="Comma 14 2" xfId="5475" xr:uid="{00000000-0005-0000-0000-0000EC150000}"/>
    <cellStyle name="Comma 14 2 2" xfId="8687" xr:uid="{00000000-0005-0000-0000-0000ED150000}"/>
    <cellStyle name="Comma 14 3" xfId="8688" xr:uid="{00000000-0005-0000-0000-0000EE150000}"/>
    <cellStyle name="Comma 14 3 2" xfId="8689" xr:uid="{00000000-0005-0000-0000-0000EF150000}"/>
    <cellStyle name="Comma 14 4" xfId="8690" xr:uid="{00000000-0005-0000-0000-0000F0150000}"/>
    <cellStyle name="Comma 14 5" xfId="8691" xr:uid="{00000000-0005-0000-0000-0000F1150000}"/>
    <cellStyle name="Comma 14 6" xfId="8692" xr:uid="{00000000-0005-0000-0000-0000F2150000}"/>
    <cellStyle name="Comma 14 7" xfId="5476" xr:uid="{00000000-0005-0000-0000-0000EB150000}"/>
    <cellStyle name="Comma 15" xfId="395" xr:uid="{00000000-0005-0000-0000-0000EB000000}"/>
    <cellStyle name="Comma 15 2" xfId="5474" xr:uid="{00000000-0005-0000-0000-0000F4150000}"/>
    <cellStyle name="Comma 15 2 2" xfId="8693" xr:uid="{00000000-0005-0000-0000-0000F5150000}"/>
    <cellStyle name="Comma 15 3" xfId="8694" xr:uid="{00000000-0005-0000-0000-0000F6150000}"/>
    <cellStyle name="Comma 15 3 2" xfId="8695" xr:uid="{00000000-0005-0000-0000-0000F7150000}"/>
    <cellStyle name="Comma 15 4" xfId="8696" xr:uid="{00000000-0005-0000-0000-0000F8150000}"/>
    <cellStyle name="Comma 15 5" xfId="8697" xr:uid="{00000000-0005-0000-0000-0000F9150000}"/>
    <cellStyle name="Comma 16" xfId="396" xr:uid="{00000000-0005-0000-0000-0000EC000000}"/>
    <cellStyle name="Comma 16 2" xfId="5472" xr:uid="{00000000-0005-0000-0000-0000FB150000}"/>
    <cellStyle name="Comma 16 2 2" xfId="8698" xr:uid="{00000000-0005-0000-0000-0000FC150000}"/>
    <cellStyle name="Comma 16 3" xfId="8699" xr:uid="{00000000-0005-0000-0000-0000FD150000}"/>
    <cellStyle name="Comma 16 3 2" xfId="8700" xr:uid="{00000000-0005-0000-0000-0000FE150000}"/>
    <cellStyle name="Comma 16 4" xfId="8701" xr:uid="{00000000-0005-0000-0000-0000FF150000}"/>
    <cellStyle name="Comma 16 5" xfId="8702" xr:uid="{00000000-0005-0000-0000-000000160000}"/>
    <cellStyle name="Comma 16 6" xfId="8703" xr:uid="{00000000-0005-0000-0000-000001160000}"/>
    <cellStyle name="Comma 16 7" xfId="5473" xr:uid="{00000000-0005-0000-0000-0000FA150000}"/>
    <cellStyle name="Comma 17" xfId="2927" xr:uid="{00000000-0005-0000-0000-0000ED000000}"/>
    <cellStyle name="Comma 17 10" xfId="8704" xr:uid="{00000000-0005-0000-0000-000003160000}"/>
    <cellStyle name="Comma 17 10 2" xfId="8705" xr:uid="{00000000-0005-0000-0000-000004160000}"/>
    <cellStyle name="Comma 17 10 2 2" xfId="8706" xr:uid="{00000000-0005-0000-0000-000005160000}"/>
    <cellStyle name="Comma 17 10 3" xfId="8707" xr:uid="{00000000-0005-0000-0000-000006160000}"/>
    <cellStyle name="Comma 17 10 3 2" xfId="8708" xr:uid="{00000000-0005-0000-0000-000007160000}"/>
    <cellStyle name="Comma 17 10 3 3" xfId="25593" xr:uid="{DAE74C13-1492-4ACF-8EB5-65E55A198ECE}"/>
    <cellStyle name="Comma 17 10 3 3 2" xfId="40564" xr:uid="{3D773C39-625C-490C-8261-C2428D020BF2}"/>
    <cellStyle name="Comma 17 10 3 4" xfId="32963" xr:uid="{3B3447C1-9971-423D-99F5-D8A204390277}"/>
    <cellStyle name="Comma 17 11" xfId="8709" xr:uid="{00000000-0005-0000-0000-000008160000}"/>
    <cellStyle name="Comma 17 12" xfId="8710" xr:uid="{00000000-0005-0000-0000-000009160000}"/>
    <cellStyle name="Comma 17 13" xfId="5547" xr:uid="{00000000-0005-0000-0000-000002160000}"/>
    <cellStyle name="Comma 17 14" xfId="20883" xr:uid="{DC93E6DA-32FD-4D02-BFB3-BBEFDC43A1EC}"/>
    <cellStyle name="Comma 17 14 2" xfId="35859" xr:uid="{29B439FB-1005-4339-88D1-361728B7F256}"/>
    <cellStyle name="Comma 17 15" xfId="28255" xr:uid="{42A9CD75-ABF6-48AA-9354-D2EE3D27DE83}"/>
    <cellStyle name="Comma 17 2" xfId="5549" xr:uid="{00000000-0005-0000-0000-00000A160000}"/>
    <cellStyle name="Comma 17 2 10" xfId="8711" xr:uid="{00000000-0005-0000-0000-00000B160000}"/>
    <cellStyle name="Comma 17 2 10 2" xfId="25594" xr:uid="{61E05459-61EA-4A54-B350-67EF015BC0A3}"/>
    <cellStyle name="Comma 17 2 10 2 2" xfId="40565" xr:uid="{072B82F6-A2AF-41C3-B153-B071FD008406}"/>
    <cellStyle name="Comma 17 2 10 3" xfId="32964" xr:uid="{96CCBC64-F6EB-4467-842E-C5BC2FFA408E}"/>
    <cellStyle name="Comma 17 2 2" xfId="8712" xr:uid="{00000000-0005-0000-0000-00000C160000}"/>
    <cellStyle name="Comma 17 2 2 2" xfId="8713" xr:uid="{00000000-0005-0000-0000-00000D160000}"/>
    <cellStyle name="Comma 17 2 2 2 2" xfId="8714" xr:uid="{00000000-0005-0000-0000-00000E160000}"/>
    <cellStyle name="Comma 17 2 2 2 2 2" xfId="8715" xr:uid="{00000000-0005-0000-0000-00000F160000}"/>
    <cellStyle name="Comma 17 2 2 2 3" xfId="8716" xr:uid="{00000000-0005-0000-0000-000010160000}"/>
    <cellStyle name="Comma 17 2 2 2 3 2" xfId="8717" xr:uid="{00000000-0005-0000-0000-000011160000}"/>
    <cellStyle name="Comma 17 2 2 2 4" xfId="8718" xr:uid="{00000000-0005-0000-0000-000012160000}"/>
    <cellStyle name="Comma 17 2 2 2 4 2" xfId="8719" xr:uid="{00000000-0005-0000-0000-000013160000}"/>
    <cellStyle name="Comma 17 2 2 2 5" xfId="8720" xr:uid="{00000000-0005-0000-0000-000014160000}"/>
    <cellStyle name="Comma 17 2 2 2 5 2" xfId="8721" xr:uid="{00000000-0005-0000-0000-000015160000}"/>
    <cellStyle name="Comma 17 2 2 2 5 2 2" xfId="8722" xr:uid="{00000000-0005-0000-0000-000016160000}"/>
    <cellStyle name="Comma 17 2 2 2 5 3" xfId="8723" xr:uid="{00000000-0005-0000-0000-000017160000}"/>
    <cellStyle name="Comma 17 2 2 2 5 3 2" xfId="8724" xr:uid="{00000000-0005-0000-0000-000018160000}"/>
    <cellStyle name="Comma 17 2 2 2 5 3 3" xfId="25595" xr:uid="{5878032E-AC43-4BBD-98DD-83B9660AA979}"/>
    <cellStyle name="Comma 17 2 2 2 5 3 3 2" xfId="40566" xr:uid="{FF21780E-899F-4083-BD83-1E9A6680BD20}"/>
    <cellStyle name="Comma 17 2 2 2 5 3 4" xfId="32965" xr:uid="{83A1DA7F-DDEA-479B-89C9-13F3587F5BC1}"/>
    <cellStyle name="Comma 17 2 2 3" xfId="8725" xr:uid="{00000000-0005-0000-0000-000019160000}"/>
    <cellStyle name="Comma 17 2 2 3 2" xfId="8726" xr:uid="{00000000-0005-0000-0000-00001A160000}"/>
    <cellStyle name="Comma 17 2 2 3 2 2" xfId="8727" xr:uid="{00000000-0005-0000-0000-00001B160000}"/>
    <cellStyle name="Comma 17 2 2 3 2 3" xfId="8728" xr:uid="{00000000-0005-0000-0000-00001C160000}"/>
    <cellStyle name="Comma 17 2 2 3 2 3 2" xfId="25596" xr:uid="{7989CFB4-6DE5-4718-A97F-0EE13F8398B7}"/>
    <cellStyle name="Comma 17 2 2 3 2 3 2 2" xfId="40567" xr:uid="{A1A85DB9-D806-4F61-BF05-09B3F687B6B5}"/>
    <cellStyle name="Comma 17 2 2 3 2 3 3" xfId="32966" xr:uid="{38FD1AC2-9F87-4009-BAD5-6A15F189CEA7}"/>
    <cellStyle name="Comma 17 2 2 3 3" xfId="8729" xr:uid="{00000000-0005-0000-0000-00001D160000}"/>
    <cellStyle name="Comma 17 2 2 3 4" xfId="8730" xr:uid="{00000000-0005-0000-0000-00001E160000}"/>
    <cellStyle name="Comma 17 2 2 3 4 2" xfId="25597" xr:uid="{6499F71D-5DF9-47F2-AE5B-3CE7EE9B9123}"/>
    <cellStyle name="Comma 17 2 2 3 4 2 2" xfId="40568" xr:uid="{499AF40C-6435-4728-8148-28DFBFA47CD9}"/>
    <cellStyle name="Comma 17 2 2 3 4 3" xfId="32967" xr:uid="{5C229E69-A236-4A81-B554-E19F002E37DD}"/>
    <cellStyle name="Comma 17 2 2 4" xfId="8731" xr:uid="{00000000-0005-0000-0000-00001F160000}"/>
    <cellStyle name="Comma 17 2 2 4 2" xfId="8732" xr:uid="{00000000-0005-0000-0000-000020160000}"/>
    <cellStyle name="Comma 17 2 2 5" xfId="8733" xr:uid="{00000000-0005-0000-0000-000021160000}"/>
    <cellStyle name="Comma 17 2 2 5 2" xfId="8734" xr:uid="{00000000-0005-0000-0000-000022160000}"/>
    <cellStyle name="Comma 17 2 2 5 3" xfId="8735" xr:uid="{00000000-0005-0000-0000-000023160000}"/>
    <cellStyle name="Comma 17 2 2 5 4" xfId="8736" xr:uid="{00000000-0005-0000-0000-000024160000}"/>
    <cellStyle name="Comma 17 2 2 5 4 2" xfId="25598" xr:uid="{E03A059E-BD57-401A-AACC-13488D651AB8}"/>
    <cellStyle name="Comma 17 2 2 5 4 2 2" xfId="40569" xr:uid="{1BD075FD-1817-4D65-B6D9-4A238C2E1860}"/>
    <cellStyle name="Comma 17 2 2 5 4 3" xfId="32968" xr:uid="{C0F3D76C-2352-47AD-A21A-C6E07480E278}"/>
    <cellStyle name="Comma 17 2 2 6" xfId="8737" xr:uid="{00000000-0005-0000-0000-000025160000}"/>
    <cellStyle name="Comma 17 2 2 6 2" xfId="8738" xr:uid="{00000000-0005-0000-0000-000026160000}"/>
    <cellStyle name="Comma 17 2 2 7" xfId="8739" xr:uid="{00000000-0005-0000-0000-000027160000}"/>
    <cellStyle name="Comma 17 2 2 7 2" xfId="8740" xr:uid="{00000000-0005-0000-0000-000028160000}"/>
    <cellStyle name="Comma 17 2 2 7 2 2" xfId="8741" xr:uid="{00000000-0005-0000-0000-000029160000}"/>
    <cellStyle name="Comma 17 2 2 7 3" xfId="8742" xr:uid="{00000000-0005-0000-0000-00002A160000}"/>
    <cellStyle name="Comma 17 2 2 7 3 2" xfId="8743" xr:uid="{00000000-0005-0000-0000-00002B160000}"/>
    <cellStyle name="Comma 17 2 2 7 3 3" xfId="25599" xr:uid="{6A119B09-D9C3-4F25-8948-B3B4449E69EC}"/>
    <cellStyle name="Comma 17 2 2 7 3 3 2" xfId="40570" xr:uid="{81A4F966-16EF-4E27-9BF6-343195FD67B4}"/>
    <cellStyle name="Comma 17 2 2 7 3 4" xfId="32969" xr:uid="{AF5C7290-9530-4483-A9F4-65DAB470DFDC}"/>
    <cellStyle name="Comma 17 2 2 8" xfId="8744" xr:uid="{00000000-0005-0000-0000-00002C160000}"/>
    <cellStyle name="Comma 17 2 2 8 2" xfId="25600" xr:uid="{264F3D44-7F28-4428-93A7-2E6A44137A18}"/>
    <cellStyle name="Comma 17 2 2 8 2 2" xfId="40571" xr:uid="{98B76E00-9075-4D2C-A909-E1018F579312}"/>
    <cellStyle name="Comma 17 2 2 8 3" xfId="32970" xr:uid="{4FC9D5DB-BAAC-4411-876C-57531C2FFF05}"/>
    <cellStyle name="Comma 17 2 3" xfId="8745" xr:uid="{00000000-0005-0000-0000-00002D160000}"/>
    <cellStyle name="Comma 17 2 3 2" xfId="8746" xr:uid="{00000000-0005-0000-0000-00002E160000}"/>
    <cellStyle name="Comma 17 2 3 3" xfId="8747" xr:uid="{00000000-0005-0000-0000-00002F160000}"/>
    <cellStyle name="Comma 17 2 3 3 2" xfId="8748" xr:uid="{00000000-0005-0000-0000-000030160000}"/>
    <cellStyle name="Comma 17 2 3 4" xfId="8749" xr:uid="{00000000-0005-0000-0000-000031160000}"/>
    <cellStyle name="Comma 17 2 3 4 2" xfId="8750" xr:uid="{00000000-0005-0000-0000-000032160000}"/>
    <cellStyle name="Comma 17 2 3 5" xfId="8751" xr:uid="{00000000-0005-0000-0000-000033160000}"/>
    <cellStyle name="Comma 17 2 3 5 2" xfId="8752" xr:uid="{00000000-0005-0000-0000-000034160000}"/>
    <cellStyle name="Comma 17 2 3 6" xfId="8753" xr:uid="{00000000-0005-0000-0000-000035160000}"/>
    <cellStyle name="Comma 17 2 3 6 2" xfId="8754" xr:uid="{00000000-0005-0000-0000-000036160000}"/>
    <cellStyle name="Comma 17 2 3 6 2 2" xfId="8755" xr:uid="{00000000-0005-0000-0000-000037160000}"/>
    <cellStyle name="Comma 17 2 3 6 3" xfId="8756" xr:uid="{00000000-0005-0000-0000-000038160000}"/>
    <cellStyle name="Comma 17 2 3 6 3 2" xfId="8757" xr:uid="{00000000-0005-0000-0000-000039160000}"/>
    <cellStyle name="Comma 17 2 3 6 3 3" xfId="25601" xr:uid="{FD879ED9-D135-40AC-A61C-5636C1064E2C}"/>
    <cellStyle name="Comma 17 2 3 6 3 3 2" xfId="40572" xr:uid="{61B332D7-DA08-4BB1-8691-CBC8611AD0C3}"/>
    <cellStyle name="Comma 17 2 3 6 3 4" xfId="32971" xr:uid="{56E9AB9F-484F-4817-8C73-35140077DA06}"/>
    <cellStyle name="Comma 17 2 4" xfId="8758" xr:uid="{00000000-0005-0000-0000-00003A160000}"/>
    <cellStyle name="Comma 17 2 5" xfId="8759" xr:uid="{00000000-0005-0000-0000-00003B160000}"/>
    <cellStyle name="Comma 17 2 5 2" xfId="8760" xr:uid="{00000000-0005-0000-0000-00003C160000}"/>
    <cellStyle name="Comma 17 2 5 2 2" xfId="8761" xr:uid="{00000000-0005-0000-0000-00003D160000}"/>
    <cellStyle name="Comma 17 2 5 2 3" xfId="8762" xr:uid="{00000000-0005-0000-0000-00003E160000}"/>
    <cellStyle name="Comma 17 2 5 2 3 2" xfId="25602" xr:uid="{FC7BD869-994C-4E96-8DD4-EB1F4AB50DBB}"/>
    <cellStyle name="Comma 17 2 5 2 3 2 2" xfId="40573" xr:uid="{A40A6FB0-3F6E-42F3-913B-4D8573B5B954}"/>
    <cellStyle name="Comma 17 2 5 2 3 3" xfId="32972" xr:uid="{1331676A-F1E3-4DC8-9649-52E103339ABC}"/>
    <cellStyle name="Comma 17 2 5 3" xfId="8763" xr:uid="{00000000-0005-0000-0000-00003F160000}"/>
    <cellStyle name="Comma 17 2 5 4" xfId="8764" xr:uid="{00000000-0005-0000-0000-000040160000}"/>
    <cellStyle name="Comma 17 2 5 4 2" xfId="25603" xr:uid="{574A51D7-5499-4602-9B94-51452AE43B19}"/>
    <cellStyle name="Comma 17 2 5 4 2 2" xfId="40574" xr:uid="{528D3191-EB61-48F2-AAC0-BE01D90F6965}"/>
    <cellStyle name="Comma 17 2 5 4 3" xfId="32973" xr:uid="{6C17F10C-5D1D-471D-8DF3-5AC2E8FA4B47}"/>
    <cellStyle name="Comma 17 2 6" xfId="8765" xr:uid="{00000000-0005-0000-0000-000041160000}"/>
    <cellStyle name="Comma 17 2 6 2" xfId="8766" xr:uid="{00000000-0005-0000-0000-000042160000}"/>
    <cellStyle name="Comma 17 2 7" xfId="8767" xr:uid="{00000000-0005-0000-0000-000043160000}"/>
    <cellStyle name="Comma 17 2 7 2" xfId="8768" xr:uid="{00000000-0005-0000-0000-000044160000}"/>
    <cellStyle name="Comma 17 2 7 3" xfId="8769" xr:uid="{00000000-0005-0000-0000-000045160000}"/>
    <cellStyle name="Comma 17 2 7 4" xfId="8770" xr:uid="{00000000-0005-0000-0000-000046160000}"/>
    <cellStyle name="Comma 17 2 7 4 2" xfId="25604" xr:uid="{D7255D7F-1342-4420-83C1-4198AC6DDB09}"/>
    <cellStyle name="Comma 17 2 7 4 2 2" xfId="40575" xr:uid="{EE39551E-1B77-4FAB-BA5E-E957423F844C}"/>
    <cellStyle name="Comma 17 2 7 4 3" xfId="32974" xr:uid="{29A13738-E527-4C62-BB2E-59F4FF26642B}"/>
    <cellStyle name="Comma 17 2 8" xfId="8771" xr:uid="{00000000-0005-0000-0000-000047160000}"/>
    <cellStyle name="Comma 17 2 8 2" xfId="8772" xr:uid="{00000000-0005-0000-0000-000048160000}"/>
    <cellStyle name="Comma 17 2 8 3" xfId="8773" xr:uid="{00000000-0005-0000-0000-000049160000}"/>
    <cellStyle name="Comma 17 2 8 4" xfId="8774" xr:uid="{00000000-0005-0000-0000-00004A160000}"/>
    <cellStyle name="Comma 17 2 9" xfId="8775" xr:uid="{00000000-0005-0000-0000-00004B160000}"/>
    <cellStyle name="Comma 17 2 9 2" xfId="8776" xr:uid="{00000000-0005-0000-0000-00004C160000}"/>
    <cellStyle name="Comma 17 2 9 2 2" xfId="8777" xr:uid="{00000000-0005-0000-0000-00004D160000}"/>
    <cellStyle name="Comma 17 2 9 3" xfId="8778" xr:uid="{00000000-0005-0000-0000-00004E160000}"/>
    <cellStyle name="Comma 17 2 9 3 2" xfId="8779" xr:uid="{00000000-0005-0000-0000-00004F160000}"/>
    <cellStyle name="Comma 17 2 9 3 3" xfId="25605" xr:uid="{79C1E1A8-1109-48FC-AA23-603AE77B4F5C}"/>
    <cellStyle name="Comma 17 2 9 3 3 2" xfId="40576" xr:uid="{EB31306A-FA98-420F-B432-9DC9F2478AA6}"/>
    <cellStyle name="Comma 17 2 9 3 4" xfId="32975" xr:uid="{E2A1E234-C9CE-45BE-8419-0E204E5AA9DF}"/>
    <cellStyle name="Comma 17 3" xfId="8780" xr:uid="{00000000-0005-0000-0000-000050160000}"/>
    <cellStyle name="Comma 17 3 2" xfId="8781" xr:uid="{00000000-0005-0000-0000-000051160000}"/>
    <cellStyle name="Comma 17 3 2 2" xfId="8782" xr:uid="{00000000-0005-0000-0000-000052160000}"/>
    <cellStyle name="Comma 17 3 2 2 2" xfId="8783" xr:uid="{00000000-0005-0000-0000-000053160000}"/>
    <cellStyle name="Comma 17 3 2 3" xfId="8784" xr:uid="{00000000-0005-0000-0000-000054160000}"/>
    <cellStyle name="Comma 17 3 2 3 2" xfId="8785" xr:uid="{00000000-0005-0000-0000-000055160000}"/>
    <cellStyle name="Comma 17 3 2 4" xfId="8786" xr:uid="{00000000-0005-0000-0000-000056160000}"/>
    <cellStyle name="Comma 17 3 2 4 2" xfId="8787" xr:uid="{00000000-0005-0000-0000-000057160000}"/>
    <cellStyle name="Comma 17 3 2 5" xfId="8788" xr:uid="{00000000-0005-0000-0000-000058160000}"/>
    <cellStyle name="Comma 17 3 2 5 2" xfId="8789" xr:uid="{00000000-0005-0000-0000-000059160000}"/>
    <cellStyle name="Comma 17 3 2 5 2 2" xfId="8790" xr:uid="{00000000-0005-0000-0000-00005A160000}"/>
    <cellStyle name="Comma 17 3 2 5 3" xfId="8791" xr:uid="{00000000-0005-0000-0000-00005B160000}"/>
    <cellStyle name="Comma 17 3 2 5 3 2" xfId="8792" xr:uid="{00000000-0005-0000-0000-00005C160000}"/>
    <cellStyle name="Comma 17 3 2 5 3 3" xfId="25606" xr:uid="{3BDEAABB-604B-46F0-AB5B-0FAB90343A3F}"/>
    <cellStyle name="Comma 17 3 2 5 3 3 2" xfId="40577" xr:uid="{FAB42DAD-FC4F-47E2-8D45-E37DCA5C9F73}"/>
    <cellStyle name="Comma 17 3 2 5 3 4" xfId="32976" xr:uid="{A53BC0AA-4F9C-4155-952B-A623527CA0BF}"/>
    <cellStyle name="Comma 17 3 3" xfId="8793" xr:uid="{00000000-0005-0000-0000-00005D160000}"/>
    <cellStyle name="Comma 17 3 3 2" xfId="8794" xr:uid="{00000000-0005-0000-0000-00005E160000}"/>
    <cellStyle name="Comma 17 3 3 2 2" xfId="8795" xr:uid="{00000000-0005-0000-0000-00005F160000}"/>
    <cellStyle name="Comma 17 3 3 2 3" xfId="8796" xr:uid="{00000000-0005-0000-0000-000060160000}"/>
    <cellStyle name="Comma 17 3 3 2 3 2" xfId="25607" xr:uid="{1462C3BF-5DF6-4634-AD72-9F09596CDB2A}"/>
    <cellStyle name="Comma 17 3 3 2 3 2 2" xfId="40578" xr:uid="{559ED79A-B9D9-4F78-95C3-45B1CF703EEC}"/>
    <cellStyle name="Comma 17 3 3 2 3 3" xfId="32977" xr:uid="{F0AE7AB3-EB13-4B78-AB86-B361B8F370EE}"/>
    <cellStyle name="Comma 17 3 3 3" xfId="8797" xr:uid="{00000000-0005-0000-0000-000061160000}"/>
    <cellStyle name="Comma 17 3 3 4" xfId="8798" xr:uid="{00000000-0005-0000-0000-000062160000}"/>
    <cellStyle name="Comma 17 3 3 4 2" xfId="25608" xr:uid="{11A09D9B-6809-43B1-861F-41620F7BADB3}"/>
    <cellStyle name="Comma 17 3 3 4 2 2" xfId="40579" xr:uid="{A38B44BF-F842-4FB3-BDA5-FF1AE07957EC}"/>
    <cellStyle name="Comma 17 3 3 4 3" xfId="32978" xr:uid="{200635BF-CD95-42F8-91CB-A6E504AF2500}"/>
    <cellStyle name="Comma 17 3 4" xfId="8799" xr:uid="{00000000-0005-0000-0000-000063160000}"/>
    <cellStyle name="Comma 17 3 4 2" xfId="8800" xr:uid="{00000000-0005-0000-0000-000064160000}"/>
    <cellStyle name="Comma 17 3 5" xfId="8801" xr:uid="{00000000-0005-0000-0000-000065160000}"/>
    <cellStyle name="Comma 17 3 5 2" xfId="8802" xr:uid="{00000000-0005-0000-0000-000066160000}"/>
    <cellStyle name="Comma 17 3 5 3" xfId="8803" xr:uid="{00000000-0005-0000-0000-000067160000}"/>
    <cellStyle name="Comma 17 3 5 4" xfId="8804" xr:uid="{00000000-0005-0000-0000-000068160000}"/>
    <cellStyle name="Comma 17 3 5 4 2" xfId="25609" xr:uid="{B36CD10B-4045-4F40-A797-06581033A7BC}"/>
    <cellStyle name="Comma 17 3 5 4 2 2" xfId="40580" xr:uid="{725558B7-A24E-4FD0-9B10-C1B662E2EBF7}"/>
    <cellStyle name="Comma 17 3 5 4 3" xfId="32979" xr:uid="{A6C38662-53F4-408C-9393-1F72274A8EA6}"/>
    <cellStyle name="Comma 17 3 6" xfId="8805" xr:uid="{00000000-0005-0000-0000-000069160000}"/>
    <cellStyle name="Comma 17 3 6 2" xfId="8806" xr:uid="{00000000-0005-0000-0000-00006A160000}"/>
    <cellStyle name="Comma 17 3 7" xfId="8807" xr:uid="{00000000-0005-0000-0000-00006B160000}"/>
    <cellStyle name="Comma 17 3 7 2" xfId="8808" xr:uid="{00000000-0005-0000-0000-00006C160000}"/>
    <cellStyle name="Comma 17 3 7 2 2" xfId="8809" xr:uid="{00000000-0005-0000-0000-00006D160000}"/>
    <cellStyle name="Comma 17 3 7 3" xfId="8810" xr:uid="{00000000-0005-0000-0000-00006E160000}"/>
    <cellStyle name="Comma 17 3 7 3 2" xfId="8811" xr:uid="{00000000-0005-0000-0000-00006F160000}"/>
    <cellStyle name="Comma 17 3 7 3 3" xfId="25610" xr:uid="{94300336-A1D8-4562-9631-8F9C7829A993}"/>
    <cellStyle name="Comma 17 3 7 3 3 2" xfId="40581" xr:uid="{6B257D83-A888-49D4-8622-4BE86599764B}"/>
    <cellStyle name="Comma 17 3 7 3 4" xfId="32980" xr:uid="{E02B3A6A-AC65-409A-AF08-BDCAE3846DED}"/>
    <cellStyle name="Comma 17 3 8" xfId="8812" xr:uid="{00000000-0005-0000-0000-000070160000}"/>
    <cellStyle name="Comma 17 3 8 2" xfId="25611" xr:uid="{D15D257B-466E-4AD4-913D-9DAEE49DE346}"/>
    <cellStyle name="Comma 17 3 8 2 2" xfId="40582" xr:uid="{EA21B3D9-AAAA-4ABD-9D29-DE15FD523935}"/>
    <cellStyle name="Comma 17 3 8 3" xfId="32981" xr:uid="{B3840F7B-4863-4B4C-85AD-7DFAE27CE74C}"/>
    <cellStyle name="Comma 17 4" xfId="8813" xr:uid="{00000000-0005-0000-0000-000071160000}"/>
    <cellStyle name="Comma 17 4 2" xfId="8814" xr:uid="{00000000-0005-0000-0000-000072160000}"/>
    <cellStyle name="Comma 17 4 3" xfId="8815" xr:uid="{00000000-0005-0000-0000-000073160000}"/>
    <cellStyle name="Comma 17 4 3 2" xfId="8816" xr:uid="{00000000-0005-0000-0000-000074160000}"/>
    <cellStyle name="Comma 17 4 4" xfId="8817" xr:uid="{00000000-0005-0000-0000-000075160000}"/>
    <cellStyle name="Comma 17 4 4 2" xfId="8818" xr:uid="{00000000-0005-0000-0000-000076160000}"/>
    <cellStyle name="Comma 17 4 4 3" xfId="8819" xr:uid="{00000000-0005-0000-0000-000077160000}"/>
    <cellStyle name="Comma 17 4 4 4" xfId="8820" xr:uid="{00000000-0005-0000-0000-000078160000}"/>
    <cellStyle name="Comma 17 4 4 4 2" xfId="25612" xr:uid="{12BD068C-8582-4656-972E-251C0E5DFDCE}"/>
    <cellStyle name="Comma 17 4 4 4 2 2" xfId="40583" xr:uid="{E90FF4C7-1897-4C9B-A61F-CFD612E0FA89}"/>
    <cellStyle name="Comma 17 4 4 4 3" xfId="32982" xr:uid="{4F327EBD-42A8-4460-8216-C3AB6739D0A1}"/>
    <cellStyle name="Comma 17 4 5" xfId="8821" xr:uid="{00000000-0005-0000-0000-000079160000}"/>
    <cellStyle name="Comma 17 4 5 2" xfId="8822" xr:uid="{00000000-0005-0000-0000-00007A160000}"/>
    <cellStyle name="Comma 17 4 6" xfId="8823" xr:uid="{00000000-0005-0000-0000-00007B160000}"/>
    <cellStyle name="Comma 17 4 6 2" xfId="8824" xr:uid="{00000000-0005-0000-0000-00007C160000}"/>
    <cellStyle name="Comma 17 4 6 2 2" xfId="8825" xr:uid="{00000000-0005-0000-0000-00007D160000}"/>
    <cellStyle name="Comma 17 4 6 3" xfId="8826" xr:uid="{00000000-0005-0000-0000-00007E160000}"/>
    <cellStyle name="Comma 17 4 6 3 2" xfId="8827" xr:uid="{00000000-0005-0000-0000-00007F160000}"/>
    <cellStyle name="Comma 17 4 6 3 3" xfId="25613" xr:uid="{12EE3F12-E61A-4193-9F16-680545B87377}"/>
    <cellStyle name="Comma 17 4 6 3 3 2" xfId="40584" xr:uid="{3A6C459A-9FBC-4CB8-AD5A-1589A95C1822}"/>
    <cellStyle name="Comma 17 4 6 3 4" xfId="32983" xr:uid="{DE6768C8-CFA4-4987-99A3-85C0051C82AC}"/>
    <cellStyle name="Comma 17 4 7" xfId="8828" xr:uid="{00000000-0005-0000-0000-000080160000}"/>
    <cellStyle name="Comma 17 4 7 2" xfId="25614" xr:uid="{239F5CAF-2D64-48A4-A348-7D9ABE0C458C}"/>
    <cellStyle name="Comma 17 4 7 2 2" xfId="40585" xr:uid="{A0101582-C109-4DE8-88F8-9DE7D4D1EE19}"/>
    <cellStyle name="Comma 17 4 7 3" xfId="32984" xr:uid="{01161348-0FA0-47AC-9D2A-C38C4084E9D8}"/>
    <cellStyle name="Comma 17 5" xfId="8829" xr:uid="{00000000-0005-0000-0000-000081160000}"/>
    <cellStyle name="Comma 17 6" xfId="8830" xr:uid="{00000000-0005-0000-0000-000082160000}"/>
    <cellStyle name="Comma 17 6 2" xfId="8831" xr:uid="{00000000-0005-0000-0000-000083160000}"/>
    <cellStyle name="Comma 17 6 2 2" xfId="8832" xr:uid="{00000000-0005-0000-0000-000084160000}"/>
    <cellStyle name="Comma 17 6 2 3" xfId="8833" xr:uid="{00000000-0005-0000-0000-000085160000}"/>
    <cellStyle name="Comma 17 6 2 3 2" xfId="25615" xr:uid="{656EFDE3-7588-4445-9EB7-869132F87DF6}"/>
    <cellStyle name="Comma 17 6 2 3 2 2" xfId="40586" xr:uid="{3D9CFA3A-6C20-4D32-ACD4-5D19E6B51738}"/>
    <cellStyle name="Comma 17 6 2 3 3" xfId="32985" xr:uid="{2B05F8A9-DC5F-43E9-9D5C-1B25DFD5F5D4}"/>
    <cellStyle name="Comma 17 6 3" xfId="8834" xr:uid="{00000000-0005-0000-0000-000086160000}"/>
    <cellStyle name="Comma 17 6 4" xfId="8835" xr:uid="{00000000-0005-0000-0000-000087160000}"/>
    <cellStyle name="Comma 17 6 4 2" xfId="25616" xr:uid="{6FEBB279-30D7-4725-A2D2-60626DD9AB55}"/>
    <cellStyle name="Comma 17 6 4 2 2" xfId="40587" xr:uid="{747A5306-C281-459B-B41D-ED7D03E2F670}"/>
    <cellStyle name="Comma 17 6 4 3" xfId="32986" xr:uid="{E0611CB9-AF1F-41B1-B6F8-A568E85EF16E}"/>
    <cellStyle name="Comma 17 7" xfId="8836" xr:uid="{00000000-0005-0000-0000-000088160000}"/>
    <cellStyle name="Comma 17 7 2" xfId="8837" xr:uid="{00000000-0005-0000-0000-000089160000}"/>
    <cellStyle name="Comma 17 8" xfId="8838" xr:uid="{00000000-0005-0000-0000-00008A160000}"/>
    <cellStyle name="Comma 17 8 2" xfId="8839" xr:uid="{00000000-0005-0000-0000-00008B160000}"/>
    <cellStyle name="Comma 17 8 3" xfId="8840" xr:uid="{00000000-0005-0000-0000-00008C160000}"/>
    <cellStyle name="Comma 17 8 4" xfId="8841" xr:uid="{00000000-0005-0000-0000-00008D160000}"/>
    <cellStyle name="Comma 17 9" xfId="8842" xr:uid="{00000000-0005-0000-0000-00008E160000}"/>
    <cellStyle name="Comma 17 9 2" xfId="8843" xr:uid="{00000000-0005-0000-0000-00008F160000}"/>
    <cellStyle name="Comma 17 9 3" xfId="8844" xr:uid="{00000000-0005-0000-0000-000090160000}"/>
    <cellStyle name="Comma 17 9 4" xfId="8845" xr:uid="{00000000-0005-0000-0000-000091160000}"/>
    <cellStyle name="Comma 18" xfId="2917" xr:uid="{00000000-0005-0000-0000-0000EE000000}"/>
    <cellStyle name="Comma 18 2" xfId="8846" xr:uid="{00000000-0005-0000-0000-000093160000}"/>
    <cellStyle name="Comma 18 2 2" xfId="8847" xr:uid="{00000000-0005-0000-0000-000094160000}"/>
    <cellStyle name="Comma 18 3" xfId="8848" xr:uid="{00000000-0005-0000-0000-000095160000}"/>
    <cellStyle name="Comma 18 4" xfId="8849" xr:uid="{00000000-0005-0000-0000-000096160000}"/>
    <cellStyle name="Comma 18 5" xfId="5471" xr:uid="{00000000-0005-0000-0000-000092160000}"/>
    <cellStyle name="Comma 18 6" xfId="20873" xr:uid="{BEE79B6B-58AF-4806-B42C-A204C14007A9}"/>
    <cellStyle name="Comma 18 6 2" xfId="35849" xr:uid="{A2EE58BF-418F-4239-BBD9-6AE90AFA1E10}"/>
    <cellStyle name="Comma 18 7" xfId="28245" xr:uid="{3B178EBA-F40C-4BE4-89C3-042D75146859}"/>
    <cellStyle name="Comma 19" xfId="2915" xr:uid="{00000000-0005-0000-0000-0000EF000000}"/>
    <cellStyle name="Comma 19 2" xfId="8850" xr:uid="{00000000-0005-0000-0000-000098160000}"/>
    <cellStyle name="Comma 19 3" xfId="8851" xr:uid="{00000000-0005-0000-0000-000099160000}"/>
    <cellStyle name="Comma 19 4" xfId="8852" xr:uid="{00000000-0005-0000-0000-00009A160000}"/>
    <cellStyle name="Comma 19 5" xfId="5548" xr:uid="{00000000-0005-0000-0000-000097160000}"/>
    <cellStyle name="Comma 19 6" xfId="20871" xr:uid="{4449B51A-7DD7-4E2C-AFC8-6151926519E4}"/>
    <cellStyle name="Comma 19 6 2" xfId="35847" xr:uid="{6690E85E-223B-4977-A304-AD940A4BE0A4}"/>
    <cellStyle name="Comma 19 7" xfId="28243" xr:uid="{742C0718-63DA-4960-80F2-AB64A12230AD}"/>
    <cellStyle name="Comma 2" xfId="4" xr:uid="{00000000-0005-0000-0000-000000000000}"/>
    <cellStyle name="Comma 2 10" xfId="8853" xr:uid="{00000000-0005-0000-0000-00009C160000}"/>
    <cellStyle name="Comma 2 10 2" xfId="25617" xr:uid="{07E21196-93FA-404C-8C00-EF77E1C11325}"/>
    <cellStyle name="Comma 2 10 2 2" xfId="40588" xr:uid="{890DEE15-AA5A-407B-9445-B862C7E802B0}"/>
    <cellStyle name="Comma 2 10 3" xfId="32987" xr:uid="{F08822FD-2886-4086-9E7E-A68D317F9828}"/>
    <cellStyle name="Comma 2 11" xfId="8854" xr:uid="{00000000-0005-0000-0000-00009D160000}"/>
    <cellStyle name="Comma 2 11 2" xfId="25618" xr:uid="{280A7E65-60FE-4560-B89A-2189C92CC649}"/>
    <cellStyle name="Comma 2 11 2 2" xfId="40589" xr:uid="{AF7F51CC-993B-4AEF-9C34-F252D8B0DE53}"/>
    <cellStyle name="Comma 2 11 3" xfId="32988" xr:uid="{B7E735CB-F849-424A-9FD7-8928902D3E8A}"/>
    <cellStyle name="Comma 2 12" xfId="20567" xr:uid="{59C17EA5-08AD-4D80-AC1C-ED4B65E39469}"/>
    <cellStyle name="Comma 2 13" xfId="20592" xr:uid="{D360C078-8CF2-43A1-B5C9-7E941A0BC9A9}"/>
    <cellStyle name="Comma 2 13 2" xfId="35593" xr:uid="{0C97CEC1-3A12-485A-9FAD-F18E84229F25}"/>
    <cellStyle name="Comma 2 14" xfId="27896" xr:uid="{943297DE-6816-447C-B57E-B5A764054B4E}"/>
    <cellStyle name="Comma 2 2" xfId="61" xr:uid="{00000000-0005-0000-0000-000001000000}"/>
    <cellStyle name="Comma 2 2 2" xfId="163" xr:uid="{00000000-0005-0000-0000-000001000000}"/>
    <cellStyle name="Comma 2 2 2 2" xfId="398" xr:uid="{00000000-0005-0000-0000-0000F2000000}"/>
    <cellStyle name="Comma 2 2 2 2 2" xfId="8855" xr:uid="{00000000-0005-0000-0000-0000A0160000}"/>
    <cellStyle name="Comma 2 2 2 3" xfId="8856" xr:uid="{00000000-0005-0000-0000-0000A1160000}"/>
    <cellStyle name="Comma 2 2 2 4" xfId="5470" xr:uid="{00000000-0005-0000-0000-00009F160000}"/>
    <cellStyle name="Comma 2 2 2 5" xfId="20709" xr:uid="{13CC2842-C2F1-469E-BF5C-552130430C2E}"/>
    <cellStyle name="Comma 2 2 2 5 2" xfId="35710" xr:uid="{9D3CE58A-323F-475C-85CE-EBDF15113008}"/>
    <cellStyle name="Comma 2 2 2 6" xfId="28013" xr:uid="{8C34A5B5-09DE-44D2-879D-0FB77AADA87D}"/>
    <cellStyle name="Comma 2 2 3" xfId="397" xr:uid="{00000000-0005-0000-0000-0000F1000000}"/>
    <cellStyle name="Comma 2 2 3 2" xfId="8857" xr:uid="{00000000-0005-0000-0000-0000A2160000}"/>
    <cellStyle name="Comma 2 2 4" xfId="8858" xr:uid="{00000000-0005-0000-0000-0000A3160000}"/>
    <cellStyle name="Comma 2 2 5" xfId="20639" xr:uid="{C5A5EA47-8BA1-46E1-9A86-69EBB8B74958}"/>
    <cellStyle name="Comma 2 2 5 2" xfId="35640" xr:uid="{2977294A-91F4-4587-B989-020572CF9608}"/>
    <cellStyle name="Comma 2 2 6" xfId="27943" xr:uid="{8371EB33-8250-4C6F-98F2-AAEE7278004F}"/>
    <cellStyle name="Comma 2 3" xfId="109" xr:uid="{00000000-0005-0000-0000-000000000000}"/>
    <cellStyle name="Comma 2 3 10" xfId="20662" xr:uid="{9ED6105E-38C2-464C-8F5E-94F26AE4EC14}"/>
    <cellStyle name="Comma 2 3 10 2" xfId="35663" xr:uid="{5344156F-A2BC-427D-A51F-F70523395254}"/>
    <cellStyle name="Comma 2 3 11" xfId="27966" xr:uid="{21FC4A32-5C50-4061-A77E-E1FBD375BB4F}"/>
    <cellStyle name="Comma 2 3 2" xfId="399" xr:uid="{00000000-0005-0000-0000-0000F3000000}"/>
    <cellStyle name="Comma 2 3 2 2" xfId="8859" xr:uid="{00000000-0005-0000-0000-0000A5160000}"/>
    <cellStyle name="Comma 2 3 3" xfId="8860" xr:uid="{00000000-0005-0000-0000-0000A6160000}"/>
    <cellStyle name="Comma 2 3 3 2" xfId="8861" xr:uid="{00000000-0005-0000-0000-0000A7160000}"/>
    <cellStyle name="Comma 2 3 4" xfId="8862" xr:uid="{00000000-0005-0000-0000-0000A8160000}"/>
    <cellStyle name="Comma 2 3 5" xfId="8863" xr:uid="{00000000-0005-0000-0000-0000A9160000}"/>
    <cellStyle name="Comma 2 3 6" xfId="8864" xr:uid="{00000000-0005-0000-0000-0000AA160000}"/>
    <cellStyle name="Comma 2 3 6 2" xfId="8865" xr:uid="{00000000-0005-0000-0000-0000AB160000}"/>
    <cellStyle name="Comma 2 3 6 3" xfId="8866" xr:uid="{00000000-0005-0000-0000-0000AC160000}"/>
    <cellStyle name="Comma 2 3 6 3 2" xfId="25619" xr:uid="{3AFFE5DE-6303-4F96-A4B7-CA531EAD53CD}"/>
    <cellStyle name="Comma 2 3 6 3 2 2" xfId="40590" xr:uid="{C4BCA722-64A4-48BB-86BB-3C5BB54BFB57}"/>
    <cellStyle name="Comma 2 3 6 3 3" xfId="32989" xr:uid="{3750642D-558A-4C41-85DC-27BE9FBC72C2}"/>
    <cellStyle name="Comma 2 3 6 4" xfId="8867" xr:uid="{00000000-0005-0000-0000-0000AD160000}"/>
    <cellStyle name="Comma 2 3 6 4 2" xfId="25620" xr:uid="{E0E4AC81-1202-4F43-ABCA-673231E7B4A8}"/>
    <cellStyle name="Comma 2 3 6 4 2 2" xfId="40591" xr:uid="{6F64B1BA-BA37-4A5F-A51B-BA59506149A3}"/>
    <cellStyle name="Comma 2 3 6 4 3" xfId="32990" xr:uid="{0CF8E4C1-4B1A-4B87-B2E3-4B7787C762BA}"/>
    <cellStyle name="Comma 2 3 7" xfId="8868" xr:uid="{00000000-0005-0000-0000-0000AE160000}"/>
    <cellStyle name="Comma 2 3 8" xfId="8869" xr:uid="{00000000-0005-0000-0000-0000AF160000}"/>
    <cellStyle name="Comma 2 3 9" xfId="5551" xr:uid="{00000000-0005-0000-0000-0000A4160000}"/>
    <cellStyle name="Comma 2 4" xfId="2869" xr:uid="{00000000-0005-0000-0000-0000F4000000}"/>
    <cellStyle name="Comma 2 4 2" xfId="2930" xr:uid="{00000000-0005-0000-0000-0000F5000000}"/>
    <cellStyle name="Comma 2 4 2 2" xfId="8870" xr:uid="{00000000-0005-0000-0000-0000B1160000}"/>
    <cellStyle name="Comma 2 4 2 3" xfId="20886" xr:uid="{F9803BBF-8327-44C7-B480-2A001A9D7D5F}"/>
    <cellStyle name="Comma 2 4 2 3 2" xfId="35862" xr:uid="{257DFBFD-D806-49DA-BD8A-3976EE7E76BE}"/>
    <cellStyle name="Comma 2 4 2 4" xfId="28258" xr:uid="{1005234E-4E9B-4B74-BD83-B15195B53507}"/>
    <cellStyle name="Comma 2 4 3" xfId="5469" xr:uid="{00000000-0005-0000-0000-0000B0160000}"/>
    <cellStyle name="Comma 2 4 4" xfId="20826" xr:uid="{C2E61A4B-5CDF-4852-9D1A-82E9C133DEB2}"/>
    <cellStyle name="Comma 2 4 4 2" xfId="35802" xr:uid="{F26322B4-6C26-48C8-8636-1A4DB39FE45C}"/>
    <cellStyle name="Comma 2 4 5" xfId="28198" xr:uid="{102D47A7-FA7E-4963-968A-56EE31B9560F}"/>
    <cellStyle name="Comma 2 5" xfId="2874" xr:uid="{00000000-0005-0000-0000-0000F6000000}"/>
    <cellStyle name="Comma 2 5 2" xfId="8872" xr:uid="{00000000-0005-0000-0000-0000B3160000}"/>
    <cellStyle name="Comma 2 5 2 2" xfId="8873" xr:uid="{00000000-0005-0000-0000-0000B4160000}"/>
    <cellStyle name="Comma 2 5 2 2 2" xfId="8874" xr:uid="{00000000-0005-0000-0000-0000B5160000}"/>
    <cellStyle name="Comma 2 5 2 2 3" xfId="8875" xr:uid="{00000000-0005-0000-0000-0000B6160000}"/>
    <cellStyle name="Comma 2 5 2 2 4" xfId="8876" xr:uid="{00000000-0005-0000-0000-0000B7160000}"/>
    <cellStyle name="Comma 2 5 2 2 4 2" xfId="25621" xr:uid="{B9BA6919-4324-4653-B194-EEE62D91101B}"/>
    <cellStyle name="Comma 2 5 2 2 4 2 2" xfId="40592" xr:uid="{FDAB443D-FE39-44EA-9C7B-368E6C62AEDE}"/>
    <cellStyle name="Comma 2 5 2 2 4 3" xfId="32991" xr:uid="{BA619CED-41B6-413D-993B-C8D757488D17}"/>
    <cellStyle name="Comma 2 5 2 3" xfId="8877" xr:uid="{00000000-0005-0000-0000-0000B8160000}"/>
    <cellStyle name="Comma 2 5 2 3 2" xfId="8878" xr:uid="{00000000-0005-0000-0000-0000B9160000}"/>
    <cellStyle name="Comma 2 5 2 4" xfId="8879" xr:uid="{00000000-0005-0000-0000-0000BA160000}"/>
    <cellStyle name="Comma 2 5 2 5" xfId="8880" xr:uid="{00000000-0005-0000-0000-0000BB160000}"/>
    <cellStyle name="Comma 2 5 2 5 2" xfId="8881" xr:uid="{00000000-0005-0000-0000-0000BC160000}"/>
    <cellStyle name="Comma 2 5 2 6" xfId="8882" xr:uid="{00000000-0005-0000-0000-0000BD160000}"/>
    <cellStyle name="Comma 2 5 2 6 2" xfId="8883" xr:uid="{00000000-0005-0000-0000-0000BE160000}"/>
    <cellStyle name="Comma 2 5 2 6 2 2" xfId="8884" xr:uid="{00000000-0005-0000-0000-0000BF160000}"/>
    <cellStyle name="Comma 2 5 2 6 3" xfId="8885" xr:uid="{00000000-0005-0000-0000-0000C0160000}"/>
    <cellStyle name="Comma 2 5 2 6 3 2" xfId="8886" xr:uid="{00000000-0005-0000-0000-0000C1160000}"/>
    <cellStyle name="Comma 2 5 2 6 3 3" xfId="25622" xr:uid="{7EF1CF24-14F5-4062-903C-56A0050898F2}"/>
    <cellStyle name="Comma 2 5 2 6 3 3 2" xfId="40593" xr:uid="{8EEFC9F4-512A-4FF4-9AED-F4C1E4490AFB}"/>
    <cellStyle name="Comma 2 5 2 6 3 4" xfId="32992" xr:uid="{CC250008-9824-44D3-9A16-1E9BD672F51C}"/>
    <cellStyle name="Comma 2 5 2 7" xfId="8887" xr:uid="{00000000-0005-0000-0000-0000C2160000}"/>
    <cellStyle name="Comma 2 5 2 8" xfId="8888" xr:uid="{00000000-0005-0000-0000-0000C3160000}"/>
    <cellStyle name="Comma 2 5 2 8 2" xfId="25623" xr:uid="{E7C91313-4C43-46C5-ABFE-E216A01844A3}"/>
    <cellStyle name="Comma 2 5 2 8 2 2" xfId="40594" xr:uid="{CA900DE3-DEC9-47D6-8258-52D0E81BBD6E}"/>
    <cellStyle name="Comma 2 5 2 8 3" xfId="32993" xr:uid="{0058892A-0554-45CD-B15F-969F49EA775E}"/>
    <cellStyle name="Comma 2 5 3" xfId="8889" xr:uid="{00000000-0005-0000-0000-0000C4160000}"/>
    <cellStyle name="Comma 2 5 3 2" xfId="8890" xr:uid="{00000000-0005-0000-0000-0000C5160000}"/>
    <cellStyle name="Comma 2 5 4" xfId="8891" xr:uid="{00000000-0005-0000-0000-0000C6160000}"/>
    <cellStyle name="Comma 2 5 4 2" xfId="8892" xr:uid="{00000000-0005-0000-0000-0000C7160000}"/>
    <cellStyle name="Comma 2 5 5" xfId="8893" xr:uid="{00000000-0005-0000-0000-0000C8160000}"/>
    <cellStyle name="Comma 2 5 5 2" xfId="8894" xr:uid="{00000000-0005-0000-0000-0000C9160000}"/>
    <cellStyle name="Comma 2 5 6" xfId="8895" xr:uid="{00000000-0005-0000-0000-0000CA160000}"/>
    <cellStyle name="Comma 2 5 6 2" xfId="8896" xr:uid="{00000000-0005-0000-0000-0000CB160000}"/>
    <cellStyle name="Comma 2 5 6 2 2" xfId="8897" xr:uid="{00000000-0005-0000-0000-0000CC160000}"/>
    <cellStyle name="Comma 2 5 6 3" xfId="8898" xr:uid="{00000000-0005-0000-0000-0000CD160000}"/>
    <cellStyle name="Comma 2 5 6 3 2" xfId="8899" xr:uid="{00000000-0005-0000-0000-0000CE160000}"/>
    <cellStyle name="Comma 2 5 6 3 3" xfId="25624" xr:uid="{F9F35767-6019-48B0-8571-CFE4C65AA985}"/>
    <cellStyle name="Comma 2 5 6 3 3 2" xfId="40595" xr:uid="{71B32C32-CB3B-428F-8986-B9367690D61A}"/>
    <cellStyle name="Comma 2 5 6 3 4" xfId="32994" xr:uid="{D6D0C7FF-4B4A-4FBC-BDDC-DD2089259396}"/>
    <cellStyle name="Comma 2 5 7" xfId="8871" xr:uid="{00000000-0005-0000-0000-0000B2160000}"/>
    <cellStyle name="Comma 2 5 8" xfId="20830" xr:uid="{3BD42851-6438-4533-9C03-6EB5D3F382D9}"/>
    <cellStyle name="Comma 2 5 8 2" xfId="35806" xr:uid="{765D1AB9-1BD6-41ED-BB3F-72DDA4F8EA9F}"/>
    <cellStyle name="Comma 2 5 9" xfId="28202" xr:uid="{9346765D-4D47-4166-97EA-001D8DA2EAC4}"/>
    <cellStyle name="Comma 2 6" xfId="2934" xr:uid="{00000000-0005-0000-0000-0000F7000000}"/>
    <cellStyle name="Comma 2 6 10" xfId="8900" xr:uid="{00000000-0005-0000-0000-0000CF160000}"/>
    <cellStyle name="Comma 2 6 11" xfId="20890" xr:uid="{8D631913-7CFF-4645-8F1E-A0C7265FC3DD}"/>
    <cellStyle name="Comma 2 6 11 2" xfId="35866" xr:uid="{C82EFD7B-0428-4867-84A3-666FDE249F1B}"/>
    <cellStyle name="Comma 2 6 12" xfId="28262" xr:uid="{03A03EF2-7A5B-46EC-B760-9D38516E168B}"/>
    <cellStyle name="Comma 2 6 2" xfId="8901" xr:uid="{00000000-0005-0000-0000-0000D0160000}"/>
    <cellStyle name="Comma 2 6 2 2" xfId="8902" xr:uid="{00000000-0005-0000-0000-0000D1160000}"/>
    <cellStyle name="Comma 2 6 2 2 2" xfId="8903" xr:uid="{00000000-0005-0000-0000-0000D2160000}"/>
    <cellStyle name="Comma 2 6 2 3" xfId="8904" xr:uid="{00000000-0005-0000-0000-0000D3160000}"/>
    <cellStyle name="Comma 2 6 2 4" xfId="8905" xr:uid="{00000000-0005-0000-0000-0000D4160000}"/>
    <cellStyle name="Comma 2 6 2 4 2" xfId="8906" xr:uid="{00000000-0005-0000-0000-0000D5160000}"/>
    <cellStyle name="Comma 2 6 2 5" xfId="8907" xr:uid="{00000000-0005-0000-0000-0000D6160000}"/>
    <cellStyle name="Comma 2 6 2 5 2" xfId="8908" xr:uid="{00000000-0005-0000-0000-0000D7160000}"/>
    <cellStyle name="Comma 2 6 2 5 2 2" xfId="8909" xr:uid="{00000000-0005-0000-0000-0000D8160000}"/>
    <cellStyle name="Comma 2 6 2 5 3" xfId="8910" xr:uid="{00000000-0005-0000-0000-0000D9160000}"/>
    <cellStyle name="Comma 2 6 2 5 3 2" xfId="8911" xr:uid="{00000000-0005-0000-0000-0000DA160000}"/>
    <cellStyle name="Comma 2 6 2 5 3 3" xfId="25625" xr:uid="{DF9285A4-8DC6-4168-86AE-54D4682EA825}"/>
    <cellStyle name="Comma 2 6 2 5 3 3 2" xfId="40596" xr:uid="{77BE1909-B875-4B95-A18F-F3E4E72834BB}"/>
    <cellStyle name="Comma 2 6 2 5 3 4" xfId="32995" xr:uid="{1BBF84AB-DC32-4D7D-96A2-46055071E031}"/>
    <cellStyle name="Comma 2 6 2 6" xfId="8912" xr:uid="{00000000-0005-0000-0000-0000DB160000}"/>
    <cellStyle name="Comma 2 6 2 7" xfId="8913" xr:uid="{00000000-0005-0000-0000-0000DC160000}"/>
    <cellStyle name="Comma 2 6 2 7 2" xfId="25626" xr:uid="{7F3EBD9D-62CB-43F7-8F74-ABC46A02161D}"/>
    <cellStyle name="Comma 2 6 2 7 2 2" xfId="40597" xr:uid="{A868F643-398D-4EA8-88D7-B251A7601C7E}"/>
    <cellStyle name="Comma 2 6 2 7 3" xfId="32996" xr:uid="{5094A767-D1B0-4BBD-961C-3AA75FD1210D}"/>
    <cellStyle name="Comma 2 6 3" xfId="8914" xr:uid="{00000000-0005-0000-0000-0000DD160000}"/>
    <cellStyle name="Comma 2 6 3 2" xfId="8915" xr:uid="{00000000-0005-0000-0000-0000DE160000}"/>
    <cellStyle name="Comma 2 6 4" xfId="8916" xr:uid="{00000000-0005-0000-0000-0000DF160000}"/>
    <cellStyle name="Comma 2 6 4 2" xfId="8917" xr:uid="{00000000-0005-0000-0000-0000E0160000}"/>
    <cellStyle name="Comma 2 6 5" xfId="8918" xr:uid="{00000000-0005-0000-0000-0000E1160000}"/>
    <cellStyle name="Comma 2 6 6" xfId="8919" xr:uid="{00000000-0005-0000-0000-0000E2160000}"/>
    <cellStyle name="Comma 2 6 6 2" xfId="8920" xr:uid="{00000000-0005-0000-0000-0000E3160000}"/>
    <cellStyle name="Comma 2 6 7" xfId="8921" xr:uid="{00000000-0005-0000-0000-0000E4160000}"/>
    <cellStyle name="Comma 2 6 7 2" xfId="8922" xr:uid="{00000000-0005-0000-0000-0000E5160000}"/>
    <cellStyle name="Comma 2 6 7 2 2" xfId="8923" xr:uid="{00000000-0005-0000-0000-0000E6160000}"/>
    <cellStyle name="Comma 2 6 7 3" xfId="8924" xr:uid="{00000000-0005-0000-0000-0000E7160000}"/>
    <cellStyle name="Comma 2 6 7 3 2" xfId="8925" xr:uid="{00000000-0005-0000-0000-0000E8160000}"/>
    <cellStyle name="Comma 2 6 7 3 3" xfId="25627" xr:uid="{218ACC3B-63F1-4BC9-8B5E-D3461BB6D953}"/>
    <cellStyle name="Comma 2 6 7 3 3 2" xfId="40598" xr:uid="{DD8E3575-0078-49F0-9568-39F5E322407C}"/>
    <cellStyle name="Comma 2 6 7 3 4" xfId="32997" xr:uid="{B73A4C6F-58B5-4CCF-9F98-AA5E99730981}"/>
    <cellStyle name="Comma 2 6 8" xfId="8926" xr:uid="{00000000-0005-0000-0000-0000E9160000}"/>
    <cellStyle name="Comma 2 6 9" xfId="8927" xr:uid="{00000000-0005-0000-0000-0000EA160000}"/>
    <cellStyle name="Comma 2 6 9 2" xfId="25628" xr:uid="{8A1A2D0D-E4FF-4AB8-A3F3-C754BF5AD1C0}"/>
    <cellStyle name="Comma 2 6 9 2 2" xfId="40599" xr:uid="{63133BDA-3DA0-4D51-A193-5F67F5116AF5}"/>
    <cellStyle name="Comma 2 6 9 3" xfId="32998" xr:uid="{6A95B951-27BA-4C30-8548-045121247B1D}"/>
    <cellStyle name="Comma 2 7" xfId="8928" xr:uid="{00000000-0005-0000-0000-0000EB160000}"/>
    <cellStyle name="Comma 2 7 2" xfId="8929" xr:uid="{00000000-0005-0000-0000-0000EC160000}"/>
    <cellStyle name="Comma 2 7 2 2" xfId="8930" xr:uid="{00000000-0005-0000-0000-0000ED160000}"/>
    <cellStyle name="Comma 2 7 2 2 2" xfId="8931" xr:uid="{00000000-0005-0000-0000-0000EE160000}"/>
    <cellStyle name="Comma 2 7 2 3" xfId="8932" xr:uid="{00000000-0005-0000-0000-0000EF160000}"/>
    <cellStyle name="Comma 2 7 2 4" xfId="8933" xr:uid="{00000000-0005-0000-0000-0000F0160000}"/>
    <cellStyle name="Comma 2 7 2 4 2" xfId="8934" xr:uid="{00000000-0005-0000-0000-0000F1160000}"/>
    <cellStyle name="Comma 2 7 2 5" xfId="8935" xr:uid="{00000000-0005-0000-0000-0000F2160000}"/>
    <cellStyle name="Comma 2 7 2 5 2" xfId="8936" xr:uid="{00000000-0005-0000-0000-0000F3160000}"/>
    <cellStyle name="Comma 2 7 2 5 2 2" xfId="8937" xr:uid="{00000000-0005-0000-0000-0000F4160000}"/>
    <cellStyle name="Comma 2 7 2 5 3" xfId="8938" xr:uid="{00000000-0005-0000-0000-0000F5160000}"/>
    <cellStyle name="Comma 2 7 2 5 3 2" xfId="8939" xr:uid="{00000000-0005-0000-0000-0000F6160000}"/>
    <cellStyle name="Comma 2 7 2 5 3 3" xfId="25629" xr:uid="{923E877A-BEE9-44E5-9FF1-012F56092143}"/>
    <cellStyle name="Comma 2 7 2 5 3 3 2" xfId="40600" xr:uid="{80568CA9-739F-4BAE-A7E3-8123FEDE15CE}"/>
    <cellStyle name="Comma 2 7 2 5 3 4" xfId="32999" xr:uid="{124BB79A-EF4C-4C64-BF3E-9F5B23D40933}"/>
    <cellStyle name="Comma 2 7 2 6" xfId="8940" xr:uid="{00000000-0005-0000-0000-0000F7160000}"/>
    <cellStyle name="Comma 2 7 2 7" xfId="8941" xr:uid="{00000000-0005-0000-0000-0000F8160000}"/>
    <cellStyle name="Comma 2 7 2 7 2" xfId="25630" xr:uid="{402D5ADC-A1B3-4285-96F2-58162A08BF80}"/>
    <cellStyle name="Comma 2 7 2 7 2 2" xfId="40601" xr:uid="{119B244E-8BF3-465F-AB26-81B0B42CFEA4}"/>
    <cellStyle name="Comma 2 7 2 7 3" xfId="33000" xr:uid="{FCF894B2-0D8A-4EAD-A177-288B1DAE2353}"/>
    <cellStyle name="Comma 2 7 3" xfId="8942" xr:uid="{00000000-0005-0000-0000-0000F9160000}"/>
    <cellStyle name="Comma 2 7 3 2" xfId="8943" xr:uid="{00000000-0005-0000-0000-0000FA160000}"/>
    <cellStyle name="Comma 2 7 4" xfId="8944" xr:uid="{00000000-0005-0000-0000-0000FB160000}"/>
    <cellStyle name="Comma 2 7 4 2" xfId="8945" xr:uid="{00000000-0005-0000-0000-0000FC160000}"/>
    <cellStyle name="Comma 2 7 5" xfId="8946" xr:uid="{00000000-0005-0000-0000-0000FD160000}"/>
    <cellStyle name="Comma 2 7 6" xfId="8947" xr:uid="{00000000-0005-0000-0000-0000FE160000}"/>
    <cellStyle name="Comma 2 7 6 2" xfId="8948" xr:uid="{00000000-0005-0000-0000-0000FF160000}"/>
    <cellStyle name="Comma 2 7 7" xfId="8949" xr:uid="{00000000-0005-0000-0000-000000170000}"/>
    <cellStyle name="Comma 2 7 7 2" xfId="8950" xr:uid="{00000000-0005-0000-0000-000001170000}"/>
    <cellStyle name="Comma 2 7 7 2 2" xfId="8951" xr:uid="{00000000-0005-0000-0000-000002170000}"/>
    <cellStyle name="Comma 2 7 7 3" xfId="8952" xr:uid="{00000000-0005-0000-0000-000003170000}"/>
    <cellStyle name="Comma 2 7 7 3 2" xfId="8953" xr:uid="{00000000-0005-0000-0000-000004170000}"/>
    <cellStyle name="Comma 2 7 7 3 3" xfId="25631" xr:uid="{1508E72E-9805-4AB9-B399-9AEDAA95BFE3}"/>
    <cellStyle name="Comma 2 7 7 3 3 2" xfId="40602" xr:uid="{28932373-6824-4BDA-97FB-2A60C0D2F2CE}"/>
    <cellStyle name="Comma 2 7 7 3 4" xfId="33001" xr:uid="{16F5FBB7-081B-4EE4-9107-C7832B96A496}"/>
    <cellStyle name="Comma 2 7 8" xfId="8954" xr:uid="{00000000-0005-0000-0000-000005170000}"/>
    <cellStyle name="Comma 2 7 9" xfId="8955" xr:uid="{00000000-0005-0000-0000-000006170000}"/>
    <cellStyle name="Comma 2 7 9 2" xfId="25632" xr:uid="{ABE54C0F-67A0-49FE-94E8-584056AFC9A8}"/>
    <cellStyle name="Comma 2 7 9 2 2" xfId="40603" xr:uid="{4FED0FE8-D0AB-4541-AB7C-3407BFEE05A1}"/>
    <cellStyle name="Comma 2 7 9 3" xfId="33002" xr:uid="{C6B7060E-FF34-4CAE-A049-D4D4B7DE0D13}"/>
    <cellStyle name="Comma 2 8" xfId="8956" xr:uid="{00000000-0005-0000-0000-000007170000}"/>
    <cellStyle name="Comma 2 8 2" xfId="8957" xr:uid="{00000000-0005-0000-0000-000008170000}"/>
    <cellStyle name="Comma 2 8 2 2" xfId="8958" xr:uid="{00000000-0005-0000-0000-000009170000}"/>
    <cellStyle name="Comma 2 8 2 2 2" xfId="8959" xr:uid="{00000000-0005-0000-0000-00000A170000}"/>
    <cellStyle name="Comma 2 8 2 3" xfId="8960" xr:uid="{00000000-0005-0000-0000-00000B170000}"/>
    <cellStyle name="Comma 2 8 2 4" xfId="8961" xr:uid="{00000000-0005-0000-0000-00000C170000}"/>
    <cellStyle name="Comma 2 8 2 4 2" xfId="8962" xr:uid="{00000000-0005-0000-0000-00000D170000}"/>
    <cellStyle name="Comma 2 8 2 5" xfId="8963" xr:uid="{00000000-0005-0000-0000-00000E170000}"/>
    <cellStyle name="Comma 2 8 2 5 2" xfId="8964" xr:uid="{00000000-0005-0000-0000-00000F170000}"/>
    <cellStyle name="Comma 2 8 2 5 2 2" xfId="8965" xr:uid="{00000000-0005-0000-0000-000010170000}"/>
    <cellStyle name="Comma 2 8 2 5 3" xfId="8966" xr:uid="{00000000-0005-0000-0000-000011170000}"/>
    <cellStyle name="Comma 2 8 2 5 3 2" xfId="8967" xr:uid="{00000000-0005-0000-0000-000012170000}"/>
    <cellStyle name="Comma 2 8 2 5 3 3" xfId="25633" xr:uid="{ACDC4B79-A74C-4324-91DC-83813C93C745}"/>
    <cellStyle name="Comma 2 8 2 5 3 3 2" xfId="40604" xr:uid="{468A039D-B872-4787-9EF5-A86DEFFE979A}"/>
    <cellStyle name="Comma 2 8 2 5 3 4" xfId="33003" xr:uid="{A7BC7EC0-F50E-473C-8FF0-54B315F6C7AD}"/>
    <cellStyle name="Comma 2 8 2 6" xfId="8968" xr:uid="{00000000-0005-0000-0000-000013170000}"/>
    <cellStyle name="Comma 2 8 2 7" xfId="8969" xr:uid="{00000000-0005-0000-0000-000014170000}"/>
    <cellStyle name="Comma 2 8 2 7 2" xfId="25634" xr:uid="{8E245AB3-3FE4-414C-8521-BCD412DE23B5}"/>
    <cellStyle name="Comma 2 8 2 7 2 2" xfId="40605" xr:uid="{035DF7D0-7FB1-43DB-969D-70600531C444}"/>
    <cellStyle name="Comma 2 8 2 7 3" xfId="33004" xr:uid="{2D3A6D30-0C43-4FA2-8082-135B55B29E57}"/>
    <cellStyle name="Comma 2 8 3" xfId="8970" xr:uid="{00000000-0005-0000-0000-000015170000}"/>
    <cellStyle name="Comma 2 8 3 2" xfId="8971" xr:uid="{00000000-0005-0000-0000-000016170000}"/>
    <cellStyle name="Comma 2 8 4" xfId="8972" xr:uid="{00000000-0005-0000-0000-000017170000}"/>
    <cellStyle name="Comma 2 8 4 2" xfId="8973" xr:uid="{00000000-0005-0000-0000-000018170000}"/>
    <cellStyle name="Comma 2 8 5" xfId="8974" xr:uid="{00000000-0005-0000-0000-000019170000}"/>
    <cellStyle name="Comma 2 8 6" xfId="8975" xr:uid="{00000000-0005-0000-0000-00001A170000}"/>
    <cellStyle name="Comma 2 8 6 2" xfId="8976" xr:uid="{00000000-0005-0000-0000-00001B170000}"/>
    <cellStyle name="Comma 2 8 7" xfId="8977" xr:uid="{00000000-0005-0000-0000-00001C170000}"/>
    <cellStyle name="Comma 2 8 7 2" xfId="8978" xr:uid="{00000000-0005-0000-0000-00001D170000}"/>
    <cellStyle name="Comma 2 8 7 2 2" xfId="8979" xr:uid="{00000000-0005-0000-0000-00001E170000}"/>
    <cellStyle name="Comma 2 8 7 3" xfId="8980" xr:uid="{00000000-0005-0000-0000-00001F170000}"/>
    <cellStyle name="Comma 2 8 7 3 2" xfId="8981" xr:uid="{00000000-0005-0000-0000-000020170000}"/>
    <cellStyle name="Comma 2 8 7 3 3" xfId="25635" xr:uid="{643DE661-218F-4ED2-91C6-6FAAE21803B2}"/>
    <cellStyle name="Comma 2 8 7 3 3 2" xfId="40606" xr:uid="{DD7733EB-BDC7-45BE-A94D-9F30AF468B86}"/>
    <cellStyle name="Comma 2 8 7 3 4" xfId="33005" xr:uid="{FEC19104-F868-48DF-827B-211DCF09A92F}"/>
    <cellStyle name="Comma 2 8 8" xfId="8982" xr:uid="{00000000-0005-0000-0000-000021170000}"/>
    <cellStyle name="Comma 2 8 9" xfId="8983" xr:uid="{00000000-0005-0000-0000-000022170000}"/>
    <cellStyle name="Comma 2 8 9 2" xfId="25636" xr:uid="{C663F07C-1C9D-42B0-9143-D6318BC9FDB6}"/>
    <cellStyle name="Comma 2 8 9 2 2" xfId="40607" xr:uid="{B4CAB3F5-D556-4A8A-960C-3D8DBF071BA7}"/>
    <cellStyle name="Comma 2 8 9 3" xfId="33006" xr:uid="{04C8B5F7-B20A-41F1-BD48-7B3A489E95CE}"/>
    <cellStyle name="Comma 2 9" xfId="5288" xr:uid="{00000000-0005-0000-0000-000023170000}"/>
    <cellStyle name="Comma 20" xfId="2995" xr:uid="{00000000-0005-0000-0000-0000F8000000}"/>
    <cellStyle name="Comma 20 2" xfId="8984" xr:uid="{00000000-0005-0000-0000-000025170000}"/>
    <cellStyle name="Comma 20 3" xfId="8985" xr:uid="{00000000-0005-0000-0000-000026170000}"/>
    <cellStyle name="Comma 20 3 2" xfId="8986" xr:uid="{00000000-0005-0000-0000-000027170000}"/>
    <cellStyle name="Comma 20 4" xfId="8987" xr:uid="{00000000-0005-0000-0000-000028170000}"/>
    <cellStyle name="Comma 20 5" xfId="5468" xr:uid="{00000000-0005-0000-0000-000024170000}"/>
    <cellStyle name="Comma 20 6" xfId="20951" xr:uid="{C8B90C72-D850-4A36-B301-1EE3AE8F5863}"/>
    <cellStyle name="Comma 20 6 2" xfId="35927" xr:uid="{2D7FB631-8429-4866-B176-4678C30CCD5D}"/>
    <cellStyle name="Comma 20 7" xfId="28323" xr:uid="{664DDAAC-FF38-44B2-B71F-BCF403D0A011}"/>
    <cellStyle name="Comma 21" xfId="2991" xr:uid="{00000000-0005-0000-0000-0000F9000000}"/>
    <cellStyle name="Comma 21 2" xfId="8988" xr:uid="{00000000-0005-0000-0000-00002A170000}"/>
    <cellStyle name="Comma 21 3" xfId="8989" xr:uid="{00000000-0005-0000-0000-00002B170000}"/>
    <cellStyle name="Comma 21 3 2" xfId="8990" xr:uid="{00000000-0005-0000-0000-00002C170000}"/>
    <cellStyle name="Comma 21 4" xfId="8991" xr:uid="{00000000-0005-0000-0000-00002D170000}"/>
    <cellStyle name="Comma 21 5" xfId="5467" xr:uid="{00000000-0005-0000-0000-000029170000}"/>
    <cellStyle name="Comma 21 6" xfId="20947" xr:uid="{63C58EE9-06DA-4418-9694-F92D44D5B79A}"/>
    <cellStyle name="Comma 21 6 2" xfId="35923" xr:uid="{DD253D04-2DD0-4BDB-89D9-7ADB3C6D1D29}"/>
    <cellStyle name="Comma 21 7" xfId="28319" xr:uid="{7AE78407-0B14-4EC5-B61D-D402872B7D8A}"/>
    <cellStyle name="Comma 22" xfId="2988" xr:uid="{00000000-0005-0000-0000-0000FA000000}"/>
    <cellStyle name="Comma 22 2" xfId="8992" xr:uid="{00000000-0005-0000-0000-00002F170000}"/>
    <cellStyle name="Comma 22 3" xfId="8993" xr:uid="{00000000-0005-0000-0000-000030170000}"/>
    <cellStyle name="Comma 22 3 2" xfId="8994" xr:uid="{00000000-0005-0000-0000-000031170000}"/>
    <cellStyle name="Comma 22 4" xfId="8995" xr:uid="{00000000-0005-0000-0000-000032170000}"/>
    <cellStyle name="Comma 22 5" xfId="5466" xr:uid="{00000000-0005-0000-0000-00002E170000}"/>
    <cellStyle name="Comma 22 6" xfId="20944" xr:uid="{D6A43F02-6C4D-497B-A2B6-06147F1E2282}"/>
    <cellStyle name="Comma 22 6 2" xfId="35920" xr:uid="{1131007C-055B-4ADE-8397-C7F109334E75}"/>
    <cellStyle name="Comma 22 7" xfId="28316" xr:uid="{646B269E-10BD-4B10-93D7-A9E7C0187430}"/>
    <cellStyle name="Comma 23" xfId="2985" xr:uid="{00000000-0005-0000-0000-0000FB000000}"/>
    <cellStyle name="Comma 23 2" xfId="8996" xr:uid="{00000000-0005-0000-0000-000034170000}"/>
    <cellStyle name="Comma 23 3" xfId="8997" xr:uid="{00000000-0005-0000-0000-000035170000}"/>
    <cellStyle name="Comma 23 3 2" xfId="8998" xr:uid="{00000000-0005-0000-0000-000036170000}"/>
    <cellStyle name="Comma 23 4" xfId="8999" xr:uid="{00000000-0005-0000-0000-000037170000}"/>
    <cellStyle name="Comma 23 5" xfId="5465" xr:uid="{00000000-0005-0000-0000-000033170000}"/>
    <cellStyle name="Comma 23 6" xfId="20941" xr:uid="{46D04499-0E6D-4A5F-8526-28C54799C43F}"/>
    <cellStyle name="Comma 23 6 2" xfId="35917" xr:uid="{B44AA942-8B78-4DFB-AC8C-8B69966479E7}"/>
    <cellStyle name="Comma 23 7" xfId="28313" xr:uid="{6414FE02-5682-42F8-9AAD-DB0411B559EB}"/>
    <cellStyle name="Comma 24" xfId="2982" xr:uid="{00000000-0005-0000-0000-0000FC000000}"/>
    <cellStyle name="Comma 24 2" xfId="9000" xr:uid="{00000000-0005-0000-0000-000039170000}"/>
    <cellStyle name="Comma 24 3" xfId="9001" xr:uid="{00000000-0005-0000-0000-00003A170000}"/>
    <cellStyle name="Comma 24 3 2" xfId="9002" xr:uid="{00000000-0005-0000-0000-00003B170000}"/>
    <cellStyle name="Comma 24 4" xfId="9003" xr:uid="{00000000-0005-0000-0000-00003C170000}"/>
    <cellStyle name="Comma 24 5" xfId="5464" xr:uid="{00000000-0005-0000-0000-000038170000}"/>
    <cellStyle name="Comma 24 6" xfId="20938" xr:uid="{346A2F20-8B57-4158-85C7-E3BA23BAE595}"/>
    <cellStyle name="Comma 24 6 2" xfId="35914" xr:uid="{63B54B46-4DB7-49AD-8584-B5B77C6A545D}"/>
    <cellStyle name="Comma 24 7" xfId="28310" xr:uid="{07F90A5D-262F-4797-87F0-C23E56B5769B}"/>
    <cellStyle name="Comma 25" xfId="2979" xr:uid="{00000000-0005-0000-0000-0000FD000000}"/>
    <cellStyle name="Comma 25 2" xfId="9004" xr:uid="{00000000-0005-0000-0000-00003E170000}"/>
    <cellStyle name="Comma 25 3" xfId="9005" xr:uid="{00000000-0005-0000-0000-00003F170000}"/>
    <cellStyle name="Comma 25 3 2" xfId="9006" xr:uid="{00000000-0005-0000-0000-000040170000}"/>
    <cellStyle name="Comma 25 4" xfId="9007" xr:uid="{00000000-0005-0000-0000-000041170000}"/>
    <cellStyle name="Comma 25 5" xfId="5463" xr:uid="{00000000-0005-0000-0000-00003D170000}"/>
    <cellStyle name="Comma 25 6" xfId="20935" xr:uid="{B607FE91-7BE9-420C-916C-69832135D78E}"/>
    <cellStyle name="Comma 25 6 2" xfId="35911" xr:uid="{91A471E6-65EF-4505-8653-82B56F52F4A3}"/>
    <cellStyle name="Comma 25 7" xfId="28307" xr:uid="{84E05DAD-D98C-445E-A571-9D3A83FCEC95}"/>
    <cellStyle name="Comma 26" xfId="2976" xr:uid="{00000000-0005-0000-0000-0000FE000000}"/>
    <cellStyle name="Comma 26 2" xfId="9008" xr:uid="{00000000-0005-0000-0000-000043170000}"/>
    <cellStyle name="Comma 26 3" xfId="9009" xr:uid="{00000000-0005-0000-0000-000044170000}"/>
    <cellStyle name="Comma 26 3 2" xfId="9010" xr:uid="{00000000-0005-0000-0000-000045170000}"/>
    <cellStyle name="Comma 26 4" xfId="9011" xr:uid="{00000000-0005-0000-0000-000046170000}"/>
    <cellStyle name="Comma 26 5" xfId="5462" xr:uid="{00000000-0005-0000-0000-000042170000}"/>
    <cellStyle name="Comma 26 6" xfId="20932" xr:uid="{94AE243C-62C6-4735-B9C4-AD363E055543}"/>
    <cellStyle name="Comma 26 6 2" xfId="35908" xr:uid="{6C9BF865-7223-45BB-9162-424B2883AE02}"/>
    <cellStyle name="Comma 26 7" xfId="28304" xr:uid="{7148F084-9B79-4CFE-93D3-DE07E1526DE9}"/>
    <cellStyle name="Comma 27" xfId="2974" xr:uid="{00000000-0005-0000-0000-0000FF000000}"/>
    <cellStyle name="Comma 27 2" xfId="9012" xr:uid="{00000000-0005-0000-0000-000048170000}"/>
    <cellStyle name="Comma 27 3" xfId="9013" xr:uid="{00000000-0005-0000-0000-000049170000}"/>
    <cellStyle name="Comma 27 3 2" xfId="9014" xr:uid="{00000000-0005-0000-0000-00004A170000}"/>
    <cellStyle name="Comma 27 4" xfId="9015" xr:uid="{00000000-0005-0000-0000-00004B170000}"/>
    <cellStyle name="Comma 27 5" xfId="5546" xr:uid="{00000000-0005-0000-0000-000047170000}"/>
    <cellStyle name="Comma 27 6" xfId="20930" xr:uid="{84744878-4D9D-4F44-9C47-AA3338F640E4}"/>
    <cellStyle name="Comma 27 6 2" xfId="35906" xr:uid="{5892FAF4-59C8-486E-91DB-ECB7AC15289A}"/>
    <cellStyle name="Comma 27 7" xfId="28302" xr:uid="{D70EF5E0-5F7D-4442-8E17-B4674E5FCE18}"/>
    <cellStyle name="Comma 28" xfId="2967" xr:uid="{00000000-0005-0000-0000-000000010000}"/>
    <cellStyle name="Comma 28 2" xfId="9016" xr:uid="{00000000-0005-0000-0000-00004D170000}"/>
    <cellStyle name="Comma 28 3" xfId="9017" xr:uid="{00000000-0005-0000-0000-00004E170000}"/>
    <cellStyle name="Comma 28 3 2" xfId="9018" xr:uid="{00000000-0005-0000-0000-00004F170000}"/>
    <cellStyle name="Comma 28 4" xfId="9019" xr:uid="{00000000-0005-0000-0000-000050170000}"/>
    <cellStyle name="Comma 28 5" xfId="5461" xr:uid="{00000000-0005-0000-0000-00004C170000}"/>
    <cellStyle name="Comma 28 6" xfId="20923" xr:uid="{E8CA7690-0701-4B69-8B98-9426609BD4AD}"/>
    <cellStyle name="Comma 28 6 2" xfId="35899" xr:uid="{6CC922EC-2730-4673-B442-358285A1AF5C}"/>
    <cellStyle name="Comma 28 7" xfId="28295" xr:uid="{7D704AE9-69B5-4C8C-8DD5-DC98DD84AB31}"/>
    <cellStyle name="Comma 29" xfId="2964" xr:uid="{00000000-0005-0000-0000-000001010000}"/>
    <cellStyle name="Comma 29 2" xfId="9020" xr:uid="{00000000-0005-0000-0000-000052170000}"/>
    <cellStyle name="Comma 29 3" xfId="9021" xr:uid="{00000000-0005-0000-0000-000053170000}"/>
    <cellStyle name="Comma 29 3 2" xfId="9022" xr:uid="{00000000-0005-0000-0000-000054170000}"/>
    <cellStyle name="Comma 29 4" xfId="9023" xr:uid="{00000000-0005-0000-0000-000055170000}"/>
    <cellStyle name="Comma 29 5" xfId="5460" xr:uid="{00000000-0005-0000-0000-000051170000}"/>
    <cellStyle name="Comma 29 6" xfId="20920" xr:uid="{2757BD19-CA65-4639-952A-E282EFA54C24}"/>
    <cellStyle name="Comma 29 6 2" xfId="35896" xr:uid="{2192582C-0C93-40FF-93E4-8A66DBCFC51D}"/>
    <cellStyle name="Comma 29 7" xfId="28292" xr:uid="{8DF10D99-0766-45EF-81D3-2B7CFF7C7389}"/>
    <cellStyle name="Comma 3" xfId="400" xr:uid="{00000000-0005-0000-0000-000002010000}"/>
    <cellStyle name="Comma 3 2" xfId="401" xr:uid="{00000000-0005-0000-0000-000003010000}"/>
    <cellStyle name="Comma 3 2 2" xfId="9024" xr:uid="{00000000-0005-0000-0000-000058170000}"/>
    <cellStyle name="Comma 3 3" xfId="402" xr:uid="{00000000-0005-0000-0000-000004010000}"/>
    <cellStyle name="Comma 3 3 2" xfId="9025" xr:uid="{00000000-0005-0000-0000-00005A170000}"/>
    <cellStyle name="Comma 3 3 2 2" xfId="9026" xr:uid="{00000000-0005-0000-0000-00005B170000}"/>
    <cellStyle name="Comma 3 3 3" xfId="9027" xr:uid="{00000000-0005-0000-0000-00005C170000}"/>
    <cellStyle name="Comma 3 4" xfId="9028" xr:uid="{00000000-0005-0000-0000-00005D170000}"/>
    <cellStyle name="Comma 3 4 2" xfId="9029" xr:uid="{00000000-0005-0000-0000-00005E170000}"/>
    <cellStyle name="Comma 3 4 2 2" xfId="25637" xr:uid="{93A7C356-2741-4193-ABD5-9E232888AD1A}"/>
    <cellStyle name="Comma 3 4 2 2 2" xfId="40608" xr:uid="{6C6121FF-8080-4443-AD57-3437D82175F4}"/>
    <cellStyle name="Comma 3 4 2 3" xfId="33007" xr:uid="{A96D24BA-BD36-4A65-A7E7-0294B8436AC7}"/>
    <cellStyle name="Comma 3 4 3" xfId="9030" xr:uid="{00000000-0005-0000-0000-00005F170000}"/>
    <cellStyle name="Comma 3 4 3 2" xfId="25638" xr:uid="{ED7F70FB-6174-417B-B432-ABBE6619682F}"/>
    <cellStyle name="Comma 3 4 3 2 2" xfId="40609" xr:uid="{0F2551D6-A8D6-4C49-BEED-710EB3A9362F}"/>
    <cellStyle name="Comma 3 4 3 3" xfId="33008" xr:uid="{576CE780-2139-48F9-8797-F3CE481862A3}"/>
    <cellStyle name="Comma 3 5" xfId="9031" xr:uid="{00000000-0005-0000-0000-000060170000}"/>
    <cellStyle name="Comma 3 5 2" xfId="9032" xr:uid="{00000000-0005-0000-0000-000061170000}"/>
    <cellStyle name="Comma 3 5 2 2" xfId="25639" xr:uid="{9D34A72D-BAAD-4817-A631-1C4E5DBA14B7}"/>
    <cellStyle name="Comma 3 5 2 2 2" xfId="40610" xr:uid="{1E7B8EE5-BB77-423C-937D-AA30C2342060}"/>
    <cellStyle name="Comma 3 5 2 3" xfId="33009" xr:uid="{294A2586-C9FE-4E07-8EF4-62FDC0372731}"/>
    <cellStyle name="Comma 3 6" xfId="9033" xr:uid="{00000000-0005-0000-0000-000062170000}"/>
    <cellStyle name="Comma 3 6 2" xfId="9034" xr:uid="{00000000-0005-0000-0000-000063170000}"/>
    <cellStyle name="Comma 3 6 2 2" xfId="25640" xr:uid="{0F68D8CE-2094-4F0E-89EA-B56406711CAC}"/>
    <cellStyle name="Comma 3 6 2 2 2" xfId="40611" xr:uid="{981C54A0-5DA0-45AA-AFC3-0AC038D0DB2C}"/>
    <cellStyle name="Comma 3 6 2 3" xfId="33010" xr:uid="{75BD795E-907A-48D8-9EA2-60703D90828E}"/>
    <cellStyle name="Comma 3 7" xfId="20546" xr:uid="{3F226CB6-D172-4072-A9EC-B164386A84B9}"/>
    <cellStyle name="Comma 30" xfId="2961" xr:uid="{00000000-0005-0000-0000-000005010000}"/>
    <cellStyle name="Comma 30 2" xfId="9035" xr:uid="{00000000-0005-0000-0000-000065170000}"/>
    <cellStyle name="Comma 30 3" xfId="9036" xr:uid="{00000000-0005-0000-0000-000066170000}"/>
    <cellStyle name="Comma 30 3 2" xfId="9037" xr:uid="{00000000-0005-0000-0000-000067170000}"/>
    <cellStyle name="Comma 30 4" xfId="9038" xr:uid="{00000000-0005-0000-0000-000068170000}"/>
    <cellStyle name="Comma 30 5" xfId="5459" xr:uid="{00000000-0005-0000-0000-000064170000}"/>
    <cellStyle name="Comma 30 6" xfId="20917" xr:uid="{E43A729C-A4F9-4B18-BE26-49B1E4E237E1}"/>
    <cellStyle name="Comma 30 6 2" xfId="35893" xr:uid="{53DA27B2-8F40-4E73-ACC1-42459F135D60}"/>
    <cellStyle name="Comma 30 7" xfId="28289" xr:uid="{9247CC6C-8DC8-48FB-8AC9-5F354102A4B7}"/>
    <cellStyle name="Comma 31" xfId="2958" xr:uid="{00000000-0005-0000-0000-000006010000}"/>
    <cellStyle name="Comma 31 2" xfId="9039" xr:uid="{00000000-0005-0000-0000-00006A170000}"/>
    <cellStyle name="Comma 31 3" xfId="9040" xr:uid="{00000000-0005-0000-0000-00006B170000}"/>
    <cellStyle name="Comma 31 3 2" xfId="9041" xr:uid="{00000000-0005-0000-0000-00006C170000}"/>
    <cellStyle name="Comma 31 4" xfId="9042" xr:uid="{00000000-0005-0000-0000-00006D170000}"/>
    <cellStyle name="Comma 31 5" xfId="5458" xr:uid="{00000000-0005-0000-0000-000069170000}"/>
    <cellStyle name="Comma 31 6" xfId="20914" xr:uid="{F62A52EB-A2EA-4AFF-8BBC-CAD375A40FDD}"/>
    <cellStyle name="Comma 31 6 2" xfId="35890" xr:uid="{CC4455D7-AED2-4591-85D4-0A2B0BA6E613}"/>
    <cellStyle name="Comma 31 7" xfId="28286" xr:uid="{B28CB9EC-2A18-448B-A0E0-6D56122975A9}"/>
    <cellStyle name="Comma 32" xfId="2955" xr:uid="{00000000-0005-0000-0000-000007010000}"/>
    <cellStyle name="Comma 32 2" xfId="9043" xr:uid="{00000000-0005-0000-0000-00006F170000}"/>
    <cellStyle name="Comma 32 3" xfId="9044" xr:uid="{00000000-0005-0000-0000-000070170000}"/>
    <cellStyle name="Comma 32 3 2" xfId="9045" xr:uid="{00000000-0005-0000-0000-000071170000}"/>
    <cellStyle name="Comma 32 4" xfId="9046" xr:uid="{00000000-0005-0000-0000-000072170000}"/>
    <cellStyle name="Comma 32 5" xfId="5457" xr:uid="{00000000-0005-0000-0000-00006E170000}"/>
    <cellStyle name="Comma 32 6" xfId="20911" xr:uid="{A0F5EAC6-6D68-4FAA-AB12-5EE29B61E093}"/>
    <cellStyle name="Comma 32 6 2" xfId="35887" xr:uid="{71A9A716-BF3F-4B62-AB9E-E84FE5BE405D}"/>
    <cellStyle name="Comma 32 7" xfId="28283" xr:uid="{866E7670-9C75-4D42-B881-CC92C7D19B41}"/>
    <cellStyle name="Comma 33" xfId="2952" xr:uid="{00000000-0005-0000-0000-000008010000}"/>
    <cellStyle name="Comma 33 2" xfId="9047" xr:uid="{00000000-0005-0000-0000-000074170000}"/>
    <cellStyle name="Comma 33 3" xfId="9048" xr:uid="{00000000-0005-0000-0000-000075170000}"/>
    <cellStyle name="Comma 33 3 2" xfId="9049" xr:uid="{00000000-0005-0000-0000-000076170000}"/>
    <cellStyle name="Comma 33 4" xfId="9050" xr:uid="{00000000-0005-0000-0000-000077170000}"/>
    <cellStyle name="Comma 33 5" xfId="5456" xr:uid="{00000000-0005-0000-0000-000073170000}"/>
    <cellStyle name="Comma 33 6" xfId="20908" xr:uid="{C9689BEA-53F0-4DCF-AFAF-44B9DBAC3405}"/>
    <cellStyle name="Comma 33 6 2" xfId="35884" xr:uid="{D2FC454D-FE32-4807-8D63-23FFFD772913}"/>
    <cellStyle name="Comma 33 7" xfId="28280" xr:uid="{279B4AE6-3DEF-4549-AD43-9D64181DAB5B}"/>
    <cellStyle name="Comma 34" xfId="2947" xr:uid="{00000000-0005-0000-0000-000009010000}"/>
    <cellStyle name="Comma 34 2" xfId="9051" xr:uid="{00000000-0005-0000-0000-000079170000}"/>
    <cellStyle name="Comma 34 3" xfId="9052" xr:uid="{00000000-0005-0000-0000-00007A170000}"/>
    <cellStyle name="Comma 34 3 2" xfId="9053" xr:uid="{00000000-0005-0000-0000-00007B170000}"/>
    <cellStyle name="Comma 34 3 3" xfId="25641" xr:uid="{4D2481B8-63F7-4668-B846-CDAC92091493}"/>
    <cellStyle name="Comma 34 3 3 2" xfId="40612" xr:uid="{E1080532-12E6-40BF-B7CE-35EDCD8CC12F}"/>
    <cellStyle name="Comma 34 3 4" xfId="33011" xr:uid="{4834F00C-91C2-4658-86C0-E52A44230464}"/>
    <cellStyle name="Comma 34 4" xfId="9054" xr:uid="{00000000-0005-0000-0000-00007C170000}"/>
    <cellStyle name="Comma 34 4 2" xfId="25642" xr:uid="{8C5205E9-3BDE-459D-8ECB-738528707730}"/>
    <cellStyle name="Comma 34 4 2 2" xfId="40613" xr:uid="{3DE5C1A0-EB0E-4CC9-A159-2868D5CF1AA4}"/>
    <cellStyle name="Comma 34 4 3" xfId="33012" xr:uid="{DE7FC02C-80E5-4288-ABC7-FCE6C094E8D4}"/>
    <cellStyle name="Comma 34 5" xfId="9055" xr:uid="{00000000-0005-0000-0000-00007D170000}"/>
    <cellStyle name="Comma 34 6" xfId="9056" xr:uid="{00000000-0005-0000-0000-00007E170000}"/>
    <cellStyle name="Comma 34 7" xfId="5455" xr:uid="{00000000-0005-0000-0000-000078170000}"/>
    <cellStyle name="Comma 34 8" xfId="20903" xr:uid="{00252C2A-36E8-48BE-9A38-0228DB516893}"/>
    <cellStyle name="Comma 34 8 2" xfId="35879" xr:uid="{13E0F4AE-DE25-474F-9C84-2D9D9F7C59FB}"/>
    <cellStyle name="Comma 34 9" xfId="28275" xr:uid="{3180EE3D-3264-4E51-94A0-3AB9850A8FE9}"/>
    <cellStyle name="Comma 35" xfId="2945" xr:uid="{00000000-0005-0000-0000-00000A010000}"/>
    <cellStyle name="Comma 35 2" xfId="9057" xr:uid="{00000000-0005-0000-0000-000080170000}"/>
    <cellStyle name="Comma 35 3" xfId="9058" xr:uid="{00000000-0005-0000-0000-000081170000}"/>
    <cellStyle name="Comma 35 3 2" xfId="9059" xr:uid="{00000000-0005-0000-0000-000082170000}"/>
    <cellStyle name="Comma 35 3 3" xfId="25643" xr:uid="{CE10C071-F6B5-46F6-A890-C384EA606719}"/>
    <cellStyle name="Comma 35 3 3 2" xfId="40614" xr:uid="{DF36434A-D968-4084-B52A-B0ACA493602C}"/>
    <cellStyle name="Comma 35 3 4" xfId="33013" xr:uid="{1D6FA062-AE69-4928-878C-811C59C3269F}"/>
    <cellStyle name="Comma 35 4" xfId="9060" xr:uid="{00000000-0005-0000-0000-000083170000}"/>
    <cellStyle name="Comma 35 4 2" xfId="25644" xr:uid="{305E421E-2FEF-473C-B049-7EA7E30D40C1}"/>
    <cellStyle name="Comma 35 4 2 2" xfId="40615" xr:uid="{6B9EBCB0-19B4-424A-9F10-DBCD640E4E89}"/>
    <cellStyle name="Comma 35 4 3" xfId="33014" xr:uid="{34101A3C-00B2-4582-A1E3-E6CD3911950D}"/>
    <cellStyle name="Comma 35 5" xfId="9061" xr:uid="{00000000-0005-0000-0000-000084170000}"/>
    <cellStyle name="Comma 35 6" xfId="9062" xr:uid="{00000000-0005-0000-0000-000085170000}"/>
    <cellStyle name="Comma 35 7" xfId="5545" xr:uid="{00000000-0005-0000-0000-00007F170000}"/>
    <cellStyle name="Comma 35 8" xfId="20901" xr:uid="{01524B74-E4C3-4CDD-8499-9DB0272E6D5D}"/>
    <cellStyle name="Comma 35 8 2" xfId="35877" xr:uid="{B08472C4-A029-4B36-93CA-D7EEFF926C3B}"/>
    <cellStyle name="Comma 35 9" xfId="28273" xr:uid="{FBFDB82B-B6FE-451C-8209-2618E4698E91}"/>
    <cellStyle name="Comma 36" xfId="5454" xr:uid="{00000000-0005-0000-0000-000086170000}"/>
    <cellStyle name="Comma 36 2" xfId="9063" xr:uid="{00000000-0005-0000-0000-000087170000}"/>
    <cellStyle name="Comma 36 3" xfId="9064" xr:uid="{00000000-0005-0000-0000-000088170000}"/>
    <cellStyle name="Comma 36 3 2" xfId="9065" xr:uid="{00000000-0005-0000-0000-000089170000}"/>
    <cellStyle name="Comma 36 3 3" xfId="25645" xr:uid="{AF1F1BB2-2D8C-4C70-9AE9-F434E1023401}"/>
    <cellStyle name="Comma 36 3 3 2" xfId="40616" xr:uid="{9CAD72DB-0A99-46FB-8543-9C187E661FB1}"/>
    <cellStyle name="Comma 36 3 4" xfId="33015" xr:uid="{93AAF27C-ADEB-4EA7-B780-B6DB0CCEC07E}"/>
    <cellStyle name="Comma 36 4" xfId="9066" xr:uid="{00000000-0005-0000-0000-00008A170000}"/>
    <cellStyle name="Comma 36 4 2" xfId="25646" xr:uid="{C5C72818-CB19-49DE-AE3C-F865E026AA97}"/>
    <cellStyle name="Comma 36 4 2 2" xfId="40617" xr:uid="{22A02EC4-0226-4A2C-9F0A-8981AB3657D6}"/>
    <cellStyle name="Comma 36 4 3" xfId="33016" xr:uid="{EB0B1616-02F2-482B-B1D3-5BC59CEBA984}"/>
    <cellStyle name="Comma 36 5" xfId="9067" xr:uid="{00000000-0005-0000-0000-00008B170000}"/>
    <cellStyle name="Comma 36 6" xfId="9068" xr:uid="{00000000-0005-0000-0000-00008C170000}"/>
    <cellStyle name="Comma 37" xfId="5453" xr:uid="{00000000-0005-0000-0000-00008D170000}"/>
    <cellStyle name="Comma 37 2" xfId="9069" xr:uid="{00000000-0005-0000-0000-00008E170000}"/>
    <cellStyle name="Comma 37 3" xfId="9070" xr:uid="{00000000-0005-0000-0000-00008F170000}"/>
    <cellStyle name="Comma 37 3 2" xfId="9071" xr:uid="{00000000-0005-0000-0000-000090170000}"/>
    <cellStyle name="Comma 37 3 3" xfId="25647" xr:uid="{5BB2688E-D69C-480A-94CA-60675C342C84}"/>
    <cellStyle name="Comma 37 3 3 2" xfId="40618" xr:uid="{F7C3C4E4-6EED-47C1-B350-DEAD12F03568}"/>
    <cellStyle name="Comma 37 3 4" xfId="33017" xr:uid="{5A97480E-6A33-4581-9F84-DC1DAD7454B1}"/>
    <cellStyle name="Comma 37 4" xfId="9072" xr:uid="{00000000-0005-0000-0000-000091170000}"/>
    <cellStyle name="Comma 37 4 2" xfId="25648" xr:uid="{0DDD86BD-BB68-44DE-ACF7-1A63A9DFCBB3}"/>
    <cellStyle name="Comma 37 4 2 2" xfId="40619" xr:uid="{A1608558-AAF3-4725-8B98-403C2D09710E}"/>
    <cellStyle name="Comma 37 4 3" xfId="33018" xr:uid="{AE728C9B-F06E-4FF0-824D-96E3A3836655}"/>
    <cellStyle name="Comma 37 5" xfId="9073" xr:uid="{00000000-0005-0000-0000-000092170000}"/>
    <cellStyle name="Comma 37 6" xfId="9074" xr:uid="{00000000-0005-0000-0000-000093170000}"/>
    <cellStyle name="Comma 38" xfId="5452" xr:uid="{00000000-0005-0000-0000-000094170000}"/>
    <cellStyle name="Comma 38 2" xfId="9075" xr:uid="{00000000-0005-0000-0000-000095170000}"/>
    <cellStyle name="Comma 38 3" xfId="9076" xr:uid="{00000000-0005-0000-0000-000096170000}"/>
    <cellStyle name="Comma 38 3 2" xfId="9077" xr:uid="{00000000-0005-0000-0000-000097170000}"/>
    <cellStyle name="Comma 38 3 3" xfId="25649" xr:uid="{321621FA-2428-4E0F-9DAB-09621056C310}"/>
    <cellStyle name="Comma 38 3 3 2" xfId="40620" xr:uid="{947DE60D-C1A4-4F6F-819D-5A736FEBAD9D}"/>
    <cellStyle name="Comma 38 3 4" xfId="33019" xr:uid="{73791289-FC4E-425C-B7FA-08FC891ACA38}"/>
    <cellStyle name="Comma 38 4" xfId="9078" xr:uid="{00000000-0005-0000-0000-000098170000}"/>
    <cellStyle name="Comma 38 4 2" xfId="25650" xr:uid="{77472C55-87CF-4973-870B-F831AF3D6EC9}"/>
    <cellStyle name="Comma 38 4 2 2" xfId="40621" xr:uid="{E78D4F3B-FB81-4CC3-BCA0-B5A87ADC2475}"/>
    <cellStyle name="Comma 38 4 3" xfId="33020" xr:uid="{63F60198-2904-4CDC-B73C-7E8E704C93AA}"/>
    <cellStyle name="Comma 38 5" xfId="9079" xr:uid="{00000000-0005-0000-0000-000099170000}"/>
    <cellStyle name="Comma 38 6" xfId="9080" xr:uid="{00000000-0005-0000-0000-00009A170000}"/>
    <cellStyle name="Comma 39" xfId="5451" xr:uid="{00000000-0005-0000-0000-00009B170000}"/>
    <cellStyle name="Comma 39 2" xfId="9081" xr:uid="{00000000-0005-0000-0000-00009C170000}"/>
    <cellStyle name="Comma 39 2 2" xfId="9082" xr:uid="{00000000-0005-0000-0000-00009D170000}"/>
    <cellStyle name="Comma 39 2 2 2" xfId="9083" xr:uid="{00000000-0005-0000-0000-00009E170000}"/>
    <cellStyle name="Comma 39 2 2 2 2" xfId="9084" xr:uid="{00000000-0005-0000-0000-00009F170000}"/>
    <cellStyle name="Comma 39 2 2 2 3" xfId="9085" xr:uid="{00000000-0005-0000-0000-0000A0170000}"/>
    <cellStyle name="Comma 39 2 2 2 3 2" xfId="25651" xr:uid="{1FC4646B-E56A-4860-8569-BCCA04336971}"/>
    <cellStyle name="Comma 39 2 2 2 3 2 2" xfId="40622" xr:uid="{590F0E3C-790A-401D-A9E8-542BE68B4C14}"/>
    <cellStyle name="Comma 39 2 2 2 3 3" xfId="33021" xr:uid="{44D25BB1-DB5A-4700-ABC8-91837FCF62EE}"/>
    <cellStyle name="Comma 39 2 2 3" xfId="9086" xr:uid="{00000000-0005-0000-0000-0000A1170000}"/>
    <cellStyle name="Comma 39 2 2 4" xfId="9087" xr:uid="{00000000-0005-0000-0000-0000A2170000}"/>
    <cellStyle name="Comma 39 2 2 4 2" xfId="25652" xr:uid="{787290CF-5925-4E23-9487-093343C97BA1}"/>
    <cellStyle name="Comma 39 2 2 4 2 2" xfId="40623" xr:uid="{CE504D12-B7BD-446C-ACAE-4945E59647B8}"/>
    <cellStyle name="Comma 39 2 2 4 3" xfId="33022" xr:uid="{CF68608A-E2EB-4519-971A-D4EBB9D790B5}"/>
    <cellStyle name="Comma 39 2 3" xfId="9088" xr:uid="{00000000-0005-0000-0000-0000A3170000}"/>
    <cellStyle name="Comma 39 2 3 2" xfId="9089" xr:uid="{00000000-0005-0000-0000-0000A4170000}"/>
    <cellStyle name="Comma 39 2 4" xfId="9090" xr:uid="{00000000-0005-0000-0000-0000A5170000}"/>
    <cellStyle name="Comma 39 2 5" xfId="9091" xr:uid="{00000000-0005-0000-0000-0000A6170000}"/>
    <cellStyle name="Comma 39 2 5 2" xfId="9092" xr:uid="{00000000-0005-0000-0000-0000A7170000}"/>
    <cellStyle name="Comma 39 2 6" xfId="9093" xr:uid="{00000000-0005-0000-0000-0000A8170000}"/>
    <cellStyle name="Comma 39 2 6 2" xfId="9094" xr:uid="{00000000-0005-0000-0000-0000A9170000}"/>
    <cellStyle name="Comma 39 2 6 2 2" xfId="9095" xr:uid="{00000000-0005-0000-0000-0000AA170000}"/>
    <cellStyle name="Comma 39 2 6 3" xfId="9096" xr:uid="{00000000-0005-0000-0000-0000AB170000}"/>
    <cellStyle name="Comma 39 2 6 3 2" xfId="9097" xr:uid="{00000000-0005-0000-0000-0000AC170000}"/>
    <cellStyle name="Comma 39 2 6 3 3" xfId="25653" xr:uid="{5A49F220-2DE4-4BA4-B128-7759BD873194}"/>
    <cellStyle name="Comma 39 2 6 3 3 2" xfId="40624" xr:uid="{CD6D0FDE-51C0-4B9C-9ED3-0657D4B66BF6}"/>
    <cellStyle name="Comma 39 2 6 3 4" xfId="33023" xr:uid="{4ED8DF9C-9265-4057-BD9C-7074CC64A824}"/>
    <cellStyle name="Comma 39 2 7" xfId="9098" xr:uid="{00000000-0005-0000-0000-0000AD170000}"/>
    <cellStyle name="Comma 39 2 8" xfId="9099" xr:uid="{00000000-0005-0000-0000-0000AE170000}"/>
    <cellStyle name="Comma 39 3" xfId="9100" xr:uid="{00000000-0005-0000-0000-0000AF170000}"/>
    <cellStyle name="Comma 39 3 2" xfId="9101" xr:uid="{00000000-0005-0000-0000-0000B0170000}"/>
    <cellStyle name="Comma 39 3 3" xfId="9102" xr:uid="{00000000-0005-0000-0000-0000B1170000}"/>
    <cellStyle name="Comma 39 3 4" xfId="9103" xr:uid="{00000000-0005-0000-0000-0000B2170000}"/>
    <cellStyle name="Comma 39 3 4 2" xfId="25654" xr:uid="{50C2C8AB-B872-497B-A2CC-59CAA5E4F832}"/>
    <cellStyle name="Comma 39 3 4 2 2" xfId="40625" xr:uid="{1E86C0FB-1AB6-46CB-9F32-F5C0E77DD097}"/>
    <cellStyle name="Comma 39 3 4 3" xfId="33024" xr:uid="{C1307C6A-527C-427B-8B18-DC17B6A730B0}"/>
    <cellStyle name="Comma 39 4" xfId="9104" xr:uid="{00000000-0005-0000-0000-0000B3170000}"/>
    <cellStyle name="Comma 39 4 2" xfId="9105" xr:uid="{00000000-0005-0000-0000-0000B4170000}"/>
    <cellStyle name="Comma 39 4 3" xfId="9106" xr:uid="{00000000-0005-0000-0000-0000B5170000}"/>
    <cellStyle name="Comma 39 4 4" xfId="9107" xr:uid="{00000000-0005-0000-0000-0000B6170000}"/>
    <cellStyle name="Comma 39 4 4 2" xfId="25655" xr:uid="{8624A8FE-A567-430D-9DF5-254BF4C2AFC7}"/>
    <cellStyle name="Comma 39 4 4 2 2" xfId="40626" xr:uid="{25557DCB-D340-43A4-978E-C4118A518604}"/>
    <cellStyle name="Comma 39 4 4 3" xfId="33025" xr:uid="{4FFBE9FE-5040-4BBB-8579-ADB99862333B}"/>
    <cellStyle name="Comma 39 5" xfId="9108" xr:uid="{00000000-0005-0000-0000-0000B7170000}"/>
    <cellStyle name="Comma 39 5 2" xfId="9109" xr:uid="{00000000-0005-0000-0000-0000B8170000}"/>
    <cellStyle name="Comma 39 5 3" xfId="9110" xr:uid="{00000000-0005-0000-0000-0000B9170000}"/>
    <cellStyle name="Comma 39 5 4" xfId="9111" xr:uid="{00000000-0005-0000-0000-0000BA170000}"/>
    <cellStyle name="Comma 39 6" xfId="9112" xr:uid="{00000000-0005-0000-0000-0000BB170000}"/>
    <cellStyle name="Comma 39 6 2" xfId="9113" xr:uid="{00000000-0005-0000-0000-0000BC170000}"/>
    <cellStyle name="Comma 39 6 2 2" xfId="9114" xr:uid="{00000000-0005-0000-0000-0000BD170000}"/>
    <cellStyle name="Comma 39 6 3" xfId="9115" xr:uid="{00000000-0005-0000-0000-0000BE170000}"/>
    <cellStyle name="Comma 39 6 3 2" xfId="9116" xr:uid="{00000000-0005-0000-0000-0000BF170000}"/>
    <cellStyle name="Comma 39 6 3 3" xfId="25656" xr:uid="{84DE19FD-5C54-4E62-BD31-8154D23C2A8F}"/>
    <cellStyle name="Comma 39 6 3 3 2" xfId="40627" xr:uid="{F41F74D0-49B4-4FD0-939A-1BC6500F32DC}"/>
    <cellStyle name="Comma 39 6 3 4" xfId="33026" xr:uid="{6653FF52-890F-456D-9CAA-804C52938237}"/>
    <cellStyle name="Comma 39 7" xfId="9117" xr:uid="{00000000-0005-0000-0000-0000C0170000}"/>
    <cellStyle name="Comma 39 8" xfId="9118" xr:uid="{00000000-0005-0000-0000-0000C1170000}"/>
    <cellStyle name="Comma 39 9" xfId="9119" xr:uid="{00000000-0005-0000-0000-0000C2170000}"/>
    <cellStyle name="Comma 4" xfId="403" xr:uid="{00000000-0005-0000-0000-00000B010000}"/>
    <cellStyle name="Comma 4 10" xfId="5450" xr:uid="{00000000-0005-0000-0000-0000C3170000}"/>
    <cellStyle name="Comma 4 2" xfId="404" xr:uid="{00000000-0005-0000-0000-00000C010000}"/>
    <cellStyle name="Comma 4 2 2" xfId="9120" xr:uid="{00000000-0005-0000-0000-0000C5170000}"/>
    <cellStyle name="Comma 4 2 2 2" xfId="9121" xr:uid="{00000000-0005-0000-0000-0000C6170000}"/>
    <cellStyle name="Comma 4 2 2 3" xfId="9122" xr:uid="{00000000-0005-0000-0000-0000C7170000}"/>
    <cellStyle name="Comma 4 2 3" xfId="9123" xr:uid="{00000000-0005-0000-0000-0000C8170000}"/>
    <cellStyle name="Comma 4 2 4" xfId="9124" xr:uid="{00000000-0005-0000-0000-0000C9170000}"/>
    <cellStyle name="Comma 4 2 5" xfId="5449" xr:uid="{00000000-0005-0000-0000-0000C4170000}"/>
    <cellStyle name="Comma 4 3" xfId="405" xr:uid="{00000000-0005-0000-0000-00000D010000}"/>
    <cellStyle name="Comma 4 3 2" xfId="9125" xr:uid="{00000000-0005-0000-0000-0000CA170000}"/>
    <cellStyle name="Comma 4 4" xfId="9126" xr:uid="{00000000-0005-0000-0000-0000CB170000}"/>
    <cellStyle name="Comma 4 4 2" xfId="9127" xr:uid="{00000000-0005-0000-0000-0000CC170000}"/>
    <cellStyle name="Comma 4 5" xfId="9128" xr:uid="{00000000-0005-0000-0000-0000CD170000}"/>
    <cellStyle name="Comma 4 6" xfId="9129" xr:uid="{00000000-0005-0000-0000-0000CE170000}"/>
    <cellStyle name="Comma 4 6 2" xfId="9130" xr:uid="{00000000-0005-0000-0000-0000CF170000}"/>
    <cellStyle name="Comma 4 6 2 2" xfId="9131" xr:uid="{00000000-0005-0000-0000-0000D0170000}"/>
    <cellStyle name="Comma 4 6 3" xfId="9132" xr:uid="{00000000-0005-0000-0000-0000D1170000}"/>
    <cellStyle name="Comma 4 6 4" xfId="9133" xr:uid="{00000000-0005-0000-0000-0000D2170000}"/>
    <cellStyle name="Comma 4 6 4 2" xfId="9134" xr:uid="{00000000-0005-0000-0000-0000D3170000}"/>
    <cellStyle name="Comma 4 6 5" xfId="9135" xr:uid="{00000000-0005-0000-0000-0000D4170000}"/>
    <cellStyle name="Comma 4 6 5 2" xfId="9136" xr:uid="{00000000-0005-0000-0000-0000D5170000}"/>
    <cellStyle name="Comma 4 6 5 2 2" xfId="9137" xr:uid="{00000000-0005-0000-0000-0000D6170000}"/>
    <cellStyle name="Comma 4 6 5 3" xfId="9138" xr:uid="{00000000-0005-0000-0000-0000D7170000}"/>
    <cellStyle name="Comma 4 6 5 3 2" xfId="9139" xr:uid="{00000000-0005-0000-0000-0000D8170000}"/>
    <cellStyle name="Comma 4 6 5 3 3" xfId="25657" xr:uid="{9D17FE20-40D0-4402-A866-6BB6958590D7}"/>
    <cellStyle name="Comma 4 6 5 3 3 2" xfId="40628" xr:uid="{1F4F34BC-E364-471C-BF46-49C6502898D8}"/>
    <cellStyle name="Comma 4 6 5 3 4" xfId="33027" xr:uid="{3EF719FD-9B5D-4FBC-B8D9-A50B1AAB33D7}"/>
    <cellStyle name="Comma 4 6 6" xfId="9140" xr:uid="{00000000-0005-0000-0000-0000D9170000}"/>
    <cellStyle name="Comma 4 6 7" xfId="9141" xr:uid="{00000000-0005-0000-0000-0000DA170000}"/>
    <cellStyle name="Comma 4 6 8" xfId="9142" xr:uid="{00000000-0005-0000-0000-0000DB170000}"/>
    <cellStyle name="Comma 4 7" xfId="9143" xr:uid="{00000000-0005-0000-0000-0000DC170000}"/>
    <cellStyle name="Comma 4 8" xfId="9144" xr:uid="{00000000-0005-0000-0000-0000DD170000}"/>
    <cellStyle name="Comma 4 9" xfId="9145" xr:uid="{00000000-0005-0000-0000-0000DE170000}"/>
    <cellStyle name="Comma 4_App b.3 Unspent_" xfId="406" xr:uid="{00000000-0005-0000-0000-00000E010000}"/>
    <cellStyle name="Comma 40" xfId="5448" xr:uid="{00000000-0005-0000-0000-0000DF170000}"/>
    <cellStyle name="Comma 40 2" xfId="9146" xr:uid="{00000000-0005-0000-0000-0000E0170000}"/>
    <cellStyle name="Comma 40 2 2" xfId="9147" xr:uid="{00000000-0005-0000-0000-0000E1170000}"/>
    <cellStyle name="Comma 40 2 2 2" xfId="9148" xr:uid="{00000000-0005-0000-0000-0000E2170000}"/>
    <cellStyle name="Comma 40 2 2 2 2" xfId="9149" xr:uid="{00000000-0005-0000-0000-0000E3170000}"/>
    <cellStyle name="Comma 40 2 2 2 3" xfId="9150" xr:uid="{00000000-0005-0000-0000-0000E4170000}"/>
    <cellStyle name="Comma 40 2 2 2 3 2" xfId="25658" xr:uid="{A4B806BE-9B62-4B4D-9931-EDAC45799858}"/>
    <cellStyle name="Comma 40 2 2 2 3 2 2" xfId="40629" xr:uid="{EE3C66A5-8660-488E-B65C-3039267ADB85}"/>
    <cellStyle name="Comma 40 2 2 2 3 3" xfId="33028" xr:uid="{4576A75C-AF2E-4C85-AE28-03ECB1619E76}"/>
    <cellStyle name="Comma 40 2 2 3" xfId="9151" xr:uid="{00000000-0005-0000-0000-0000E5170000}"/>
    <cellStyle name="Comma 40 2 2 4" xfId="9152" xr:uid="{00000000-0005-0000-0000-0000E6170000}"/>
    <cellStyle name="Comma 40 2 2 4 2" xfId="25659" xr:uid="{142BA1F2-B528-450D-9B54-C348389256B7}"/>
    <cellStyle name="Comma 40 2 2 4 2 2" xfId="40630" xr:uid="{30F88214-DA28-4D07-8D29-6C3ABBA944C1}"/>
    <cellStyle name="Comma 40 2 2 4 3" xfId="33029" xr:uid="{0174EE11-8CF3-4751-89EF-636BCD143CD1}"/>
    <cellStyle name="Comma 40 2 3" xfId="9153" xr:uid="{00000000-0005-0000-0000-0000E7170000}"/>
    <cellStyle name="Comma 40 2 3 2" xfId="9154" xr:uid="{00000000-0005-0000-0000-0000E8170000}"/>
    <cellStyle name="Comma 40 2 4" xfId="9155" xr:uid="{00000000-0005-0000-0000-0000E9170000}"/>
    <cellStyle name="Comma 40 2 5" xfId="9156" xr:uid="{00000000-0005-0000-0000-0000EA170000}"/>
    <cellStyle name="Comma 40 2 5 2" xfId="9157" xr:uid="{00000000-0005-0000-0000-0000EB170000}"/>
    <cellStyle name="Comma 40 2 6" xfId="9158" xr:uid="{00000000-0005-0000-0000-0000EC170000}"/>
    <cellStyle name="Comma 40 2 6 2" xfId="9159" xr:uid="{00000000-0005-0000-0000-0000ED170000}"/>
    <cellStyle name="Comma 40 2 6 2 2" xfId="9160" xr:uid="{00000000-0005-0000-0000-0000EE170000}"/>
    <cellStyle name="Comma 40 2 6 3" xfId="9161" xr:uid="{00000000-0005-0000-0000-0000EF170000}"/>
    <cellStyle name="Comma 40 2 6 3 2" xfId="9162" xr:uid="{00000000-0005-0000-0000-0000F0170000}"/>
    <cellStyle name="Comma 40 2 6 3 3" xfId="25660" xr:uid="{1BED1501-EE00-457B-B249-EDD56609944E}"/>
    <cellStyle name="Comma 40 2 6 3 3 2" xfId="40631" xr:uid="{1A6F9737-8391-47E8-9251-48DAD5C1576A}"/>
    <cellStyle name="Comma 40 2 6 3 4" xfId="33030" xr:uid="{9B398931-0966-4827-93CA-4E2368A76CCF}"/>
    <cellStyle name="Comma 40 2 7" xfId="9163" xr:uid="{00000000-0005-0000-0000-0000F1170000}"/>
    <cellStyle name="Comma 40 2 8" xfId="9164" xr:uid="{00000000-0005-0000-0000-0000F2170000}"/>
    <cellStyle name="Comma 40 3" xfId="9165" xr:uid="{00000000-0005-0000-0000-0000F3170000}"/>
    <cellStyle name="Comma 40 3 2" xfId="9166" xr:uid="{00000000-0005-0000-0000-0000F4170000}"/>
    <cellStyle name="Comma 40 3 3" xfId="9167" xr:uid="{00000000-0005-0000-0000-0000F5170000}"/>
    <cellStyle name="Comma 40 3 4" xfId="9168" xr:uid="{00000000-0005-0000-0000-0000F6170000}"/>
    <cellStyle name="Comma 40 3 4 2" xfId="25661" xr:uid="{FEB05CD7-0B03-4BA7-9CFF-8168664094BB}"/>
    <cellStyle name="Comma 40 3 4 2 2" xfId="40632" xr:uid="{7C85E434-5A7F-408D-B931-53CEA66F8C89}"/>
    <cellStyle name="Comma 40 3 4 3" xfId="33031" xr:uid="{260D2264-4D69-4D6B-97AC-B96FF4B82F02}"/>
    <cellStyle name="Comma 40 4" xfId="9169" xr:uid="{00000000-0005-0000-0000-0000F7170000}"/>
    <cellStyle name="Comma 40 4 2" xfId="9170" xr:uid="{00000000-0005-0000-0000-0000F8170000}"/>
    <cellStyle name="Comma 40 4 3" xfId="9171" xr:uid="{00000000-0005-0000-0000-0000F9170000}"/>
    <cellStyle name="Comma 40 4 4" xfId="9172" xr:uid="{00000000-0005-0000-0000-0000FA170000}"/>
    <cellStyle name="Comma 40 4 4 2" xfId="25662" xr:uid="{492FD78E-AB09-41D0-A91B-F6ED4568ED4A}"/>
    <cellStyle name="Comma 40 4 4 2 2" xfId="40633" xr:uid="{34B5084A-DAF7-43C0-BAAD-9F7873EC5CFC}"/>
    <cellStyle name="Comma 40 4 4 3" xfId="33032" xr:uid="{3620C2ED-6D2B-4A3F-B1BB-D79E5DA98861}"/>
    <cellStyle name="Comma 40 5" xfId="9173" xr:uid="{00000000-0005-0000-0000-0000FB170000}"/>
    <cellStyle name="Comma 40 5 2" xfId="9174" xr:uid="{00000000-0005-0000-0000-0000FC170000}"/>
    <cellStyle name="Comma 40 5 3" xfId="9175" xr:uid="{00000000-0005-0000-0000-0000FD170000}"/>
    <cellStyle name="Comma 40 5 4" xfId="9176" xr:uid="{00000000-0005-0000-0000-0000FE170000}"/>
    <cellStyle name="Comma 40 6" xfId="9177" xr:uid="{00000000-0005-0000-0000-0000FF170000}"/>
    <cellStyle name="Comma 40 6 2" xfId="9178" xr:uid="{00000000-0005-0000-0000-000000180000}"/>
    <cellStyle name="Comma 40 6 2 2" xfId="9179" xr:uid="{00000000-0005-0000-0000-000001180000}"/>
    <cellStyle name="Comma 40 6 3" xfId="9180" xr:uid="{00000000-0005-0000-0000-000002180000}"/>
    <cellStyle name="Comma 40 6 3 2" xfId="9181" xr:uid="{00000000-0005-0000-0000-000003180000}"/>
    <cellStyle name="Comma 40 6 3 3" xfId="25663" xr:uid="{CF85BB16-D7E6-4691-9C33-3C50B4D3BF8F}"/>
    <cellStyle name="Comma 40 6 3 3 2" xfId="40634" xr:uid="{4E801D57-E80A-4CAC-82F8-8DF17B5E83C3}"/>
    <cellStyle name="Comma 40 6 3 4" xfId="33033" xr:uid="{4BE8EACF-3523-47C2-A3F2-70F0C55BDDDC}"/>
    <cellStyle name="Comma 40 7" xfId="9182" xr:uid="{00000000-0005-0000-0000-000004180000}"/>
    <cellStyle name="Comma 41" xfId="5447" xr:uid="{00000000-0005-0000-0000-000005180000}"/>
    <cellStyle name="Comma 41 2" xfId="9183" xr:uid="{00000000-0005-0000-0000-000006180000}"/>
    <cellStyle name="Comma 41 2 2" xfId="9184" xr:uid="{00000000-0005-0000-0000-000007180000}"/>
    <cellStyle name="Comma 41 2 2 2" xfId="9185" xr:uid="{00000000-0005-0000-0000-000008180000}"/>
    <cellStyle name="Comma 41 2 2 2 2" xfId="9186" xr:uid="{00000000-0005-0000-0000-000009180000}"/>
    <cellStyle name="Comma 41 2 2 2 3" xfId="9187" xr:uid="{00000000-0005-0000-0000-00000A180000}"/>
    <cellStyle name="Comma 41 2 2 2 3 2" xfId="25664" xr:uid="{602B25B4-5630-4568-B757-11A88E94DBC2}"/>
    <cellStyle name="Comma 41 2 2 2 3 2 2" xfId="40635" xr:uid="{425D566A-142C-4DF6-B318-744FEEDA5819}"/>
    <cellStyle name="Comma 41 2 2 2 3 3" xfId="33034" xr:uid="{8E9B13F6-2EF4-4A0E-A240-F0C26B160DDE}"/>
    <cellStyle name="Comma 41 2 2 3" xfId="9188" xr:uid="{00000000-0005-0000-0000-00000B180000}"/>
    <cellStyle name="Comma 41 2 2 4" xfId="9189" xr:uid="{00000000-0005-0000-0000-00000C180000}"/>
    <cellStyle name="Comma 41 2 2 4 2" xfId="25665" xr:uid="{BBD7DB39-82D8-4800-BB6F-15155854ECDF}"/>
    <cellStyle name="Comma 41 2 2 4 2 2" xfId="40636" xr:uid="{E48C251C-E4FC-4C7D-AE70-737BB5C4FDC9}"/>
    <cellStyle name="Comma 41 2 2 4 3" xfId="33035" xr:uid="{51CAD37E-9C00-4B3D-90E7-31E0F235BBB1}"/>
    <cellStyle name="Comma 41 2 3" xfId="9190" xr:uid="{00000000-0005-0000-0000-00000D180000}"/>
    <cellStyle name="Comma 41 2 3 2" xfId="9191" xr:uid="{00000000-0005-0000-0000-00000E180000}"/>
    <cellStyle name="Comma 41 2 4" xfId="9192" xr:uid="{00000000-0005-0000-0000-00000F180000}"/>
    <cellStyle name="Comma 41 2 5" xfId="9193" xr:uid="{00000000-0005-0000-0000-000010180000}"/>
    <cellStyle name="Comma 41 2 5 2" xfId="9194" xr:uid="{00000000-0005-0000-0000-000011180000}"/>
    <cellStyle name="Comma 41 2 6" xfId="9195" xr:uid="{00000000-0005-0000-0000-000012180000}"/>
    <cellStyle name="Comma 41 2 6 2" xfId="9196" xr:uid="{00000000-0005-0000-0000-000013180000}"/>
    <cellStyle name="Comma 41 2 6 2 2" xfId="9197" xr:uid="{00000000-0005-0000-0000-000014180000}"/>
    <cellStyle name="Comma 41 2 6 3" xfId="9198" xr:uid="{00000000-0005-0000-0000-000015180000}"/>
    <cellStyle name="Comma 41 2 6 3 2" xfId="9199" xr:uid="{00000000-0005-0000-0000-000016180000}"/>
    <cellStyle name="Comma 41 2 6 3 3" xfId="25666" xr:uid="{F89D3804-22A3-4315-B617-DAFD52BA4C8F}"/>
    <cellStyle name="Comma 41 2 6 3 3 2" xfId="40637" xr:uid="{169F39D6-540C-4887-B817-4C9FE219B7E1}"/>
    <cellStyle name="Comma 41 2 6 3 4" xfId="33036" xr:uid="{C1BC18EA-94EA-4A91-8672-702FB944323A}"/>
    <cellStyle name="Comma 41 2 7" xfId="9200" xr:uid="{00000000-0005-0000-0000-000017180000}"/>
    <cellStyle name="Comma 41 2 8" xfId="9201" xr:uid="{00000000-0005-0000-0000-000018180000}"/>
    <cellStyle name="Comma 41 3" xfId="9202" xr:uid="{00000000-0005-0000-0000-000019180000}"/>
    <cellStyle name="Comma 41 3 2" xfId="9203" xr:uid="{00000000-0005-0000-0000-00001A180000}"/>
    <cellStyle name="Comma 41 3 3" xfId="9204" xr:uid="{00000000-0005-0000-0000-00001B180000}"/>
    <cellStyle name="Comma 41 3 4" xfId="9205" xr:uid="{00000000-0005-0000-0000-00001C180000}"/>
    <cellStyle name="Comma 41 3 4 2" xfId="25667" xr:uid="{E7470C5E-9624-4ACC-A1CB-77E3BB82B3FD}"/>
    <cellStyle name="Comma 41 3 4 2 2" xfId="40638" xr:uid="{AD48815E-3A4A-4E04-AA8A-3126DBE2C97D}"/>
    <cellStyle name="Comma 41 3 4 3" xfId="33037" xr:uid="{95134A03-2C92-4FBE-8A02-553C912B344F}"/>
    <cellStyle name="Comma 41 4" xfId="9206" xr:uid="{00000000-0005-0000-0000-00001D180000}"/>
    <cellStyle name="Comma 41 4 2" xfId="9207" xr:uid="{00000000-0005-0000-0000-00001E180000}"/>
    <cellStyle name="Comma 41 4 3" xfId="9208" xr:uid="{00000000-0005-0000-0000-00001F180000}"/>
    <cellStyle name="Comma 41 4 4" xfId="9209" xr:uid="{00000000-0005-0000-0000-000020180000}"/>
    <cellStyle name="Comma 41 4 4 2" xfId="25668" xr:uid="{E5AC0153-F8A5-4BED-8B8C-0DD09922F768}"/>
    <cellStyle name="Comma 41 4 4 2 2" xfId="40639" xr:uid="{A14A077D-DA20-4692-93A0-8BE580E542BC}"/>
    <cellStyle name="Comma 41 4 4 3" xfId="33038" xr:uid="{05D870D3-1ACE-4CBB-A1DA-8D4BF7BF81F7}"/>
    <cellStyle name="Comma 41 5" xfId="9210" xr:uid="{00000000-0005-0000-0000-000021180000}"/>
    <cellStyle name="Comma 41 5 2" xfId="9211" xr:uid="{00000000-0005-0000-0000-000022180000}"/>
    <cellStyle name="Comma 41 5 3" xfId="9212" xr:uid="{00000000-0005-0000-0000-000023180000}"/>
    <cellStyle name="Comma 41 5 4" xfId="9213" xr:uid="{00000000-0005-0000-0000-000024180000}"/>
    <cellStyle name="Comma 41 6" xfId="9214" xr:uid="{00000000-0005-0000-0000-000025180000}"/>
    <cellStyle name="Comma 41 6 2" xfId="9215" xr:uid="{00000000-0005-0000-0000-000026180000}"/>
    <cellStyle name="Comma 41 6 2 2" xfId="9216" xr:uid="{00000000-0005-0000-0000-000027180000}"/>
    <cellStyle name="Comma 41 6 3" xfId="9217" xr:uid="{00000000-0005-0000-0000-000028180000}"/>
    <cellStyle name="Comma 41 6 3 2" xfId="9218" xr:uid="{00000000-0005-0000-0000-000029180000}"/>
    <cellStyle name="Comma 41 6 3 3" xfId="25669" xr:uid="{1CCB173C-829C-4944-9D16-9F4598472C55}"/>
    <cellStyle name="Comma 41 6 3 3 2" xfId="40640" xr:uid="{0B1979E9-CCF8-4AB7-B7AE-398C8B8DA00A}"/>
    <cellStyle name="Comma 41 6 3 4" xfId="33039" xr:uid="{A3799E73-E60E-441E-8CB6-725A7A08A6D9}"/>
    <cellStyle name="Comma 41 7" xfId="9219" xr:uid="{00000000-0005-0000-0000-00002A180000}"/>
    <cellStyle name="Comma 42" xfId="5544" xr:uid="{00000000-0005-0000-0000-00002B180000}"/>
    <cellStyle name="Comma 42 2" xfId="9220" xr:uid="{00000000-0005-0000-0000-00002C180000}"/>
    <cellStyle name="Comma 42 2 2" xfId="9221" xr:uid="{00000000-0005-0000-0000-00002D180000}"/>
    <cellStyle name="Comma 42 2 2 2" xfId="9222" xr:uid="{00000000-0005-0000-0000-00002E180000}"/>
    <cellStyle name="Comma 42 2 2 3" xfId="9223" xr:uid="{00000000-0005-0000-0000-00002F180000}"/>
    <cellStyle name="Comma 42 2 2 4" xfId="9224" xr:uid="{00000000-0005-0000-0000-000030180000}"/>
    <cellStyle name="Comma 42 2 2 4 2" xfId="25670" xr:uid="{57518CE7-75A0-4DB9-8DE2-BBCD45ECF1FD}"/>
    <cellStyle name="Comma 42 2 2 4 2 2" xfId="40641" xr:uid="{78AF721A-927B-4C00-A17C-6494BAF8990F}"/>
    <cellStyle name="Comma 42 2 2 4 3" xfId="33040" xr:uid="{9520A4A9-6787-47CA-8BF3-EE940C15FAF0}"/>
    <cellStyle name="Comma 42 2 3" xfId="9225" xr:uid="{00000000-0005-0000-0000-000031180000}"/>
    <cellStyle name="Comma 42 2 4" xfId="9226" xr:uid="{00000000-0005-0000-0000-000032180000}"/>
    <cellStyle name="Comma 42 2 4 2" xfId="9227" xr:uid="{00000000-0005-0000-0000-000033180000}"/>
    <cellStyle name="Comma 42 2 5" xfId="9228" xr:uid="{00000000-0005-0000-0000-000034180000}"/>
    <cellStyle name="Comma 42 2 5 2" xfId="9229" xr:uid="{00000000-0005-0000-0000-000035180000}"/>
    <cellStyle name="Comma 42 2 5 2 2" xfId="9230" xr:uid="{00000000-0005-0000-0000-000036180000}"/>
    <cellStyle name="Comma 42 2 5 3" xfId="9231" xr:uid="{00000000-0005-0000-0000-000037180000}"/>
    <cellStyle name="Comma 42 2 5 3 2" xfId="9232" xr:uid="{00000000-0005-0000-0000-000038180000}"/>
    <cellStyle name="Comma 42 2 5 3 3" xfId="25671" xr:uid="{6B45E8B2-02BD-4B19-9AA9-DA12E6DF3938}"/>
    <cellStyle name="Comma 42 2 5 3 3 2" xfId="40642" xr:uid="{41777ADF-55CE-4263-A3B1-16B53433CE16}"/>
    <cellStyle name="Comma 42 2 5 3 4" xfId="33041" xr:uid="{AF54FC94-CAA6-4841-8955-0C60ED4E3FA6}"/>
    <cellStyle name="Comma 42 2 6" xfId="9233" xr:uid="{00000000-0005-0000-0000-000039180000}"/>
    <cellStyle name="Comma 42 2 7" xfId="9234" xr:uid="{00000000-0005-0000-0000-00003A180000}"/>
    <cellStyle name="Comma 42 2 7 2" xfId="25672" xr:uid="{C5E857FF-7B30-4A65-AA40-23B8165A7DC2}"/>
    <cellStyle name="Comma 42 2 7 2 2" xfId="40643" xr:uid="{5F84C494-FF27-4C9C-8689-D6A6B6F55C8A}"/>
    <cellStyle name="Comma 42 2 7 3" xfId="33042" xr:uid="{5711ABCE-07F1-4DF4-9C3C-82C74C93B338}"/>
    <cellStyle name="Comma 42 3" xfId="9235" xr:uid="{00000000-0005-0000-0000-00003B180000}"/>
    <cellStyle name="Comma 42 3 2" xfId="9236" xr:uid="{00000000-0005-0000-0000-00003C180000}"/>
    <cellStyle name="Comma 42 3 3" xfId="9237" xr:uid="{00000000-0005-0000-0000-00003D180000}"/>
    <cellStyle name="Comma 42 3 4" xfId="9238" xr:uid="{00000000-0005-0000-0000-00003E180000}"/>
    <cellStyle name="Comma 42 3 4 2" xfId="25673" xr:uid="{E4EEA8C7-6BF7-45F0-821C-539F4422AAF6}"/>
    <cellStyle name="Comma 42 3 4 2 2" xfId="40644" xr:uid="{B3B41A62-06EC-49C6-AF83-830ACEEDE3F7}"/>
    <cellStyle name="Comma 42 3 4 3" xfId="33043" xr:uid="{CE3C4E7E-755B-4D6D-87ED-AE4FA4A2EF23}"/>
    <cellStyle name="Comma 42 4" xfId="9239" xr:uid="{00000000-0005-0000-0000-00003F180000}"/>
    <cellStyle name="Comma 42 4 2" xfId="9240" xr:uid="{00000000-0005-0000-0000-000040180000}"/>
    <cellStyle name="Comma 42 4 3" xfId="9241" xr:uid="{00000000-0005-0000-0000-000041180000}"/>
    <cellStyle name="Comma 42 4 4" xfId="9242" xr:uid="{00000000-0005-0000-0000-000042180000}"/>
    <cellStyle name="Comma 42 4 4 2" xfId="25674" xr:uid="{7A9DEF15-CF79-4098-BEC8-0C7D4A3A38C6}"/>
    <cellStyle name="Comma 42 4 4 2 2" xfId="40645" xr:uid="{1DF51E20-DADA-4846-A411-3542F8BD7CD3}"/>
    <cellStyle name="Comma 42 4 4 3" xfId="33044" xr:uid="{A0A7E7EA-9A87-4BA4-A865-8D72BF36DF38}"/>
    <cellStyle name="Comma 42 5" xfId="9243" xr:uid="{00000000-0005-0000-0000-000043180000}"/>
    <cellStyle name="Comma 42 5 2" xfId="9244" xr:uid="{00000000-0005-0000-0000-000044180000}"/>
    <cellStyle name="Comma 42 5 3" xfId="9245" xr:uid="{00000000-0005-0000-0000-000045180000}"/>
    <cellStyle name="Comma 42 6" xfId="9246" xr:uid="{00000000-0005-0000-0000-000046180000}"/>
    <cellStyle name="Comma 42 6 2" xfId="9247" xr:uid="{00000000-0005-0000-0000-000047180000}"/>
    <cellStyle name="Comma 42 7" xfId="9248" xr:uid="{00000000-0005-0000-0000-000048180000}"/>
    <cellStyle name="Comma 42 7 2" xfId="9249" xr:uid="{00000000-0005-0000-0000-000049180000}"/>
    <cellStyle name="Comma 42 7 2 2" xfId="9250" xr:uid="{00000000-0005-0000-0000-00004A180000}"/>
    <cellStyle name="Comma 42 7 3" xfId="9251" xr:uid="{00000000-0005-0000-0000-00004B180000}"/>
    <cellStyle name="Comma 42 7 3 2" xfId="9252" xr:uid="{00000000-0005-0000-0000-00004C180000}"/>
    <cellStyle name="Comma 42 7 3 3" xfId="25675" xr:uid="{065679DE-92DA-406E-B922-FBB309CF295C}"/>
    <cellStyle name="Comma 42 7 3 3 2" xfId="40646" xr:uid="{DC96EB0C-1A02-4407-9297-B3208AED2350}"/>
    <cellStyle name="Comma 42 7 3 4" xfId="33045" xr:uid="{DD5118C7-916F-4250-AD63-28F7D7185DDE}"/>
    <cellStyle name="Comma 42 8" xfId="9253" xr:uid="{00000000-0005-0000-0000-00004D180000}"/>
    <cellStyle name="Comma 43" xfId="5446" xr:uid="{00000000-0005-0000-0000-00004E180000}"/>
    <cellStyle name="Comma 43 2" xfId="9254" xr:uid="{00000000-0005-0000-0000-00004F180000}"/>
    <cellStyle name="Comma 43 2 2" xfId="9255" xr:uid="{00000000-0005-0000-0000-000050180000}"/>
    <cellStyle name="Comma 43 2 2 2" xfId="9256" xr:uid="{00000000-0005-0000-0000-000051180000}"/>
    <cellStyle name="Comma 43 2 2 3" xfId="9257" xr:uid="{00000000-0005-0000-0000-000052180000}"/>
    <cellStyle name="Comma 43 2 2 4" xfId="9258" xr:uid="{00000000-0005-0000-0000-000053180000}"/>
    <cellStyle name="Comma 43 2 2 4 2" xfId="25676" xr:uid="{B9156D61-047D-4649-AB6A-1B6BB61EE874}"/>
    <cellStyle name="Comma 43 2 2 4 2 2" xfId="40647" xr:uid="{EE4782DF-8117-42B8-9E09-95FB1828D86E}"/>
    <cellStyle name="Comma 43 2 2 4 3" xfId="33046" xr:uid="{26F375DA-7371-449B-8E52-38E8883CAAE2}"/>
    <cellStyle name="Comma 43 2 3" xfId="9259" xr:uid="{00000000-0005-0000-0000-000054180000}"/>
    <cellStyle name="Comma 43 2 4" xfId="9260" xr:uid="{00000000-0005-0000-0000-000055180000}"/>
    <cellStyle name="Comma 43 2 4 2" xfId="9261" xr:uid="{00000000-0005-0000-0000-000056180000}"/>
    <cellStyle name="Comma 43 2 5" xfId="9262" xr:uid="{00000000-0005-0000-0000-000057180000}"/>
    <cellStyle name="Comma 43 2 5 2" xfId="9263" xr:uid="{00000000-0005-0000-0000-000058180000}"/>
    <cellStyle name="Comma 43 2 5 2 2" xfId="9264" xr:uid="{00000000-0005-0000-0000-000059180000}"/>
    <cellStyle name="Comma 43 2 5 3" xfId="9265" xr:uid="{00000000-0005-0000-0000-00005A180000}"/>
    <cellStyle name="Comma 43 2 5 3 2" xfId="9266" xr:uid="{00000000-0005-0000-0000-00005B180000}"/>
    <cellStyle name="Comma 43 2 5 3 3" xfId="25677" xr:uid="{5A3A1C4D-DC91-43DE-B1F8-1FC92030B90A}"/>
    <cellStyle name="Comma 43 2 5 3 3 2" xfId="40648" xr:uid="{53510FD0-9913-4028-A074-372275FC4DB4}"/>
    <cellStyle name="Comma 43 2 5 3 4" xfId="33047" xr:uid="{D09961C9-2BBD-48B9-BEE9-30BE3BDD4D8E}"/>
    <cellStyle name="Comma 43 2 6" xfId="9267" xr:uid="{00000000-0005-0000-0000-00005C180000}"/>
    <cellStyle name="Comma 43 2 7" xfId="9268" xr:uid="{00000000-0005-0000-0000-00005D180000}"/>
    <cellStyle name="Comma 43 2 7 2" xfId="25678" xr:uid="{C5407A5F-DA39-4948-8B18-DC67AFD059F7}"/>
    <cellStyle name="Comma 43 2 7 2 2" xfId="40649" xr:uid="{E71A7267-514B-4F80-9169-6FD4D95A7FEF}"/>
    <cellStyle name="Comma 43 2 7 3" xfId="33048" xr:uid="{4CF71E4B-741D-4366-B019-16248CB69BEF}"/>
    <cellStyle name="Comma 43 3" xfId="9269" xr:uid="{00000000-0005-0000-0000-00005E180000}"/>
    <cellStyle name="Comma 43 3 2" xfId="9270" xr:uid="{00000000-0005-0000-0000-00005F180000}"/>
    <cellStyle name="Comma 43 3 3" xfId="9271" xr:uid="{00000000-0005-0000-0000-000060180000}"/>
    <cellStyle name="Comma 43 3 4" xfId="9272" xr:uid="{00000000-0005-0000-0000-000061180000}"/>
    <cellStyle name="Comma 43 3 4 2" xfId="25679" xr:uid="{5F0DE955-EDF6-44F8-BDCC-216AFFA8AE70}"/>
    <cellStyle name="Comma 43 3 4 2 2" xfId="40650" xr:uid="{D3E1568B-517D-4B2F-8B6F-4E5E2851C1DB}"/>
    <cellStyle name="Comma 43 3 4 3" xfId="33049" xr:uid="{AE2EB7B0-6756-4FC0-81BE-4107AA956075}"/>
    <cellStyle name="Comma 43 4" xfId="9273" xr:uid="{00000000-0005-0000-0000-000062180000}"/>
    <cellStyle name="Comma 43 4 2" xfId="9274" xr:uid="{00000000-0005-0000-0000-000063180000}"/>
    <cellStyle name="Comma 43 4 3" xfId="9275" xr:uid="{00000000-0005-0000-0000-000064180000}"/>
    <cellStyle name="Comma 43 4 4" xfId="9276" xr:uid="{00000000-0005-0000-0000-000065180000}"/>
    <cellStyle name="Comma 43 4 4 2" xfId="25680" xr:uid="{AF9A5614-6446-4AD7-BBCE-5A76DC67BB9E}"/>
    <cellStyle name="Comma 43 4 4 2 2" xfId="40651" xr:uid="{CCB3EAB8-CCB9-4DF4-ABFF-467982FF3220}"/>
    <cellStyle name="Comma 43 4 4 3" xfId="33050" xr:uid="{954E7EFF-42ED-473B-87CA-C12DFA6C6E8E}"/>
    <cellStyle name="Comma 43 5" xfId="9277" xr:uid="{00000000-0005-0000-0000-000066180000}"/>
    <cellStyle name="Comma 43 5 2" xfId="9278" xr:uid="{00000000-0005-0000-0000-000067180000}"/>
    <cellStyle name="Comma 43 5 3" xfId="9279" xr:uid="{00000000-0005-0000-0000-000068180000}"/>
    <cellStyle name="Comma 43 6" xfId="9280" xr:uid="{00000000-0005-0000-0000-000069180000}"/>
    <cellStyle name="Comma 43 6 2" xfId="9281" xr:uid="{00000000-0005-0000-0000-00006A180000}"/>
    <cellStyle name="Comma 43 7" xfId="9282" xr:uid="{00000000-0005-0000-0000-00006B180000}"/>
    <cellStyle name="Comma 43 7 2" xfId="9283" xr:uid="{00000000-0005-0000-0000-00006C180000}"/>
    <cellStyle name="Comma 43 7 2 2" xfId="9284" xr:uid="{00000000-0005-0000-0000-00006D180000}"/>
    <cellStyle name="Comma 43 7 3" xfId="9285" xr:uid="{00000000-0005-0000-0000-00006E180000}"/>
    <cellStyle name="Comma 43 7 3 2" xfId="9286" xr:uid="{00000000-0005-0000-0000-00006F180000}"/>
    <cellStyle name="Comma 43 7 3 3" xfId="25681" xr:uid="{CC618CA0-13CE-450B-ADB4-2B8136971571}"/>
    <cellStyle name="Comma 43 7 3 3 2" xfId="40652" xr:uid="{9080C342-9312-43BB-853F-3A3381589052}"/>
    <cellStyle name="Comma 43 7 3 4" xfId="33051" xr:uid="{B322F850-90A8-426E-A0A0-B24CE2EE85D2}"/>
    <cellStyle name="Comma 43 8" xfId="9287" xr:uid="{00000000-0005-0000-0000-000070180000}"/>
    <cellStyle name="Comma 44" xfId="5445" xr:uid="{00000000-0005-0000-0000-000071180000}"/>
    <cellStyle name="Comma 44 2" xfId="9288" xr:uid="{00000000-0005-0000-0000-000072180000}"/>
    <cellStyle name="Comma 44 2 2" xfId="9289" xr:uid="{00000000-0005-0000-0000-000073180000}"/>
    <cellStyle name="Comma 44 2 2 2" xfId="9290" xr:uid="{00000000-0005-0000-0000-000074180000}"/>
    <cellStyle name="Comma 44 2 2 3" xfId="9291" xr:uid="{00000000-0005-0000-0000-000075180000}"/>
    <cellStyle name="Comma 44 2 2 4" xfId="9292" xr:uid="{00000000-0005-0000-0000-000076180000}"/>
    <cellStyle name="Comma 44 2 2 4 2" xfId="25682" xr:uid="{1A4C449E-1D3E-4261-9B3E-28DD65221663}"/>
    <cellStyle name="Comma 44 2 2 4 2 2" xfId="40653" xr:uid="{11595D4C-A4E3-46E0-8CE4-A75B0FF969C6}"/>
    <cellStyle name="Comma 44 2 2 4 3" xfId="33052" xr:uid="{FC2C6E90-B98B-48F0-A087-D276E7C9FAAD}"/>
    <cellStyle name="Comma 44 2 3" xfId="9293" xr:uid="{00000000-0005-0000-0000-000077180000}"/>
    <cellStyle name="Comma 44 2 4" xfId="9294" xr:uid="{00000000-0005-0000-0000-000078180000}"/>
    <cellStyle name="Comma 44 2 4 2" xfId="9295" xr:uid="{00000000-0005-0000-0000-000079180000}"/>
    <cellStyle name="Comma 44 2 5" xfId="9296" xr:uid="{00000000-0005-0000-0000-00007A180000}"/>
    <cellStyle name="Comma 44 2 5 2" xfId="9297" xr:uid="{00000000-0005-0000-0000-00007B180000}"/>
    <cellStyle name="Comma 44 2 5 2 2" xfId="9298" xr:uid="{00000000-0005-0000-0000-00007C180000}"/>
    <cellStyle name="Comma 44 2 5 3" xfId="9299" xr:uid="{00000000-0005-0000-0000-00007D180000}"/>
    <cellStyle name="Comma 44 2 5 3 2" xfId="9300" xr:uid="{00000000-0005-0000-0000-00007E180000}"/>
    <cellStyle name="Comma 44 2 5 3 3" xfId="25683" xr:uid="{58B980BD-D843-4357-AC2E-374B59466506}"/>
    <cellStyle name="Comma 44 2 5 3 3 2" xfId="40654" xr:uid="{5BF1BD4E-5B23-4BC6-B54D-FF14BE2AFE5C}"/>
    <cellStyle name="Comma 44 2 5 3 4" xfId="33053" xr:uid="{257922C9-46F9-4642-B160-5C3A3368F9C8}"/>
    <cellStyle name="Comma 44 2 6" xfId="9301" xr:uid="{00000000-0005-0000-0000-00007F180000}"/>
    <cellStyle name="Comma 44 2 7" xfId="9302" xr:uid="{00000000-0005-0000-0000-000080180000}"/>
    <cellStyle name="Comma 44 2 7 2" xfId="25684" xr:uid="{F26C1B29-93C4-4749-9168-90F8CBD1517A}"/>
    <cellStyle name="Comma 44 2 7 2 2" xfId="40655" xr:uid="{64E5649A-C7C1-4F06-B5BF-A662BD63033C}"/>
    <cellStyle name="Comma 44 2 7 3" xfId="33054" xr:uid="{68CE53D6-A33F-408D-B73B-913AFB20B1D4}"/>
    <cellStyle name="Comma 44 3" xfId="9303" xr:uid="{00000000-0005-0000-0000-000081180000}"/>
    <cellStyle name="Comma 44 3 2" xfId="9304" xr:uid="{00000000-0005-0000-0000-000082180000}"/>
    <cellStyle name="Comma 44 3 3" xfId="9305" xr:uid="{00000000-0005-0000-0000-000083180000}"/>
    <cellStyle name="Comma 44 3 4" xfId="9306" xr:uid="{00000000-0005-0000-0000-000084180000}"/>
    <cellStyle name="Comma 44 3 4 2" xfId="25685" xr:uid="{9A951543-8854-451B-86A0-B993DBEEA7B9}"/>
    <cellStyle name="Comma 44 3 4 2 2" xfId="40656" xr:uid="{AECC35D4-E1DE-4697-B51B-D288181B3287}"/>
    <cellStyle name="Comma 44 3 4 3" xfId="33055" xr:uid="{E0F5124A-DBA7-4522-B33C-09CFC26E1A7C}"/>
    <cellStyle name="Comma 44 4" xfId="9307" xr:uid="{00000000-0005-0000-0000-000085180000}"/>
    <cellStyle name="Comma 44 4 2" xfId="9308" xr:uid="{00000000-0005-0000-0000-000086180000}"/>
    <cellStyle name="Comma 44 4 3" xfId="9309" xr:uid="{00000000-0005-0000-0000-000087180000}"/>
    <cellStyle name="Comma 44 4 4" xfId="9310" xr:uid="{00000000-0005-0000-0000-000088180000}"/>
    <cellStyle name="Comma 44 4 4 2" xfId="25686" xr:uid="{759B4E14-DD01-4C22-ACF0-A3E09B36581E}"/>
    <cellStyle name="Comma 44 4 4 2 2" xfId="40657" xr:uid="{E9CDA9A8-E786-4D2F-BD49-95C1E2DB9D69}"/>
    <cellStyle name="Comma 44 4 4 3" xfId="33056" xr:uid="{C223BB4A-2AA1-441D-8BF0-5C363FF72005}"/>
    <cellStyle name="Comma 44 5" xfId="9311" xr:uid="{00000000-0005-0000-0000-000089180000}"/>
    <cellStyle name="Comma 44 5 2" xfId="9312" xr:uid="{00000000-0005-0000-0000-00008A180000}"/>
    <cellStyle name="Comma 44 5 3" xfId="9313" xr:uid="{00000000-0005-0000-0000-00008B180000}"/>
    <cellStyle name="Comma 44 6" xfId="9314" xr:uid="{00000000-0005-0000-0000-00008C180000}"/>
    <cellStyle name="Comma 44 6 2" xfId="9315" xr:uid="{00000000-0005-0000-0000-00008D180000}"/>
    <cellStyle name="Comma 44 7" xfId="9316" xr:uid="{00000000-0005-0000-0000-00008E180000}"/>
    <cellStyle name="Comma 44 7 2" xfId="9317" xr:uid="{00000000-0005-0000-0000-00008F180000}"/>
    <cellStyle name="Comma 44 7 2 2" xfId="9318" xr:uid="{00000000-0005-0000-0000-000090180000}"/>
    <cellStyle name="Comma 44 7 3" xfId="9319" xr:uid="{00000000-0005-0000-0000-000091180000}"/>
    <cellStyle name="Comma 44 7 3 2" xfId="9320" xr:uid="{00000000-0005-0000-0000-000092180000}"/>
    <cellStyle name="Comma 44 7 3 3" xfId="25687" xr:uid="{9A8C4562-9606-4EAB-91A2-A37077A2F0EC}"/>
    <cellStyle name="Comma 44 7 3 3 2" xfId="40658" xr:uid="{31619716-E693-4DE0-A11C-950BF88845CD}"/>
    <cellStyle name="Comma 44 7 3 4" xfId="33057" xr:uid="{80BAA3F1-256C-459A-94AF-E362746676A1}"/>
    <cellStyle name="Comma 44 8" xfId="9321" xr:uid="{00000000-0005-0000-0000-000093180000}"/>
    <cellStyle name="Comma 45" xfId="5444" xr:uid="{00000000-0005-0000-0000-000094180000}"/>
    <cellStyle name="Comma 45 2" xfId="9322" xr:uid="{00000000-0005-0000-0000-000095180000}"/>
    <cellStyle name="Comma 45 3" xfId="9323" xr:uid="{00000000-0005-0000-0000-000096180000}"/>
    <cellStyle name="Comma 45 3 2" xfId="25688" xr:uid="{FA472025-19CF-4426-8CBC-C2502BBADD56}"/>
    <cellStyle name="Comma 45 3 2 2" xfId="40659" xr:uid="{A28937EF-23B7-44D3-9764-1EE518A04349}"/>
    <cellStyle name="Comma 45 3 3" xfId="33058" xr:uid="{59BB2E32-6DDC-4BC1-A55F-DC39256D1902}"/>
    <cellStyle name="Comma 45 4" xfId="9324" xr:uid="{00000000-0005-0000-0000-000097180000}"/>
    <cellStyle name="Comma 45 4 2" xfId="25689" xr:uid="{87BF03C0-6879-4009-AD8D-A413C5DC1327}"/>
    <cellStyle name="Comma 45 4 2 2" xfId="40660" xr:uid="{0F40B50E-748C-4742-A691-15866A42ACD0}"/>
    <cellStyle name="Comma 45 4 3" xfId="33059" xr:uid="{CC120908-BFBD-4FB6-B413-6C23D5D0B6FF}"/>
    <cellStyle name="Comma 45 5" xfId="9325" xr:uid="{00000000-0005-0000-0000-000098180000}"/>
    <cellStyle name="Comma 46" xfId="5443" xr:uid="{00000000-0005-0000-0000-000099180000}"/>
    <cellStyle name="Comma 46 2" xfId="9326" xr:uid="{00000000-0005-0000-0000-00009A180000}"/>
    <cellStyle name="Comma 46 3" xfId="9327" xr:uid="{00000000-0005-0000-0000-00009B180000}"/>
    <cellStyle name="Comma 46 3 2" xfId="25690" xr:uid="{ACCEC371-2D3C-47E7-AAD4-D4E58C181444}"/>
    <cellStyle name="Comma 46 3 2 2" xfId="40661" xr:uid="{E2149E89-4E82-4932-87F8-8451CC5F52BD}"/>
    <cellStyle name="Comma 46 3 3" xfId="33060" xr:uid="{2E81AAC8-3B53-41ED-8A2C-BAA831ED09DF}"/>
    <cellStyle name="Comma 46 4" xfId="9328" xr:uid="{00000000-0005-0000-0000-00009C180000}"/>
    <cellStyle name="Comma 46 4 2" xfId="25691" xr:uid="{133EDC68-2C9D-4540-9487-ACB8848BB03E}"/>
    <cellStyle name="Comma 46 4 2 2" xfId="40662" xr:uid="{028CE07E-AC2F-41FC-A2FE-D1F8808439CF}"/>
    <cellStyle name="Comma 46 4 3" xfId="33061" xr:uid="{7A5DDE75-88C9-4AB5-9AA2-F1C6CA99C832}"/>
    <cellStyle name="Comma 46 5" xfId="9329" xr:uid="{00000000-0005-0000-0000-00009D180000}"/>
    <cellStyle name="Comma 46 6" xfId="9330" xr:uid="{00000000-0005-0000-0000-00009E180000}"/>
    <cellStyle name="Comma 46 7" xfId="9331" xr:uid="{00000000-0005-0000-0000-00009F180000}"/>
    <cellStyle name="Comma 47" xfId="5442" xr:uid="{00000000-0005-0000-0000-0000A0180000}"/>
    <cellStyle name="Comma 47 2" xfId="9332" xr:uid="{00000000-0005-0000-0000-0000A1180000}"/>
    <cellStyle name="Comma 47 2 2" xfId="9333" xr:uid="{00000000-0005-0000-0000-0000A2180000}"/>
    <cellStyle name="Comma 47 2 3" xfId="9334" xr:uid="{00000000-0005-0000-0000-0000A3180000}"/>
    <cellStyle name="Comma 47 3" xfId="9335" xr:uid="{00000000-0005-0000-0000-0000A4180000}"/>
    <cellStyle name="Comma 47 3 2" xfId="9336" xr:uid="{00000000-0005-0000-0000-0000A5180000}"/>
    <cellStyle name="Comma 47 3 3" xfId="9337" xr:uid="{00000000-0005-0000-0000-0000A6180000}"/>
    <cellStyle name="Comma 47 3 3 2" xfId="25692" xr:uid="{7FAD4E12-5218-46BB-AE79-6719E99CE9D1}"/>
    <cellStyle name="Comma 47 3 3 2 2" xfId="40663" xr:uid="{77915847-5113-463D-AFB1-86F6C18A137D}"/>
    <cellStyle name="Comma 47 3 3 3" xfId="33062" xr:uid="{21C7BDA3-BD1D-49E5-888F-0E4E576B8195}"/>
    <cellStyle name="Comma 47 4" xfId="9338" xr:uid="{00000000-0005-0000-0000-0000A7180000}"/>
    <cellStyle name="Comma 47 4 2" xfId="25693" xr:uid="{265A880B-B7A6-47B2-A4EA-E0C5D722FCF8}"/>
    <cellStyle name="Comma 47 4 2 2" xfId="40664" xr:uid="{6896AD39-BB8D-4DC0-B6F9-6F5ED08E2F71}"/>
    <cellStyle name="Comma 47 4 3" xfId="33063" xr:uid="{6D25010D-CB68-4998-8338-FDA5C3993DBF}"/>
    <cellStyle name="Comma 47 5" xfId="9339" xr:uid="{00000000-0005-0000-0000-0000A8180000}"/>
    <cellStyle name="Comma 47 6" xfId="9340" xr:uid="{00000000-0005-0000-0000-0000A9180000}"/>
    <cellStyle name="Comma 48" xfId="5441" xr:uid="{00000000-0005-0000-0000-0000AA180000}"/>
    <cellStyle name="Comma 48 2" xfId="9341" xr:uid="{00000000-0005-0000-0000-0000AB180000}"/>
    <cellStyle name="Comma 48 2 2" xfId="9342" xr:uid="{00000000-0005-0000-0000-0000AC180000}"/>
    <cellStyle name="Comma 48 2 3" xfId="9343" xr:uid="{00000000-0005-0000-0000-0000AD180000}"/>
    <cellStyle name="Comma 48 3" xfId="9344" xr:uid="{00000000-0005-0000-0000-0000AE180000}"/>
    <cellStyle name="Comma 48 3 2" xfId="9345" xr:uid="{00000000-0005-0000-0000-0000AF180000}"/>
    <cellStyle name="Comma 48 3 3" xfId="9346" xr:uid="{00000000-0005-0000-0000-0000B0180000}"/>
    <cellStyle name="Comma 48 3 3 2" xfId="25694" xr:uid="{69B2CD6B-66AB-4A9A-B123-6882190D3296}"/>
    <cellStyle name="Comma 48 3 3 2 2" xfId="40665" xr:uid="{86FA6344-0B2D-4DD1-98EA-3495C5572F5C}"/>
    <cellStyle name="Comma 48 3 3 3" xfId="33064" xr:uid="{5473DD47-A7F7-4E98-B59F-0D27DC0A7572}"/>
    <cellStyle name="Comma 48 4" xfId="9347" xr:uid="{00000000-0005-0000-0000-0000B1180000}"/>
    <cellStyle name="Comma 48 4 2" xfId="25695" xr:uid="{CA1472B2-66ED-4F60-B196-E9AAA1E50C5A}"/>
    <cellStyle name="Comma 48 4 2 2" xfId="40666" xr:uid="{0B4ED250-8169-4A6D-A655-C31D43238E38}"/>
    <cellStyle name="Comma 48 4 3" xfId="33065" xr:uid="{20BC4FBD-E1E2-44F9-B78D-FD012E059A10}"/>
    <cellStyle name="Comma 48 5" xfId="9348" xr:uid="{00000000-0005-0000-0000-0000B2180000}"/>
    <cellStyle name="Comma 48 5 2" xfId="25696" xr:uid="{1E9DABEB-D548-493F-85B3-979853D97BC2}"/>
    <cellStyle name="Comma 48 5 2 2" xfId="40667" xr:uid="{042D39E4-EFD4-4767-BEA9-827B4819B721}"/>
    <cellStyle name="Comma 48 5 3" xfId="33066" xr:uid="{8E97D774-87D2-402B-930C-E05F053EF7A1}"/>
    <cellStyle name="Comma 48 6" xfId="9349" xr:uid="{00000000-0005-0000-0000-0000B3180000}"/>
    <cellStyle name="Comma 48 7" xfId="9350" xr:uid="{00000000-0005-0000-0000-0000B4180000}"/>
    <cellStyle name="Comma 48 7 2" xfId="25697" xr:uid="{67AFA76B-B8DC-4267-A2C2-2935C78C09A6}"/>
    <cellStyle name="Comma 48 7 2 2" xfId="40668" xr:uid="{A5968158-96C4-4E69-A65D-6B8FBE69821F}"/>
    <cellStyle name="Comma 48 7 3" xfId="33067" xr:uid="{198C8C8A-15C7-4446-8035-B5004E6FD8A8}"/>
    <cellStyle name="Comma 48 8" xfId="23183" xr:uid="{547E9A1A-F301-40CE-B064-8F5F34BD5E7B}"/>
    <cellStyle name="Comma 48 8 2" xfId="38156" xr:uid="{80C14C16-8D43-4F76-80E6-639D9E2797AA}"/>
    <cellStyle name="Comma 48 9" xfId="30553" xr:uid="{09895CDA-B60D-4094-A46C-E176568AFEEF}"/>
    <cellStyle name="Comma 49" xfId="5440" xr:uid="{00000000-0005-0000-0000-0000B5180000}"/>
    <cellStyle name="Comma 49 2" xfId="9351" xr:uid="{00000000-0005-0000-0000-0000B6180000}"/>
    <cellStyle name="Comma 49 2 2" xfId="9352" xr:uid="{00000000-0005-0000-0000-0000B7180000}"/>
    <cellStyle name="Comma 49 2 3" xfId="9353" xr:uid="{00000000-0005-0000-0000-0000B8180000}"/>
    <cellStyle name="Comma 49 2 3 2" xfId="25698" xr:uid="{9332D425-E180-4665-9FB2-1362BEFDD647}"/>
    <cellStyle name="Comma 49 2 3 2 2" xfId="40669" xr:uid="{66C3D15E-4518-470C-98EB-93101B8E3B8D}"/>
    <cellStyle name="Comma 49 2 3 3" xfId="33068" xr:uid="{7EB528DF-215C-4C22-9A0C-4529848642D9}"/>
    <cellStyle name="Comma 49 3" xfId="9354" xr:uid="{00000000-0005-0000-0000-0000B9180000}"/>
    <cellStyle name="Comma 49 3 2" xfId="9355" xr:uid="{00000000-0005-0000-0000-0000BA180000}"/>
    <cellStyle name="Comma 49 3 3" xfId="9356" xr:uid="{00000000-0005-0000-0000-0000BB180000}"/>
    <cellStyle name="Comma 49 3 3 2" xfId="25699" xr:uid="{EF5E1A79-31F7-472C-8490-87E38CAFB64A}"/>
    <cellStyle name="Comma 49 3 3 2 2" xfId="40670" xr:uid="{1A001D72-F9F4-4F4D-9014-0771B574B4AD}"/>
    <cellStyle name="Comma 49 3 3 3" xfId="33069" xr:uid="{EC06B5F5-01B5-4464-BAF1-FCBDD85D2A3F}"/>
    <cellStyle name="Comma 49 4" xfId="9357" xr:uid="{00000000-0005-0000-0000-0000BC180000}"/>
    <cellStyle name="Comma 49 4 2" xfId="25700" xr:uid="{D16FFAB9-A20F-4B82-BC0B-B74EE7671058}"/>
    <cellStyle name="Comma 49 4 2 2" xfId="40671" xr:uid="{5CEAEE52-69C3-4017-AEC0-D3AEB0BE27F6}"/>
    <cellStyle name="Comma 49 4 3" xfId="33070" xr:uid="{B098F63C-8199-4DAA-99C9-0D93E027ACB9}"/>
    <cellStyle name="Comma 49 5" xfId="9358" xr:uid="{00000000-0005-0000-0000-0000BD180000}"/>
    <cellStyle name="Comma 49 6" xfId="9359" xr:uid="{00000000-0005-0000-0000-0000BE180000}"/>
    <cellStyle name="Comma 49 6 2" xfId="25701" xr:uid="{080E4625-6DC1-43C6-BA7B-F36007C23C1B}"/>
    <cellStyle name="Comma 49 6 2 2" xfId="40672" xr:uid="{9D81FEDE-4C53-4CDD-AAD0-C02F1BBCAE0C}"/>
    <cellStyle name="Comma 49 6 3" xfId="33071" xr:uid="{3013828A-A368-41DA-B4C0-B702D8CA3166}"/>
    <cellStyle name="Comma 49 7" xfId="23182" xr:uid="{D8902637-589B-4C0E-A6B6-4CC50C86C820}"/>
    <cellStyle name="Comma 49 7 2" xfId="38155" xr:uid="{36B6B586-8063-4AA0-8CAF-B4C92C26BA90}"/>
    <cellStyle name="Comma 49 8" xfId="30552" xr:uid="{E73334BE-6804-4970-9BD5-6B8346C1EF38}"/>
    <cellStyle name="Comma 5" xfId="407" xr:uid="{00000000-0005-0000-0000-00000F010000}"/>
    <cellStyle name="Comma 5 2" xfId="408" xr:uid="{00000000-0005-0000-0000-000010010000}"/>
    <cellStyle name="Comma 5 2 2" xfId="9360" xr:uid="{00000000-0005-0000-0000-0000C1180000}"/>
    <cellStyle name="Comma 5 2 3" xfId="5438" xr:uid="{00000000-0005-0000-0000-0000C0180000}"/>
    <cellStyle name="Comma 5 3" xfId="9361" xr:uid="{00000000-0005-0000-0000-0000C2180000}"/>
    <cellStyle name="Comma 5 4" xfId="9362" xr:uid="{00000000-0005-0000-0000-0000C3180000}"/>
    <cellStyle name="Comma 5 5" xfId="5439" xr:uid="{00000000-0005-0000-0000-0000BF180000}"/>
    <cellStyle name="Comma 5_App b.3 Unspent_" xfId="409" xr:uid="{00000000-0005-0000-0000-000011010000}"/>
    <cellStyle name="Comma 50" xfId="5542" xr:uid="{00000000-0005-0000-0000-0000C4180000}"/>
    <cellStyle name="Comma 50 2" xfId="9363" xr:uid="{00000000-0005-0000-0000-0000C5180000}"/>
    <cellStyle name="Comma 50 2 2" xfId="9364" xr:uid="{00000000-0005-0000-0000-0000C6180000}"/>
    <cellStyle name="Comma 50 2 3" xfId="9365" xr:uid="{00000000-0005-0000-0000-0000C7180000}"/>
    <cellStyle name="Comma 50 2 3 2" xfId="25702" xr:uid="{10262079-219A-4B2E-897C-98B0BB7BA6A3}"/>
    <cellStyle name="Comma 50 2 3 2 2" xfId="40673" xr:uid="{E89BEB9B-E0EF-4859-98F5-927581DA70CF}"/>
    <cellStyle name="Comma 50 2 3 3" xfId="33072" xr:uid="{CBE68891-3068-43F2-AE5E-BD5119E43BE9}"/>
    <cellStyle name="Comma 50 3" xfId="9366" xr:uid="{00000000-0005-0000-0000-0000C8180000}"/>
    <cellStyle name="Comma 50 3 2" xfId="9367" xr:uid="{00000000-0005-0000-0000-0000C9180000}"/>
    <cellStyle name="Comma 50 3 3" xfId="9368" xr:uid="{00000000-0005-0000-0000-0000CA180000}"/>
    <cellStyle name="Comma 50 3 3 2" xfId="25703" xr:uid="{22391DD9-4D49-485F-ADF2-5F752A5CF0B2}"/>
    <cellStyle name="Comma 50 3 3 2 2" xfId="40674" xr:uid="{51FC7BDE-1386-4952-9B11-0AB48803B8EA}"/>
    <cellStyle name="Comma 50 3 3 3" xfId="33073" xr:uid="{D5096610-D3A1-4A81-BD74-0662032C953F}"/>
    <cellStyle name="Comma 50 4" xfId="9369" xr:uid="{00000000-0005-0000-0000-0000CB180000}"/>
    <cellStyle name="Comma 50 5" xfId="9370" xr:uid="{00000000-0005-0000-0000-0000CC180000}"/>
    <cellStyle name="Comma 51" xfId="5543" xr:uid="{00000000-0005-0000-0000-0000CD180000}"/>
    <cellStyle name="Comma 51 2" xfId="9371" xr:uid="{00000000-0005-0000-0000-0000CE180000}"/>
    <cellStyle name="Comma 51 2 2" xfId="9372" xr:uid="{00000000-0005-0000-0000-0000CF180000}"/>
    <cellStyle name="Comma 51 2 3" xfId="9373" xr:uid="{00000000-0005-0000-0000-0000D0180000}"/>
    <cellStyle name="Comma 51 2 3 2" xfId="25704" xr:uid="{B5FAAA1A-EFCB-4AD6-AA19-3F8860B4EECF}"/>
    <cellStyle name="Comma 51 2 3 2 2" xfId="40675" xr:uid="{561BBEF9-2E96-46C1-B414-EF1A6E65782D}"/>
    <cellStyle name="Comma 51 2 3 3" xfId="33074" xr:uid="{8E36777A-12A3-48E1-8BD1-BBE82EDDA482}"/>
    <cellStyle name="Comma 51 3" xfId="9374" xr:uid="{00000000-0005-0000-0000-0000D1180000}"/>
    <cellStyle name="Comma 51 3 2" xfId="9375" xr:uid="{00000000-0005-0000-0000-0000D2180000}"/>
    <cellStyle name="Comma 51 3 3" xfId="9376" xr:uid="{00000000-0005-0000-0000-0000D3180000}"/>
    <cellStyle name="Comma 51 3 3 2" xfId="25705" xr:uid="{7112A932-6F7D-490D-A99B-EE2EE1AABB9D}"/>
    <cellStyle name="Comma 51 3 3 2 2" xfId="40676" xr:uid="{53F6D76D-D652-4519-BC45-19CCC6C7B3CB}"/>
    <cellStyle name="Comma 51 3 3 3" xfId="33075" xr:uid="{A8DC4800-0189-4DAF-AC9D-532F6BDE3419}"/>
    <cellStyle name="Comma 51 4" xfId="9377" xr:uid="{00000000-0005-0000-0000-0000D4180000}"/>
    <cellStyle name="Comma 51 5" xfId="9378" xr:uid="{00000000-0005-0000-0000-0000D5180000}"/>
    <cellStyle name="Comma 52" xfId="5437" xr:uid="{00000000-0005-0000-0000-0000D6180000}"/>
    <cellStyle name="Comma 52 2" xfId="9379" xr:uid="{00000000-0005-0000-0000-0000D7180000}"/>
    <cellStyle name="Comma 52 2 2" xfId="9380" xr:uid="{00000000-0005-0000-0000-0000D8180000}"/>
    <cellStyle name="Comma 52 2 3" xfId="9381" xr:uid="{00000000-0005-0000-0000-0000D9180000}"/>
    <cellStyle name="Comma 52 2 3 2" xfId="25706" xr:uid="{97C6EF59-D1BE-40CB-A737-743E3AF16576}"/>
    <cellStyle name="Comma 52 2 3 2 2" xfId="40677" xr:uid="{79B7275C-5742-44C1-9CED-05FC106FD073}"/>
    <cellStyle name="Comma 52 2 3 3" xfId="33076" xr:uid="{0BD7C9B8-19A5-4319-9147-2D878C88F103}"/>
    <cellStyle name="Comma 52 3" xfId="9382" xr:uid="{00000000-0005-0000-0000-0000DA180000}"/>
    <cellStyle name="Comma 52 4" xfId="9383" xr:uid="{00000000-0005-0000-0000-0000DB180000}"/>
    <cellStyle name="Comma 52 5" xfId="9384" xr:uid="{00000000-0005-0000-0000-0000DC180000}"/>
    <cellStyle name="Comma 52 5 2" xfId="25707" xr:uid="{9D70E5E8-4C60-46D4-A9E3-B7F377062B76}"/>
    <cellStyle name="Comma 52 5 2 2" xfId="40678" xr:uid="{9B72F018-381E-461D-82EC-FEB218B0A47D}"/>
    <cellStyle name="Comma 52 5 3" xfId="33077" xr:uid="{B6DB97BC-6413-4925-AFDF-A43879D289AC}"/>
    <cellStyle name="Comma 52 6" xfId="9385" xr:uid="{00000000-0005-0000-0000-0000DD180000}"/>
    <cellStyle name="Comma 52 7" xfId="23181" xr:uid="{FCB1BCED-22F5-4A04-8654-F672C8DF3C21}"/>
    <cellStyle name="Comma 52 7 2" xfId="38154" xr:uid="{14D016D9-EB38-4E56-AADC-513B0B3EAC9B}"/>
    <cellStyle name="Comma 52 8" xfId="30551" xr:uid="{87FEAFA5-B787-4C1A-9039-03886DA30940}"/>
    <cellStyle name="Comma 53" xfId="5294" xr:uid="{00000000-0005-0000-0000-0000DE180000}"/>
    <cellStyle name="Comma 53 2" xfId="9386" xr:uid="{00000000-0005-0000-0000-0000DF180000}"/>
    <cellStyle name="Comma 53 3" xfId="9387" xr:uid="{00000000-0005-0000-0000-0000E0180000}"/>
    <cellStyle name="Comma 53 4" xfId="9388" xr:uid="{00000000-0005-0000-0000-0000E1180000}"/>
    <cellStyle name="Comma 53 5" xfId="9389" xr:uid="{00000000-0005-0000-0000-0000E2180000}"/>
    <cellStyle name="Comma 53 6" xfId="23172" xr:uid="{B81F5828-828F-4B4B-8782-2B3E0CC49541}"/>
    <cellStyle name="Comma 53 6 2" xfId="38148" xr:uid="{706DA2E1-C2C4-4BD9-90AE-3D3E8762D78C}"/>
    <cellStyle name="Comma 53 7" xfId="30544" xr:uid="{69551E14-3C19-42A1-975F-424B2268C442}"/>
    <cellStyle name="Comma 54" xfId="5291" xr:uid="{00000000-0005-0000-0000-0000E3180000}"/>
    <cellStyle name="Comma 54 2" xfId="9390" xr:uid="{00000000-0005-0000-0000-0000E4180000}"/>
    <cellStyle name="Comma 54 3" xfId="9391" xr:uid="{00000000-0005-0000-0000-0000E5180000}"/>
    <cellStyle name="Comma 54 4" xfId="9392" xr:uid="{00000000-0005-0000-0000-0000E6180000}"/>
    <cellStyle name="Comma 54 5" xfId="23169" xr:uid="{584D37E0-26A3-4877-A989-BEFFF96A3C00}"/>
    <cellStyle name="Comma 54 5 2" xfId="38145" xr:uid="{85FF6202-4590-43A9-A856-FAB9C3888930}"/>
    <cellStyle name="Comma 54 6" xfId="30541" xr:uid="{15357710-A843-4E80-A913-739FEB50BB6E}"/>
    <cellStyle name="Comma 55" xfId="5289" xr:uid="{00000000-0005-0000-0000-0000E7180000}"/>
    <cellStyle name="Comma 55 2" xfId="9393" xr:uid="{00000000-0005-0000-0000-0000E8180000}"/>
    <cellStyle name="Comma 55 3" xfId="9394" xr:uid="{00000000-0005-0000-0000-0000E9180000}"/>
    <cellStyle name="Comma 55 4" xfId="20119" xr:uid="{00000000-0005-0000-0000-0000EA180000}"/>
    <cellStyle name="Comma 55 4 2" xfId="27562" xr:uid="{D58C4A6E-1029-484D-8686-C225539C5F65}"/>
    <cellStyle name="Comma 55 4 2 2" xfId="42499" xr:uid="{69D674B6-BC9B-4D00-B9F2-F2229E895B92}"/>
    <cellStyle name="Comma 55 4 3" xfId="35138" xr:uid="{D966CE23-5912-4ED5-AF2D-7895C307E24A}"/>
    <cellStyle name="Comma 55 5" xfId="20122" xr:uid="{00000000-0005-0000-0000-0000EB180000}"/>
    <cellStyle name="Comma 55 5 2" xfId="27565" xr:uid="{0560BDE8-9232-4D8A-8543-98C925E9A5F7}"/>
    <cellStyle name="Comma 55 5 2 2" xfId="42502" xr:uid="{46D21934-8E7B-4624-BD18-7990AA8C12AD}"/>
    <cellStyle name="Comma 55 5 3" xfId="35141" xr:uid="{4B5CE1FE-B526-4F93-A205-7991E20BB995}"/>
    <cellStyle name="Comma 55 6" xfId="23167" xr:uid="{5066539F-D6AA-4E78-9304-E00070241433}"/>
    <cellStyle name="Comma 55 6 2" xfId="38143" xr:uid="{4D65B10B-328D-43E9-BBBC-B3983DECBB89}"/>
    <cellStyle name="Comma 55 7" xfId="30539" xr:uid="{42F5DC52-04DA-46B6-A626-C5F8C71F2E56}"/>
    <cellStyle name="Comma 56" xfId="9395" xr:uid="{00000000-0005-0000-0000-0000EC180000}"/>
    <cellStyle name="Comma 56 2" xfId="9396" xr:uid="{00000000-0005-0000-0000-0000ED180000}"/>
    <cellStyle name="Comma 56 3" xfId="9397" xr:uid="{00000000-0005-0000-0000-0000EE180000}"/>
    <cellStyle name="Comma 57" xfId="9398" xr:uid="{00000000-0005-0000-0000-0000EF180000}"/>
    <cellStyle name="Comma 57 2" xfId="9399" xr:uid="{00000000-0005-0000-0000-0000F0180000}"/>
    <cellStyle name="Comma 57 3" xfId="9400" xr:uid="{00000000-0005-0000-0000-0000F1180000}"/>
    <cellStyle name="Comma 58" xfId="9401" xr:uid="{00000000-0005-0000-0000-0000F2180000}"/>
    <cellStyle name="Comma 58 2" xfId="9402" xr:uid="{00000000-0005-0000-0000-0000F3180000}"/>
    <cellStyle name="Comma 58 2 2" xfId="25708" xr:uid="{9297CB82-E2FE-4090-8D82-125DA23475B9}"/>
    <cellStyle name="Comma 58 2 2 2" xfId="40679" xr:uid="{37F95B31-590A-47AB-9C82-10FA1AE2A2B6}"/>
    <cellStyle name="Comma 58 2 3" xfId="33078" xr:uid="{3FB8767C-812E-40C8-BD3B-B25D6DD01B73}"/>
    <cellStyle name="Comma 58 3" xfId="9403" xr:uid="{00000000-0005-0000-0000-0000F4180000}"/>
    <cellStyle name="Comma 58 4" xfId="9404" xr:uid="{00000000-0005-0000-0000-0000F5180000}"/>
    <cellStyle name="Comma 58 4 2" xfId="25709" xr:uid="{FC4BCED3-C1EE-44AF-B3FE-092EB5BF7BE1}"/>
    <cellStyle name="Comma 58 4 2 2" xfId="40680" xr:uid="{0D9B256F-32CC-4478-B81B-A4EE30A6F506}"/>
    <cellStyle name="Comma 58 4 3" xfId="33079" xr:uid="{59B2F7DD-067E-4384-828A-30D1D462A445}"/>
    <cellStyle name="Comma 59" xfId="9405" xr:uid="{00000000-0005-0000-0000-0000F6180000}"/>
    <cellStyle name="Comma 59 2" xfId="9406" xr:uid="{00000000-0005-0000-0000-0000F7180000}"/>
    <cellStyle name="Comma 59 3" xfId="9407" xr:uid="{00000000-0005-0000-0000-0000F8180000}"/>
    <cellStyle name="Comma 6" xfId="410" xr:uid="{00000000-0005-0000-0000-000012010000}"/>
    <cellStyle name="Comma 6 2" xfId="411" xr:uid="{00000000-0005-0000-0000-000013010000}"/>
    <cellStyle name="Comma 6 2 2" xfId="9408" xr:uid="{00000000-0005-0000-0000-0000FB180000}"/>
    <cellStyle name="Comma 6 2 2 2" xfId="9409" xr:uid="{00000000-0005-0000-0000-0000FC180000}"/>
    <cellStyle name="Comma 6 2 3" xfId="5435" xr:uid="{00000000-0005-0000-0000-0000FA180000}"/>
    <cellStyle name="Comma 6 3" xfId="9410" xr:uid="{00000000-0005-0000-0000-0000FD180000}"/>
    <cellStyle name="Comma 6 3 2" xfId="9411" xr:uid="{00000000-0005-0000-0000-0000FE180000}"/>
    <cellStyle name="Comma 6 3 2 2" xfId="9412" xr:uid="{00000000-0005-0000-0000-0000FF180000}"/>
    <cellStyle name="Comma 6 3 3" xfId="9413" xr:uid="{00000000-0005-0000-0000-000000190000}"/>
    <cellStyle name="Comma 6 4" xfId="9414" xr:uid="{00000000-0005-0000-0000-000001190000}"/>
    <cellStyle name="Comma 6 5" xfId="9415" xr:uid="{00000000-0005-0000-0000-000002190000}"/>
    <cellStyle name="Comma 6 6" xfId="9416" xr:uid="{00000000-0005-0000-0000-000003190000}"/>
    <cellStyle name="Comma 6 7" xfId="5436" xr:uid="{00000000-0005-0000-0000-0000F9180000}"/>
    <cellStyle name="Comma 6_App b.3 Unspent_" xfId="412" xr:uid="{00000000-0005-0000-0000-000014010000}"/>
    <cellStyle name="Comma 60" xfId="9417" xr:uid="{00000000-0005-0000-0000-000004190000}"/>
    <cellStyle name="Comma 60 2" xfId="9418" xr:uid="{00000000-0005-0000-0000-000005190000}"/>
    <cellStyle name="Comma 60 3" xfId="9419" xr:uid="{00000000-0005-0000-0000-000006190000}"/>
    <cellStyle name="Comma 61" xfId="9420" xr:uid="{00000000-0005-0000-0000-000007190000}"/>
    <cellStyle name="Comma 61 2" xfId="9421" xr:uid="{00000000-0005-0000-0000-000008190000}"/>
    <cellStyle name="Comma 61 3" xfId="9422" xr:uid="{00000000-0005-0000-0000-000009190000}"/>
    <cellStyle name="Comma 62" xfId="9423" xr:uid="{00000000-0005-0000-0000-00000A190000}"/>
    <cellStyle name="Comma 62 2" xfId="9424" xr:uid="{00000000-0005-0000-0000-00000B190000}"/>
    <cellStyle name="Comma 62 2 2" xfId="9425" xr:uid="{00000000-0005-0000-0000-00000C190000}"/>
    <cellStyle name="Comma 62 2 2 2" xfId="25711" xr:uid="{6DD13903-1C3B-4BDA-AB5A-78C7CB123EA1}"/>
    <cellStyle name="Comma 62 2 2 2 2" xfId="40682" xr:uid="{9DB85A56-A86F-45F3-B27F-49F135F4CB4B}"/>
    <cellStyle name="Comma 62 2 2 3" xfId="33081" xr:uid="{E56904F3-3047-4958-A5CD-0C3521EDE7A9}"/>
    <cellStyle name="Comma 62 3" xfId="9426" xr:uid="{00000000-0005-0000-0000-00000D190000}"/>
    <cellStyle name="Comma 62 3 2" xfId="25712" xr:uid="{F1A8F265-9D67-4C20-8E43-C12C13410BF9}"/>
    <cellStyle name="Comma 62 3 2 2" xfId="40683" xr:uid="{161DF172-A13C-4254-B48A-CF9E43B6EC77}"/>
    <cellStyle name="Comma 62 3 3" xfId="33082" xr:uid="{97CFA416-1B5F-40B4-9F93-45EA8EED91C2}"/>
    <cellStyle name="Comma 62 4" xfId="25710" xr:uid="{2E8C862F-54D9-41B8-BE36-5D52748470D3}"/>
    <cellStyle name="Comma 62 4 2" xfId="40681" xr:uid="{E7699660-F363-4B07-ABDA-8126480A7329}"/>
    <cellStyle name="Comma 62 5" xfId="33080" xr:uid="{BE461CAA-3CDA-4657-A2A9-538C0DA38B37}"/>
    <cellStyle name="Comma 63" xfId="9427" xr:uid="{00000000-0005-0000-0000-00000E190000}"/>
    <cellStyle name="Comma 63 2" xfId="9428" xr:uid="{00000000-0005-0000-0000-00000F190000}"/>
    <cellStyle name="Comma 63 3" xfId="25713" xr:uid="{F1A86E74-06F7-4E8F-8E73-519FB31A5311}"/>
    <cellStyle name="Comma 63 3 2" xfId="40684" xr:uid="{BDD2DF5D-9C2A-406E-B5C6-B1456810CAC6}"/>
    <cellStyle name="Comma 63 4" xfId="33083" xr:uid="{4DBECA7F-5ABD-4798-8C16-5EC0FEADB030}"/>
    <cellStyle name="Comma 64" xfId="9429" xr:uid="{00000000-0005-0000-0000-000010190000}"/>
    <cellStyle name="Comma 65" xfId="9430" xr:uid="{00000000-0005-0000-0000-000011190000}"/>
    <cellStyle name="Comma 66" xfId="9431" xr:uid="{00000000-0005-0000-0000-000012190000}"/>
    <cellStyle name="Comma 67" xfId="9432" xr:uid="{00000000-0005-0000-0000-000013190000}"/>
    <cellStyle name="Comma 68" xfId="9433" xr:uid="{00000000-0005-0000-0000-000014190000}"/>
    <cellStyle name="Comma 69" xfId="9434" xr:uid="{00000000-0005-0000-0000-000015190000}"/>
    <cellStyle name="Comma 7" xfId="413" xr:uid="{00000000-0005-0000-0000-000015010000}"/>
    <cellStyle name="Comma 7 2" xfId="414" xr:uid="{00000000-0005-0000-0000-000016010000}"/>
    <cellStyle name="Comma 7 2 2" xfId="9435" xr:uid="{00000000-0005-0000-0000-000018190000}"/>
    <cellStyle name="Comma 7 2 3" xfId="5433" xr:uid="{00000000-0005-0000-0000-000017190000}"/>
    <cellStyle name="Comma 7 3" xfId="9436" xr:uid="{00000000-0005-0000-0000-000019190000}"/>
    <cellStyle name="Comma 7 4" xfId="9437" xr:uid="{00000000-0005-0000-0000-00001A190000}"/>
    <cellStyle name="Comma 7 5" xfId="5434" xr:uid="{00000000-0005-0000-0000-000016190000}"/>
    <cellStyle name="Comma 7_App b.3 Unspent_" xfId="415" xr:uid="{00000000-0005-0000-0000-000017010000}"/>
    <cellStyle name="Comma 70" xfId="9438" xr:uid="{00000000-0005-0000-0000-00001B190000}"/>
    <cellStyle name="Comma 71" xfId="9439" xr:uid="{00000000-0005-0000-0000-00001C190000}"/>
    <cellStyle name="Comma 72" xfId="9440" xr:uid="{00000000-0005-0000-0000-00001D190000}"/>
    <cellStyle name="Comma 73" xfId="9441" xr:uid="{00000000-0005-0000-0000-00001E190000}"/>
    <cellStyle name="Comma 74" xfId="9442" xr:uid="{00000000-0005-0000-0000-00001F190000}"/>
    <cellStyle name="Comma 75" xfId="9443" xr:uid="{00000000-0005-0000-0000-000020190000}"/>
    <cellStyle name="Comma 76" xfId="9444" xr:uid="{00000000-0005-0000-0000-000021190000}"/>
    <cellStyle name="Comma 77" xfId="9445" xr:uid="{00000000-0005-0000-0000-000022190000}"/>
    <cellStyle name="Comma 78" xfId="9446" xr:uid="{00000000-0005-0000-0000-000023190000}"/>
    <cellStyle name="Comma 79" xfId="9447" xr:uid="{00000000-0005-0000-0000-000024190000}"/>
    <cellStyle name="Comma 8" xfId="416" xr:uid="{00000000-0005-0000-0000-000018010000}"/>
    <cellStyle name="Comma 8 2" xfId="417" xr:uid="{00000000-0005-0000-0000-000019010000}"/>
    <cellStyle name="Comma 8 2 2" xfId="9448" xr:uid="{00000000-0005-0000-0000-000027190000}"/>
    <cellStyle name="Comma 8 2 2 2" xfId="9449" xr:uid="{00000000-0005-0000-0000-000028190000}"/>
    <cellStyle name="Comma 8 2 3" xfId="5431" xr:uid="{00000000-0005-0000-0000-000026190000}"/>
    <cellStyle name="Comma 8 3" xfId="9450" xr:uid="{00000000-0005-0000-0000-000029190000}"/>
    <cellStyle name="Comma 8 3 2" xfId="9451" xr:uid="{00000000-0005-0000-0000-00002A190000}"/>
    <cellStyle name="Comma 8 3 2 2" xfId="9452" xr:uid="{00000000-0005-0000-0000-00002B190000}"/>
    <cellStyle name="Comma 8 3 3" xfId="9453" xr:uid="{00000000-0005-0000-0000-00002C190000}"/>
    <cellStyle name="Comma 8 4" xfId="9454" xr:uid="{00000000-0005-0000-0000-00002D190000}"/>
    <cellStyle name="Comma 8 5" xfId="9455" xr:uid="{00000000-0005-0000-0000-00002E190000}"/>
    <cellStyle name="Comma 8 6" xfId="5432" xr:uid="{00000000-0005-0000-0000-000025190000}"/>
    <cellStyle name="Comma 8_App b.3 Unspent_" xfId="418" xr:uid="{00000000-0005-0000-0000-00001A010000}"/>
    <cellStyle name="Comma 80" xfId="9456" xr:uid="{00000000-0005-0000-0000-00002F190000}"/>
    <cellStyle name="Comma 81" xfId="9457" xr:uid="{00000000-0005-0000-0000-000030190000}"/>
    <cellStyle name="Comma 82" xfId="9458" xr:uid="{00000000-0005-0000-0000-000031190000}"/>
    <cellStyle name="Comma 83" xfId="9459" xr:uid="{00000000-0005-0000-0000-000032190000}"/>
    <cellStyle name="Comma 84" xfId="9460" xr:uid="{00000000-0005-0000-0000-000033190000}"/>
    <cellStyle name="Comma 85" xfId="9461" xr:uid="{00000000-0005-0000-0000-000034190000}"/>
    <cellStyle name="Comma 86" xfId="9462" xr:uid="{00000000-0005-0000-0000-000035190000}"/>
    <cellStyle name="Comma 87" xfId="9463" xr:uid="{00000000-0005-0000-0000-000036190000}"/>
    <cellStyle name="Comma 87 2" xfId="25714" xr:uid="{ACB2CFDC-8B41-42AF-B79F-ED18035E458A}"/>
    <cellStyle name="Comma 87 2 2" xfId="40685" xr:uid="{D4982048-6E3C-40BB-B8F9-F6950D7D4B5E}"/>
    <cellStyle name="Comma 87 3" xfId="33084" xr:uid="{2FB4F0B9-1CF6-4126-B10B-91690D99DE2C}"/>
    <cellStyle name="Comma 88" xfId="9464" xr:uid="{00000000-0005-0000-0000-000037190000}"/>
    <cellStyle name="Comma 88 2" xfId="25715" xr:uid="{46CC6E89-FF41-43DA-BA03-C878BDE84E52}"/>
    <cellStyle name="Comma 88 2 2" xfId="40686" xr:uid="{D37A4D85-4C1C-4C42-9D95-594158110E02}"/>
    <cellStyle name="Comma 88 3" xfId="33085" xr:uid="{4FF9ADD1-1509-48F2-BEEE-01BA065E74A5}"/>
    <cellStyle name="Comma 89" xfId="9465" xr:uid="{00000000-0005-0000-0000-000038190000}"/>
    <cellStyle name="Comma 9" xfId="419" xr:uid="{00000000-0005-0000-0000-00001B010000}"/>
    <cellStyle name="Comma 9 2" xfId="420" xr:uid="{00000000-0005-0000-0000-00001C010000}"/>
    <cellStyle name="Comma 9 2 2" xfId="9466" xr:uid="{00000000-0005-0000-0000-00003B190000}"/>
    <cellStyle name="Comma 9 2 2 2" xfId="9467" xr:uid="{00000000-0005-0000-0000-00003C190000}"/>
    <cellStyle name="Comma 9 2 3" xfId="5429" xr:uid="{00000000-0005-0000-0000-00003A190000}"/>
    <cellStyle name="Comma 9 3" xfId="9468" xr:uid="{00000000-0005-0000-0000-00003D190000}"/>
    <cellStyle name="Comma 9 3 2" xfId="9469" xr:uid="{00000000-0005-0000-0000-00003E190000}"/>
    <cellStyle name="Comma 9 3 2 2" xfId="9470" xr:uid="{00000000-0005-0000-0000-00003F190000}"/>
    <cellStyle name="Comma 9 3 3" xfId="9471" xr:uid="{00000000-0005-0000-0000-000040190000}"/>
    <cellStyle name="Comma 9 4" xfId="9472" xr:uid="{00000000-0005-0000-0000-000041190000}"/>
    <cellStyle name="Comma 9 5" xfId="9473" xr:uid="{00000000-0005-0000-0000-000042190000}"/>
    <cellStyle name="Comma 9 6" xfId="5430" xr:uid="{00000000-0005-0000-0000-000039190000}"/>
    <cellStyle name="Comma 9_App b.3 Unspent_" xfId="421" xr:uid="{00000000-0005-0000-0000-00001D010000}"/>
    <cellStyle name="Comma 90" xfId="9474" xr:uid="{00000000-0005-0000-0000-000043190000}"/>
    <cellStyle name="Comma 91" xfId="9475" xr:uid="{00000000-0005-0000-0000-000044190000}"/>
    <cellStyle name="Comma 92" xfId="9476" xr:uid="{00000000-0005-0000-0000-000045190000}"/>
    <cellStyle name="Comma 93" xfId="9477" xr:uid="{00000000-0005-0000-0000-000046190000}"/>
    <cellStyle name="Comma 94" xfId="9478" xr:uid="{00000000-0005-0000-0000-000047190000}"/>
    <cellStyle name="Comma 95" xfId="9479" xr:uid="{00000000-0005-0000-0000-000048190000}"/>
    <cellStyle name="Comma 96" xfId="9480" xr:uid="{00000000-0005-0000-0000-000049190000}"/>
    <cellStyle name="Comma 97" xfId="9481" xr:uid="{00000000-0005-0000-0000-00004A190000}"/>
    <cellStyle name="Comma 98" xfId="9482" xr:uid="{00000000-0005-0000-0000-00004B190000}"/>
    <cellStyle name="Comma 99" xfId="9483" xr:uid="{00000000-0005-0000-0000-00004C190000}"/>
    <cellStyle name="Comma0" xfId="422" xr:uid="{00000000-0005-0000-0000-00001E010000}"/>
    <cellStyle name="Comma0 2" xfId="423" xr:uid="{00000000-0005-0000-0000-00001F010000}"/>
    <cellStyle name="Comma0 3" xfId="424" xr:uid="{00000000-0005-0000-0000-000020010000}"/>
    <cellStyle name="Copied" xfId="425" xr:uid="{00000000-0005-0000-0000-000021010000}"/>
    <cellStyle name="Copied 2" xfId="5428" xr:uid="{00000000-0005-0000-0000-000051190000}"/>
    <cellStyle name="Currency" xfId="20531" builtinId="4"/>
    <cellStyle name="Currency [$0]" xfId="426" xr:uid="{00000000-0005-0000-0000-000023010000}"/>
    <cellStyle name="Currency [$0] 2" xfId="5427" xr:uid="{00000000-0005-0000-0000-000054190000}"/>
    <cellStyle name="Currency [£0]" xfId="427" xr:uid="{00000000-0005-0000-0000-000024010000}"/>
    <cellStyle name="Currency [£0] 2" xfId="5541" xr:uid="{00000000-0005-0000-0000-000056190000}"/>
    <cellStyle name="Currency 10" xfId="11" xr:uid="{00000000-0005-0000-0000-000002000000}"/>
    <cellStyle name="Currency 10 2" xfId="428" xr:uid="{00000000-0005-0000-0000-000025010000}"/>
    <cellStyle name="Currency 10 2 2" xfId="9485" xr:uid="{00000000-0005-0000-0000-000059190000}"/>
    <cellStyle name="Currency 10 2 3" xfId="9484" xr:uid="{00000000-0005-0000-0000-000058190000}"/>
    <cellStyle name="Currency 10 3" xfId="9486" xr:uid="{00000000-0005-0000-0000-00005A190000}"/>
    <cellStyle name="Currency 10 3 2" xfId="9487" xr:uid="{00000000-0005-0000-0000-00005B190000}"/>
    <cellStyle name="Currency 10 3 2 2" xfId="9488" xr:uid="{00000000-0005-0000-0000-00005C190000}"/>
    <cellStyle name="Currency 10 3 3" xfId="9489" xr:uid="{00000000-0005-0000-0000-00005D190000}"/>
    <cellStyle name="Currency 10 4" xfId="5426" xr:uid="{00000000-0005-0000-0000-000057190000}"/>
    <cellStyle name="Currency 11" xfId="7" xr:uid="{00000000-0005-0000-0000-000003000000}"/>
    <cellStyle name="Currency 11 2" xfId="9490" xr:uid="{00000000-0005-0000-0000-00005F190000}"/>
    <cellStyle name="Currency 11 2 2" xfId="9491" xr:uid="{00000000-0005-0000-0000-000060190000}"/>
    <cellStyle name="Currency 11 2 2 2" xfId="9492" xr:uid="{00000000-0005-0000-0000-000061190000}"/>
    <cellStyle name="Currency 11 2 3" xfId="9493" xr:uid="{00000000-0005-0000-0000-000062190000}"/>
    <cellStyle name="Currency 11 2 3 2" xfId="9494" xr:uid="{00000000-0005-0000-0000-000063190000}"/>
    <cellStyle name="Currency 11 3" xfId="9495" xr:uid="{00000000-0005-0000-0000-000064190000}"/>
    <cellStyle name="Currency 11 4" xfId="5540" xr:uid="{00000000-0005-0000-0000-00005E190000}"/>
    <cellStyle name="Currency 12" xfId="430" xr:uid="{00000000-0005-0000-0000-000027010000}"/>
    <cellStyle name="Currency 12 2" xfId="9496" xr:uid="{00000000-0005-0000-0000-000066190000}"/>
    <cellStyle name="Currency 12 2 2" xfId="9497" xr:uid="{00000000-0005-0000-0000-000067190000}"/>
    <cellStyle name="Currency 12 2 2 2" xfId="9498" xr:uid="{00000000-0005-0000-0000-000068190000}"/>
    <cellStyle name="Currency 12 2 3" xfId="9499" xr:uid="{00000000-0005-0000-0000-000069190000}"/>
    <cellStyle name="Currency 12 3" xfId="9500" xr:uid="{00000000-0005-0000-0000-00006A190000}"/>
    <cellStyle name="Currency 12 3 2" xfId="9501" xr:uid="{00000000-0005-0000-0000-00006B190000}"/>
    <cellStyle name="Currency 12 4" xfId="9502" xr:uid="{00000000-0005-0000-0000-00006C190000}"/>
    <cellStyle name="Currency 12 4 2" xfId="9503" xr:uid="{00000000-0005-0000-0000-00006D190000}"/>
    <cellStyle name="Currency 12 4 3" xfId="9504" xr:uid="{00000000-0005-0000-0000-00006E190000}"/>
    <cellStyle name="Currency 12 5" xfId="9505" xr:uid="{00000000-0005-0000-0000-00006F190000}"/>
    <cellStyle name="Currency 12 6" xfId="5425" xr:uid="{00000000-0005-0000-0000-000065190000}"/>
    <cellStyle name="Currency 13" xfId="431" xr:uid="{00000000-0005-0000-0000-000028010000}"/>
    <cellStyle name="Currency 13 2" xfId="9506" xr:uid="{00000000-0005-0000-0000-000071190000}"/>
    <cellStyle name="Currency 13 2 2" xfId="9507" xr:uid="{00000000-0005-0000-0000-000072190000}"/>
    <cellStyle name="Currency 13 2 3" xfId="9508" xr:uid="{00000000-0005-0000-0000-000073190000}"/>
    <cellStyle name="Currency 13 3" xfId="9509" xr:uid="{00000000-0005-0000-0000-000074190000}"/>
    <cellStyle name="Currency 13 3 2" xfId="9510" xr:uid="{00000000-0005-0000-0000-000075190000}"/>
    <cellStyle name="Currency 13 3 2 2" xfId="9511" xr:uid="{00000000-0005-0000-0000-000076190000}"/>
    <cellStyle name="Currency 13 3 3" xfId="9512" xr:uid="{00000000-0005-0000-0000-000077190000}"/>
    <cellStyle name="Currency 13 3 3 2" xfId="9513" xr:uid="{00000000-0005-0000-0000-000078190000}"/>
    <cellStyle name="Currency 13 4" xfId="9514" xr:uid="{00000000-0005-0000-0000-000079190000}"/>
    <cellStyle name="Currency 13 5" xfId="5424" xr:uid="{00000000-0005-0000-0000-000070190000}"/>
    <cellStyle name="Currency 14" xfId="3" xr:uid="{00000000-0005-0000-0000-000004000000}"/>
    <cellStyle name="Currency 14 2" xfId="10" xr:uid="{00000000-0005-0000-0000-000005000000}"/>
    <cellStyle name="Currency 14 2 2" xfId="114" xr:uid="{00000000-0005-0000-0000-000005000000}"/>
    <cellStyle name="Currency 14 2 2 2" xfId="20664" xr:uid="{30059401-A069-4D83-BF56-0D1F3F8E5242}"/>
    <cellStyle name="Currency 14 2 2 2 2" xfId="35665" xr:uid="{7A4BB2AF-1B66-465B-9248-AFB7CDAD95B1}"/>
    <cellStyle name="Currency 14 2 2 3" xfId="27968" xr:uid="{6DC15BF7-FB2E-41F4-80BA-48CFF34BDA95}"/>
    <cellStyle name="Currency 14 2 3" xfId="9515" xr:uid="{00000000-0005-0000-0000-00007B190000}"/>
    <cellStyle name="Currency 14 2 4" xfId="20534" xr:uid="{D913DE0A-108A-433C-B116-DECDA6596B39}"/>
    <cellStyle name="Currency 14 2 4 2" xfId="20541" xr:uid="{BF93F86E-A32B-44DA-9A2B-2BAFCE07B080}"/>
    <cellStyle name="Currency 14 2 4 2 2" xfId="20555" xr:uid="{CB7C8B19-1A10-4D03-B28B-3F30FCF1470A}"/>
    <cellStyle name="Currency 14 2 4 2 2 2" xfId="27858" xr:uid="{726255D6-1446-4973-AFC9-6A5B4E3033E5}"/>
    <cellStyle name="Currency 14 2 4 2 2 2 2" xfId="42795" xr:uid="{D2B51D4A-8893-44CC-AF14-404D978D3D14}"/>
    <cellStyle name="Currency 14 2 4 2 2 3" xfId="35567" xr:uid="{5FE0CBA0-BFE5-46C1-97AA-302A892A4000}"/>
    <cellStyle name="Currency 14 2 4 2 3" xfId="27848" xr:uid="{62BAA071-3E17-49C3-B4A7-F7AEE67CC836}"/>
    <cellStyle name="Currency 14 2 4 2 3 2" xfId="42785" xr:uid="{83777B68-DD61-4104-8CDB-FBA8E8E94B56}"/>
    <cellStyle name="Currency 14 2 4 2 4" xfId="35557" xr:uid="{99A0B998-F8C9-49DA-B7A4-548051973146}"/>
    <cellStyle name="Currency 14 2 4 3" xfId="20550" xr:uid="{6434AF80-6473-4CDE-A6D1-D9E5EC911236}"/>
    <cellStyle name="Currency 14 2 4 3 2" xfId="27854" xr:uid="{45D53670-C99C-4344-A6DF-EE49529D1820}"/>
    <cellStyle name="Currency 14 2 4 3 2 2" xfId="42791" xr:uid="{BFF96EAA-027F-4FFB-B48D-2E445E5F9DA4}"/>
    <cellStyle name="Currency 14 2 4 3 3" xfId="35563" xr:uid="{566D908C-31A1-4DC0-A31E-65DA25D9BA70}"/>
    <cellStyle name="Currency 14 2 4 4" xfId="27841" xr:uid="{02823E14-80CC-40CF-8317-78E95FE5A8D3}"/>
    <cellStyle name="Currency 14 2 4 4 2" xfId="42778" xr:uid="{9AD7A27D-5F19-4CF9-846B-E2D1BAC3FEDA}"/>
    <cellStyle name="Currency 14 2 4 5" xfId="35550" xr:uid="{EDFC3B34-AB22-49E5-B81F-FA4861D73590}"/>
    <cellStyle name="Currency 14 2 5" xfId="20594" xr:uid="{A92EE323-C978-45EE-928E-9B1637F181F6}"/>
    <cellStyle name="Currency 14 2 5 2" xfId="35595" xr:uid="{6E4E3905-895C-47B9-8D24-A76051A28728}"/>
    <cellStyle name="Currency 14 2 6" xfId="27898" xr:uid="{BE256E7E-F135-4DB1-BB04-2E087602A599}"/>
    <cellStyle name="Currency 14 3" xfId="60" xr:uid="{00000000-0005-0000-0000-000006000000}"/>
    <cellStyle name="Currency 14 3 2" xfId="162" xr:uid="{00000000-0005-0000-0000-000006000000}"/>
    <cellStyle name="Currency 14 3 2 2" xfId="20545" xr:uid="{BA0862C4-CD9A-45B2-A87C-4CFEE3005FE3}"/>
    <cellStyle name="Currency 14 3 2 2 2" xfId="27851" xr:uid="{A753592F-7D05-4E2F-B1A6-AE289758A67D}"/>
    <cellStyle name="Currency 14 3 2 2 2 2" xfId="42788" xr:uid="{9D1EF855-649D-4350-B442-6ADE87D209F7}"/>
    <cellStyle name="Currency 14 3 2 2 3" xfId="27885" xr:uid="{BB6EBB59-F004-415D-AF6D-12DAF0CFE0C8}"/>
    <cellStyle name="Currency 14 3 2 2 3 2" xfId="42822" xr:uid="{6C7B3BD0-D2B7-4D52-B541-6A680C3EA012}"/>
    <cellStyle name="Currency 14 3 2 2 4" xfId="27892" xr:uid="{94A9367A-BDFC-40F2-9ABE-333227FAB414}"/>
    <cellStyle name="Currency 14 3 2 2 4 2" xfId="42829" xr:uid="{F7D2BB4B-69A2-4879-83B0-5CDA3735FCBB}"/>
    <cellStyle name="Currency 14 3 2 2 5" xfId="35560" xr:uid="{8F2B574B-9A38-41D5-99F1-903C3CEC578E}"/>
    <cellStyle name="Currency 14 3 2 3" xfId="20708" xr:uid="{08DD0B71-6A1A-4ACD-AF1D-8EC294CCBB7F}"/>
    <cellStyle name="Currency 14 3 2 3 2" xfId="35709" xr:uid="{B43ED113-D6A1-4E0C-B86D-E00DD1266249}"/>
    <cellStyle name="Currency 14 3 2 4" xfId="28012" xr:uid="{18BEFE29-FD1E-47C5-B5B4-110B80BD0E63}"/>
    <cellStyle name="Currency 14 3 3" xfId="9516" xr:uid="{00000000-0005-0000-0000-00007D190000}"/>
    <cellStyle name="Currency 14 3 4" xfId="20543" xr:uid="{63235F10-631D-41F8-A03B-F993C11C6D9B}"/>
    <cellStyle name="Currency 14 3 4 2" xfId="27850" xr:uid="{1A1EE5E7-048D-4BFC-994A-6990BB3C1295}"/>
    <cellStyle name="Currency 14 3 4 2 2" xfId="42787" xr:uid="{479508EC-46A1-4031-B96C-79849A9A2E83}"/>
    <cellStyle name="Currency 14 3 4 3" xfId="27882" xr:uid="{86B3418F-BC03-43BA-B77D-22602AC3459C}"/>
    <cellStyle name="Currency 14 3 4 3 2" xfId="42819" xr:uid="{E54E3A3B-8397-45D6-BF05-BB06A67EECB0}"/>
    <cellStyle name="Currency 14 3 4 4" xfId="27891" xr:uid="{95B5B6D6-66FA-4169-A0D2-61330521FEA2}"/>
    <cellStyle name="Currency 14 3 4 4 2" xfId="42828" xr:uid="{70831FBB-A86B-48EB-BE2B-19C2B65390EC}"/>
    <cellStyle name="Currency 14 3 4 5" xfId="35559" xr:uid="{3B1D2606-7BDD-4522-AB90-7816D1513712}"/>
    <cellStyle name="Currency 14 3 5" xfId="20638" xr:uid="{356F0E2F-BB37-4FE7-BBCF-0C2156929FFF}"/>
    <cellStyle name="Currency 14 3 5 2" xfId="35639" xr:uid="{FC5CF4B5-A849-449F-B9EB-4277D29B5BD7}"/>
    <cellStyle name="Currency 14 3 6" xfId="27942" xr:uid="{35DA1366-561C-42BB-A238-D5028119F953}"/>
    <cellStyle name="Currency 14 4" xfId="108" xr:uid="{00000000-0005-0000-0000-000004000000}"/>
    <cellStyle name="Currency 14 4 2" xfId="20661" xr:uid="{F7075CEC-43E8-4110-9EAA-DD56CBE1F8BD}"/>
    <cellStyle name="Currency 14 4 2 2" xfId="35662" xr:uid="{13969522-F164-4F76-917C-5E070D072747}"/>
    <cellStyle name="Currency 14 4 3" xfId="27965" xr:uid="{6FE45FD4-9EDC-4582-A129-A5B4F436E2F2}"/>
    <cellStyle name="Currency 14 5" xfId="5423" xr:uid="{00000000-0005-0000-0000-00007A190000}"/>
    <cellStyle name="Currency 14 6" xfId="20591" xr:uid="{C53BCCBF-37D4-4BEF-9F53-43E508B9041F}"/>
    <cellStyle name="Currency 14 6 2" xfId="35592" xr:uid="{C82EC0C4-C119-41FF-A750-D9561525AA83}"/>
    <cellStyle name="Currency 14 7" xfId="27895" xr:uid="{E8BF552B-3CE0-4B22-8976-4DFF0FAC164D}"/>
    <cellStyle name="Currency 15" xfId="2926" xr:uid="{00000000-0005-0000-0000-00002E010000}"/>
    <cellStyle name="Currency 15 2" xfId="9517" xr:uid="{00000000-0005-0000-0000-000080190000}"/>
    <cellStyle name="Currency 15 2 2" xfId="9518" xr:uid="{00000000-0005-0000-0000-000081190000}"/>
    <cellStyle name="Currency 15 2 3" xfId="9519" xr:uid="{00000000-0005-0000-0000-000082190000}"/>
    <cellStyle name="Currency 15 3" xfId="9520" xr:uid="{00000000-0005-0000-0000-000083190000}"/>
    <cellStyle name="Currency 15 3 2" xfId="9521" xr:uid="{00000000-0005-0000-0000-000084190000}"/>
    <cellStyle name="Currency 15 4" xfId="9522" xr:uid="{00000000-0005-0000-0000-000085190000}"/>
    <cellStyle name="Currency 15 5" xfId="5422" xr:uid="{00000000-0005-0000-0000-00007F190000}"/>
    <cellStyle name="Currency 15 6" xfId="20882" xr:uid="{F6FD4E8C-94FB-4FFF-9D1A-B6A87974DA16}"/>
    <cellStyle name="Currency 15 6 2" xfId="35858" xr:uid="{20263FCB-75E3-4F12-9E20-72BADE49EE93}"/>
    <cellStyle name="Currency 15 7" xfId="28254" xr:uid="{DF475730-5308-4EE2-902B-FD6FDB45659C}"/>
    <cellStyle name="Currency 16" xfId="2916" xr:uid="{00000000-0005-0000-0000-00002F010000}"/>
    <cellStyle name="Currency 16 2" xfId="9523" xr:uid="{00000000-0005-0000-0000-000087190000}"/>
    <cellStyle name="Currency 16 2 2" xfId="9524" xr:uid="{00000000-0005-0000-0000-000088190000}"/>
    <cellStyle name="Currency 16 2 3" xfId="9525" xr:uid="{00000000-0005-0000-0000-000089190000}"/>
    <cellStyle name="Currency 16 3" xfId="9526" xr:uid="{00000000-0005-0000-0000-00008A190000}"/>
    <cellStyle name="Currency 16 3 2" xfId="9527" xr:uid="{00000000-0005-0000-0000-00008B190000}"/>
    <cellStyle name="Currency 16 4" xfId="9528" xr:uid="{00000000-0005-0000-0000-00008C190000}"/>
    <cellStyle name="Currency 16 5" xfId="5421" xr:uid="{00000000-0005-0000-0000-000086190000}"/>
    <cellStyle name="Currency 16 6" xfId="20872" xr:uid="{628EEDD6-2349-4E00-AF30-C8B511512459}"/>
    <cellStyle name="Currency 16 6 2" xfId="35848" xr:uid="{B03FE99C-5262-4289-AAD4-B842BEFF0397}"/>
    <cellStyle name="Currency 16 7" xfId="28244" xr:uid="{71318ED6-6474-4D4D-BB85-9E7F4AC8DD95}"/>
    <cellStyle name="Currency 17" xfId="2914" xr:uid="{00000000-0005-0000-0000-000030010000}"/>
    <cellStyle name="Currency 17 2" xfId="9529" xr:uid="{00000000-0005-0000-0000-00008E190000}"/>
    <cellStyle name="Currency 17 2 2" xfId="9530" xr:uid="{00000000-0005-0000-0000-00008F190000}"/>
    <cellStyle name="Currency 17 3" xfId="9531" xr:uid="{00000000-0005-0000-0000-000090190000}"/>
    <cellStyle name="Currency 17 3 2" xfId="9532" xr:uid="{00000000-0005-0000-0000-000091190000}"/>
    <cellStyle name="Currency 17 3 3" xfId="9533" xr:uid="{00000000-0005-0000-0000-000092190000}"/>
    <cellStyle name="Currency 17 4" xfId="9534" xr:uid="{00000000-0005-0000-0000-000093190000}"/>
    <cellStyle name="Currency 17 5" xfId="5420" xr:uid="{00000000-0005-0000-0000-00008D190000}"/>
    <cellStyle name="Currency 17 6" xfId="20870" xr:uid="{9E782F86-4929-4472-AA8A-4148A4169B37}"/>
    <cellStyle name="Currency 17 6 2" xfId="35846" xr:uid="{2B6D2052-7B16-4BB0-AF34-A524D2AB4F25}"/>
    <cellStyle name="Currency 17 7" xfId="28242" xr:uid="{8317FCAF-7960-4446-87E3-0C0DA981BFE7}"/>
    <cellStyle name="Currency 18" xfId="2994" xr:uid="{00000000-0005-0000-0000-000031010000}"/>
    <cellStyle name="Currency 18 10" xfId="9535" xr:uid="{00000000-0005-0000-0000-000095190000}"/>
    <cellStyle name="Currency 18 10 2" xfId="9536" xr:uid="{00000000-0005-0000-0000-000096190000}"/>
    <cellStyle name="Currency 18 10 2 2" xfId="9537" xr:uid="{00000000-0005-0000-0000-000097190000}"/>
    <cellStyle name="Currency 18 10 3" xfId="9538" xr:uid="{00000000-0005-0000-0000-000098190000}"/>
    <cellStyle name="Currency 18 10 3 2" xfId="9539" xr:uid="{00000000-0005-0000-0000-000099190000}"/>
    <cellStyle name="Currency 18 10 3 3" xfId="25716" xr:uid="{DAAF498A-BBD7-42D6-9B9E-F7425BB85AAC}"/>
    <cellStyle name="Currency 18 10 3 3 2" xfId="40687" xr:uid="{4BEAAF90-4D64-40BB-BFD7-26232EAE8B93}"/>
    <cellStyle name="Currency 18 10 3 4" xfId="33086" xr:uid="{7F07511E-0235-40A4-A50D-5726953E1868}"/>
    <cellStyle name="Currency 18 11" xfId="9540" xr:uid="{00000000-0005-0000-0000-00009A190000}"/>
    <cellStyle name="Currency 18 11 2" xfId="9541" xr:uid="{00000000-0005-0000-0000-00009B190000}"/>
    <cellStyle name="Currency 18 11 3" xfId="25717" xr:uid="{AF2A8F21-6ED6-4A92-B196-B8A4149395F4}"/>
    <cellStyle name="Currency 18 11 3 2" xfId="40688" xr:uid="{907818B8-0489-423F-B310-11834AC94AAA}"/>
    <cellStyle name="Currency 18 11 4" xfId="33087" xr:uid="{0B8C819E-6AB2-4213-8CAC-A9C3B883C480}"/>
    <cellStyle name="Currency 18 12" xfId="9542" xr:uid="{00000000-0005-0000-0000-00009C190000}"/>
    <cellStyle name="Currency 18 13" xfId="20950" xr:uid="{1A6F1469-66AB-4FAC-9E5C-3ADA249B6321}"/>
    <cellStyle name="Currency 18 13 2" xfId="35926" xr:uid="{5FFF2E06-54C5-4283-B58C-820747A3A8C0}"/>
    <cellStyle name="Currency 18 14" xfId="28322" xr:uid="{879E8041-A966-49F9-9AFA-5E2643A1D915}"/>
    <cellStyle name="Currency 18 2" xfId="9543" xr:uid="{00000000-0005-0000-0000-00009D190000}"/>
    <cellStyle name="Currency 18 2 10" xfId="9544" xr:uid="{00000000-0005-0000-0000-00009E190000}"/>
    <cellStyle name="Currency 18 2 10 2" xfId="9545" xr:uid="{00000000-0005-0000-0000-00009F190000}"/>
    <cellStyle name="Currency 18 2 10 3" xfId="25718" xr:uid="{F9850DF5-64E8-41B3-BF3F-040B565DF525}"/>
    <cellStyle name="Currency 18 2 10 3 2" xfId="40689" xr:uid="{BB04FB1C-18C9-4399-AC68-435BAE28894B}"/>
    <cellStyle name="Currency 18 2 10 4" xfId="33088" xr:uid="{430641C9-2FF9-48C7-8667-3755DF4C3517}"/>
    <cellStyle name="Currency 18 2 2" xfId="9546" xr:uid="{00000000-0005-0000-0000-0000A0190000}"/>
    <cellStyle name="Currency 18 2 2 2" xfId="9547" xr:uid="{00000000-0005-0000-0000-0000A1190000}"/>
    <cellStyle name="Currency 18 2 2 2 2" xfId="9548" xr:uid="{00000000-0005-0000-0000-0000A2190000}"/>
    <cellStyle name="Currency 18 2 2 2 2 2" xfId="9549" xr:uid="{00000000-0005-0000-0000-0000A3190000}"/>
    <cellStyle name="Currency 18 2 2 2 3" xfId="9550" xr:uid="{00000000-0005-0000-0000-0000A4190000}"/>
    <cellStyle name="Currency 18 2 2 2 3 2" xfId="9551" xr:uid="{00000000-0005-0000-0000-0000A5190000}"/>
    <cellStyle name="Currency 18 2 2 2 4" xfId="9552" xr:uid="{00000000-0005-0000-0000-0000A6190000}"/>
    <cellStyle name="Currency 18 2 2 2 4 2" xfId="9553" xr:uid="{00000000-0005-0000-0000-0000A7190000}"/>
    <cellStyle name="Currency 18 2 2 2 5" xfId="9554" xr:uid="{00000000-0005-0000-0000-0000A8190000}"/>
    <cellStyle name="Currency 18 2 2 2 5 2" xfId="9555" xr:uid="{00000000-0005-0000-0000-0000A9190000}"/>
    <cellStyle name="Currency 18 2 2 2 5 2 2" xfId="9556" xr:uid="{00000000-0005-0000-0000-0000AA190000}"/>
    <cellStyle name="Currency 18 2 2 2 5 3" xfId="9557" xr:uid="{00000000-0005-0000-0000-0000AB190000}"/>
    <cellStyle name="Currency 18 2 2 2 5 3 2" xfId="9558" xr:uid="{00000000-0005-0000-0000-0000AC190000}"/>
    <cellStyle name="Currency 18 2 2 2 5 3 3" xfId="25719" xr:uid="{4AEF9CDE-C230-4B9D-A04E-F0E63EB90ADA}"/>
    <cellStyle name="Currency 18 2 2 2 5 3 3 2" xfId="40690" xr:uid="{C301A7B4-15B0-4E7F-AB9B-FCB88EB8ECAE}"/>
    <cellStyle name="Currency 18 2 2 2 5 3 4" xfId="33089" xr:uid="{64F0B610-EA04-4F91-A01F-A2B7E644A2A7}"/>
    <cellStyle name="Currency 18 2 2 3" xfId="9559" xr:uid="{00000000-0005-0000-0000-0000AD190000}"/>
    <cellStyle name="Currency 18 2 2 3 2" xfId="9560" xr:uid="{00000000-0005-0000-0000-0000AE190000}"/>
    <cellStyle name="Currency 18 2 2 3 2 2" xfId="9561" xr:uid="{00000000-0005-0000-0000-0000AF190000}"/>
    <cellStyle name="Currency 18 2 2 3 2 3" xfId="9562" xr:uid="{00000000-0005-0000-0000-0000B0190000}"/>
    <cellStyle name="Currency 18 2 2 3 2 3 2" xfId="25720" xr:uid="{E40453FB-6BA7-4B7A-BC10-08FE475F2809}"/>
    <cellStyle name="Currency 18 2 2 3 2 3 2 2" xfId="40691" xr:uid="{78074349-68CE-40C8-B0C2-AD5259A1997F}"/>
    <cellStyle name="Currency 18 2 2 3 2 3 3" xfId="33090" xr:uid="{24D695CC-6C2E-4FA4-8285-F583DE5BB388}"/>
    <cellStyle name="Currency 18 2 2 3 3" xfId="9563" xr:uid="{00000000-0005-0000-0000-0000B1190000}"/>
    <cellStyle name="Currency 18 2 2 3 4" xfId="9564" xr:uid="{00000000-0005-0000-0000-0000B2190000}"/>
    <cellStyle name="Currency 18 2 2 3 4 2" xfId="25721" xr:uid="{E0535F34-0BFE-4366-A3EE-E228E0515484}"/>
    <cellStyle name="Currency 18 2 2 3 4 2 2" xfId="40692" xr:uid="{9E253ABD-F279-40F0-92BC-4137F5183AAA}"/>
    <cellStyle name="Currency 18 2 2 3 4 3" xfId="33091" xr:uid="{5443358D-FA60-4F6D-91BC-6F98222D73D2}"/>
    <cellStyle name="Currency 18 2 2 4" xfId="9565" xr:uid="{00000000-0005-0000-0000-0000B3190000}"/>
    <cellStyle name="Currency 18 2 2 4 2" xfId="9566" xr:uid="{00000000-0005-0000-0000-0000B4190000}"/>
    <cellStyle name="Currency 18 2 2 5" xfId="9567" xr:uid="{00000000-0005-0000-0000-0000B5190000}"/>
    <cellStyle name="Currency 18 2 2 5 2" xfId="9568" xr:uid="{00000000-0005-0000-0000-0000B6190000}"/>
    <cellStyle name="Currency 18 2 2 5 3" xfId="9569" xr:uid="{00000000-0005-0000-0000-0000B7190000}"/>
    <cellStyle name="Currency 18 2 2 5 4" xfId="9570" xr:uid="{00000000-0005-0000-0000-0000B8190000}"/>
    <cellStyle name="Currency 18 2 2 5 4 2" xfId="25722" xr:uid="{2DF6244C-86D3-4338-BA4D-6005E640497A}"/>
    <cellStyle name="Currency 18 2 2 5 4 2 2" xfId="40693" xr:uid="{3E8ABA58-AFC4-4239-A92C-35A4EEF263B5}"/>
    <cellStyle name="Currency 18 2 2 5 4 3" xfId="33092" xr:uid="{DCBD90BA-E5ED-4B1B-B9DF-986225344AE6}"/>
    <cellStyle name="Currency 18 2 2 6" xfId="9571" xr:uid="{00000000-0005-0000-0000-0000B9190000}"/>
    <cellStyle name="Currency 18 2 2 6 2" xfId="9572" xr:uid="{00000000-0005-0000-0000-0000BA190000}"/>
    <cellStyle name="Currency 18 2 2 7" xfId="9573" xr:uid="{00000000-0005-0000-0000-0000BB190000}"/>
    <cellStyle name="Currency 18 2 2 7 2" xfId="9574" xr:uid="{00000000-0005-0000-0000-0000BC190000}"/>
    <cellStyle name="Currency 18 2 2 7 2 2" xfId="9575" xr:uid="{00000000-0005-0000-0000-0000BD190000}"/>
    <cellStyle name="Currency 18 2 2 7 3" xfId="9576" xr:uid="{00000000-0005-0000-0000-0000BE190000}"/>
    <cellStyle name="Currency 18 2 2 7 3 2" xfId="9577" xr:uid="{00000000-0005-0000-0000-0000BF190000}"/>
    <cellStyle name="Currency 18 2 2 7 3 3" xfId="25723" xr:uid="{8DF44C21-B53F-4362-BFD2-E90368C5D512}"/>
    <cellStyle name="Currency 18 2 2 7 3 3 2" xfId="40694" xr:uid="{6AC35ED0-5232-42E3-B429-2B43B43025F2}"/>
    <cellStyle name="Currency 18 2 2 7 3 4" xfId="33093" xr:uid="{50FC2F9C-BAE1-4D50-89F1-43B7E528F60C}"/>
    <cellStyle name="Currency 18 2 2 8" xfId="9578" xr:uid="{00000000-0005-0000-0000-0000C0190000}"/>
    <cellStyle name="Currency 18 2 2 8 2" xfId="9579" xr:uid="{00000000-0005-0000-0000-0000C1190000}"/>
    <cellStyle name="Currency 18 2 2 8 3" xfId="25724" xr:uid="{C1C78103-15A2-4303-AD8F-DE8D102FED68}"/>
    <cellStyle name="Currency 18 2 2 8 3 2" xfId="40695" xr:uid="{5A99FCB6-6C0E-4E17-8764-6DD72C263B63}"/>
    <cellStyle name="Currency 18 2 2 8 4" xfId="33094" xr:uid="{DA23520C-FF9E-49BC-A359-8C825341E592}"/>
    <cellStyle name="Currency 18 2 3" xfId="9580" xr:uid="{00000000-0005-0000-0000-0000C2190000}"/>
    <cellStyle name="Currency 18 2 3 2" xfId="9581" xr:uid="{00000000-0005-0000-0000-0000C3190000}"/>
    <cellStyle name="Currency 18 2 3 3" xfId="9582" xr:uid="{00000000-0005-0000-0000-0000C4190000}"/>
    <cellStyle name="Currency 18 2 3 3 2" xfId="9583" xr:uid="{00000000-0005-0000-0000-0000C5190000}"/>
    <cellStyle name="Currency 18 2 3 4" xfId="9584" xr:uid="{00000000-0005-0000-0000-0000C6190000}"/>
    <cellStyle name="Currency 18 2 3 4 2" xfId="9585" xr:uid="{00000000-0005-0000-0000-0000C7190000}"/>
    <cellStyle name="Currency 18 2 3 5" xfId="9586" xr:uid="{00000000-0005-0000-0000-0000C8190000}"/>
    <cellStyle name="Currency 18 2 3 5 2" xfId="9587" xr:uid="{00000000-0005-0000-0000-0000C9190000}"/>
    <cellStyle name="Currency 18 2 3 6" xfId="9588" xr:uid="{00000000-0005-0000-0000-0000CA190000}"/>
    <cellStyle name="Currency 18 2 3 6 2" xfId="9589" xr:uid="{00000000-0005-0000-0000-0000CB190000}"/>
    <cellStyle name="Currency 18 2 3 6 2 2" xfId="9590" xr:uid="{00000000-0005-0000-0000-0000CC190000}"/>
    <cellStyle name="Currency 18 2 3 6 3" xfId="9591" xr:uid="{00000000-0005-0000-0000-0000CD190000}"/>
    <cellStyle name="Currency 18 2 3 6 3 2" xfId="9592" xr:uid="{00000000-0005-0000-0000-0000CE190000}"/>
    <cellStyle name="Currency 18 2 3 6 3 3" xfId="25725" xr:uid="{3E9558B6-7867-4490-89CF-5A139DF549BA}"/>
    <cellStyle name="Currency 18 2 3 6 3 3 2" xfId="40696" xr:uid="{6396A24F-BE2F-48CA-8311-9CBA78787E83}"/>
    <cellStyle name="Currency 18 2 3 6 3 4" xfId="33095" xr:uid="{A2EADD00-7435-4B51-82EA-2DAEABD0D8E1}"/>
    <cellStyle name="Currency 18 2 4" xfId="9593" xr:uid="{00000000-0005-0000-0000-0000CF190000}"/>
    <cellStyle name="Currency 18 2 5" xfId="9594" xr:uid="{00000000-0005-0000-0000-0000D0190000}"/>
    <cellStyle name="Currency 18 2 5 2" xfId="9595" xr:uid="{00000000-0005-0000-0000-0000D1190000}"/>
    <cellStyle name="Currency 18 2 5 2 2" xfId="9596" xr:uid="{00000000-0005-0000-0000-0000D2190000}"/>
    <cellStyle name="Currency 18 2 5 2 3" xfId="9597" xr:uid="{00000000-0005-0000-0000-0000D3190000}"/>
    <cellStyle name="Currency 18 2 5 2 3 2" xfId="25726" xr:uid="{408E1CB6-F012-4310-949B-A60FED030D33}"/>
    <cellStyle name="Currency 18 2 5 2 3 2 2" xfId="40697" xr:uid="{B931CCCB-C1DF-478E-8D9E-9EDE7CC5A684}"/>
    <cellStyle name="Currency 18 2 5 2 3 3" xfId="33096" xr:uid="{F5DD27C1-23D6-40CE-AE64-29AB23443AF6}"/>
    <cellStyle name="Currency 18 2 5 3" xfId="9598" xr:uid="{00000000-0005-0000-0000-0000D4190000}"/>
    <cellStyle name="Currency 18 2 5 4" xfId="9599" xr:uid="{00000000-0005-0000-0000-0000D5190000}"/>
    <cellStyle name="Currency 18 2 5 4 2" xfId="25727" xr:uid="{7D4084DA-D5E2-45D6-8FB8-353AF5BB8436}"/>
    <cellStyle name="Currency 18 2 5 4 2 2" xfId="40698" xr:uid="{0AEC067A-FF56-4E1C-9B48-94093373E714}"/>
    <cellStyle name="Currency 18 2 5 4 3" xfId="33097" xr:uid="{8A692622-161F-445D-BF60-D7E1A8BB870E}"/>
    <cellStyle name="Currency 18 2 6" xfId="9600" xr:uid="{00000000-0005-0000-0000-0000D6190000}"/>
    <cellStyle name="Currency 18 2 6 2" xfId="9601" xr:uid="{00000000-0005-0000-0000-0000D7190000}"/>
    <cellStyle name="Currency 18 2 7" xfId="9602" xr:uid="{00000000-0005-0000-0000-0000D8190000}"/>
    <cellStyle name="Currency 18 2 7 2" xfId="9603" xr:uid="{00000000-0005-0000-0000-0000D9190000}"/>
    <cellStyle name="Currency 18 2 7 3" xfId="9604" xr:uid="{00000000-0005-0000-0000-0000DA190000}"/>
    <cellStyle name="Currency 18 2 7 4" xfId="9605" xr:uid="{00000000-0005-0000-0000-0000DB190000}"/>
    <cellStyle name="Currency 18 2 7 4 2" xfId="25728" xr:uid="{B2235F63-BBD7-4AF0-88B7-A7789D6DBE37}"/>
    <cellStyle name="Currency 18 2 7 4 2 2" xfId="40699" xr:uid="{45C8556C-34C1-4634-A062-E353C9B4CA57}"/>
    <cellStyle name="Currency 18 2 7 4 3" xfId="33098" xr:uid="{52099D2C-CD4A-4C70-A3A6-29FC28761D21}"/>
    <cellStyle name="Currency 18 2 8" xfId="9606" xr:uid="{00000000-0005-0000-0000-0000DC190000}"/>
    <cellStyle name="Currency 18 2 8 2" xfId="9607" xr:uid="{00000000-0005-0000-0000-0000DD190000}"/>
    <cellStyle name="Currency 18 2 9" xfId="9608" xr:uid="{00000000-0005-0000-0000-0000DE190000}"/>
    <cellStyle name="Currency 18 2 9 2" xfId="9609" xr:uid="{00000000-0005-0000-0000-0000DF190000}"/>
    <cellStyle name="Currency 18 2 9 2 2" xfId="9610" xr:uid="{00000000-0005-0000-0000-0000E0190000}"/>
    <cellStyle name="Currency 18 2 9 3" xfId="9611" xr:uid="{00000000-0005-0000-0000-0000E1190000}"/>
    <cellStyle name="Currency 18 2 9 3 2" xfId="9612" xr:uid="{00000000-0005-0000-0000-0000E2190000}"/>
    <cellStyle name="Currency 18 2 9 3 3" xfId="25729" xr:uid="{B0926040-0E62-4B7F-BDB2-EFC86186A137}"/>
    <cellStyle name="Currency 18 2 9 3 3 2" xfId="40700" xr:uid="{D29993E8-1D1E-4FD1-922B-71E0288766BB}"/>
    <cellStyle name="Currency 18 2 9 3 4" xfId="33099" xr:uid="{980B31DA-C139-40EB-B2F9-D04F6BFEF64C}"/>
    <cellStyle name="Currency 18 3" xfId="9613" xr:uid="{00000000-0005-0000-0000-0000E3190000}"/>
    <cellStyle name="Currency 18 3 2" xfId="9614" xr:uid="{00000000-0005-0000-0000-0000E4190000}"/>
    <cellStyle name="Currency 18 3 2 2" xfId="9615" xr:uid="{00000000-0005-0000-0000-0000E5190000}"/>
    <cellStyle name="Currency 18 3 2 2 2" xfId="9616" xr:uid="{00000000-0005-0000-0000-0000E6190000}"/>
    <cellStyle name="Currency 18 3 2 3" xfId="9617" xr:uid="{00000000-0005-0000-0000-0000E7190000}"/>
    <cellStyle name="Currency 18 3 2 3 2" xfId="9618" xr:uid="{00000000-0005-0000-0000-0000E8190000}"/>
    <cellStyle name="Currency 18 3 2 4" xfId="9619" xr:uid="{00000000-0005-0000-0000-0000E9190000}"/>
    <cellStyle name="Currency 18 3 2 4 2" xfId="9620" xr:uid="{00000000-0005-0000-0000-0000EA190000}"/>
    <cellStyle name="Currency 18 3 2 5" xfId="9621" xr:uid="{00000000-0005-0000-0000-0000EB190000}"/>
    <cellStyle name="Currency 18 3 2 5 2" xfId="9622" xr:uid="{00000000-0005-0000-0000-0000EC190000}"/>
    <cellStyle name="Currency 18 3 2 5 2 2" xfId="9623" xr:uid="{00000000-0005-0000-0000-0000ED190000}"/>
    <cellStyle name="Currency 18 3 2 5 3" xfId="9624" xr:uid="{00000000-0005-0000-0000-0000EE190000}"/>
    <cellStyle name="Currency 18 3 2 5 3 2" xfId="9625" xr:uid="{00000000-0005-0000-0000-0000EF190000}"/>
    <cellStyle name="Currency 18 3 2 5 3 3" xfId="25730" xr:uid="{D4C003AB-89B1-4EE6-ADDC-289742A904C9}"/>
    <cellStyle name="Currency 18 3 2 5 3 3 2" xfId="40701" xr:uid="{548DD4B0-C46E-483F-BF5E-3E6F7B9B1ECE}"/>
    <cellStyle name="Currency 18 3 2 5 3 4" xfId="33100" xr:uid="{DEE2AEFA-47FE-44BE-A426-A88D12F48828}"/>
    <cellStyle name="Currency 18 3 3" xfId="9626" xr:uid="{00000000-0005-0000-0000-0000F0190000}"/>
    <cellStyle name="Currency 18 3 3 2" xfId="9627" xr:uid="{00000000-0005-0000-0000-0000F1190000}"/>
    <cellStyle name="Currency 18 3 3 2 2" xfId="9628" xr:uid="{00000000-0005-0000-0000-0000F2190000}"/>
    <cellStyle name="Currency 18 3 3 2 3" xfId="9629" xr:uid="{00000000-0005-0000-0000-0000F3190000}"/>
    <cellStyle name="Currency 18 3 3 2 3 2" xfId="25731" xr:uid="{36482A6B-FD20-416D-B494-C1CA634ABD38}"/>
    <cellStyle name="Currency 18 3 3 2 3 2 2" xfId="40702" xr:uid="{B1D5EF35-71E5-4E72-B873-37C826586F27}"/>
    <cellStyle name="Currency 18 3 3 2 3 3" xfId="33101" xr:uid="{68250918-DA33-4D51-B97C-9B7B5E446C9B}"/>
    <cellStyle name="Currency 18 3 3 3" xfId="9630" xr:uid="{00000000-0005-0000-0000-0000F4190000}"/>
    <cellStyle name="Currency 18 3 3 4" xfId="9631" xr:uid="{00000000-0005-0000-0000-0000F5190000}"/>
    <cellStyle name="Currency 18 3 3 4 2" xfId="25732" xr:uid="{DD474DD5-4D91-485D-B6D7-DF226FD95C1C}"/>
    <cellStyle name="Currency 18 3 3 4 2 2" xfId="40703" xr:uid="{F32AA5BE-364E-4D46-8295-B0C95455CCD4}"/>
    <cellStyle name="Currency 18 3 3 4 3" xfId="33102" xr:uid="{81B144E5-84B3-4B02-B23E-CA87C869117C}"/>
    <cellStyle name="Currency 18 3 4" xfId="9632" xr:uid="{00000000-0005-0000-0000-0000F6190000}"/>
    <cellStyle name="Currency 18 3 4 2" xfId="9633" xr:uid="{00000000-0005-0000-0000-0000F7190000}"/>
    <cellStyle name="Currency 18 3 5" xfId="9634" xr:uid="{00000000-0005-0000-0000-0000F8190000}"/>
    <cellStyle name="Currency 18 3 5 2" xfId="9635" xr:uid="{00000000-0005-0000-0000-0000F9190000}"/>
    <cellStyle name="Currency 18 3 5 3" xfId="9636" xr:uid="{00000000-0005-0000-0000-0000FA190000}"/>
    <cellStyle name="Currency 18 3 5 4" xfId="9637" xr:uid="{00000000-0005-0000-0000-0000FB190000}"/>
    <cellStyle name="Currency 18 3 5 4 2" xfId="25733" xr:uid="{6DB214A0-0361-418B-BAA6-97E6B2B72057}"/>
    <cellStyle name="Currency 18 3 5 4 2 2" xfId="40704" xr:uid="{617A7658-E8D8-4D12-806C-DB2795811181}"/>
    <cellStyle name="Currency 18 3 5 4 3" xfId="33103" xr:uid="{B33DDE60-1791-47B6-9977-53F71261B842}"/>
    <cellStyle name="Currency 18 3 6" xfId="9638" xr:uid="{00000000-0005-0000-0000-0000FC190000}"/>
    <cellStyle name="Currency 18 3 6 2" xfId="9639" xr:uid="{00000000-0005-0000-0000-0000FD190000}"/>
    <cellStyle name="Currency 18 3 7" xfId="9640" xr:uid="{00000000-0005-0000-0000-0000FE190000}"/>
    <cellStyle name="Currency 18 3 7 2" xfId="9641" xr:uid="{00000000-0005-0000-0000-0000FF190000}"/>
    <cellStyle name="Currency 18 3 7 2 2" xfId="9642" xr:uid="{00000000-0005-0000-0000-0000001A0000}"/>
    <cellStyle name="Currency 18 3 7 3" xfId="9643" xr:uid="{00000000-0005-0000-0000-0000011A0000}"/>
    <cellStyle name="Currency 18 3 7 3 2" xfId="9644" xr:uid="{00000000-0005-0000-0000-0000021A0000}"/>
    <cellStyle name="Currency 18 3 7 3 3" xfId="25734" xr:uid="{C83E5FB3-04F5-40B7-B723-68A7AF3CB9BD}"/>
    <cellStyle name="Currency 18 3 7 3 3 2" xfId="40705" xr:uid="{EBE85E4C-B1B8-442C-BB14-0AF25F690756}"/>
    <cellStyle name="Currency 18 3 7 3 4" xfId="33104" xr:uid="{416FC003-79EA-4B95-BC6E-00648483B5F6}"/>
    <cellStyle name="Currency 18 3 8" xfId="9645" xr:uid="{00000000-0005-0000-0000-0000031A0000}"/>
    <cellStyle name="Currency 18 3 8 2" xfId="9646" xr:uid="{00000000-0005-0000-0000-0000041A0000}"/>
    <cellStyle name="Currency 18 3 8 3" xfId="25735" xr:uid="{6EBEDB33-A866-4E44-8412-DB9597ACF074}"/>
    <cellStyle name="Currency 18 3 8 3 2" xfId="40706" xr:uid="{D980700B-C399-483A-8799-16E065F03238}"/>
    <cellStyle name="Currency 18 3 8 4" xfId="33105" xr:uid="{277BFF00-37C8-4153-86AD-AB6115F00A2D}"/>
    <cellStyle name="Currency 18 4" xfId="9647" xr:uid="{00000000-0005-0000-0000-0000051A0000}"/>
    <cellStyle name="Currency 18 4 2" xfId="9648" xr:uid="{00000000-0005-0000-0000-0000061A0000}"/>
    <cellStyle name="Currency 18 4 3" xfId="9649" xr:uid="{00000000-0005-0000-0000-0000071A0000}"/>
    <cellStyle name="Currency 18 4 3 2" xfId="9650" xr:uid="{00000000-0005-0000-0000-0000081A0000}"/>
    <cellStyle name="Currency 18 4 4" xfId="9651" xr:uid="{00000000-0005-0000-0000-0000091A0000}"/>
    <cellStyle name="Currency 18 4 4 2" xfId="9652" xr:uid="{00000000-0005-0000-0000-00000A1A0000}"/>
    <cellStyle name="Currency 18 4 4 3" xfId="9653" xr:uid="{00000000-0005-0000-0000-00000B1A0000}"/>
    <cellStyle name="Currency 18 4 4 4" xfId="9654" xr:uid="{00000000-0005-0000-0000-00000C1A0000}"/>
    <cellStyle name="Currency 18 4 4 4 2" xfId="25736" xr:uid="{CCAC08C1-4F35-46BD-8374-235F0BF4281B}"/>
    <cellStyle name="Currency 18 4 4 4 2 2" xfId="40707" xr:uid="{1B475124-D9A6-44E8-98C2-9F4AE8121C66}"/>
    <cellStyle name="Currency 18 4 4 4 3" xfId="33106" xr:uid="{8D067610-5AA9-409F-A674-12165E30F250}"/>
    <cellStyle name="Currency 18 4 5" xfId="9655" xr:uid="{00000000-0005-0000-0000-00000D1A0000}"/>
    <cellStyle name="Currency 18 4 5 2" xfId="9656" xr:uid="{00000000-0005-0000-0000-00000E1A0000}"/>
    <cellStyle name="Currency 18 4 6" xfId="9657" xr:uid="{00000000-0005-0000-0000-00000F1A0000}"/>
    <cellStyle name="Currency 18 4 6 2" xfId="9658" xr:uid="{00000000-0005-0000-0000-0000101A0000}"/>
    <cellStyle name="Currency 18 4 6 2 2" xfId="9659" xr:uid="{00000000-0005-0000-0000-0000111A0000}"/>
    <cellStyle name="Currency 18 4 6 3" xfId="9660" xr:uid="{00000000-0005-0000-0000-0000121A0000}"/>
    <cellStyle name="Currency 18 4 6 3 2" xfId="9661" xr:uid="{00000000-0005-0000-0000-0000131A0000}"/>
    <cellStyle name="Currency 18 4 6 3 3" xfId="25737" xr:uid="{3C1940FA-EB87-46DB-82AC-799D6404066F}"/>
    <cellStyle name="Currency 18 4 6 3 3 2" xfId="40708" xr:uid="{696D3C2D-75E0-4E09-8AEE-88B0C9C30155}"/>
    <cellStyle name="Currency 18 4 6 3 4" xfId="33107" xr:uid="{2CF655DB-8DEA-4EF7-9164-CA35F642CC3D}"/>
    <cellStyle name="Currency 18 4 7" xfId="9662" xr:uid="{00000000-0005-0000-0000-0000141A0000}"/>
    <cellStyle name="Currency 18 4 7 2" xfId="25738" xr:uid="{90C01F59-8E52-4F20-B10E-A16FCE618A17}"/>
    <cellStyle name="Currency 18 4 7 2 2" xfId="40709" xr:uid="{CA769BF9-2A25-4503-94CA-EA6A59FDD12F}"/>
    <cellStyle name="Currency 18 4 7 3" xfId="33108" xr:uid="{7423024B-3969-4515-BFC5-CB605F61499A}"/>
    <cellStyle name="Currency 18 5" xfId="9663" xr:uid="{00000000-0005-0000-0000-0000151A0000}"/>
    <cellStyle name="Currency 18 6" xfId="9664" xr:uid="{00000000-0005-0000-0000-0000161A0000}"/>
    <cellStyle name="Currency 18 6 2" xfId="9665" xr:uid="{00000000-0005-0000-0000-0000171A0000}"/>
    <cellStyle name="Currency 18 6 2 2" xfId="9666" xr:uid="{00000000-0005-0000-0000-0000181A0000}"/>
    <cellStyle name="Currency 18 6 2 3" xfId="9667" xr:uid="{00000000-0005-0000-0000-0000191A0000}"/>
    <cellStyle name="Currency 18 6 2 3 2" xfId="25739" xr:uid="{B6A0D705-E1A3-42DE-8984-D25725522079}"/>
    <cellStyle name="Currency 18 6 2 3 2 2" xfId="40710" xr:uid="{E1CE9920-CFD3-4EF4-89ED-CB877730599D}"/>
    <cellStyle name="Currency 18 6 2 3 3" xfId="33109" xr:uid="{78FE202A-9477-4324-99E6-FE28F3E9A2D4}"/>
    <cellStyle name="Currency 18 6 3" xfId="9668" xr:uid="{00000000-0005-0000-0000-00001A1A0000}"/>
    <cellStyle name="Currency 18 6 4" xfId="9669" xr:uid="{00000000-0005-0000-0000-00001B1A0000}"/>
    <cellStyle name="Currency 18 6 4 2" xfId="25740" xr:uid="{4EDB1F97-DFE9-49DF-8629-93F52B037BBE}"/>
    <cellStyle name="Currency 18 6 4 2 2" xfId="40711" xr:uid="{CDE731BE-B270-4108-A224-CC51BBACE249}"/>
    <cellStyle name="Currency 18 6 4 3" xfId="33110" xr:uid="{D62D2FE8-6DC7-49F0-9559-C9B1115DB468}"/>
    <cellStyle name="Currency 18 7" xfId="9670" xr:uid="{00000000-0005-0000-0000-00001C1A0000}"/>
    <cellStyle name="Currency 18 7 2" xfId="9671" xr:uid="{00000000-0005-0000-0000-00001D1A0000}"/>
    <cellStyle name="Currency 18 8" xfId="9672" xr:uid="{00000000-0005-0000-0000-00001E1A0000}"/>
    <cellStyle name="Currency 18 8 2" xfId="9673" xr:uid="{00000000-0005-0000-0000-00001F1A0000}"/>
    <cellStyle name="Currency 18 8 3" xfId="9674" xr:uid="{00000000-0005-0000-0000-0000201A0000}"/>
    <cellStyle name="Currency 18 8 4" xfId="9675" xr:uid="{00000000-0005-0000-0000-0000211A0000}"/>
    <cellStyle name="Currency 18 8 4 2" xfId="25741" xr:uid="{07EDD894-A2B0-4226-81B9-02CA2E5DEF07}"/>
    <cellStyle name="Currency 18 8 4 2 2" xfId="40712" xr:uid="{47A793F2-65AE-49A0-B257-8FFAA95F87A7}"/>
    <cellStyle name="Currency 18 8 4 3" xfId="33111" xr:uid="{3C401F23-ED0E-41D8-9B3D-EDD85B85BB91}"/>
    <cellStyle name="Currency 18 9" xfId="9676" xr:uid="{00000000-0005-0000-0000-0000221A0000}"/>
    <cellStyle name="Currency 18 9 2" xfId="9677" xr:uid="{00000000-0005-0000-0000-0000231A0000}"/>
    <cellStyle name="Currency 19" xfId="2990" xr:uid="{00000000-0005-0000-0000-000032010000}"/>
    <cellStyle name="Currency 19 2" xfId="9678" xr:uid="{00000000-0005-0000-0000-0000251A0000}"/>
    <cellStyle name="Currency 19 2 2" xfId="9679" xr:uid="{00000000-0005-0000-0000-0000261A0000}"/>
    <cellStyle name="Currency 19 2 2 2" xfId="9680" xr:uid="{00000000-0005-0000-0000-0000271A0000}"/>
    <cellStyle name="Currency 19 2 2 3" xfId="9681" xr:uid="{00000000-0005-0000-0000-0000281A0000}"/>
    <cellStyle name="Currency 19 2 2 4" xfId="9682" xr:uid="{00000000-0005-0000-0000-0000291A0000}"/>
    <cellStyle name="Currency 19 2 2 4 2" xfId="25742" xr:uid="{DDEA87C3-8228-4434-B607-5B7D86394DB5}"/>
    <cellStyle name="Currency 19 2 2 4 2 2" xfId="40713" xr:uid="{0440D3F2-525C-484D-A78B-DAA37E3E0E89}"/>
    <cellStyle name="Currency 19 2 2 4 3" xfId="33112" xr:uid="{E35B12DB-BAF3-467C-97F6-18CF638E87F7}"/>
    <cellStyle name="Currency 19 2 3" xfId="9683" xr:uid="{00000000-0005-0000-0000-00002A1A0000}"/>
    <cellStyle name="Currency 19 2 3 2" xfId="9684" xr:uid="{00000000-0005-0000-0000-00002B1A0000}"/>
    <cellStyle name="Currency 19 2 4" xfId="9685" xr:uid="{00000000-0005-0000-0000-00002C1A0000}"/>
    <cellStyle name="Currency 19 2 5" xfId="9686" xr:uid="{00000000-0005-0000-0000-00002D1A0000}"/>
    <cellStyle name="Currency 19 2 5 2" xfId="9687" xr:uid="{00000000-0005-0000-0000-00002E1A0000}"/>
    <cellStyle name="Currency 19 2 6" xfId="9688" xr:uid="{00000000-0005-0000-0000-00002F1A0000}"/>
    <cellStyle name="Currency 19 2 6 2" xfId="9689" xr:uid="{00000000-0005-0000-0000-0000301A0000}"/>
    <cellStyle name="Currency 19 2 6 2 2" xfId="9690" xr:uid="{00000000-0005-0000-0000-0000311A0000}"/>
    <cellStyle name="Currency 19 2 6 3" xfId="9691" xr:uid="{00000000-0005-0000-0000-0000321A0000}"/>
    <cellStyle name="Currency 19 2 6 3 2" xfId="9692" xr:uid="{00000000-0005-0000-0000-0000331A0000}"/>
    <cellStyle name="Currency 19 2 6 3 3" xfId="25743" xr:uid="{EBC27AA9-B775-4D6D-803E-436571C91ADB}"/>
    <cellStyle name="Currency 19 2 6 3 3 2" xfId="40714" xr:uid="{63D69C7B-F626-4523-BCEE-E41CA457E1AD}"/>
    <cellStyle name="Currency 19 2 6 3 4" xfId="33113" xr:uid="{0F8C962E-42D7-4F01-BA67-8111CC2C9B4B}"/>
    <cellStyle name="Currency 19 2 7" xfId="9693" xr:uid="{00000000-0005-0000-0000-0000341A0000}"/>
    <cellStyle name="Currency 19 2 7 2" xfId="9694" xr:uid="{00000000-0005-0000-0000-0000351A0000}"/>
    <cellStyle name="Currency 19 2 8" xfId="9695" xr:uid="{00000000-0005-0000-0000-0000361A0000}"/>
    <cellStyle name="Currency 19 2 8 2" xfId="25744" xr:uid="{85C2DD86-AE3B-4FCC-A6C6-19480B74C521}"/>
    <cellStyle name="Currency 19 2 8 2 2" xfId="40715" xr:uid="{5D901C10-2E84-4BD8-B3C3-8AB565328096}"/>
    <cellStyle name="Currency 19 2 8 3" xfId="33114" xr:uid="{864DBD6D-79D7-4CE6-8AED-1F764B1BAE87}"/>
    <cellStyle name="Currency 19 3" xfId="9696" xr:uid="{00000000-0005-0000-0000-0000371A0000}"/>
    <cellStyle name="Currency 19 3 2" xfId="9697" xr:uid="{00000000-0005-0000-0000-0000381A0000}"/>
    <cellStyle name="Currency 19 4" xfId="9698" xr:uid="{00000000-0005-0000-0000-0000391A0000}"/>
    <cellStyle name="Currency 19 4 2" xfId="9699" xr:uid="{00000000-0005-0000-0000-00003A1A0000}"/>
    <cellStyle name="Currency 19 5" xfId="9700" xr:uid="{00000000-0005-0000-0000-00003B1A0000}"/>
    <cellStyle name="Currency 19 5 2" xfId="9701" xr:uid="{00000000-0005-0000-0000-00003C1A0000}"/>
    <cellStyle name="Currency 19 6" xfId="9702" xr:uid="{00000000-0005-0000-0000-00003D1A0000}"/>
    <cellStyle name="Currency 19 6 2" xfId="9703" xr:uid="{00000000-0005-0000-0000-00003E1A0000}"/>
    <cellStyle name="Currency 19 6 2 2" xfId="9704" xr:uid="{00000000-0005-0000-0000-00003F1A0000}"/>
    <cellStyle name="Currency 19 6 3" xfId="9705" xr:uid="{00000000-0005-0000-0000-0000401A0000}"/>
    <cellStyle name="Currency 19 6 3 2" xfId="9706" xr:uid="{00000000-0005-0000-0000-0000411A0000}"/>
    <cellStyle name="Currency 19 6 3 3" xfId="25745" xr:uid="{068125F4-FC42-404C-8377-7114CE4B77CB}"/>
    <cellStyle name="Currency 19 6 3 3 2" xfId="40716" xr:uid="{B2233BAD-FDDE-4699-8D5C-8644DB337944}"/>
    <cellStyle name="Currency 19 6 3 4" xfId="33115" xr:uid="{0BDA859C-B18C-4A9B-B801-2B18E972DC6D}"/>
    <cellStyle name="Currency 19 7" xfId="20121" xr:uid="{00000000-0005-0000-0000-0000421A0000}"/>
    <cellStyle name="Currency 19 7 2" xfId="27564" xr:uid="{22386C86-7608-4F9B-96EB-04D67787AAF0}"/>
    <cellStyle name="Currency 19 7 2 2" xfId="42501" xr:uid="{4117CE4B-2CF3-4E1B-902F-5283FB81D1FD}"/>
    <cellStyle name="Currency 19 7 3" xfId="35140" xr:uid="{D49BEADC-1A06-4AB0-B84D-FFB2A58840CE}"/>
    <cellStyle name="Currency 19 8" xfId="20946" xr:uid="{553F6C06-07CE-4407-B310-DD4D833436FE}"/>
    <cellStyle name="Currency 19 8 2" xfId="35922" xr:uid="{711A1F54-B273-4F3A-A496-24044F80810D}"/>
    <cellStyle name="Currency 19 9" xfId="28318" xr:uid="{558D3F4B-A8E2-49C9-B3FF-CD4CBAD51C45}"/>
    <cellStyle name="Currency 2" xfId="432" xr:uid="{00000000-0005-0000-0000-000033010000}"/>
    <cellStyle name="Currency 2 10" xfId="9707" xr:uid="{00000000-0005-0000-0000-0000441A0000}"/>
    <cellStyle name="Currency 2 10 2" xfId="9708" xr:uid="{00000000-0005-0000-0000-0000451A0000}"/>
    <cellStyle name="Currency 2 11" xfId="5496" xr:uid="{00000000-0005-0000-0000-0000431A0000}"/>
    <cellStyle name="Currency 2 2" xfId="433" xr:uid="{00000000-0005-0000-0000-000034010000}"/>
    <cellStyle name="Currency 2 2 2" xfId="434" xr:uid="{00000000-0005-0000-0000-000035010000}"/>
    <cellStyle name="Currency 2 2 2 2" xfId="9709" xr:uid="{00000000-0005-0000-0000-0000481A0000}"/>
    <cellStyle name="Currency 2 2 2 3" xfId="5418" xr:uid="{00000000-0005-0000-0000-0000471A0000}"/>
    <cellStyle name="Currency 2 2 3" xfId="9710" xr:uid="{00000000-0005-0000-0000-0000491A0000}"/>
    <cellStyle name="Currency 2 2 4" xfId="5419" xr:uid="{00000000-0005-0000-0000-0000461A0000}"/>
    <cellStyle name="Currency 2 3" xfId="15" xr:uid="{00000000-0005-0000-0000-000007000000}"/>
    <cellStyle name="Currency 2 3 2" xfId="9711" xr:uid="{00000000-0005-0000-0000-00004B1A0000}"/>
    <cellStyle name="Currency 2 3 2 2" xfId="9712" xr:uid="{00000000-0005-0000-0000-00004C1A0000}"/>
    <cellStyle name="Currency 2 3 3" xfId="5417" xr:uid="{00000000-0005-0000-0000-00004A1A0000}"/>
    <cellStyle name="Currency 2 4" xfId="5416" xr:uid="{00000000-0005-0000-0000-00004D1A0000}"/>
    <cellStyle name="Currency 2 4 2" xfId="9713" xr:uid="{00000000-0005-0000-0000-00004E1A0000}"/>
    <cellStyle name="Currency 2 5" xfId="5415" xr:uid="{00000000-0005-0000-0000-00004F1A0000}"/>
    <cellStyle name="Currency 2 5 2" xfId="9714" xr:uid="{00000000-0005-0000-0000-0000501A0000}"/>
    <cellStyle name="Currency 2 5 2 2" xfId="9715" xr:uid="{00000000-0005-0000-0000-0000511A0000}"/>
    <cellStyle name="Currency 2 5 2 2 2" xfId="9716" xr:uid="{00000000-0005-0000-0000-0000521A0000}"/>
    <cellStyle name="Currency 2 5 2 3" xfId="9717" xr:uid="{00000000-0005-0000-0000-0000531A0000}"/>
    <cellStyle name="Currency 2 5 2 4" xfId="9718" xr:uid="{00000000-0005-0000-0000-0000541A0000}"/>
    <cellStyle name="Currency 2 5 2 4 2" xfId="9719" xr:uid="{00000000-0005-0000-0000-0000551A0000}"/>
    <cellStyle name="Currency 2 5 2 5" xfId="9720" xr:uid="{00000000-0005-0000-0000-0000561A0000}"/>
    <cellStyle name="Currency 2 5 2 5 2" xfId="9721" xr:uid="{00000000-0005-0000-0000-0000571A0000}"/>
    <cellStyle name="Currency 2 5 2 5 2 2" xfId="9722" xr:uid="{00000000-0005-0000-0000-0000581A0000}"/>
    <cellStyle name="Currency 2 5 2 5 3" xfId="9723" xr:uid="{00000000-0005-0000-0000-0000591A0000}"/>
    <cellStyle name="Currency 2 5 2 5 3 2" xfId="9724" xr:uid="{00000000-0005-0000-0000-00005A1A0000}"/>
    <cellStyle name="Currency 2 5 2 5 3 3" xfId="25746" xr:uid="{6019FF43-E861-4126-B345-AD1B28108DD6}"/>
    <cellStyle name="Currency 2 5 2 5 3 3 2" xfId="40717" xr:uid="{523EAB15-B108-475F-A835-F6BA35448D09}"/>
    <cellStyle name="Currency 2 5 2 5 3 4" xfId="33116" xr:uid="{6577157B-C6B6-4CD9-9F51-92FE0836934D}"/>
    <cellStyle name="Currency 2 5 2 6" xfId="9725" xr:uid="{00000000-0005-0000-0000-00005B1A0000}"/>
    <cellStyle name="Currency 2 5 2 7" xfId="9726" xr:uid="{00000000-0005-0000-0000-00005C1A0000}"/>
    <cellStyle name="Currency 2 5 2 7 2" xfId="25747" xr:uid="{BF515A99-3748-4B03-8D69-1D1E8E3903EE}"/>
    <cellStyle name="Currency 2 5 2 7 2 2" xfId="40718" xr:uid="{8142B013-4DA1-4274-8684-03DB443B0D7B}"/>
    <cellStyle name="Currency 2 5 2 7 3" xfId="33117" xr:uid="{0E63634A-91CB-4D01-861E-56FD8826D312}"/>
    <cellStyle name="Currency 2 5 3" xfId="9727" xr:uid="{00000000-0005-0000-0000-00005D1A0000}"/>
    <cellStyle name="Currency 2 5 3 2" xfId="9728" xr:uid="{00000000-0005-0000-0000-00005E1A0000}"/>
    <cellStyle name="Currency 2 5 3 3" xfId="9729" xr:uid="{00000000-0005-0000-0000-00005F1A0000}"/>
    <cellStyle name="Currency 2 5 3 4" xfId="9730" xr:uid="{00000000-0005-0000-0000-0000601A0000}"/>
    <cellStyle name="Currency 2 5 4" xfId="9731" xr:uid="{00000000-0005-0000-0000-0000611A0000}"/>
    <cellStyle name="Currency 2 5 4 2" xfId="9732" xr:uid="{00000000-0005-0000-0000-0000621A0000}"/>
    <cellStyle name="Currency 2 5 5" xfId="9733" xr:uid="{00000000-0005-0000-0000-0000631A0000}"/>
    <cellStyle name="Currency 2 5 6" xfId="9734" xr:uid="{00000000-0005-0000-0000-0000641A0000}"/>
    <cellStyle name="Currency 2 5 6 2" xfId="9735" xr:uid="{00000000-0005-0000-0000-0000651A0000}"/>
    <cellStyle name="Currency 2 5 7" xfId="9736" xr:uid="{00000000-0005-0000-0000-0000661A0000}"/>
    <cellStyle name="Currency 2 5 7 2" xfId="9737" xr:uid="{00000000-0005-0000-0000-0000671A0000}"/>
    <cellStyle name="Currency 2 5 7 2 2" xfId="9738" xr:uid="{00000000-0005-0000-0000-0000681A0000}"/>
    <cellStyle name="Currency 2 5 7 3" xfId="9739" xr:uid="{00000000-0005-0000-0000-0000691A0000}"/>
    <cellStyle name="Currency 2 5 7 3 2" xfId="9740" xr:uid="{00000000-0005-0000-0000-00006A1A0000}"/>
    <cellStyle name="Currency 2 5 7 3 3" xfId="25748" xr:uid="{EC74A443-33AF-4AA5-8075-A12E46704C0A}"/>
    <cellStyle name="Currency 2 5 7 3 3 2" xfId="40719" xr:uid="{EE53AD4C-BC21-4000-A4C3-B8AB715003C1}"/>
    <cellStyle name="Currency 2 5 7 3 4" xfId="33118" xr:uid="{75DCEF3D-52C3-4C72-86D3-5ED17190AB25}"/>
    <cellStyle name="Currency 2 5 8" xfId="9741" xr:uid="{00000000-0005-0000-0000-00006B1A0000}"/>
    <cellStyle name="Currency 2 5 9" xfId="9742" xr:uid="{00000000-0005-0000-0000-00006C1A0000}"/>
    <cellStyle name="Currency 2 5 9 2" xfId="25749" xr:uid="{B1731AF9-814A-42C1-BE36-1AF11624E267}"/>
    <cellStyle name="Currency 2 5 9 2 2" xfId="40720" xr:uid="{540E52B9-890E-49B9-9BE9-84CB30B9C91F}"/>
    <cellStyle name="Currency 2 5 9 3" xfId="33119" xr:uid="{ABC7F7C1-4823-45BC-9CD7-A0458EA0462C}"/>
    <cellStyle name="Currency 2 6" xfId="9743" xr:uid="{00000000-0005-0000-0000-00006D1A0000}"/>
    <cellStyle name="Currency 2 6 2" xfId="9744" xr:uid="{00000000-0005-0000-0000-00006E1A0000}"/>
    <cellStyle name="Currency 2 6 2 2" xfId="9745" xr:uid="{00000000-0005-0000-0000-00006F1A0000}"/>
    <cellStyle name="Currency 2 6 2 2 2" xfId="9746" xr:uid="{00000000-0005-0000-0000-0000701A0000}"/>
    <cellStyle name="Currency 2 6 2 3" xfId="9747" xr:uid="{00000000-0005-0000-0000-0000711A0000}"/>
    <cellStyle name="Currency 2 6 2 4" xfId="9748" xr:uid="{00000000-0005-0000-0000-0000721A0000}"/>
    <cellStyle name="Currency 2 6 2 4 2" xfId="9749" xr:uid="{00000000-0005-0000-0000-0000731A0000}"/>
    <cellStyle name="Currency 2 6 2 5" xfId="9750" xr:uid="{00000000-0005-0000-0000-0000741A0000}"/>
    <cellStyle name="Currency 2 6 2 5 2" xfId="9751" xr:uid="{00000000-0005-0000-0000-0000751A0000}"/>
    <cellStyle name="Currency 2 6 2 5 2 2" xfId="9752" xr:uid="{00000000-0005-0000-0000-0000761A0000}"/>
    <cellStyle name="Currency 2 6 2 5 3" xfId="9753" xr:uid="{00000000-0005-0000-0000-0000771A0000}"/>
    <cellStyle name="Currency 2 6 2 5 3 2" xfId="9754" xr:uid="{00000000-0005-0000-0000-0000781A0000}"/>
    <cellStyle name="Currency 2 6 2 5 3 3" xfId="25750" xr:uid="{6E404E56-EB6C-441A-940C-D6099E118F03}"/>
    <cellStyle name="Currency 2 6 2 5 3 3 2" xfId="40721" xr:uid="{77CF2A3B-9FDC-4FA3-891C-D8FE05FF12A0}"/>
    <cellStyle name="Currency 2 6 2 5 3 4" xfId="33120" xr:uid="{2E4E506C-DB97-428C-BED8-78115F3F7F81}"/>
    <cellStyle name="Currency 2 6 2 6" xfId="9755" xr:uid="{00000000-0005-0000-0000-0000791A0000}"/>
    <cellStyle name="Currency 2 6 2 7" xfId="9756" xr:uid="{00000000-0005-0000-0000-00007A1A0000}"/>
    <cellStyle name="Currency 2 6 2 7 2" xfId="25751" xr:uid="{E9F01772-023A-4F10-99B6-1C928DD91D1F}"/>
    <cellStyle name="Currency 2 6 2 7 2 2" xfId="40722" xr:uid="{4634AE03-750C-4401-8F1F-5AFFBCF3ADF6}"/>
    <cellStyle name="Currency 2 6 2 7 3" xfId="33121" xr:uid="{F3FBFEE1-0317-43C4-ABDF-5896CD7AC42C}"/>
    <cellStyle name="Currency 2 6 3" xfId="9757" xr:uid="{00000000-0005-0000-0000-00007B1A0000}"/>
    <cellStyle name="Currency 2 6 3 2" xfId="9758" xr:uid="{00000000-0005-0000-0000-00007C1A0000}"/>
    <cellStyle name="Currency 2 6 4" xfId="9759" xr:uid="{00000000-0005-0000-0000-00007D1A0000}"/>
    <cellStyle name="Currency 2 6 4 2" xfId="9760" xr:uid="{00000000-0005-0000-0000-00007E1A0000}"/>
    <cellStyle name="Currency 2 6 5" xfId="9761" xr:uid="{00000000-0005-0000-0000-00007F1A0000}"/>
    <cellStyle name="Currency 2 6 6" xfId="9762" xr:uid="{00000000-0005-0000-0000-0000801A0000}"/>
    <cellStyle name="Currency 2 6 6 2" xfId="9763" xr:uid="{00000000-0005-0000-0000-0000811A0000}"/>
    <cellStyle name="Currency 2 6 7" xfId="9764" xr:uid="{00000000-0005-0000-0000-0000821A0000}"/>
    <cellStyle name="Currency 2 6 7 2" xfId="9765" xr:uid="{00000000-0005-0000-0000-0000831A0000}"/>
    <cellStyle name="Currency 2 6 7 2 2" xfId="9766" xr:uid="{00000000-0005-0000-0000-0000841A0000}"/>
    <cellStyle name="Currency 2 6 7 3" xfId="9767" xr:uid="{00000000-0005-0000-0000-0000851A0000}"/>
    <cellStyle name="Currency 2 6 7 3 2" xfId="9768" xr:uid="{00000000-0005-0000-0000-0000861A0000}"/>
    <cellStyle name="Currency 2 6 7 3 3" xfId="25752" xr:uid="{AF79082F-5281-4E30-853E-A20AEC0122B6}"/>
    <cellStyle name="Currency 2 6 7 3 3 2" xfId="40723" xr:uid="{547162D6-22B6-4AE1-9665-9E4BAC96EE12}"/>
    <cellStyle name="Currency 2 6 7 3 4" xfId="33122" xr:uid="{16EDBFEE-D2A6-456C-BD00-D000C9F23A1A}"/>
    <cellStyle name="Currency 2 6 8" xfId="9769" xr:uid="{00000000-0005-0000-0000-0000871A0000}"/>
    <cellStyle name="Currency 2 6 9" xfId="9770" xr:uid="{00000000-0005-0000-0000-0000881A0000}"/>
    <cellStyle name="Currency 2 6 9 2" xfId="25753" xr:uid="{132C94AF-9F4B-41C2-A302-629C614DEC26}"/>
    <cellStyle name="Currency 2 6 9 2 2" xfId="40724" xr:uid="{75D45FE5-35E4-4ACA-81E1-0EAB3B2F0D81}"/>
    <cellStyle name="Currency 2 6 9 3" xfId="33123" xr:uid="{2813D6D5-E3AA-47FD-8A8B-0EE8881D6632}"/>
    <cellStyle name="Currency 2 7" xfId="9771" xr:uid="{00000000-0005-0000-0000-0000891A0000}"/>
    <cellStyle name="Currency 2 7 2" xfId="9772" xr:uid="{00000000-0005-0000-0000-00008A1A0000}"/>
    <cellStyle name="Currency 2 7 2 2" xfId="9773" xr:uid="{00000000-0005-0000-0000-00008B1A0000}"/>
    <cellStyle name="Currency 2 7 2 2 2" xfId="9774" xr:uid="{00000000-0005-0000-0000-00008C1A0000}"/>
    <cellStyle name="Currency 2 7 2 3" xfId="9775" xr:uid="{00000000-0005-0000-0000-00008D1A0000}"/>
    <cellStyle name="Currency 2 7 2 4" xfId="9776" xr:uid="{00000000-0005-0000-0000-00008E1A0000}"/>
    <cellStyle name="Currency 2 7 2 4 2" xfId="9777" xr:uid="{00000000-0005-0000-0000-00008F1A0000}"/>
    <cellStyle name="Currency 2 7 2 5" xfId="9778" xr:uid="{00000000-0005-0000-0000-0000901A0000}"/>
    <cellStyle name="Currency 2 7 2 5 2" xfId="9779" xr:uid="{00000000-0005-0000-0000-0000911A0000}"/>
    <cellStyle name="Currency 2 7 2 5 2 2" xfId="9780" xr:uid="{00000000-0005-0000-0000-0000921A0000}"/>
    <cellStyle name="Currency 2 7 2 5 3" xfId="9781" xr:uid="{00000000-0005-0000-0000-0000931A0000}"/>
    <cellStyle name="Currency 2 7 2 5 3 2" xfId="9782" xr:uid="{00000000-0005-0000-0000-0000941A0000}"/>
    <cellStyle name="Currency 2 7 2 5 3 3" xfId="25754" xr:uid="{035922BA-4A06-4365-BBD7-052B58ACF277}"/>
    <cellStyle name="Currency 2 7 2 5 3 3 2" xfId="40725" xr:uid="{183B392E-B9AE-4437-87AD-6D8BD557D853}"/>
    <cellStyle name="Currency 2 7 2 5 3 4" xfId="33124" xr:uid="{D2D2649E-6011-48BA-B18B-12EB81B7BC67}"/>
    <cellStyle name="Currency 2 7 2 6" xfId="9783" xr:uid="{00000000-0005-0000-0000-0000951A0000}"/>
    <cellStyle name="Currency 2 7 2 7" xfId="9784" xr:uid="{00000000-0005-0000-0000-0000961A0000}"/>
    <cellStyle name="Currency 2 7 2 7 2" xfId="25755" xr:uid="{7F950B8D-CE72-4E30-B24E-C6F031F11498}"/>
    <cellStyle name="Currency 2 7 2 7 2 2" xfId="40726" xr:uid="{32387059-3E86-43CF-A557-7E439F567D9F}"/>
    <cellStyle name="Currency 2 7 2 7 3" xfId="33125" xr:uid="{04A34B51-FB93-42C6-9F37-49C772CE5FE8}"/>
    <cellStyle name="Currency 2 7 3" xfId="9785" xr:uid="{00000000-0005-0000-0000-0000971A0000}"/>
    <cellStyle name="Currency 2 7 3 2" xfId="9786" xr:uid="{00000000-0005-0000-0000-0000981A0000}"/>
    <cellStyle name="Currency 2 7 4" xfId="9787" xr:uid="{00000000-0005-0000-0000-0000991A0000}"/>
    <cellStyle name="Currency 2 7 4 2" xfId="9788" xr:uid="{00000000-0005-0000-0000-00009A1A0000}"/>
    <cellStyle name="Currency 2 7 5" xfId="9789" xr:uid="{00000000-0005-0000-0000-00009B1A0000}"/>
    <cellStyle name="Currency 2 7 6" xfId="9790" xr:uid="{00000000-0005-0000-0000-00009C1A0000}"/>
    <cellStyle name="Currency 2 7 6 2" xfId="9791" xr:uid="{00000000-0005-0000-0000-00009D1A0000}"/>
    <cellStyle name="Currency 2 7 7" xfId="9792" xr:uid="{00000000-0005-0000-0000-00009E1A0000}"/>
    <cellStyle name="Currency 2 7 7 2" xfId="9793" xr:uid="{00000000-0005-0000-0000-00009F1A0000}"/>
    <cellStyle name="Currency 2 7 7 2 2" xfId="9794" xr:uid="{00000000-0005-0000-0000-0000A01A0000}"/>
    <cellStyle name="Currency 2 7 7 3" xfId="9795" xr:uid="{00000000-0005-0000-0000-0000A11A0000}"/>
    <cellStyle name="Currency 2 7 7 3 2" xfId="9796" xr:uid="{00000000-0005-0000-0000-0000A21A0000}"/>
    <cellStyle name="Currency 2 7 7 3 3" xfId="25756" xr:uid="{F54067BE-F0E2-4A80-BAF8-5B66A778EBC3}"/>
    <cellStyle name="Currency 2 7 7 3 3 2" xfId="40727" xr:uid="{B974095D-4CF6-4FDB-8922-6A00D37D7775}"/>
    <cellStyle name="Currency 2 7 7 3 4" xfId="33126" xr:uid="{BC40FC22-8523-4D0A-BACB-FC77444C05DA}"/>
    <cellStyle name="Currency 2 7 8" xfId="9797" xr:uid="{00000000-0005-0000-0000-0000A31A0000}"/>
    <cellStyle name="Currency 2 7 9" xfId="9798" xr:uid="{00000000-0005-0000-0000-0000A41A0000}"/>
    <cellStyle name="Currency 2 7 9 2" xfId="25757" xr:uid="{8B67F10F-C9C6-4B7E-82A7-E0C2D8097E4C}"/>
    <cellStyle name="Currency 2 7 9 2 2" xfId="40728" xr:uid="{F9296E26-1E52-4BEC-8B26-FA2387469770}"/>
    <cellStyle name="Currency 2 7 9 3" xfId="33127" xr:uid="{3B536EBE-D8FD-4D91-9F7D-D1AE6259A271}"/>
    <cellStyle name="Currency 2 8" xfId="9799" xr:uid="{00000000-0005-0000-0000-0000A51A0000}"/>
    <cellStyle name="Currency 2 8 2" xfId="9800" xr:uid="{00000000-0005-0000-0000-0000A61A0000}"/>
    <cellStyle name="Currency 2 8 2 2" xfId="9801" xr:uid="{00000000-0005-0000-0000-0000A71A0000}"/>
    <cellStyle name="Currency 2 8 2 2 2" xfId="9802" xr:uid="{00000000-0005-0000-0000-0000A81A0000}"/>
    <cellStyle name="Currency 2 8 2 3" xfId="9803" xr:uid="{00000000-0005-0000-0000-0000A91A0000}"/>
    <cellStyle name="Currency 2 8 2 4" xfId="9804" xr:uid="{00000000-0005-0000-0000-0000AA1A0000}"/>
    <cellStyle name="Currency 2 8 2 4 2" xfId="9805" xr:uid="{00000000-0005-0000-0000-0000AB1A0000}"/>
    <cellStyle name="Currency 2 8 2 5" xfId="9806" xr:uid="{00000000-0005-0000-0000-0000AC1A0000}"/>
    <cellStyle name="Currency 2 8 2 5 2" xfId="9807" xr:uid="{00000000-0005-0000-0000-0000AD1A0000}"/>
    <cellStyle name="Currency 2 8 2 5 2 2" xfId="9808" xr:uid="{00000000-0005-0000-0000-0000AE1A0000}"/>
    <cellStyle name="Currency 2 8 2 5 3" xfId="9809" xr:uid="{00000000-0005-0000-0000-0000AF1A0000}"/>
    <cellStyle name="Currency 2 8 2 5 3 2" xfId="9810" xr:uid="{00000000-0005-0000-0000-0000B01A0000}"/>
    <cellStyle name="Currency 2 8 2 5 3 3" xfId="25758" xr:uid="{555AD658-5C2F-49BB-A8BD-7D4D702E004E}"/>
    <cellStyle name="Currency 2 8 2 5 3 3 2" xfId="40729" xr:uid="{C965CB97-DC07-4721-B2BB-05FA94112D7A}"/>
    <cellStyle name="Currency 2 8 2 5 3 4" xfId="33128" xr:uid="{FA10D138-3B2D-4CC7-802D-FEFD320FE467}"/>
    <cellStyle name="Currency 2 8 2 6" xfId="9811" xr:uid="{00000000-0005-0000-0000-0000B11A0000}"/>
    <cellStyle name="Currency 2 8 2 7" xfId="9812" xr:uid="{00000000-0005-0000-0000-0000B21A0000}"/>
    <cellStyle name="Currency 2 8 2 7 2" xfId="25759" xr:uid="{051F2FBC-E607-4B1D-A4DB-B29838AEECEF}"/>
    <cellStyle name="Currency 2 8 2 7 2 2" xfId="40730" xr:uid="{150C8ACA-9231-488D-A9E2-DD0B1DBB3D47}"/>
    <cellStyle name="Currency 2 8 2 7 3" xfId="33129" xr:uid="{156E0D02-CED1-4FFB-9A3F-038321E6725F}"/>
    <cellStyle name="Currency 2 8 3" xfId="9813" xr:uid="{00000000-0005-0000-0000-0000B31A0000}"/>
    <cellStyle name="Currency 2 8 3 2" xfId="9814" xr:uid="{00000000-0005-0000-0000-0000B41A0000}"/>
    <cellStyle name="Currency 2 8 4" xfId="9815" xr:uid="{00000000-0005-0000-0000-0000B51A0000}"/>
    <cellStyle name="Currency 2 8 4 2" xfId="9816" xr:uid="{00000000-0005-0000-0000-0000B61A0000}"/>
    <cellStyle name="Currency 2 8 5" xfId="9817" xr:uid="{00000000-0005-0000-0000-0000B71A0000}"/>
    <cellStyle name="Currency 2 8 6" xfId="9818" xr:uid="{00000000-0005-0000-0000-0000B81A0000}"/>
    <cellStyle name="Currency 2 8 6 2" xfId="9819" xr:uid="{00000000-0005-0000-0000-0000B91A0000}"/>
    <cellStyle name="Currency 2 8 7" xfId="9820" xr:uid="{00000000-0005-0000-0000-0000BA1A0000}"/>
    <cellStyle name="Currency 2 8 7 2" xfId="9821" xr:uid="{00000000-0005-0000-0000-0000BB1A0000}"/>
    <cellStyle name="Currency 2 8 7 2 2" xfId="9822" xr:uid="{00000000-0005-0000-0000-0000BC1A0000}"/>
    <cellStyle name="Currency 2 8 7 3" xfId="9823" xr:uid="{00000000-0005-0000-0000-0000BD1A0000}"/>
    <cellStyle name="Currency 2 8 7 3 2" xfId="9824" xr:uid="{00000000-0005-0000-0000-0000BE1A0000}"/>
    <cellStyle name="Currency 2 8 7 3 3" xfId="25760" xr:uid="{513973AF-440A-4DD3-B5E6-BB4B0758866F}"/>
    <cellStyle name="Currency 2 8 7 3 3 2" xfId="40731" xr:uid="{D98447D1-D68A-4C9A-A549-2500E44A8F11}"/>
    <cellStyle name="Currency 2 8 7 3 4" xfId="33130" xr:uid="{C1DF4BF1-89BE-40E9-B87A-D41895460B18}"/>
    <cellStyle name="Currency 2 8 8" xfId="9825" xr:uid="{00000000-0005-0000-0000-0000BF1A0000}"/>
    <cellStyle name="Currency 2 8 9" xfId="9826" xr:uid="{00000000-0005-0000-0000-0000C01A0000}"/>
    <cellStyle name="Currency 2 8 9 2" xfId="25761" xr:uid="{8EFEA727-5D77-4ACC-8426-BB0C42C9CCB0}"/>
    <cellStyle name="Currency 2 8 9 2 2" xfId="40732" xr:uid="{5A4C4B20-2571-4619-92A1-2ACA984929FE}"/>
    <cellStyle name="Currency 2 8 9 3" xfId="33131" xr:uid="{B47E6FFB-B7A7-4CAF-99DD-EB61D6D8DDB4}"/>
    <cellStyle name="Currency 2 9" xfId="9827" xr:uid="{00000000-0005-0000-0000-0000C11A0000}"/>
    <cellStyle name="Currency 2 9 2" xfId="9828" xr:uid="{00000000-0005-0000-0000-0000C21A0000}"/>
    <cellStyle name="Currency 20" xfId="2987" xr:uid="{00000000-0005-0000-0000-000037010000}"/>
    <cellStyle name="Currency 20 10" xfId="9829" xr:uid="{00000000-0005-0000-0000-0000C31A0000}"/>
    <cellStyle name="Currency 20 11" xfId="20943" xr:uid="{8F03D685-FAD4-4E7A-8803-5432687C90BA}"/>
    <cellStyle name="Currency 20 11 2" xfId="35919" xr:uid="{59C6A771-BA6D-417B-AB0C-42DB3D2ED8F3}"/>
    <cellStyle name="Currency 20 12" xfId="28315" xr:uid="{C2B15C4D-5BD1-407B-9680-154ED0430F60}"/>
    <cellStyle name="Currency 20 2" xfId="9830" xr:uid="{00000000-0005-0000-0000-0000C41A0000}"/>
    <cellStyle name="Currency 20 2 2" xfId="9831" xr:uid="{00000000-0005-0000-0000-0000C51A0000}"/>
    <cellStyle name="Currency 20 2 2 2" xfId="9832" xr:uid="{00000000-0005-0000-0000-0000C61A0000}"/>
    <cellStyle name="Currency 20 2 2 3" xfId="9833" xr:uid="{00000000-0005-0000-0000-0000C71A0000}"/>
    <cellStyle name="Currency 20 2 2 4" xfId="9834" xr:uid="{00000000-0005-0000-0000-0000C81A0000}"/>
    <cellStyle name="Currency 20 2 2 4 2" xfId="25762" xr:uid="{DD29AC9E-FA57-44FE-8F99-7CA71FA8BE08}"/>
    <cellStyle name="Currency 20 2 2 4 2 2" xfId="40733" xr:uid="{C4D0E739-2E4D-43FE-8681-AAF892CCF3C7}"/>
    <cellStyle name="Currency 20 2 2 4 3" xfId="33132" xr:uid="{5A3E48B6-CD14-486D-97DF-908508119E8D}"/>
    <cellStyle name="Currency 20 2 3" xfId="9835" xr:uid="{00000000-0005-0000-0000-0000C91A0000}"/>
    <cellStyle name="Currency 20 2 4" xfId="9836" xr:uid="{00000000-0005-0000-0000-0000CA1A0000}"/>
    <cellStyle name="Currency 20 2 4 2" xfId="9837" xr:uid="{00000000-0005-0000-0000-0000CB1A0000}"/>
    <cellStyle name="Currency 20 2 5" xfId="9838" xr:uid="{00000000-0005-0000-0000-0000CC1A0000}"/>
    <cellStyle name="Currency 20 2 5 2" xfId="9839" xr:uid="{00000000-0005-0000-0000-0000CD1A0000}"/>
    <cellStyle name="Currency 20 2 5 2 2" xfId="9840" xr:uid="{00000000-0005-0000-0000-0000CE1A0000}"/>
    <cellStyle name="Currency 20 2 5 3" xfId="9841" xr:uid="{00000000-0005-0000-0000-0000CF1A0000}"/>
    <cellStyle name="Currency 20 2 5 3 2" xfId="9842" xr:uid="{00000000-0005-0000-0000-0000D01A0000}"/>
    <cellStyle name="Currency 20 2 5 3 3" xfId="25763" xr:uid="{79CB5950-1236-42D6-9391-E9AB88688DA2}"/>
    <cellStyle name="Currency 20 2 5 3 3 2" xfId="40734" xr:uid="{0B1A39C8-64AE-4863-BB55-A53E50F6F34E}"/>
    <cellStyle name="Currency 20 2 5 3 4" xfId="33133" xr:uid="{C7473D36-38F7-429E-9C80-FA3A60DD9CB1}"/>
    <cellStyle name="Currency 20 2 6" xfId="9843" xr:uid="{00000000-0005-0000-0000-0000D11A0000}"/>
    <cellStyle name="Currency 20 2 6 2" xfId="9844" xr:uid="{00000000-0005-0000-0000-0000D21A0000}"/>
    <cellStyle name="Currency 20 2 7" xfId="9845" xr:uid="{00000000-0005-0000-0000-0000D31A0000}"/>
    <cellStyle name="Currency 20 2 7 2" xfId="25764" xr:uid="{0C4142BB-88CE-4E1C-B6A5-2430800E6EB5}"/>
    <cellStyle name="Currency 20 2 7 2 2" xfId="40735" xr:uid="{D2DCC1B2-7B61-4512-BC14-B130FB720F8F}"/>
    <cellStyle name="Currency 20 2 7 3" xfId="33134" xr:uid="{9D8078E9-0128-4E4A-A264-0C19690DADA5}"/>
    <cellStyle name="Currency 20 3" xfId="9846" xr:uid="{00000000-0005-0000-0000-0000D41A0000}"/>
    <cellStyle name="Currency 20 3 2" xfId="9847" xr:uid="{00000000-0005-0000-0000-0000D51A0000}"/>
    <cellStyle name="Currency 20 4" xfId="9848" xr:uid="{00000000-0005-0000-0000-0000D61A0000}"/>
    <cellStyle name="Currency 20 4 2" xfId="9849" xr:uid="{00000000-0005-0000-0000-0000D71A0000}"/>
    <cellStyle name="Currency 20 5" xfId="9850" xr:uid="{00000000-0005-0000-0000-0000D81A0000}"/>
    <cellStyle name="Currency 20 6" xfId="9851" xr:uid="{00000000-0005-0000-0000-0000D91A0000}"/>
    <cellStyle name="Currency 20 6 2" xfId="9852" xr:uid="{00000000-0005-0000-0000-0000DA1A0000}"/>
    <cellStyle name="Currency 20 7" xfId="9853" xr:uid="{00000000-0005-0000-0000-0000DB1A0000}"/>
    <cellStyle name="Currency 20 7 2" xfId="9854" xr:uid="{00000000-0005-0000-0000-0000DC1A0000}"/>
    <cellStyle name="Currency 20 7 2 2" xfId="9855" xr:uid="{00000000-0005-0000-0000-0000DD1A0000}"/>
    <cellStyle name="Currency 20 7 3" xfId="9856" xr:uid="{00000000-0005-0000-0000-0000DE1A0000}"/>
    <cellStyle name="Currency 20 7 3 2" xfId="9857" xr:uid="{00000000-0005-0000-0000-0000DF1A0000}"/>
    <cellStyle name="Currency 20 7 3 3" xfId="25765" xr:uid="{90BA6D58-2972-48AA-85F5-29E406C337DE}"/>
    <cellStyle name="Currency 20 7 3 3 2" xfId="40736" xr:uid="{1FFA9AA8-C7EA-48BB-8C28-F474C06502A9}"/>
    <cellStyle name="Currency 20 7 3 4" xfId="33135" xr:uid="{BE849566-AEE6-4535-A04F-1AEF786A5FAB}"/>
    <cellStyle name="Currency 20 8" xfId="9858" xr:uid="{00000000-0005-0000-0000-0000E01A0000}"/>
    <cellStyle name="Currency 20 8 2" xfId="9859" xr:uid="{00000000-0005-0000-0000-0000E11A0000}"/>
    <cellStyle name="Currency 20 9" xfId="9860" xr:uid="{00000000-0005-0000-0000-0000E21A0000}"/>
    <cellStyle name="Currency 21" xfId="2984" xr:uid="{00000000-0005-0000-0000-000038010000}"/>
    <cellStyle name="Currency 21 10" xfId="9861" xr:uid="{00000000-0005-0000-0000-0000E31A0000}"/>
    <cellStyle name="Currency 21 11" xfId="20940" xr:uid="{9A400831-F7E5-4738-86D5-D20E6D8D94A6}"/>
    <cellStyle name="Currency 21 11 2" xfId="35916" xr:uid="{FA956875-E74D-427D-A936-F9AEA5798B80}"/>
    <cellStyle name="Currency 21 12" xfId="28312" xr:uid="{5D94049E-E6B7-465B-8FA8-BE3BAF96512E}"/>
    <cellStyle name="Currency 21 2" xfId="9862" xr:uid="{00000000-0005-0000-0000-0000E41A0000}"/>
    <cellStyle name="Currency 21 2 2" xfId="9863" xr:uid="{00000000-0005-0000-0000-0000E51A0000}"/>
    <cellStyle name="Currency 21 2 2 2" xfId="9864" xr:uid="{00000000-0005-0000-0000-0000E61A0000}"/>
    <cellStyle name="Currency 21 2 2 3" xfId="9865" xr:uid="{00000000-0005-0000-0000-0000E71A0000}"/>
    <cellStyle name="Currency 21 2 2 4" xfId="9866" xr:uid="{00000000-0005-0000-0000-0000E81A0000}"/>
    <cellStyle name="Currency 21 2 2 4 2" xfId="25766" xr:uid="{670B0833-603E-47A9-85B0-058803C2DA1A}"/>
    <cellStyle name="Currency 21 2 2 4 2 2" xfId="40737" xr:uid="{07CF8B34-AF13-4442-A76C-BE339D798A41}"/>
    <cellStyle name="Currency 21 2 2 4 3" xfId="33136" xr:uid="{5DDADA71-604E-49E2-8218-CD94033952E0}"/>
    <cellStyle name="Currency 21 2 3" xfId="9867" xr:uid="{00000000-0005-0000-0000-0000E91A0000}"/>
    <cellStyle name="Currency 21 2 4" xfId="9868" xr:uid="{00000000-0005-0000-0000-0000EA1A0000}"/>
    <cellStyle name="Currency 21 2 4 2" xfId="9869" xr:uid="{00000000-0005-0000-0000-0000EB1A0000}"/>
    <cellStyle name="Currency 21 2 5" xfId="9870" xr:uid="{00000000-0005-0000-0000-0000EC1A0000}"/>
    <cellStyle name="Currency 21 2 5 2" xfId="9871" xr:uid="{00000000-0005-0000-0000-0000ED1A0000}"/>
    <cellStyle name="Currency 21 2 5 2 2" xfId="9872" xr:uid="{00000000-0005-0000-0000-0000EE1A0000}"/>
    <cellStyle name="Currency 21 2 5 3" xfId="9873" xr:uid="{00000000-0005-0000-0000-0000EF1A0000}"/>
    <cellStyle name="Currency 21 2 5 3 2" xfId="9874" xr:uid="{00000000-0005-0000-0000-0000F01A0000}"/>
    <cellStyle name="Currency 21 2 5 3 3" xfId="25767" xr:uid="{A49FB945-431B-4AE4-9CB8-6BEA29E69213}"/>
    <cellStyle name="Currency 21 2 5 3 3 2" xfId="40738" xr:uid="{4D822D02-E69C-4A76-8A4E-33B8CBA846ED}"/>
    <cellStyle name="Currency 21 2 5 3 4" xfId="33137" xr:uid="{1A8E42B0-1D2C-4001-B14B-01623C9A0592}"/>
    <cellStyle name="Currency 21 2 6" xfId="9875" xr:uid="{00000000-0005-0000-0000-0000F11A0000}"/>
    <cellStyle name="Currency 21 2 6 2" xfId="9876" xr:uid="{00000000-0005-0000-0000-0000F21A0000}"/>
    <cellStyle name="Currency 21 2 6 2 2" xfId="25768" xr:uid="{29BC2AC5-4623-4AA4-8751-B56FA8CB8D7B}"/>
    <cellStyle name="Currency 21 2 6 2 2 2" xfId="40739" xr:uid="{1F2F7EB5-7AA0-4636-888D-9A1C6D6F15D9}"/>
    <cellStyle name="Currency 21 2 6 2 3" xfId="33138" xr:uid="{AFC543CF-178D-44ED-A1B7-086B617B6859}"/>
    <cellStyle name="Currency 21 2 7" xfId="9877" xr:uid="{00000000-0005-0000-0000-0000F31A0000}"/>
    <cellStyle name="Currency 21 2 7 2" xfId="25769" xr:uid="{B8573AFB-AF5A-4BDE-A22A-5C72B11606F4}"/>
    <cellStyle name="Currency 21 2 7 2 2" xfId="40740" xr:uid="{97710C17-97F3-4830-9E16-BB299B6EC5C3}"/>
    <cellStyle name="Currency 21 2 7 3" xfId="33139" xr:uid="{47FBCE78-265F-438B-8E9A-C8546678FEC8}"/>
    <cellStyle name="Currency 21 3" xfId="9878" xr:uid="{00000000-0005-0000-0000-0000F41A0000}"/>
    <cellStyle name="Currency 21 3 2" xfId="9879" xr:uid="{00000000-0005-0000-0000-0000F51A0000}"/>
    <cellStyle name="Currency 21 4" xfId="9880" xr:uid="{00000000-0005-0000-0000-0000F61A0000}"/>
    <cellStyle name="Currency 21 4 2" xfId="9881" xr:uid="{00000000-0005-0000-0000-0000F71A0000}"/>
    <cellStyle name="Currency 21 5" xfId="9882" xr:uid="{00000000-0005-0000-0000-0000F81A0000}"/>
    <cellStyle name="Currency 21 6" xfId="9883" xr:uid="{00000000-0005-0000-0000-0000F91A0000}"/>
    <cellStyle name="Currency 21 6 2" xfId="9884" xr:uid="{00000000-0005-0000-0000-0000FA1A0000}"/>
    <cellStyle name="Currency 21 7" xfId="9885" xr:uid="{00000000-0005-0000-0000-0000FB1A0000}"/>
    <cellStyle name="Currency 21 7 2" xfId="9886" xr:uid="{00000000-0005-0000-0000-0000FC1A0000}"/>
    <cellStyle name="Currency 21 7 2 2" xfId="9887" xr:uid="{00000000-0005-0000-0000-0000FD1A0000}"/>
    <cellStyle name="Currency 21 7 3" xfId="9888" xr:uid="{00000000-0005-0000-0000-0000FE1A0000}"/>
    <cellStyle name="Currency 21 7 3 2" xfId="9889" xr:uid="{00000000-0005-0000-0000-0000FF1A0000}"/>
    <cellStyle name="Currency 21 7 3 3" xfId="25770" xr:uid="{00959414-BD74-4FEB-B5C6-856B9E32198D}"/>
    <cellStyle name="Currency 21 7 3 3 2" xfId="40741" xr:uid="{27E01F49-2893-4A80-8546-557210A24224}"/>
    <cellStyle name="Currency 21 7 3 4" xfId="33140" xr:uid="{9A4432C4-57A5-43D5-A95B-459C180AE0A9}"/>
    <cellStyle name="Currency 21 8" xfId="9890" xr:uid="{00000000-0005-0000-0000-0000001B0000}"/>
    <cellStyle name="Currency 21 8 2" xfId="9891" xr:uid="{00000000-0005-0000-0000-0000011B0000}"/>
    <cellStyle name="Currency 21 8 2 2" xfId="25771" xr:uid="{6A01158F-5833-49C9-A3B7-EF79B59DF818}"/>
    <cellStyle name="Currency 21 8 2 2 2" xfId="40742" xr:uid="{D026CE1A-B986-4500-9D6C-30400C7D4206}"/>
    <cellStyle name="Currency 21 8 2 3" xfId="33141" xr:uid="{E6071826-27C6-4938-AFFC-5C5AE6530B57}"/>
    <cellStyle name="Currency 21 9" xfId="9892" xr:uid="{00000000-0005-0000-0000-0000021B0000}"/>
    <cellStyle name="Currency 22" xfId="2981" xr:uid="{00000000-0005-0000-0000-000039010000}"/>
    <cellStyle name="Currency 22 10" xfId="9893" xr:uid="{00000000-0005-0000-0000-0000031B0000}"/>
    <cellStyle name="Currency 22 11" xfId="20937" xr:uid="{110EBC96-A374-4599-B4E1-CCE5DD6FAA88}"/>
    <cellStyle name="Currency 22 11 2" xfId="35913" xr:uid="{EB3B3204-EE1F-4B7A-BF40-0276C403599E}"/>
    <cellStyle name="Currency 22 12" xfId="28309" xr:uid="{85246B76-C902-408D-8349-6DE03039690B}"/>
    <cellStyle name="Currency 22 2" xfId="9894" xr:uid="{00000000-0005-0000-0000-0000041B0000}"/>
    <cellStyle name="Currency 22 2 2" xfId="9895" xr:uid="{00000000-0005-0000-0000-0000051B0000}"/>
    <cellStyle name="Currency 22 2 2 2" xfId="9896" xr:uid="{00000000-0005-0000-0000-0000061B0000}"/>
    <cellStyle name="Currency 22 2 2 3" xfId="9897" xr:uid="{00000000-0005-0000-0000-0000071B0000}"/>
    <cellStyle name="Currency 22 2 2 4" xfId="9898" xr:uid="{00000000-0005-0000-0000-0000081B0000}"/>
    <cellStyle name="Currency 22 2 2 4 2" xfId="25772" xr:uid="{8D6571B4-1B00-4FFF-95E8-87E50B9CBEC7}"/>
    <cellStyle name="Currency 22 2 2 4 2 2" xfId="40743" xr:uid="{81EC3FF8-BCD4-4CFB-B04A-A0505CDC002B}"/>
    <cellStyle name="Currency 22 2 2 4 3" xfId="33142" xr:uid="{DA295569-8EFE-4619-B8DC-7C52A39B299A}"/>
    <cellStyle name="Currency 22 2 3" xfId="9899" xr:uid="{00000000-0005-0000-0000-0000091B0000}"/>
    <cellStyle name="Currency 22 2 4" xfId="9900" xr:uid="{00000000-0005-0000-0000-00000A1B0000}"/>
    <cellStyle name="Currency 22 2 4 2" xfId="9901" xr:uid="{00000000-0005-0000-0000-00000B1B0000}"/>
    <cellStyle name="Currency 22 2 5" xfId="9902" xr:uid="{00000000-0005-0000-0000-00000C1B0000}"/>
    <cellStyle name="Currency 22 2 5 2" xfId="9903" xr:uid="{00000000-0005-0000-0000-00000D1B0000}"/>
    <cellStyle name="Currency 22 2 5 2 2" xfId="9904" xr:uid="{00000000-0005-0000-0000-00000E1B0000}"/>
    <cellStyle name="Currency 22 2 5 3" xfId="9905" xr:uid="{00000000-0005-0000-0000-00000F1B0000}"/>
    <cellStyle name="Currency 22 2 5 3 2" xfId="9906" xr:uid="{00000000-0005-0000-0000-0000101B0000}"/>
    <cellStyle name="Currency 22 2 5 3 3" xfId="25773" xr:uid="{7CEACE46-BDD8-4EDB-A19A-3A16A165EBAB}"/>
    <cellStyle name="Currency 22 2 5 3 3 2" xfId="40744" xr:uid="{21F96C65-888D-4BE7-9122-20423AF89A1C}"/>
    <cellStyle name="Currency 22 2 5 3 4" xfId="33143" xr:uid="{BF8B3DC0-8A96-44D8-B050-3267D818ECF0}"/>
    <cellStyle name="Currency 22 2 6" xfId="9907" xr:uid="{00000000-0005-0000-0000-0000111B0000}"/>
    <cellStyle name="Currency 22 2 7" xfId="9908" xr:uid="{00000000-0005-0000-0000-0000121B0000}"/>
    <cellStyle name="Currency 22 2 7 2" xfId="25774" xr:uid="{481DE04C-F9FC-4D2F-AC18-A0975EB31707}"/>
    <cellStyle name="Currency 22 2 7 2 2" xfId="40745" xr:uid="{3881DBCB-4905-4433-88C2-959D0E1C7083}"/>
    <cellStyle name="Currency 22 2 7 3" xfId="33144" xr:uid="{66FE0004-03C4-451D-B23B-C542613B32D6}"/>
    <cellStyle name="Currency 22 3" xfId="9909" xr:uid="{00000000-0005-0000-0000-0000131B0000}"/>
    <cellStyle name="Currency 22 3 2" xfId="9910" xr:uid="{00000000-0005-0000-0000-0000141B0000}"/>
    <cellStyle name="Currency 22 4" xfId="9911" xr:uid="{00000000-0005-0000-0000-0000151B0000}"/>
    <cellStyle name="Currency 22 4 2" xfId="9912" xr:uid="{00000000-0005-0000-0000-0000161B0000}"/>
    <cellStyle name="Currency 22 5" xfId="9913" xr:uid="{00000000-0005-0000-0000-0000171B0000}"/>
    <cellStyle name="Currency 22 6" xfId="9914" xr:uid="{00000000-0005-0000-0000-0000181B0000}"/>
    <cellStyle name="Currency 22 6 2" xfId="9915" xr:uid="{00000000-0005-0000-0000-0000191B0000}"/>
    <cellStyle name="Currency 22 7" xfId="9916" xr:uid="{00000000-0005-0000-0000-00001A1B0000}"/>
    <cellStyle name="Currency 22 7 2" xfId="9917" xr:uid="{00000000-0005-0000-0000-00001B1B0000}"/>
    <cellStyle name="Currency 22 7 2 2" xfId="9918" xr:uid="{00000000-0005-0000-0000-00001C1B0000}"/>
    <cellStyle name="Currency 22 7 3" xfId="9919" xr:uid="{00000000-0005-0000-0000-00001D1B0000}"/>
    <cellStyle name="Currency 22 7 3 2" xfId="9920" xr:uid="{00000000-0005-0000-0000-00001E1B0000}"/>
    <cellStyle name="Currency 22 7 3 3" xfId="25775" xr:uid="{D34E3453-B9BE-4371-8EC3-E1643ADF30C6}"/>
    <cellStyle name="Currency 22 7 3 3 2" xfId="40746" xr:uid="{001C0D98-A976-419E-963A-FB2DBE48B8C3}"/>
    <cellStyle name="Currency 22 7 3 4" xfId="33145" xr:uid="{B4383965-25AC-4171-80F0-92CDA71631A6}"/>
    <cellStyle name="Currency 22 8" xfId="9921" xr:uid="{00000000-0005-0000-0000-00001F1B0000}"/>
    <cellStyle name="Currency 22 9" xfId="9922" xr:uid="{00000000-0005-0000-0000-0000201B0000}"/>
    <cellStyle name="Currency 23" xfId="2978" xr:uid="{00000000-0005-0000-0000-00003A010000}"/>
    <cellStyle name="Currency 23 2" xfId="9924" xr:uid="{00000000-0005-0000-0000-0000221B0000}"/>
    <cellStyle name="Currency 23 3" xfId="9925" xr:uid="{00000000-0005-0000-0000-0000231B0000}"/>
    <cellStyle name="Currency 23 4" xfId="9923" xr:uid="{00000000-0005-0000-0000-0000211B0000}"/>
    <cellStyle name="Currency 23 5" xfId="20934" xr:uid="{7E4E42CA-1B24-491F-9C56-C4E931BAE9FC}"/>
    <cellStyle name="Currency 23 5 2" xfId="35910" xr:uid="{3FA6C7C0-0459-47FB-9B2C-CF2B8A4FCAF4}"/>
    <cellStyle name="Currency 23 6" xfId="28306" xr:uid="{E5B34156-0AB8-477F-A3A1-02D9B525CAE8}"/>
    <cellStyle name="Currency 24" xfId="2975" xr:uid="{00000000-0005-0000-0000-00003B010000}"/>
    <cellStyle name="Currency 24 2" xfId="9926" xr:uid="{00000000-0005-0000-0000-0000241B0000}"/>
    <cellStyle name="Currency 24 3" xfId="20931" xr:uid="{2FA701F3-0DDF-45F7-A888-5690F4D5A85D}"/>
    <cellStyle name="Currency 24 3 2" xfId="35907" xr:uid="{57FA6EEF-A3D3-46EC-B9D9-77BEF081C9C8}"/>
    <cellStyle name="Currency 24 4" xfId="28303" xr:uid="{F3D9C80A-5A47-4E6B-A564-1831032B8839}"/>
    <cellStyle name="Currency 25" xfId="2973" xr:uid="{00000000-0005-0000-0000-00003C010000}"/>
    <cellStyle name="Currency 25 2" xfId="9927" xr:uid="{00000000-0005-0000-0000-0000261B0000}"/>
    <cellStyle name="Currency 25 2 2" xfId="9928" xr:uid="{00000000-0005-0000-0000-0000271B0000}"/>
    <cellStyle name="Currency 25 2 2 2" xfId="25776" xr:uid="{2EFDAF47-0A6E-479D-A099-F8D1ABAFC3BB}"/>
    <cellStyle name="Currency 25 2 2 2 2" xfId="40747" xr:uid="{50E50118-BA01-469D-A28D-35ABE43E07C1}"/>
    <cellStyle name="Currency 25 2 2 3" xfId="33146" xr:uid="{71710F28-3675-4540-BC07-565317034AAC}"/>
    <cellStyle name="Currency 25 3" xfId="9929" xr:uid="{00000000-0005-0000-0000-0000281B0000}"/>
    <cellStyle name="Currency 25 3 2" xfId="25777" xr:uid="{70C7D708-3ED2-4878-A2A9-4F40E708C78B}"/>
    <cellStyle name="Currency 25 3 2 2" xfId="40748" xr:uid="{016CADE3-82F3-44ED-8D66-7667A49C65FC}"/>
    <cellStyle name="Currency 25 3 3" xfId="33147" xr:uid="{943F3804-7960-43CD-8D70-EB224BDEFEC6}"/>
    <cellStyle name="Currency 25 4" xfId="20929" xr:uid="{BDE54E31-6EEC-49CC-8883-40FDE64625A2}"/>
    <cellStyle name="Currency 25 4 2" xfId="35905" xr:uid="{1AA7A0DE-E742-4BB7-B3CC-22E86872252E}"/>
    <cellStyle name="Currency 25 5" xfId="28301" xr:uid="{928305EA-3C10-4795-A098-1AD5D8CB2C67}"/>
    <cellStyle name="Currency 26" xfId="2966" xr:uid="{00000000-0005-0000-0000-00003D010000}"/>
    <cellStyle name="Currency 26 2" xfId="9930" xr:uid="{00000000-0005-0000-0000-00002A1B0000}"/>
    <cellStyle name="Currency 26 2 2" xfId="25778" xr:uid="{C41B4B9F-17BF-4A0D-80C1-3918B5B7AD96}"/>
    <cellStyle name="Currency 26 2 2 2" xfId="40749" xr:uid="{D8D375C5-41F8-42BC-A67F-B0761518537E}"/>
    <cellStyle name="Currency 26 2 3" xfId="33148" xr:uid="{A8044741-2114-466D-B588-49089217D611}"/>
    <cellStyle name="Currency 26 3" xfId="20922" xr:uid="{D4CE2EBD-8022-4FF4-8B8A-59A6DA9C2D2D}"/>
    <cellStyle name="Currency 26 3 2" xfId="35898" xr:uid="{00B8853C-31AB-4DC1-8F7E-C52A05AFC441}"/>
    <cellStyle name="Currency 26 4" xfId="28294" xr:uid="{FF8FFF56-0038-47B9-BA43-E008D5035D8B}"/>
    <cellStyle name="Currency 27" xfId="2963" xr:uid="{00000000-0005-0000-0000-00003E010000}"/>
    <cellStyle name="Currency 27 2" xfId="9931" xr:uid="{00000000-0005-0000-0000-00002C1B0000}"/>
    <cellStyle name="Currency 27 3" xfId="5287" xr:uid="{00000000-0005-0000-0000-00002B1B0000}"/>
    <cellStyle name="Currency 27 4" xfId="20919" xr:uid="{FE7B3FB0-AF8A-4E18-83A4-C4C491C6C72D}"/>
    <cellStyle name="Currency 27 4 2" xfId="35895" xr:uid="{5B222043-4845-424A-99D4-7FCBEC97E25D}"/>
    <cellStyle name="Currency 27 5" xfId="28291" xr:uid="{E7D55CC6-09A2-44FD-9DE6-0683F68E63D9}"/>
    <cellStyle name="Currency 28" xfId="2960" xr:uid="{00000000-0005-0000-0000-00003F010000}"/>
    <cellStyle name="Currency 28 2" xfId="9932" xr:uid="{00000000-0005-0000-0000-00002D1B0000}"/>
    <cellStyle name="Currency 28 3" xfId="20916" xr:uid="{CBACA622-3CB9-420A-8032-2BE6A9CAED1C}"/>
    <cellStyle name="Currency 28 3 2" xfId="35892" xr:uid="{5F3442DB-2A16-4283-84B8-8D57A15698F5}"/>
    <cellStyle name="Currency 28 4" xfId="28288" xr:uid="{A5BB73FE-A685-4D07-9C7F-2FE459D9E776}"/>
    <cellStyle name="Currency 29" xfId="2957" xr:uid="{00000000-0005-0000-0000-000040010000}"/>
    <cellStyle name="Currency 29 2" xfId="9933" xr:uid="{00000000-0005-0000-0000-00002E1B0000}"/>
    <cellStyle name="Currency 29 3" xfId="20913" xr:uid="{69E71A80-9487-429D-8761-F061CA39E252}"/>
    <cellStyle name="Currency 29 3 2" xfId="35889" xr:uid="{0286D190-4729-4976-A05D-60F89D37F25C}"/>
    <cellStyle name="Currency 29 4" xfId="28285" xr:uid="{752B85F3-B7CD-44B4-A199-7B6E3E91AB96}"/>
    <cellStyle name="Currency 3" xfId="436" xr:uid="{00000000-0005-0000-0000-000041010000}"/>
    <cellStyle name="Currency 3 10" xfId="9934" xr:uid="{00000000-0005-0000-0000-0000301B0000}"/>
    <cellStyle name="Currency 3 11" xfId="9935" xr:uid="{00000000-0005-0000-0000-0000311B0000}"/>
    <cellStyle name="Currency 3 11 2" xfId="25779" xr:uid="{7B2CC859-97E8-4C70-8306-07EE2C630C92}"/>
    <cellStyle name="Currency 3 11 2 2" xfId="40750" xr:uid="{BE25CFF3-008A-46EF-97D6-25177160A4E3}"/>
    <cellStyle name="Currency 3 11 3" xfId="33149" xr:uid="{9649CCAB-9F3D-416B-A8CC-9BBD23431AB3}"/>
    <cellStyle name="Currency 3 12" xfId="5553" xr:uid="{00000000-0005-0000-0000-00002F1B0000}"/>
    <cellStyle name="Currency 3 12 2" xfId="23211" xr:uid="{D6E78852-54C9-45F9-BD1D-48A2065EAA4D}"/>
    <cellStyle name="Currency 3 12 2 2" xfId="38182" xr:uid="{F0AA45D5-EA66-47FE-960E-AB37A459048A}"/>
    <cellStyle name="Currency 3 12 3" xfId="30579" xr:uid="{7FB82604-625B-4D10-9494-63C21B5344B9}"/>
    <cellStyle name="Currency 3 13" xfId="20554" xr:uid="{EA1BEE82-E508-4754-A64B-7D235EB4180F}"/>
    <cellStyle name="Currency 3 2" xfId="437" xr:uid="{00000000-0005-0000-0000-000042010000}"/>
    <cellStyle name="Currency 3 2 2" xfId="438" xr:uid="{00000000-0005-0000-0000-000043010000}"/>
    <cellStyle name="Currency 3 2 2 2" xfId="9936" xr:uid="{00000000-0005-0000-0000-0000331B0000}"/>
    <cellStyle name="Currency 3 2 3" xfId="9937" xr:uid="{00000000-0005-0000-0000-0000341B0000}"/>
    <cellStyle name="Currency 3 2 4" xfId="9938" xr:uid="{00000000-0005-0000-0000-0000351B0000}"/>
    <cellStyle name="Currency 3 3" xfId="439" xr:uid="{00000000-0005-0000-0000-000044010000}"/>
    <cellStyle name="Currency 3 3 2" xfId="9939" xr:uid="{00000000-0005-0000-0000-0000371B0000}"/>
    <cellStyle name="Currency 3 3 2 2" xfId="9940" xr:uid="{00000000-0005-0000-0000-0000381B0000}"/>
    <cellStyle name="Currency 3 3 3" xfId="9941" xr:uid="{00000000-0005-0000-0000-0000391B0000}"/>
    <cellStyle name="Currency 3 3 3 2" xfId="9942" xr:uid="{00000000-0005-0000-0000-00003A1B0000}"/>
    <cellStyle name="Currency 3 3 3 3" xfId="9943" xr:uid="{00000000-0005-0000-0000-00003B1B0000}"/>
    <cellStyle name="Currency 3 3 4" xfId="9944" xr:uid="{00000000-0005-0000-0000-00003C1B0000}"/>
    <cellStyle name="Currency 3 3 5" xfId="9945" xr:uid="{00000000-0005-0000-0000-00003D1B0000}"/>
    <cellStyle name="Currency 3 3 6" xfId="9946" xr:uid="{00000000-0005-0000-0000-00003E1B0000}"/>
    <cellStyle name="Currency 3 4" xfId="440" xr:uid="{00000000-0005-0000-0000-000045010000}"/>
    <cellStyle name="Currency 3 4 2" xfId="9947" xr:uid="{00000000-0005-0000-0000-0000401B0000}"/>
    <cellStyle name="Currency 3 5" xfId="9948" xr:uid="{00000000-0005-0000-0000-0000411B0000}"/>
    <cellStyle name="Currency 3 5 2" xfId="9949" xr:uid="{00000000-0005-0000-0000-0000421B0000}"/>
    <cellStyle name="Currency 3 6" xfId="9950" xr:uid="{00000000-0005-0000-0000-0000431B0000}"/>
    <cellStyle name="Currency 3 7" xfId="9951" xr:uid="{00000000-0005-0000-0000-0000441B0000}"/>
    <cellStyle name="Currency 3 8" xfId="9952" xr:uid="{00000000-0005-0000-0000-0000451B0000}"/>
    <cellStyle name="Currency 3 8 2" xfId="9953" xr:uid="{00000000-0005-0000-0000-0000461B0000}"/>
    <cellStyle name="Currency 3 8 3" xfId="9954" xr:uid="{00000000-0005-0000-0000-0000471B0000}"/>
    <cellStyle name="Currency 3 9" xfId="9955" xr:uid="{00000000-0005-0000-0000-0000481B0000}"/>
    <cellStyle name="Currency 3 9 2" xfId="9956" xr:uid="{00000000-0005-0000-0000-0000491B0000}"/>
    <cellStyle name="Currency 3 9 3" xfId="9957" xr:uid="{00000000-0005-0000-0000-00004A1B0000}"/>
    <cellStyle name="Currency 3 9 3 2" xfId="25780" xr:uid="{CC904710-5081-475A-AF55-73B811B6DD93}"/>
    <cellStyle name="Currency 3 9 3 2 2" xfId="40751" xr:uid="{CFC13176-A624-48BD-8C30-FC1F90AC9325}"/>
    <cellStyle name="Currency 3 9 3 3" xfId="33150" xr:uid="{3E3C1F40-A78F-493A-AA47-3C6C2A55E091}"/>
    <cellStyle name="Currency 30" xfId="2954" xr:uid="{00000000-0005-0000-0000-000046010000}"/>
    <cellStyle name="Currency 30 2" xfId="9958" xr:uid="{00000000-0005-0000-0000-00004B1B0000}"/>
    <cellStyle name="Currency 30 3" xfId="20910" xr:uid="{D49B0A07-0F22-4730-B806-FBAB72E23DBE}"/>
    <cellStyle name="Currency 30 3 2" xfId="35886" xr:uid="{9910AF75-21A7-4183-B931-8BE3C9D7D05B}"/>
    <cellStyle name="Currency 30 4" xfId="28282" xr:uid="{DAF3CE75-22DF-4197-A8EF-20E8944913F6}"/>
    <cellStyle name="Currency 31" xfId="2951" xr:uid="{00000000-0005-0000-0000-000047010000}"/>
    <cellStyle name="Currency 31 2" xfId="9959" xr:uid="{00000000-0005-0000-0000-00004C1B0000}"/>
    <cellStyle name="Currency 31 3" xfId="20907" xr:uid="{9F4EF177-61CA-4495-B7C6-C6946B350439}"/>
    <cellStyle name="Currency 31 3 2" xfId="35883" xr:uid="{EC44B226-9635-46FC-B8A0-B7E566DFBD98}"/>
    <cellStyle name="Currency 31 4" xfId="28279" xr:uid="{F3852E52-CBB2-4EDF-AC3B-89B5BE44FAF4}"/>
    <cellStyle name="Currency 32" xfId="2946" xr:uid="{00000000-0005-0000-0000-000048010000}"/>
    <cellStyle name="Currency 32 2" xfId="9960" xr:uid="{00000000-0005-0000-0000-00004D1B0000}"/>
    <cellStyle name="Currency 32 3" xfId="20902" xr:uid="{15BBDFE0-49FE-4CBF-80F7-11ED675A91F0}"/>
    <cellStyle name="Currency 32 3 2" xfId="35878" xr:uid="{E4603DEB-FD04-4718-9504-7F918012FFD9}"/>
    <cellStyle name="Currency 32 4" xfId="28274" xr:uid="{15AF1307-0937-4C9A-B2A2-5A651D396223}"/>
    <cellStyle name="Currency 33" xfId="2944" xr:uid="{00000000-0005-0000-0000-000049010000}"/>
    <cellStyle name="Currency 33 2" xfId="9961" xr:uid="{00000000-0005-0000-0000-00004E1B0000}"/>
    <cellStyle name="Currency 33 3" xfId="20900" xr:uid="{8AAF9293-C09C-4C5B-BB2B-AFDF04BAD560}"/>
    <cellStyle name="Currency 33 3 2" xfId="35876" xr:uid="{1EEEFEC9-C171-40E4-9D0A-A503E89CA5E6}"/>
    <cellStyle name="Currency 33 4" xfId="28272" xr:uid="{E505DBC7-D5CC-4223-AB58-D9CC3B00C078}"/>
    <cellStyle name="Currency 34" xfId="9962" xr:uid="{00000000-0005-0000-0000-00004F1B0000}"/>
    <cellStyle name="Currency 35" xfId="9963" xr:uid="{00000000-0005-0000-0000-0000501B0000}"/>
    <cellStyle name="Currency 36" xfId="9964" xr:uid="{00000000-0005-0000-0000-0000511B0000}"/>
    <cellStyle name="Currency 37" xfId="9965" xr:uid="{00000000-0005-0000-0000-0000521B0000}"/>
    <cellStyle name="Currency 38" xfId="9966" xr:uid="{00000000-0005-0000-0000-0000531B0000}"/>
    <cellStyle name="Currency 39" xfId="9967" xr:uid="{00000000-0005-0000-0000-0000541B0000}"/>
    <cellStyle name="Currency 4" xfId="441" xr:uid="{00000000-0005-0000-0000-00004A010000}"/>
    <cellStyle name="Currency 4 10" xfId="5414" xr:uid="{00000000-0005-0000-0000-0000551B0000}"/>
    <cellStyle name="Currency 4 2" xfId="5413" xr:uid="{00000000-0005-0000-0000-0000561B0000}"/>
    <cellStyle name="Currency 4 2 2" xfId="9968" xr:uid="{00000000-0005-0000-0000-0000571B0000}"/>
    <cellStyle name="Currency 4 2 2 2" xfId="9969" xr:uid="{00000000-0005-0000-0000-0000581B0000}"/>
    <cellStyle name="Currency 4 3" xfId="5412" xr:uid="{00000000-0005-0000-0000-0000591B0000}"/>
    <cellStyle name="Currency 4 4" xfId="9970" xr:uid="{00000000-0005-0000-0000-00005A1B0000}"/>
    <cellStyle name="Currency 4 4 2" xfId="9971" xr:uid="{00000000-0005-0000-0000-00005B1B0000}"/>
    <cellStyle name="Currency 4 5" xfId="9972" xr:uid="{00000000-0005-0000-0000-00005C1B0000}"/>
    <cellStyle name="Currency 4 6" xfId="9973" xr:uid="{00000000-0005-0000-0000-00005D1B0000}"/>
    <cellStyle name="Currency 4 6 2" xfId="9974" xr:uid="{00000000-0005-0000-0000-00005E1B0000}"/>
    <cellStyle name="Currency 4 6 2 2" xfId="9975" xr:uid="{00000000-0005-0000-0000-00005F1B0000}"/>
    <cellStyle name="Currency 4 6 3" xfId="9976" xr:uid="{00000000-0005-0000-0000-0000601B0000}"/>
    <cellStyle name="Currency 4 6 3 2" xfId="9977" xr:uid="{00000000-0005-0000-0000-0000611B0000}"/>
    <cellStyle name="Currency 4 6 4" xfId="9978" xr:uid="{00000000-0005-0000-0000-0000621B0000}"/>
    <cellStyle name="Currency 4 6 4 2" xfId="9979" xr:uid="{00000000-0005-0000-0000-0000631B0000}"/>
    <cellStyle name="Currency 4 6 5" xfId="9980" xr:uid="{00000000-0005-0000-0000-0000641B0000}"/>
    <cellStyle name="Currency 4 6 5 2" xfId="9981" xr:uid="{00000000-0005-0000-0000-0000651B0000}"/>
    <cellStyle name="Currency 4 6 5 2 2" xfId="9982" xr:uid="{00000000-0005-0000-0000-0000661B0000}"/>
    <cellStyle name="Currency 4 6 5 3" xfId="9983" xr:uid="{00000000-0005-0000-0000-0000671B0000}"/>
    <cellStyle name="Currency 4 6 5 3 2" xfId="9984" xr:uid="{00000000-0005-0000-0000-0000681B0000}"/>
    <cellStyle name="Currency 4 6 5 3 3" xfId="25781" xr:uid="{B9536B7E-16FF-4B75-B9DB-40B3393D34CD}"/>
    <cellStyle name="Currency 4 6 5 3 3 2" xfId="40752" xr:uid="{D1BEF276-AB61-4420-B264-D014C70B1A38}"/>
    <cellStyle name="Currency 4 6 5 3 4" xfId="33151" xr:uid="{5270CACD-EF1E-45F6-B3BB-04CB071EDDE4}"/>
    <cellStyle name="Currency 4 7" xfId="9985" xr:uid="{00000000-0005-0000-0000-0000691B0000}"/>
    <cellStyle name="Currency 4 7 2" xfId="9986" xr:uid="{00000000-0005-0000-0000-00006A1B0000}"/>
    <cellStyle name="Currency 4 8" xfId="9987" xr:uid="{00000000-0005-0000-0000-00006B1B0000}"/>
    <cellStyle name="Currency 4 9" xfId="9988" xr:uid="{00000000-0005-0000-0000-00006C1B0000}"/>
    <cellStyle name="Currency 4 9 2" xfId="9989" xr:uid="{00000000-0005-0000-0000-00006D1B0000}"/>
    <cellStyle name="Currency 4 9 3" xfId="9990" xr:uid="{00000000-0005-0000-0000-00006E1B0000}"/>
    <cellStyle name="Currency 4 9 4" xfId="9991" xr:uid="{00000000-0005-0000-0000-00006F1B0000}"/>
    <cellStyle name="Currency 40" xfId="9992" xr:uid="{00000000-0005-0000-0000-0000701B0000}"/>
    <cellStyle name="Currency 41" xfId="9993" xr:uid="{00000000-0005-0000-0000-0000711B0000}"/>
    <cellStyle name="Currency 42" xfId="9994" xr:uid="{00000000-0005-0000-0000-0000721B0000}"/>
    <cellStyle name="Currency 43" xfId="9995" xr:uid="{00000000-0005-0000-0000-0000731B0000}"/>
    <cellStyle name="Currency 44" xfId="9996" xr:uid="{00000000-0005-0000-0000-0000741B0000}"/>
    <cellStyle name="Currency 45" xfId="9997" xr:uid="{00000000-0005-0000-0000-0000751B0000}"/>
    <cellStyle name="Currency 46" xfId="9998" xr:uid="{00000000-0005-0000-0000-0000761B0000}"/>
    <cellStyle name="Currency 47" xfId="9999" xr:uid="{00000000-0005-0000-0000-0000771B0000}"/>
    <cellStyle name="Currency 48" xfId="10000" xr:uid="{00000000-0005-0000-0000-0000781B0000}"/>
    <cellStyle name="Currency 49" xfId="10001" xr:uid="{00000000-0005-0000-0000-0000791B0000}"/>
    <cellStyle name="Currency 5" xfId="442" xr:uid="{00000000-0005-0000-0000-00004B010000}"/>
    <cellStyle name="Currency 5 2" xfId="443" xr:uid="{00000000-0005-0000-0000-00004C010000}"/>
    <cellStyle name="Currency 5 2 2" xfId="10002" xr:uid="{00000000-0005-0000-0000-00007C1B0000}"/>
    <cellStyle name="Currency 5 2 2 2" xfId="10003" xr:uid="{00000000-0005-0000-0000-00007D1B0000}"/>
    <cellStyle name="Currency 5 2 3" xfId="10004" xr:uid="{00000000-0005-0000-0000-00007E1B0000}"/>
    <cellStyle name="Currency 5 2 4" xfId="10005" xr:uid="{00000000-0005-0000-0000-00007F1B0000}"/>
    <cellStyle name="Currency 5 3" xfId="444" xr:uid="{00000000-0005-0000-0000-00004D010000}"/>
    <cellStyle name="Currency 5 3 2" xfId="10007" xr:uid="{00000000-0005-0000-0000-0000811B0000}"/>
    <cellStyle name="Currency 5 3 3" xfId="10008" xr:uid="{00000000-0005-0000-0000-0000821B0000}"/>
    <cellStyle name="Currency 5 3 4" xfId="10009" xr:uid="{00000000-0005-0000-0000-0000831B0000}"/>
    <cellStyle name="Currency 5 3 5" xfId="10010" xr:uid="{00000000-0005-0000-0000-0000841B0000}"/>
    <cellStyle name="Currency 5 3 6" xfId="10011" xr:uid="{00000000-0005-0000-0000-0000851B0000}"/>
    <cellStyle name="Currency 5 3 7" xfId="10006" xr:uid="{00000000-0005-0000-0000-0000801B0000}"/>
    <cellStyle name="Currency 5 4" xfId="10012" xr:uid="{00000000-0005-0000-0000-0000861B0000}"/>
    <cellStyle name="Currency 5 4 2" xfId="10013" xr:uid="{00000000-0005-0000-0000-0000871B0000}"/>
    <cellStyle name="Currency 5 4 3" xfId="10014" xr:uid="{00000000-0005-0000-0000-0000881B0000}"/>
    <cellStyle name="Currency 5 4 3 2" xfId="10015" xr:uid="{00000000-0005-0000-0000-0000891B0000}"/>
    <cellStyle name="Currency 5 4 4" xfId="10016" xr:uid="{00000000-0005-0000-0000-00008A1B0000}"/>
    <cellStyle name="Currency 5 5" xfId="10017" xr:uid="{00000000-0005-0000-0000-00008B1B0000}"/>
    <cellStyle name="Currency 5 6" xfId="10018" xr:uid="{00000000-0005-0000-0000-00008C1B0000}"/>
    <cellStyle name="Currency 50" xfId="10019" xr:uid="{00000000-0005-0000-0000-00008D1B0000}"/>
    <cellStyle name="Currency 51" xfId="10020" xr:uid="{00000000-0005-0000-0000-00008E1B0000}"/>
    <cellStyle name="Currency 52" xfId="10021" xr:uid="{00000000-0005-0000-0000-00008F1B0000}"/>
    <cellStyle name="Currency 53" xfId="5286" xr:uid="{00000000-0005-0000-0000-0000901B0000}"/>
    <cellStyle name="Currency 54" xfId="5285" xr:uid="{00000000-0005-0000-0000-0000911B0000}"/>
    <cellStyle name="Currency 55" xfId="10022" xr:uid="{00000000-0005-0000-0000-0000921B0000}"/>
    <cellStyle name="Currency 55 2" xfId="25782" xr:uid="{1BC59E29-C1A6-40B5-BC9C-B3AE0FB7381B}"/>
    <cellStyle name="Currency 55 2 2" xfId="40753" xr:uid="{52857806-AE36-47A3-91D8-AE66624B8DD1}"/>
    <cellStyle name="Currency 55 3" xfId="33152" xr:uid="{9C2487A7-1F2F-4D75-A5D6-E9532D42F16C}"/>
    <cellStyle name="Currency 56" xfId="10023" xr:uid="{00000000-0005-0000-0000-0000931B0000}"/>
    <cellStyle name="Currency 56 2" xfId="25783" xr:uid="{8DDA4259-A931-439E-8FC9-8E2FB3D51AA7}"/>
    <cellStyle name="Currency 56 2 2" xfId="40754" xr:uid="{D7EDF70B-D1E9-424B-A842-EF69987F8FC9}"/>
    <cellStyle name="Currency 56 3" xfId="33153" xr:uid="{C022A11E-F032-487D-9ACC-909E16322327}"/>
    <cellStyle name="Currency 57" xfId="10024" xr:uid="{00000000-0005-0000-0000-0000941B0000}"/>
    <cellStyle name="Currency 57 2" xfId="25784" xr:uid="{8518532F-9274-4EBE-B7D6-1DA4D3BB0C3B}"/>
    <cellStyle name="Currency 57 2 2" xfId="40755" xr:uid="{891E4936-713A-4B3C-B0F1-1775544B5A47}"/>
    <cellStyle name="Currency 57 3" xfId="33154" xr:uid="{5EF2203B-246E-4470-9B76-842FA69F358C}"/>
    <cellStyle name="Currency 58" xfId="5284" xr:uid="{00000000-0005-0000-0000-0000951B0000}"/>
    <cellStyle name="Currency 59" xfId="20123" xr:uid="{00000000-0005-0000-0000-000065240000}"/>
    <cellStyle name="Currency 6" xfId="445" xr:uid="{00000000-0005-0000-0000-00004E010000}"/>
    <cellStyle name="Currency 6 2" xfId="446" xr:uid="{00000000-0005-0000-0000-00004F010000}"/>
    <cellStyle name="Currency 6 2 2" xfId="10025" xr:uid="{00000000-0005-0000-0000-0000981B0000}"/>
    <cellStyle name="Currency 6 2 2 2" xfId="10026" xr:uid="{00000000-0005-0000-0000-0000991B0000}"/>
    <cellStyle name="Currency 6 2 3" xfId="5410" xr:uid="{00000000-0005-0000-0000-0000971B0000}"/>
    <cellStyle name="Currency 6 3" xfId="5538" xr:uid="{00000000-0005-0000-0000-00009A1B0000}"/>
    <cellStyle name="Currency 6 3 2" xfId="10027" xr:uid="{00000000-0005-0000-0000-00009B1B0000}"/>
    <cellStyle name="Currency 6 3 2 2" xfId="10028" xr:uid="{00000000-0005-0000-0000-00009C1B0000}"/>
    <cellStyle name="Currency 6 3 3" xfId="10029" xr:uid="{00000000-0005-0000-0000-00009D1B0000}"/>
    <cellStyle name="Currency 6 4" xfId="10030" xr:uid="{00000000-0005-0000-0000-00009E1B0000}"/>
    <cellStyle name="Currency 6 5" xfId="5411" xr:uid="{00000000-0005-0000-0000-0000961B0000}"/>
    <cellStyle name="Currency 60" xfId="20530" xr:uid="{00000000-0005-0000-0000-0000BB4E0000}"/>
    <cellStyle name="Currency 61" xfId="20539" xr:uid="{01E2F28A-D1F3-467A-AD30-E4095BD33D2C}"/>
    <cellStyle name="Currency 61 2" xfId="20552" xr:uid="{06761F91-B576-4E66-A4DD-757B6FD0EFD5}"/>
    <cellStyle name="Currency 61 2 2" xfId="20564" xr:uid="{5E756C9E-EAD9-4C6C-9AC3-9AB6DCFA9AB0}"/>
    <cellStyle name="Currency 61 2 2 2" xfId="27862" xr:uid="{E3F22DE0-71F6-4BEA-9446-91F3D5765BDD}"/>
    <cellStyle name="Currency 61 2 2 2 2" xfId="42799" xr:uid="{2BDFCB23-57A0-4842-B379-FFBB14499C3B}"/>
    <cellStyle name="Currency 61 2 2 3" xfId="35571" xr:uid="{75202C8D-3325-439B-AFA7-D0170C91C06E}"/>
    <cellStyle name="Currency 61 2 3" xfId="27856" xr:uid="{F0DCCC59-F7F6-4DA4-888C-530B4AD97328}"/>
    <cellStyle name="Currency 61 2 3 2" xfId="42793" xr:uid="{8B97124A-F8C7-442F-B226-E61790F4D99A}"/>
    <cellStyle name="Currency 61 2 4" xfId="35565" xr:uid="{A6A1147F-8A08-4D7C-A0BC-14CD20EC79B6}"/>
    <cellStyle name="Currency 61 3" xfId="27846" xr:uid="{709A9F18-0F9B-492D-A3DF-C8C4C773A58B}"/>
    <cellStyle name="Currency 61 3 2" xfId="42783" xr:uid="{47FF732D-98C4-4227-8C46-972996FB868E}"/>
    <cellStyle name="Currency 61 4" xfId="35555" xr:uid="{EAACE878-09F8-40F3-948C-6EE385207843}"/>
    <cellStyle name="Currency 62" xfId="20582" xr:uid="{F2EB2E86-FEA9-4608-870D-6B21E4F005B0}"/>
    <cellStyle name="Currency 62 2" xfId="27875" xr:uid="{E0C44AD3-3E6B-45AA-B4EB-DC635916AE3F}"/>
    <cellStyle name="Currency 62 2 2" xfId="42812" xr:uid="{D4CEC41D-CB0D-46F4-95E1-8DF27D88B270}"/>
    <cellStyle name="Currency 62 3" xfId="35584" xr:uid="{EBA77285-9856-40AF-A5ED-D6DBE5886D80}"/>
    <cellStyle name="Currency 63" xfId="20585" xr:uid="{2758AA68-74E1-4ECD-96AB-60CA89952A16}"/>
    <cellStyle name="Currency 63 2" xfId="27878" xr:uid="{CE2BA507-1435-4BEB-8145-81C1288B1FC5}"/>
    <cellStyle name="Currency 63 2 2" xfId="42815" xr:uid="{E710470C-FF7C-4EA0-B1F0-67A18DA68F99}"/>
    <cellStyle name="Currency 63 3" xfId="35587" xr:uid="{28BEB715-ED42-4A03-8F9C-91FA39523A4B}"/>
    <cellStyle name="Currency 7" xfId="447" xr:uid="{00000000-0005-0000-0000-000050010000}"/>
    <cellStyle name="Currency 7 2" xfId="448" xr:uid="{00000000-0005-0000-0000-000051010000}"/>
    <cellStyle name="Currency 7 2 2" xfId="10031" xr:uid="{00000000-0005-0000-0000-0000A11B0000}"/>
    <cellStyle name="Currency 7 2 2 2" xfId="10032" xr:uid="{00000000-0005-0000-0000-0000A21B0000}"/>
    <cellStyle name="Currency 7 2 3" xfId="5409" xr:uid="{00000000-0005-0000-0000-0000A01B0000}"/>
    <cellStyle name="Currency 7 3" xfId="10033" xr:uid="{00000000-0005-0000-0000-0000A31B0000}"/>
    <cellStyle name="Currency 7 4" xfId="10034" xr:uid="{00000000-0005-0000-0000-0000A41B0000}"/>
    <cellStyle name="Currency 7 4 2" xfId="10035" xr:uid="{00000000-0005-0000-0000-0000A51B0000}"/>
    <cellStyle name="Currency 7 4 3" xfId="10036" xr:uid="{00000000-0005-0000-0000-0000A61B0000}"/>
    <cellStyle name="Currency 7 4 3 2" xfId="25785" xr:uid="{E7B8A391-14D0-403A-BADC-E3E932BD26F9}"/>
    <cellStyle name="Currency 7 4 3 2 2" xfId="40756" xr:uid="{82E60761-C788-43DC-A693-618D25A8F1BE}"/>
    <cellStyle name="Currency 7 4 3 3" xfId="33155" xr:uid="{F070E74A-BD2B-4FF7-8D97-377B74844C3B}"/>
    <cellStyle name="Currency 7 4 4" xfId="10037" xr:uid="{00000000-0005-0000-0000-0000A71B0000}"/>
    <cellStyle name="Currency 7 4 4 2" xfId="25786" xr:uid="{E509A905-1FD0-4182-A0F5-985E14CBA05D}"/>
    <cellStyle name="Currency 7 4 4 2 2" xfId="40757" xr:uid="{59519558-33ED-458E-B0A3-94B85DC92807}"/>
    <cellStyle name="Currency 7 4 4 3" xfId="33156" xr:uid="{1F1D9A16-6184-4639-A9BE-9FB850D67E20}"/>
    <cellStyle name="Currency 7 5" xfId="10038" xr:uid="{00000000-0005-0000-0000-0000A81B0000}"/>
    <cellStyle name="Currency 7 6" xfId="10039" xr:uid="{00000000-0005-0000-0000-0000A91B0000}"/>
    <cellStyle name="Currency 7 7" xfId="10040" xr:uid="{00000000-0005-0000-0000-0000AA1B0000}"/>
    <cellStyle name="Currency 7 8" xfId="5539" xr:uid="{00000000-0005-0000-0000-00009F1B0000}"/>
    <cellStyle name="Currency 7_App b.3 Unspent_" xfId="449" xr:uid="{00000000-0005-0000-0000-000052010000}"/>
    <cellStyle name="Currency 8" xfId="450" xr:uid="{00000000-0005-0000-0000-000053010000}"/>
    <cellStyle name="Currency 8 2" xfId="10041" xr:uid="{00000000-0005-0000-0000-0000AC1B0000}"/>
    <cellStyle name="Currency 8 2 2" xfId="10042" xr:uid="{00000000-0005-0000-0000-0000AD1B0000}"/>
    <cellStyle name="Currency 8 3" xfId="10043" xr:uid="{00000000-0005-0000-0000-0000AE1B0000}"/>
    <cellStyle name="Currency 8 3 2" xfId="10044" xr:uid="{00000000-0005-0000-0000-0000AF1B0000}"/>
    <cellStyle name="Currency 8 3 2 2" xfId="25787" xr:uid="{962E26AD-0AB8-480B-A1DA-2EEC21826DE8}"/>
    <cellStyle name="Currency 8 3 2 2 2" xfId="40758" xr:uid="{E459166F-F9CF-4024-944C-8CC1170109A7}"/>
    <cellStyle name="Currency 8 3 2 3" xfId="33157" xr:uid="{2DCDDEE1-8997-4478-8240-C396FD60349B}"/>
    <cellStyle name="Currency 8 3 3" xfId="10045" xr:uid="{00000000-0005-0000-0000-0000B01B0000}"/>
    <cellStyle name="Currency 8 3 3 2" xfId="25788" xr:uid="{FCC9EB09-F7E3-460E-B90A-E8AAF4FC0DFA}"/>
    <cellStyle name="Currency 8 3 3 2 2" xfId="40759" xr:uid="{BC056010-EF2E-4CCF-BA91-247F4F95C614}"/>
    <cellStyle name="Currency 8 3 3 3" xfId="33158" xr:uid="{EC9C605A-5561-4BD1-9001-883A2C6E1811}"/>
    <cellStyle name="Currency 8 4" xfId="10046" xr:uid="{00000000-0005-0000-0000-0000B11B0000}"/>
    <cellStyle name="Currency 8 5" xfId="5408" xr:uid="{00000000-0005-0000-0000-0000AB1B0000}"/>
    <cellStyle name="Currency 9" xfId="451" xr:uid="{00000000-0005-0000-0000-000054010000}"/>
    <cellStyle name="Currency 9 2" xfId="10047" xr:uid="{00000000-0005-0000-0000-0000B31B0000}"/>
    <cellStyle name="Currency 9 2 2" xfId="10048" xr:uid="{00000000-0005-0000-0000-0000B41B0000}"/>
    <cellStyle name="Currency 9 3" xfId="10049" xr:uid="{00000000-0005-0000-0000-0000B51B0000}"/>
    <cellStyle name="Currency 9 3 2" xfId="10050" xr:uid="{00000000-0005-0000-0000-0000B61B0000}"/>
    <cellStyle name="Currency 9 3 2 2" xfId="10051" xr:uid="{00000000-0005-0000-0000-0000B71B0000}"/>
    <cellStyle name="Currency 9 3 3" xfId="10052" xr:uid="{00000000-0005-0000-0000-0000B81B0000}"/>
    <cellStyle name="Currency 9 4" xfId="5407" xr:uid="{00000000-0005-0000-0000-0000B21B0000}"/>
    <cellStyle name="Currency_SCE_01_CapsTargets_072910 (2)" xfId="20560" xr:uid="{12450458-C227-44A3-9682-11936A1F9A18}"/>
    <cellStyle name="Currency0" xfId="452" xr:uid="{00000000-0005-0000-0000-000055010000}"/>
    <cellStyle name="Currency0 2" xfId="453" xr:uid="{00000000-0005-0000-0000-000056010000}"/>
    <cellStyle name="Currency0 3" xfId="454" xr:uid="{00000000-0005-0000-0000-000057010000}"/>
    <cellStyle name="Currency0nospace" xfId="455" xr:uid="{00000000-0005-0000-0000-000058010000}"/>
    <cellStyle name="Currency2" xfId="456" xr:uid="{00000000-0005-0000-0000-000059010000}"/>
    <cellStyle name="Date" xfId="457" xr:uid="{00000000-0005-0000-0000-00005A010000}"/>
    <cellStyle name="Date 2" xfId="458" xr:uid="{00000000-0005-0000-0000-00005B010000}"/>
    <cellStyle name="Date 2 2" xfId="5537" xr:uid="{00000000-0005-0000-0000-0000BF1B0000}"/>
    <cellStyle name="Date 3" xfId="10053" xr:uid="{00000000-0005-0000-0000-0000C01B0000}"/>
    <cellStyle name="Date 4" xfId="10054" xr:uid="{00000000-0005-0000-0000-0000C11B0000}"/>
    <cellStyle name="Date_App b.3 Unspent_" xfId="459" xr:uid="{00000000-0005-0000-0000-00005C010000}"/>
    <cellStyle name="DateData" xfId="460" xr:uid="{00000000-0005-0000-0000-00005D010000}"/>
    <cellStyle name="DateData 2" xfId="5406" xr:uid="{00000000-0005-0000-0000-0000C31B0000}"/>
    <cellStyle name="Days_from_01/21/2006" xfId="461" xr:uid="{00000000-0005-0000-0000-00005E010000}"/>
    <cellStyle name="Dollars &amp; Cents" xfId="462" xr:uid="{00000000-0005-0000-0000-00005F010000}"/>
    <cellStyle name="Dollars &amp; Cents 2" xfId="5506" xr:uid="{00000000-0005-0000-0000-0000C51B0000}"/>
    <cellStyle name="Emphasis 1" xfId="10055" xr:uid="{00000000-0005-0000-0000-0000C61B0000}"/>
    <cellStyle name="Emphasis 1 2" xfId="10056" xr:uid="{00000000-0005-0000-0000-0000C71B0000}"/>
    <cellStyle name="Emphasis 1 2 2" xfId="10057" xr:uid="{00000000-0005-0000-0000-0000C81B0000}"/>
    <cellStyle name="Emphasis 2" xfId="10058" xr:uid="{00000000-0005-0000-0000-0000C91B0000}"/>
    <cellStyle name="Emphasis 2 2" xfId="10059" xr:uid="{00000000-0005-0000-0000-0000CA1B0000}"/>
    <cellStyle name="Emphasis 2 2 2" xfId="10060" xr:uid="{00000000-0005-0000-0000-0000CB1B0000}"/>
    <cellStyle name="Emphasis 3" xfId="10061" xr:uid="{00000000-0005-0000-0000-0000CC1B0000}"/>
    <cellStyle name="Emphasis 3 2" xfId="10062" xr:uid="{00000000-0005-0000-0000-0000CD1B0000}"/>
    <cellStyle name="Entered" xfId="463" xr:uid="{00000000-0005-0000-0000-000060010000}"/>
    <cellStyle name="Entered 2" xfId="5405" xr:uid="{00000000-0005-0000-0000-0000CF1B0000}"/>
    <cellStyle name="Euro" xfId="464" xr:uid="{00000000-0005-0000-0000-000061010000}"/>
    <cellStyle name="Euro billion" xfId="465" xr:uid="{00000000-0005-0000-0000-000062010000}"/>
    <cellStyle name="Euro million" xfId="466" xr:uid="{00000000-0005-0000-0000-000063010000}"/>
    <cellStyle name="Euro thousand" xfId="467" xr:uid="{00000000-0005-0000-0000-000064010000}"/>
    <cellStyle name="Euro_12889 GP Contracts v3" xfId="468" xr:uid="{00000000-0005-0000-0000-000065010000}"/>
    <cellStyle name="Explanatory Text" xfId="79" builtinId="53" customBuiltin="1"/>
    <cellStyle name="Explanatory Text 10" xfId="10063" xr:uid="{00000000-0005-0000-0000-0000D51B0000}"/>
    <cellStyle name="Explanatory Text 2" xfId="469" xr:uid="{00000000-0005-0000-0000-000066010000}"/>
    <cellStyle name="Explanatory Text 3" xfId="470" xr:uid="{00000000-0005-0000-0000-000067010000}"/>
    <cellStyle name="Explanatory Text 3 2" xfId="10064" xr:uid="{00000000-0005-0000-0000-0000D81B0000}"/>
    <cellStyle name="Explanatory Text 3 3" xfId="10065" xr:uid="{00000000-0005-0000-0000-0000D91B0000}"/>
    <cellStyle name="Explanatory Text 4" xfId="471" xr:uid="{00000000-0005-0000-0000-000068010000}"/>
    <cellStyle name="Explanatory Text 5" xfId="472" xr:uid="{00000000-0005-0000-0000-000069010000}"/>
    <cellStyle name="Explanatory Text 6" xfId="473" xr:uid="{00000000-0005-0000-0000-00006A010000}"/>
    <cellStyle name="Explanatory Text 7" xfId="474" xr:uid="{00000000-0005-0000-0000-00006B010000}"/>
    <cellStyle name="Explanatory Text 8" xfId="10066" xr:uid="{00000000-0005-0000-0000-0000DE1B0000}"/>
    <cellStyle name="Explanatory Text 9" xfId="10067" xr:uid="{00000000-0005-0000-0000-0000DF1B0000}"/>
    <cellStyle name="First_Name" xfId="475" xr:uid="{00000000-0005-0000-0000-00006C010000}"/>
    <cellStyle name="Fixed" xfId="476" xr:uid="{00000000-0005-0000-0000-00006D010000}"/>
    <cellStyle name="Fixed 2" xfId="477" xr:uid="{00000000-0005-0000-0000-00006E010000}"/>
    <cellStyle name="Fixed 2 2" xfId="10068" xr:uid="{00000000-0005-0000-0000-0000E31B0000}"/>
    <cellStyle name="Fixed 2 3" xfId="10069" xr:uid="{00000000-0005-0000-0000-0000E41B0000}"/>
    <cellStyle name="Fixed 2 4" xfId="5404" xr:uid="{00000000-0005-0000-0000-0000E21B0000}"/>
    <cellStyle name="Fixed 3" xfId="478" xr:uid="{00000000-0005-0000-0000-00006F010000}"/>
    <cellStyle name="Fixed 4" xfId="10070" xr:uid="{00000000-0005-0000-0000-0000E61B0000}"/>
    <cellStyle name="Fixed 5" xfId="10071" xr:uid="{00000000-0005-0000-0000-0000E71B0000}"/>
    <cellStyle name="Fixed_2010-2012 Program Workbook_Incent_FS" xfId="479" xr:uid="{00000000-0005-0000-0000-000070010000}"/>
    <cellStyle name="Forecast" xfId="480" xr:uid="{00000000-0005-0000-0000-000071010000}"/>
    <cellStyle name="fred" xfId="481" xr:uid="{00000000-0005-0000-0000-000072010000}"/>
    <cellStyle name="fred 2" xfId="5403" xr:uid="{00000000-0005-0000-0000-0000EB1B0000}"/>
    <cellStyle name="Fred%" xfId="482" xr:uid="{00000000-0005-0000-0000-000073010000}"/>
    <cellStyle name="Fred% 2" xfId="5402" xr:uid="{00000000-0005-0000-0000-0000ED1B0000}"/>
    <cellStyle name="GBP" xfId="483" xr:uid="{00000000-0005-0000-0000-000074010000}"/>
    <cellStyle name="GBP billion" xfId="484" xr:uid="{00000000-0005-0000-0000-000075010000}"/>
    <cellStyle name="GBP million" xfId="485" xr:uid="{00000000-0005-0000-0000-000076010000}"/>
    <cellStyle name="GBP thousand" xfId="486" xr:uid="{00000000-0005-0000-0000-000077010000}"/>
    <cellStyle name="General" xfId="487" xr:uid="{00000000-0005-0000-0000-000078010000}"/>
    <cellStyle name="Good" xfId="70" builtinId="26" customBuiltin="1"/>
    <cellStyle name="Good 10" xfId="10072" xr:uid="{00000000-0005-0000-0000-0000F31B0000}"/>
    <cellStyle name="Good 11" xfId="10073" xr:uid="{00000000-0005-0000-0000-0000F41B0000}"/>
    <cellStyle name="Good 2" xfId="488" xr:uid="{00000000-0005-0000-0000-000079010000}"/>
    <cellStyle name="Good 2 12" xfId="20571" xr:uid="{ECE6C88B-925A-4046-A0C6-443E34ACF52C}"/>
    <cellStyle name="Good 2 2" xfId="10075" xr:uid="{00000000-0005-0000-0000-0000F61B0000}"/>
    <cellStyle name="Good 2 2 2" xfId="10076" xr:uid="{00000000-0005-0000-0000-0000F71B0000}"/>
    <cellStyle name="Good 2 3" xfId="10077" xr:uid="{00000000-0005-0000-0000-0000F81B0000}"/>
    <cellStyle name="Good 2 4" xfId="10078" xr:uid="{00000000-0005-0000-0000-0000F91B0000}"/>
    <cellStyle name="Good 2 5" xfId="10074" xr:uid="{00000000-0005-0000-0000-0000F51B0000}"/>
    <cellStyle name="Good 3" xfId="489" xr:uid="{00000000-0005-0000-0000-00007A010000}"/>
    <cellStyle name="Good 3 2" xfId="10079" xr:uid="{00000000-0005-0000-0000-0000FB1B0000}"/>
    <cellStyle name="Good 3 3" xfId="10080" xr:uid="{00000000-0005-0000-0000-0000FC1B0000}"/>
    <cellStyle name="Good 4" xfId="490" xr:uid="{00000000-0005-0000-0000-00007B010000}"/>
    <cellStyle name="Good 5" xfId="491" xr:uid="{00000000-0005-0000-0000-00007C010000}"/>
    <cellStyle name="Good 6" xfId="492" xr:uid="{00000000-0005-0000-0000-00007D010000}"/>
    <cellStyle name="Good 7" xfId="493" xr:uid="{00000000-0005-0000-0000-00007E010000}"/>
    <cellStyle name="Good 8" xfId="10081" xr:uid="{00000000-0005-0000-0000-0000011C0000}"/>
    <cellStyle name="Good 9" xfId="10082" xr:uid="{00000000-0005-0000-0000-0000021C0000}"/>
    <cellStyle name="Grey" xfId="494" xr:uid="{00000000-0005-0000-0000-00007F010000}"/>
    <cellStyle name="Grey 2" xfId="495" xr:uid="{00000000-0005-0000-0000-000080010000}"/>
    <cellStyle name="Grey_2010-2012 Program Workbook Completed_Incent_V2" xfId="496" xr:uid="{00000000-0005-0000-0000-000081010000}"/>
    <cellStyle name="HEADER" xfId="497" xr:uid="{00000000-0005-0000-0000-000082010000}"/>
    <cellStyle name="Header1" xfId="498" xr:uid="{00000000-0005-0000-0000-000083010000}"/>
    <cellStyle name="Header1 2" xfId="5311" xr:uid="{00000000-0005-0000-0000-0000071C0000}"/>
    <cellStyle name="Header2" xfId="499" xr:uid="{00000000-0005-0000-0000-000084010000}"/>
    <cellStyle name="Header2 2" xfId="500" xr:uid="{00000000-0005-0000-0000-000085010000}"/>
    <cellStyle name="Header2 2 2" xfId="20723" xr:uid="{E14BC16E-8B95-4271-BFB2-4341FE535296}"/>
    <cellStyle name="Header2 3" xfId="5312" xr:uid="{00000000-0005-0000-0000-0000081C0000}"/>
    <cellStyle name="Header2 3 2" xfId="23176" xr:uid="{C45A5C0B-0EC0-4A84-BB55-2412B9B10AAF}"/>
    <cellStyle name="Header2 4" xfId="20722" xr:uid="{D16279D3-0A93-4738-9FCC-E00679B2A3B8}"/>
    <cellStyle name="Heading 1" xfId="66" builtinId="16" customBuiltin="1"/>
    <cellStyle name="Heading 1 10" xfId="10083" xr:uid="{00000000-0005-0000-0000-00000A1C0000}"/>
    <cellStyle name="Heading 1 11" xfId="10084" xr:uid="{00000000-0005-0000-0000-00000B1C0000}"/>
    <cellStyle name="Heading 1 2" xfId="501" xr:uid="{00000000-0005-0000-0000-000086010000}"/>
    <cellStyle name="Heading 1 2 2" xfId="502" xr:uid="{00000000-0005-0000-0000-000087010000}"/>
    <cellStyle name="Heading 1 2 2 2" xfId="10085" xr:uid="{00000000-0005-0000-0000-00000E1C0000}"/>
    <cellStyle name="Heading 1 2 2 2 2" xfId="10086" xr:uid="{00000000-0005-0000-0000-00000F1C0000}"/>
    <cellStyle name="Heading 1 2 2 3" xfId="5401" xr:uid="{00000000-0005-0000-0000-00000D1C0000}"/>
    <cellStyle name="Heading 1 2 3" xfId="10087" xr:uid="{00000000-0005-0000-0000-0000101C0000}"/>
    <cellStyle name="Heading 1 2 4" xfId="10088" xr:uid="{00000000-0005-0000-0000-0000111C0000}"/>
    <cellStyle name="Heading 1 2_App b.3 Unspent_" xfId="503" xr:uid="{00000000-0005-0000-0000-000088010000}"/>
    <cellStyle name="Heading 1 3" xfId="504" xr:uid="{00000000-0005-0000-0000-000089010000}"/>
    <cellStyle name="Heading 1 3 2" xfId="10089" xr:uid="{00000000-0005-0000-0000-0000131C0000}"/>
    <cellStyle name="Heading 1 3 3" xfId="10090" xr:uid="{00000000-0005-0000-0000-0000141C0000}"/>
    <cellStyle name="Heading 1 3 4" xfId="10091" xr:uid="{00000000-0005-0000-0000-0000151C0000}"/>
    <cellStyle name="Heading 1 3 5" xfId="5400" xr:uid="{00000000-0005-0000-0000-0000121C0000}"/>
    <cellStyle name="Heading 1 4" xfId="505" xr:uid="{00000000-0005-0000-0000-00008A010000}"/>
    <cellStyle name="Heading 1 5" xfId="506" xr:uid="{00000000-0005-0000-0000-00008B010000}"/>
    <cellStyle name="Heading 1 6" xfId="507" xr:uid="{00000000-0005-0000-0000-00008C010000}"/>
    <cellStyle name="Heading 1 7" xfId="508" xr:uid="{00000000-0005-0000-0000-00008D010000}"/>
    <cellStyle name="Heading 1 8" xfId="10092" xr:uid="{00000000-0005-0000-0000-00001A1C0000}"/>
    <cellStyle name="Heading 1 9" xfId="10093" xr:uid="{00000000-0005-0000-0000-00001B1C0000}"/>
    <cellStyle name="Heading 2" xfId="67" builtinId="17" customBuiltin="1"/>
    <cellStyle name="Heading 2 10" xfId="10094" xr:uid="{00000000-0005-0000-0000-00001D1C0000}"/>
    <cellStyle name="Heading 2 11" xfId="10095" xr:uid="{00000000-0005-0000-0000-00001E1C0000}"/>
    <cellStyle name="Heading 2 2" xfId="509" xr:uid="{00000000-0005-0000-0000-00008E010000}"/>
    <cellStyle name="Heading 2 2 2" xfId="510" xr:uid="{00000000-0005-0000-0000-00008F010000}"/>
    <cellStyle name="Heading 2 2 2 2" xfId="10096" xr:uid="{00000000-0005-0000-0000-0000211C0000}"/>
    <cellStyle name="Heading 2 2 2 2 2" xfId="10097" xr:uid="{00000000-0005-0000-0000-0000221C0000}"/>
    <cellStyle name="Heading 2 2 2 3" xfId="5399" xr:uid="{00000000-0005-0000-0000-0000201C0000}"/>
    <cellStyle name="Heading 2 2 3" xfId="10098" xr:uid="{00000000-0005-0000-0000-0000231C0000}"/>
    <cellStyle name="Heading 2 2 4" xfId="10099" xr:uid="{00000000-0005-0000-0000-0000241C0000}"/>
    <cellStyle name="Heading 2 2_App b.3 Unspent_" xfId="511" xr:uid="{00000000-0005-0000-0000-000090010000}"/>
    <cellStyle name="Heading 2 3" xfId="512" xr:uid="{00000000-0005-0000-0000-000091010000}"/>
    <cellStyle name="Heading 2 3 2" xfId="10100" xr:uid="{00000000-0005-0000-0000-0000261C0000}"/>
    <cellStyle name="Heading 2 3 3" xfId="10101" xr:uid="{00000000-0005-0000-0000-0000271C0000}"/>
    <cellStyle name="Heading 2 3 4" xfId="10102" xr:uid="{00000000-0005-0000-0000-0000281C0000}"/>
    <cellStyle name="Heading 2 3 5" xfId="5398" xr:uid="{00000000-0005-0000-0000-0000251C0000}"/>
    <cellStyle name="Heading 2 4" xfId="513" xr:uid="{00000000-0005-0000-0000-000092010000}"/>
    <cellStyle name="Heading 2 5" xfId="514" xr:uid="{00000000-0005-0000-0000-000093010000}"/>
    <cellStyle name="Heading 2 6" xfId="515" xr:uid="{00000000-0005-0000-0000-000094010000}"/>
    <cellStyle name="Heading 2 7" xfId="516" xr:uid="{00000000-0005-0000-0000-000095010000}"/>
    <cellStyle name="Heading 2 8" xfId="10103" xr:uid="{00000000-0005-0000-0000-00002D1C0000}"/>
    <cellStyle name="Heading 2 9" xfId="10104" xr:uid="{00000000-0005-0000-0000-00002E1C0000}"/>
    <cellStyle name="Heading 3" xfId="68" builtinId="18" customBuiltin="1"/>
    <cellStyle name="Heading 3 10" xfId="10105" xr:uid="{00000000-0005-0000-0000-00002F1C0000}"/>
    <cellStyle name="Heading 3 10 2" xfId="25789" xr:uid="{860312FB-C2D7-44A0-94DE-D4902512FA15}"/>
    <cellStyle name="Heading 3 11" xfId="10106" xr:uid="{00000000-0005-0000-0000-0000301C0000}"/>
    <cellStyle name="Heading 3 11 2" xfId="25790" xr:uid="{5E81589C-A4D4-4765-917D-0DEC380474E6}"/>
    <cellStyle name="Heading 3 2" xfId="517" xr:uid="{00000000-0005-0000-0000-000096010000}"/>
    <cellStyle name="Heading 3 2 2" xfId="10108" xr:uid="{00000000-0005-0000-0000-0000321C0000}"/>
    <cellStyle name="Heading 3 2 2 2" xfId="10109" xr:uid="{00000000-0005-0000-0000-0000331C0000}"/>
    <cellStyle name="Heading 3 2 2 2 2" xfId="25793" xr:uid="{34803822-45C0-4610-B435-0A00D9EE7166}"/>
    <cellStyle name="Heading 3 2 2 3" xfId="25792" xr:uid="{5125B96A-444B-4573-8894-82DD40F0AD64}"/>
    <cellStyle name="Heading 3 2 3" xfId="10110" xr:uid="{00000000-0005-0000-0000-0000341C0000}"/>
    <cellStyle name="Heading 3 2 3 2" xfId="25794" xr:uid="{2160B8BA-3155-471E-912C-F1267F5C5FC3}"/>
    <cellStyle name="Heading 3 2 4" xfId="10107" xr:uid="{00000000-0005-0000-0000-0000311C0000}"/>
    <cellStyle name="Heading 3 2 4 2" xfId="25791" xr:uid="{5BE9D4D4-F733-4380-AB29-9253D10E3C0A}"/>
    <cellStyle name="Heading 3 2 5" xfId="20724" xr:uid="{24C985F3-820F-4680-85A5-A688DCC8A173}"/>
    <cellStyle name="Heading 3 3" xfId="518" xr:uid="{00000000-0005-0000-0000-000097010000}"/>
    <cellStyle name="Heading 3 3 2" xfId="10111" xr:uid="{00000000-0005-0000-0000-0000361C0000}"/>
    <cellStyle name="Heading 3 3 2 2" xfId="25795" xr:uid="{3BF64246-6D84-4948-9FC8-63B65C833F77}"/>
    <cellStyle name="Heading 3 3 3" xfId="10112" xr:uid="{00000000-0005-0000-0000-0000371C0000}"/>
    <cellStyle name="Heading 3 3 4" xfId="20725" xr:uid="{53DD677B-FE71-4A30-BF7E-225758FF2AB4}"/>
    <cellStyle name="Heading 3 4" xfId="519" xr:uid="{00000000-0005-0000-0000-000098010000}"/>
    <cellStyle name="Heading 3 4 2" xfId="20726" xr:uid="{46EE865A-9423-4B00-84D6-B7C7504E6502}"/>
    <cellStyle name="Heading 3 5" xfId="520" xr:uid="{00000000-0005-0000-0000-000099010000}"/>
    <cellStyle name="Heading 3 5 2" xfId="20727" xr:uid="{83E780FC-0ADF-4B71-9C9F-75BBABCEB583}"/>
    <cellStyle name="Heading 3 6" xfId="521" xr:uid="{00000000-0005-0000-0000-00009A010000}"/>
    <cellStyle name="Heading 3 6 2" xfId="20728" xr:uid="{0BC38A34-488F-4E36-8063-E96FFB4FFA08}"/>
    <cellStyle name="Heading 3 7" xfId="522" xr:uid="{00000000-0005-0000-0000-00009B010000}"/>
    <cellStyle name="Heading 3 7 2" xfId="20729" xr:uid="{495EF081-C12B-4B2B-94B6-BC81F1FF2034}"/>
    <cellStyle name="Heading 3 8" xfId="10113" xr:uid="{00000000-0005-0000-0000-00003C1C0000}"/>
    <cellStyle name="Heading 3 8 2" xfId="25796" xr:uid="{472743D3-FB5B-443F-A480-C90AF24FF1AC}"/>
    <cellStyle name="Heading 3 9" xfId="10114" xr:uid="{00000000-0005-0000-0000-00003D1C0000}"/>
    <cellStyle name="Heading 4" xfId="69" builtinId="19" customBuiltin="1"/>
    <cellStyle name="Heading 4 10" xfId="10115" xr:uid="{00000000-0005-0000-0000-00003E1C0000}"/>
    <cellStyle name="Heading 4 2" xfId="523" xr:uid="{00000000-0005-0000-0000-00009C010000}"/>
    <cellStyle name="Heading 4 2 2" xfId="10117" xr:uid="{00000000-0005-0000-0000-0000401C0000}"/>
    <cellStyle name="Heading 4 2 2 2" xfId="10118" xr:uid="{00000000-0005-0000-0000-0000411C0000}"/>
    <cellStyle name="Heading 4 2 3" xfId="10119" xr:uid="{00000000-0005-0000-0000-0000421C0000}"/>
    <cellStyle name="Heading 4 2 4" xfId="10116" xr:uid="{00000000-0005-0000-0000-00003F1C0000}"/>
    <cellStyle name="Heading 4 3" xfId="524" xr:uid="{00000000-0005-0000-0000-00009D010000}"/>
    <cellStyle name="Heading 4 3 2" xfId="10120" xr:uid="{00000000-0005-0000-0000-0000441C0000}"/>
    <cellStyle name="Heading 4 3 3" xfId="10121" xr:uid="{00000000-0005-0000-0000-0000451C0000}"/>
    <cellStyle name="Heading 4 4" xfId="525" xr:uid="{00000000-0005-0000-0000-00009E010000}"/>
    <cellStyle name="Heading 4 5" xfId="526" xr:uid="{00000000-0005-0000-0000-00009F010000}"/>
    <cellStyle name="Heading 4 6" xfId="527" xr:uid="{00000000-0005-0000-0000-0000A0010000}"/>
    <cellStyle name="Heading 4 7" xfId="528" xr:uid="{00000000-0005-0000-0000-0000A1010000}"/>
    <cellStyle name="Heading 4 8" xfId="10122" xr:uid="{00000000-0005-0000-0000-00004A1C0000}"/>
    <cellStyle name="Heading 4 9" xfId="10123" xr:uid="{00000000-0005-0000-0000-00004B1C0000}"/>
    <cellStyle name="Heading1" xfId="529" xr:uid="{00000000-0005-0000-0000-0000A2010000}"/>
    <cellStyle name="Heading1 2" xfId="530" xr:uid="{00000000-0005-0000-0000-0000A3010000}"/>
    <cellStyle name="Heading1 3" xfId="531" xr:uid="{00000000-0005-0000-0000-0000A4010000}"/>
    <cellStyle name="Heading1_2010-2012 Program Workbook_Incent_FS" xfId="532" xr:uid="{00000000-0005-0000-0000-0000A5010000}"/>
    <cellStyle name="Heading2" xfId="533" xr:uid="{00000000-0005-0000-0000-0000A6010000}"/>
    <cellStyle name="Heading2 2" xfId="534" xr:uid="{00000000-0005-0000-0000-0000A7010000}"/>
    <cellStyle name="Heading2 3" xfId="535" xr:uid="{00000000-0005-0000-0000-0000A8010000}"/>
    <cellStyle name="Heading2_2010-2012 Program Workbook_Incent_FS" xfId="536" xr:uid="{00000000-0005-0000-0000-0000A9010000}"/>
    <cellStyle name="Hidden" xfId="537" xr:uid="{00000000-0005-0000-0000-0000AA010000}"/>
    <cellStyle name="Hidden 2" xfId="5397" xr:uid="{00000000-0005-0000-0000-0000551C0000}"/>
    <cellStyle name="HIGHLIGHT" xfId="538" xr:uid="{00000000-0005-0000-0000-0000AB010000}"/>
    <cellStyle name="HIGHLIGHT 2" xfId="5316" xr:uid="{00000000-0005-0000-0000-0000561C0000}"/>
    <cellStyle name="HIGHLIGHT 2 2" xfId="30546" xr:uid="{3E55C002-1517-4248-93BE-45DB8955F3CB}"/>
    <cellStyle name="HIGHLIGHT 3" xfId="28034" xr:uid="{5EC95AE2-0451-4E78-93B7-0836B4153EBC}"/>
    <cellStyle name="highlite" xfId="539" xr:uid="{00000000-0005-0000-0000-0000AC010000}"/>
    <cellStyle name="hilite" xfId="540" xr:uid="{00000000-0005-0000-0000-0000AD010000}"/>
    <cellStyle name="Hyperlink" xfId="20589" builtinId="8"/>
    <cellStyle name="Hyperlink 2" xfId="10124" xr:uid="{00000000-0005-0000-0000-0000591C0000}"/>
    <cellStyle name="Hyperlink 2 2" xfId="10125" xr:uid="{00000000-0005-0000-0000-00005A1C0000}"/>
    <cellStyle name="Hyperlink 2 2 2" xfId="10126" xr:uid="{00000000-0005-0000-0000-00005B1C0000}"/>
    <cellStyle name="Hyperlink 2 3" xfId="10127" xr:uid="{00000000-0005-0000-0000-00005C1C0000}"/>
    <cellStyle name="Hyperlink 2 4" xfId="10128" xr:uid="{00000000-0005-0000-0000-00005D1C0000}"/>
    <cellStyle name="Hyperlink 3" xfId="10129" xr:uid="{00000000-0005-0000-0000-00005E1C0000}"/>
    <cellStyle name="Hyperlink 4" xfId="10130" xr:uid="{00000000-0005-0000-0000-00005F1C0000}"/>
    <cellStyle name="Hyperlink 5" xfId="10131" xr:uid="{00000000-0005-0000-0000-0000601C0000}"/>
    <cellStyle name="Input" xfId="73" builtinId="20" customBuiltin="1"/>
    <cellStyle name="Input [yellow]" xfId="541" xr:uid="{00000000-0005-0000-0000-0000AE010000}"/>
    <cellStyle name="Input [yellow] 2" xfId="542" xr:uid="{00000000-0005-0000-0000-0000AF010000}"/>
    <cellStyle name="Input [yellow] 2 2" xfId="543" xr:uid="{00000000-0005-0000-0000-0000B0010000}"/>
    <cellStyle name="Input [yellow] 2 2 2" xfId="2878" xr:uid="{00000000-0005-0000-0000-0000B1010000}"/>
    <cellStyle name="Input [yellow] 2 2 2 2" xfId="20834" xr:uid="{B4D1D38E-A99A-4105-A4DB-286A24D005B9}"/>
    <cellStyle name="Input [yellow] 2 2 2 2 2" xfId="35810" xr:uid="{65370A3D-B428-4A72-B0D4-86042D0494C9}"/>
    <cellStyle name="Input [yellow] 2 2 2 3" xfId="28206" xr:uid="{EC89AB49-F2B1-4B33-BE11-B72C2A173696}"/>
    <cellStyle name="Input [yellow] 2 2 3" xfId="20732" xr:uid="{AB7FA4D6-9A28-4DEF-A57D-120781AE6EC0}"/>
    <cellStyle name="Input [yellow] 2 2 3 2" xfId="35725" xr:uid="{08210DDB-516B-419A-B41D-623DE355F3B1}"/>
    <cellStyle name="Input [yellow] 2 2 4" xfId="28037" xr:uid="{22DA2C90-3544-481F-85F2-6C9430529671}"/>
    <cellStyle name="Input [yellow] 2 3" xfId="2877" xr:uid="{00000000-0005-0000-0000-0000B2010000}"/>
    <cellStyle name="Input [yellow] 2 3 2" xfId="20833" xr:uid="{78C5C156-C72D-4CDF-9D32-1FF98BCF2B26}"/>
    <cellStyle name="Input [yellow] 2 3 2 2" xfId="35809" xr:uid="{2632D694-BDFD-4F95-852F-ACFB0D728F19}"/>
    <cellStyle name="Input [yellow] 2 3 3" xfId="28205" xr:uid="{76FC020A-D2DA-44DC-B9CC-E594CB062507}"/>
    <cellStyle name="Input [yellow] 2 4" xfId="20136" xr:uid="{00000000-0005-0000-0000-0000621C0000}"/>
    <cellStyle name="Input [yellow] 2 4 2" xfId="27578" xr:uid="{5D27E268-0DD9-474C-AB8F-54F5C7BDDBB7}"/>
    <cellStyle name="Input [yellow] 2 4 2 2" xfId="42515" xr:uid="{A46D8630-300C-41EE-8D09-59D7963EC0AA}"/>
    <cellStyle name="Input [yellow] 2 4 3" xfId="35154" xr:uid="{4A193EF6-1CEE-4CF4-B31E-5A911A3FB0BD}"/>
    <cellStyle name="Input [yellow] 2 5" xfId="20731" xr:uid="{5A424224-30E0-452B-BE48-11714330873A}"/>
    <cellStyle name="Input [yellow] 2 5 2" xfId="35724" xr:uid="{421795F6-D2C8-47D7-AEBC-00760B564BC2}"/>
    <cellStyle name="Input [yellow] 2 6" xfId="28036" xr:uid="{6714BE72-D7AE-4A30-BADE-B2256A9C49B4}"/>
    <cellStyle name="Input [yellow] 3" xfId="544" xr:uid="{00000000-0005-0000-0000-0000B3010000}"/>
    <cellStyle name="Input [yellow] 3 2" xfId="2879" xr:uid="{00000000-0005-0000-0000-0000B4010000}"/>
    <cellStyle name="Input [yellow] 3 2 2" xfId="20835" xr:uid="{5D61A0D2-010F-4E18-AB90-05F3BFC6D223}"/>
    <cellStyle name="Input [yellow] 3 2 2 2" xfId="35811" xr:uid="{DF75DB30-C1CC-4DC9-A374-55DED0E32CA2}"/>
    <cellStyle name="Input [yellow] 3 2 3" xfId="28207" xr:uid="{BD9181CC-28A4-4485-B50F-8669BC3028BF}"/>
    <cellStyle name="Input [yellow] 3 3" xfId="20733" xr:uid="{E1E1A6C4-952F-4088-BCB9-7CF7AB94A55A}"/>
    <cellStyle name="Input [yellow] 3 3 2" xfId="35726" xr:uid="{4D8D32C7-E71C-4EC7-9007-8F8B081583FC}"/>
    <cellStyle name="Input [yellow] 3 4" xfId="28038" xr:uid="{3D211D7A-D3A8-4075-BD36-5CAAB5A5B446}"/>
    <cellStyle name="Input [yellow] 4" xfId="2876" xr:uid="{00000000-0005-0000-0000-0000B5010000}"/>
    <cellStyle name="Input [yellow] 4 2" xfId="20832" xr:uid="{E2F4DFDD-8146-4A10-8ED4-95B43ECDEE80}"/>
    <cellStyle name="Input [yellow] 4 2 2" xfId="35808" xr:uid="{31BEE6F1-2DC1-4858-9B91-CB573931EB97}"/>
    <cellStyle name="Input [yellow] 4 3" xfId="28204" xr:uid="{9541C8E7-695E-406C-86EB-2EE8D0A09DD5}"/>
    <cellStyle name="Input [yellow] 5" xfId="5317" xr:uid="{00000000-0005-0000-0000-0000611C0000}"/>
    <cellStyle name="Input [yellow] 5 2" xfId="23177" xr:uid="{3C8A2A93-2015-41DA-A6F4-2BE18842F1D3}"/>
    <cellStyle name="Input [yellow] 5 2 2" xfId="38150" xr:uid="{55B6FD81-5E74-4C04-BEC4-E5CCCCCCC050}"/>
    <cellStyle name="Input [yellow] 5 3" xfId="30547" xr:uid="{B413B28A-F69F-4C7A-BE92-4AFEEEBB1FF4}"/>
    <cellStyle name="Input [yellow] 6" xfId="20730" xr:uid="{9518D37D-2DCF-4960-BDBF-064FE65EAA8E}"/>
    <cellStyle name="Input [yellow] 6 2" xfId="35723" xr:uid="{84E5BF3A-C32D-4BED-A212-318122E6B58A}"/>
    <cellStyle name="Input [yellow] 7" xfId="28035" xr:uid="{24D52341-F2BA-4FFE-A140-89902319F055}"/>
    <cellStyle name="Input [yellow]_2010-2012 Program Workbook Completed_Incent_V2" xfId="545" xr:uid="{00000000-0005-0000-0000-0000B6010000}"/>
    <cellStyle name="Input 10" xfId="10132" xr:uid="{00000000-0005-0000-0000-0000641C0000}"/>
    <cellStyle name="Input 10 2" xfId="10133" xr:uid="{00000000-0005-0000-0000-0000651C0000}"/>
    <cellStyle name="Input 10 3" xfId="20137" xr:uid="{00000000-0005-0000-0000-0000641C0000}"/>
    <cellStyle name="Input 10 3 2" xfId="27579" xr:uid="{CF9A7332-811E-48FB-886D-A8F73476C022}"/>
    <cellStyle name="Input 10 3 2 2" xfId="42516" xr:uid="{D421C235-E847-482D-85E3-59FF9BDAFC90}"/>
    <cellStyle name="Input 10 3 3" xfId="35155" xr:uid="{73EB6C24-4C4E-423A-B1FF-B13083AE0DCE}"/>
    <cellStyle name="Input 10 4" xfId="33159" xr:uid="{D001191D-3122-4C09-B20F-BECD053C23EA}"/>
    <cellStyle name="Input 11" xfId="10134" xr:uid="{00000000-0005-0000-0000-0000661C0000}"/>
    <cellStyle name="Input 12" xfId="10135" xr:uid="{00000000-0005-0000-0000-0000671C0000}"/>
    <cellStyle name="Input 13" xfId="10136" xr:uid="{00000000-0005-0000-0000-0000681C0000}"/>
    <cellStyle name="Input 14" xfId="10137" xr:uid="{00000000-0005-0000-0000-0000691C0000}"/>
    <cellStyle name="Input 15" xfId="10138" xr:uid="{00000000-0005-0000-0000-00006A1C0000}"/>
    <cellStyle name="Input 16" xfId="10139" xr:uid="{00000000-0005-0000-0000-00006B1C0000}"/>
    <cellStyle name="Input 17" xfId="10140" xr:uid="{00000000-0005-0000-0000-00006C1C0000}"/>
    <cellStyle name="Input 18" xfId="10141" xr:uid="{00000000-0005-0000-0000-00006D1C0000}"/>
    <cellStyle name="Input 19" xfId="10142" xr:uid="{00000000-0005-0000-0000-00006E1C0000}"/>
    <cellStyle name="Input 2" xfId="546" xr:uid="{00000000-0005-0000-0000-0000B7010000}"/>
    <cellStyle name="Input 2 2" xfId="547" xr:uid="{00000000-0005-0000-0000-0000B8010000}"/>
    <cellStyle name="Input 2 2 2" xfId="10144" xr:uid="{00000000-0005-0000-0000-0000711C0000}"/>
    <cellStyle name="Input 2 2 2 2" xfId="20140" xr:uid="{00000000-0005-0000-0000-0000711C0000}"/>
    <cellStyle name="Input 2 2 2 2 2" xfId="27582" xr:uid="{E3B27F82-90F6-47DB-8509-24488ECB91C4}"/>
    <cellStyle name="Input 2 2 2 2 2 2" xfId="42519" xr:uid="{23D04760-129A-442D-98AA-C7DAAC97990E}"/>
    <cellStyle name="Input 2 2 2 2 3" xfId="35158" xr:uid="{BB9BEF5D-03E9-43DF-8DB2-B25AE9919169}"/>
    <cellStyle name="Input 2 2 2 3" xfId="25798" xr:uid="{0476B7ED-4B21-48EE-AA3B-4DFA097515FB}"/>
    <cellStyle name="Input 2 2 2 3 2" xfId="40761" xr:uid="{FE94A980-C258-4EF6-9D74-DB97F247232B}"/>
    <cellStyle name="Input 2 2 2 4" xfId="33161" xr:uid="{53EDB9DC-D691-40FA-8439-1A0BE74E4AB4}"/>
    <cellStyle name="Input 2 2 3" xfId="20139" xr:uid="{00000000-0005-0000-0000-0000701C0000}"/>
    <cellStyle name="Input 2 2 3 2" xfId="27581" xr:uid="{57620FAD-8877-477D-B86A-1EFA10486E27}"/>
    <cellStyle name="Input 2 2 3 2 2" xfId="42518" xr:uid="{74CC3A93-8938-4192-AE77-AC7FFE9A8B25}"/>
    <cellStyle name="Input 2 2 3 3" xfId="35157" xr:uid="{151FE610-B634-4AD8-B54E-F5D8171F82AA}"/>
    <cellStyle name="Input 2 2 4" xfId="28040" xr:uid="{40B3C381-EE82-4B26-853C-5BB6C8DFA371}"/>
    <cellStyle name="Input 2 3" xfId="10145" xr:uid="{00000000-0005-0000-0000-0000721C0000}"/>
    <cellStyle name="Input 2 3 2" xfId="20141" xr:uid="{00000000-0005-0000-0000-0000721C0000}"/>
    <cellStyle name="Input 2 3 2 2" xfId="27583" xr:uid="{53F3DE37-5D0B-435D-A734-365C3B5777A3}"/>
    <cellStyle name="Input 2 3 2 2 2" xfId="42520" xr:uid="{1507121E-58A4-4D7F-A244-A9A7149CF36D}"/>
    <cellStyle name="Input 2 3 2 3" xfId="35159" xr:uid="{478F6848-1DB8-49E6-8B26-2A17E929C5E6}"/>
    <cellStyle name="Input 2 3 3" xfId="25799" xr:uid="{6586E4C8-E4CD-452E-BEA2-AB2EA10A970F}"/>
    <cellStyle name="Input 2 3 3 2" xfId="40762" xr:uid="{DBEEBD3D-1631-4A83-835B-E322AFA50E54}"/>
    <cellStyle name="Input 2 3 4" xfId="33162" xr:uid="{8A551817-FF44-4D6C-881F-661294662EF3}"/>
    <cellStyle name="Input 2 4" xfId="10143" xr:uid="{00000000-0005-0000-0000-00006F1C0000}"/>
    <cellStyle name="Input 2 4 2" xfId="25797" xr:uid="{C9FF5E29-4F33-4597-8E2A-FC425E6D5E39}"/>
    <cellStyle name="Input 2 4 2 2" xfId="40760" xr:uid="{F293D748-F013-4F2F-86C5-D9C912732765}"/>
    <cellStyle name="Input 2 4 3" xfId="33160" xr:uid="{D38A1907-2359-4453-AB69-207BF253BB74}"/>
    <cellStyle name="Input 2 5" xfId="20138" xr:uid="{00000000-0005-0000-0000-00006F1C0000}"/>
    <cellStyle name="Input 2 5 2" xfId="27580" xr:uid="{02514562-B431-4DF1-ABC5-9749BE3B397D}"/>
    <cellStyle name="Input 2 5 2 2" xfId="42517" xr:uid="{B8168580-2A5E-4C6C-A516-6FEFEB78EF1C}"/>
    <cellStyle name="Input 2 5 3" xfId="35156" xr:uid="{E73EB55D-048F-42AC-B280-0456807E70FA}"/>
    <cellStyle name="Input 2 6" xfId="28039" xr:uid="{FE2FC924-F455-47D4-8A54-785FBE58927F}"/>
    <cellStyle name="Input 20" xfId="10146" xr:uid="{00000000-0005-0000-0000-0000731C0000}"/>
    <cellStyle name="Input 21" xfId="10147" xr:uid="{00000000-0005-0000-0000-0000741C0000}"/>
    <cellStyle name="Input 22" xfId="10148" xr:uid="{00000000-0005-0000-0000-0000751C0000}"/>
    <cellStyle name="Input 23" xfId="10149" xr:uid="{00000000-0005-0000-0000-0000761C0000}"/>
    <cellStyle name="Input 24" xfId="10150" xr:uid="{00000000-0005-0000-0000-0000771C0000}"/>
    <cellStyle name="Input 25" xfId="10151" xr:uid="{00000000-0005-0000-0000-0000781C0000}"/>
    <cellStyle name="Input 26" xfId="10152" xr:uid="{00000000-0005-0000-0000-0000791C0000}"/>
    <cellStyle name="Input 27" xfId="10153" xr:uid="{00000000-0005-0000-0000-00007A1C0000}"/>
    <cellStyle name="Input 28" xfId="10154" xr:uid="{00000000-0005-0000-0000-00007B1C0000}"/>
    <cellStyle name="Input 29" xfId="10155" xr:uid="{00000000-0005-0000-0000-00007C1C0000}"/>
    <cellStyle name="Input 3" xfId="548" xr:uid="{00000000-0005-0000-0000-0000B9010000}"/>
    <cellStyle name="Input 3 2" xfId="549" xr:uid="{00000000-0005-0000-0000-0000BA010000}"/>
    <cellStyle name="Input 3 2 2" xfId="20143" xr:uid="{00000000-0005-0000-0000-00007E1C0000}"/>
    <cellStyle name="Input 3 2 2 2" xfId="27585" xr:uid="{2BCFC38E-8E2E-4E5A-BAA0-FEC14AFF81BF}"/>
    <cellStyle name="Input 3 2 2 2 2" xfId="42522" xr:uid="{462E8FDE-385C-4524-974A-C08B0F557BF2}"/>
    <cellStyle name="Input 3 2 2 3" xfId="35161" xr:uid="{BC887EC6-FE9E-45BD-BBFE-4DAF9E8C574D}"/>
    <cellStyle name="Input 3 2 3" xfId="28042" xr:uid="{69F67A7A-FACB-42DE-A38E-830CD760BE5E}"/>
    <cellStyle name="Input 3 3" xfId="10156" xr:uid="{00000000-0005-0000-0000-00007F1C0000}"/>
    <cellStyle name="Input 3 4" xfId="20142" xr:uid="{00000000-0005-0000-0000-00007D1C0000}"/>
    <cellStyle name="Input 3 4 2" xfId="27584" xr:uid="{F7034DBC-998C-47E8-ACB8-81B6C5664FEB}"/>
    <cellStyle name="Input 3 4 2 2" xfId="42521" xr:uid="{11B5E81E-00FC-4915-9C17-3531820E4016}"/>
    <cellStyle name="Input 3 4 3" xfId="35160" xr:uid="{28D20EB0-E2E2-42CE-8808-BE74A4A6B2C2}"/>
    <cellStyle name="Input 3 5" xfId="28041" xr:uid="{6D963BB5-87F7-40FB-B41A-A304B587670D}"/>
    <cellStyle name="Input 30" xfId="10157" xr:uid="{00000000-0005-0000-0000-0000801C0000}"/>
    <cellStyle name="Input 31" xfId="10158" xr:uid="{00000000-0005-0000-0000-0000811C0000}"/>
    <cellStyle name="Input 32" xfId="10159" xr:uid="{00000000-0005-0000-0000-0000821C0000}"/>
    <cellStyle name="Input 33" xfId="10160" xr:uid="{00000000-0005-0000-0000-0000831C0000}"/>
    <cellStyle name="Input 33 2" xfId="20144" xr:uid="{00000000-0005-0000-0000-0000831C0000}"/>
    <cellStyle name="Input 33 2 2" xfId="27586" xr:uid="{09E00068-AAC3-4B04-BB4F-E897EB6643A2}"/>
    <cellStyle name="Input 33 2 2 2" xfId="42523" xr:uid="{34556315-D7F1-4479-9429-D2F92F2F814C}"/>
    <cellStyle name="Input 33 2 3" xfId="35162" xr:uid="{5F1594CA-09D5-4B10-92DA-488B38723E55}"/>
    <cellStyle name="Input 33 3" xfId="33163" xr:uid="{9CEACBB4-7D15-4F08-9D6D-569D3EE8CDA5}"/>
    <cellStyle name="Input 34" xfId="10161" xr:uid="{00000000-0005-0000-0000-0000841C0000}"/>
    <cellStyle name="Input 34 2" xfId="20145" xr:uid="{00000000-0005-0000-0000-0000841C0000}"/>
    <cellStyle name="Input 34 2 2" xfId="27587" xr:uid="{5C130E84-51A6-4D4A-886E-D2C4C2DC6983}"/>
    <cellStyle name="Input 34 2 2 2" xfId="42524" xr:uid="{CCF5D063-3436-4DD8-AE24-912CB85E5EF2}"/>
    <cellStyle name="Input 34 2 3" xfId="35163" xr:uid="{FEE8B42A-37BB-4B6C-B38A-BF71C98DA524}"/>
    <cellStyle name="Input 34 3" xfId="33164" xr:uid="{3A7E5B2A-620F-497E-9F34-68F46CE1EEDB}"/>
    <cellStyle name="Input 35" xfId="10162" xr:uid="{00000000-0005-0000-0000-0000851C0000}"/>
    <cellStyle name="Input 36" xfId="10163" xr:uid="{00000000-0005-0000-0000-0000861C0000}"/>
    <cellStyle name="Input 37" xfId="10164" xr:uid="{00000000-0005-0000-0000-0000871C0000}"/>
    <cellStyle name="Input 37 2" xfId="20146" xr:uid="{00000000-0005-0000-0000-0000871C0000}"/>
    <cellStyle name="Input 37 2 2" xfId="27588" xr:uid="{11F57C85-04F6-4FCD-A383-033D72EE9CEC}"/>
    <cellStyle name="Input 37 2 2 2" xfId="42525" xr:uid="{9FC00512-808D-4D95-AFE5-6C8FC39163F3}"/>
    <cellStyle name="Input 37 2 3" xfId="35164" xr:uid="{6D0E9748-4677-41C6-83F1-109B492F5FE9}"/>
    <cellStyle name="Input 37 3" xfId="33165" xr:uid="{7B6D2B26-1CFA-459D-B745-1D58591CAD0A}"/>
    <cellStyle name="Input 38" xfId="10165" xr:uid="{00000000-0005-0000-0000-0000881C0000}"/>
    <cellStyle name="Input 38 2" xfId="20147" xr:uid="{00000000-0005-0000-0000-0000881C0000}"/>
    <cellStyle name="Input 38 2 2" xfId="27589" xr:uid="{C1AECBC8-78F8-4D3B-8B9E-91E773426BE9}"/>
    <cellStyle name="Input 38 2 2 2" xfId="42526" xr:uid="{B340BC8F-AC56-456F-8379-7984B7648EA7}"/>
    <cellStyle name="Input 38 2 3" xfId="35165" xr:uid="{7CC060E6-36EF-4E7A-9FC3-25AC5ECB5C43}"/>
    <cellStyle name="Input 38 3" xfId="33166" xr:uid="{0367E292-38E1-4C24-B664-BA26990ED582}"/>
    <cellStyle name="Input 39" xfId="10166" xr:uid="{00000000-0005-0000-0000-0000891C0000}"/>
    <cellStyle name="Input 39 2" xfId="20148" xr:uid="{00000000-0005-0000-0000-0000891C0000}"/>
    <cellStyle name="Input 39 2 2" xfId="27590" xr:uid="{08A999E7-7B65-46A6-AABA-927EA1C36601}"/>
    <cellStyle name="Input 39 2 2 2" xfId="42527" xr:uid="{31ECFFFF-0D2A-44F6-91F1-61A2F38AF35C}"/>
    <cellStyle name="Input 39 2 3" xfId="35166" xr:uid="{ADAF7558-1037-4753-9F1C-28310C9A75B3}"/>
    <cellStyle name="Input 39 3" xfId="33167" xr:uid="{327B7FCF-70DD-4039-A0EB-0D98C2E422C3}"/>
    <cellStyle name="Input 4" xfId="550" xr:uid="{00000000-0005-0000-0000-0000BB010000}"/>
    <cellStyle name="Input 4 2" xfId="551" xr:uid="{00000000-0005-0000-0000-0000BC010000}"/>
    <cellStyle name="Input 4 2 2" xfId="20150" xr:uid="{00000000-0005-0000-0000-00008B1C0000}"/>
    <cellStyle name="Input 4 2 2 2" xfId="27592" xr:uid="{D80E150A-E63B-444A-A370-9B9805EDC378}"/>
    <cellStyle name="Input 4 2 2 2 2" xfId="42529" xr:uid="{DA146B2F-A346-4BF4-8153-F1476A32DEFF}"/>
    <cellStyle name="Input 4 2 2 3" xfId="35168" xr:uid="{8ACBE0A6-72DF-4687-9A32-801884010555}"/>
    <cellStyle name="Input 4 2 3" xfId="28044" xr:uid="{33E6D5A0-2E48-4555-8CF5-082404E31417}"/>
    <cellStyle name="Input 4 3" xfId="10167" xr:uid="{00000000-0005-0000-0000-00008C1C0000}"/>
    <cellStyle name="Input 4 4" xfId="20149" xr:uid="{00000000-0005-0000-0000-00008A1C0000}"/>
    <cellStyle name="Input 4 4 2" xfId="27591" xr:uid="{AA55A384-396C-4358-B2B6-74CEA4BBBA84}"/>
    <cellStyle name="Input 4 4 2 2" xfId="42528" xr:uid="{A4AB9929-B2F2-491F-B0AD-B0EA272FFD43}"/>
    <cellStyle name="Input 4 4 3" xfId="35167" xr:uid="{C1B41FC4-F51B-431E-95A2-53340984606D}"/>
    <cellStyle name="Input 4 5" xfId="28043" xr:uid="{79FF8B9E-9A0C-41F1-AC4C-143E3E034C66}"/>
    <cellStyle name="Input 5" xfId="552" xr:uid="{00000000-0005-0000-0000-0000BD010000}"/>
    <cellStyle name="Input 5 2" xfId="553" xr:uid="{00000000-0005-0000-0000-0000BE010000}"/>
    <cellStyle name="Input 5 2 2" xfId="20152" xr:uid="{00000000-0005-0000-0000-00008E1C0000}"/>
    <cellStyle name="Input 5 2 2 2" xfId="27594" xr:uid="{33A1995F-14E7-4E3A-9896-F470E45333F9}"/>
    <cellStyle name="Input 5 2 2 2 2" xfId="42531" xr:uid="{4E6371C6-7B6B-4EDC-8F47-DD4405EE73CD}"/>
    <cellStyle name="Input 5 2 2 3" xfId="35170" xr:uid="{073F46EA-8A4F-4EB3-A77C-EFF3EB4ED0EA}"/>
    <cellStyle name="Input 5 2 3" xfId="28046" xr:uid="{781FFBA4-3502-4D18-B152-0A267F99825F}"/>
    <cellStyle name="Input 5 3" xfId="10168" xr:uid="{00000000-0005-0000-0000-00008F1C0000}"/>
    <cellStyle name="Input 5 4" xfId="20151" xr:uid="{00000000-0005-0000-0000-00008D1C0000}"/>
    <cellStyle name="Input 5 4 2" xfId="27593" xr:uid="{57DA2FFB-435F-4CB2-880C-EEE877283F3E}"/>
    <cellStyle name="Input 5 4 2 2" xfId="42530" xr:uid="{14299E55-D91B-422B-950E-15835081739D}"/>
    <cellStyle name="Input 5 4 3" xfId="35169" xr:uid="{7EE462C0-66F9-4F5F-80CB-3D68610FE5CC}"/>
    <cellStyle name="Input 5 5" xfId="28045" xr:uid="{249374E8-B2DA-4FEC-AFF5-0DA9D1806976}"/>
    <cellStyle name="Input 6" xfId="554" xr:uid="{00000000-0005-0000-0000-0000BF010000}"/>
    <cellStyle name="Input 6 2" xfId="555" xr:uid="{00000000-0005-0000-0000-0000C0010000}"/>
    <cellStyle name="Input 6 2 2" xfId="20154" xr:uid="{00000000-0005-0000-0000-0000911C0000}"/>
    <cellStyle name="Input 6 2 2 2" xfId="27596" xr:uid="{4E584F67-433A-4638-993A-F407FA512C41}"/>
    <cellStyle name="Input 6 2 2 2 2" xfId="42533" xr:uid="{2BB90BA6-844C-4A40-83B7-B44A6270AD43}"/>
    <cellStyle name="Input 6 2 2 3" xfId="35172" xr:uid="{7F029419-DB19-43EB-912A-A3B492867779}"/>
    <cellStyle name="Input 6 2 3" xfId="28048" xr:uid="{58DE11B4-DD3F-48C3-B8A3-D9FBDD3AFB28}"/>
    <cellStyle name="Input 6 3" xfId="10169" xr:uid="{00000000-0005-0000-0000-0000921C0000}"/>
    <cellStyle name="Input 6 4" xfId="20153" xr:uid="{00000000-0005-0000-0000-0000901C0000}"/>
    <cellStyle name="Input 6 4 2" xfId="27595" xr:uid="{491899E2-20E0-4C3B-BBDA-4229A10571BF}"/>
    <cellStyle name="Input 6 4 2 2" xfId="42532" xr:uid="{DC84D1E3-1E50-418A-B43B-8DA6C1706F03}"/>
    <cellStyle name="Input 6 4 3" xfId="35171" xr:uid="{F0F561E1-DE35-446B-8FA8-5FDFD3D541C5}"/>
    <cellStyle name="Input 6 5" xfId="28047" xr:uid="{94979095-7701-489D-A8F1-1A8054011AAE}"/>
    <cellStyle name="Input 7" xfId="556" xr:uid="{00000000-0005-0000-0000-0000C1010000}"/>
    <cellStyle name="Input 7 2" xfId="557" xr:uid="{00000000-0005-0000-0000-0000C2010000}"/>
    <cellStyle name="Input 7 2 2" xfId="20156" xr:uid="{00000000-0005-0000-0000-0000941C0000}"/>
    <cellStyle name="Input 7 2 2 2" xfId="27598" xr:uid="{ECB3B4CC-ED2E-416F-A662-6EA0BC7DEC2F}"/>
    <cellStyle name="Input 7 2 2 2 2" xfId="42535" xr:uid="{165AC934-EE46-4236-93C4-6F61404F38C3}"/>
    <cellStyle name="Input 7 2 2 3" xfId="35174" xr:uid="{DA79B098-FE18-46E2-8BC5-65B3CD4A134A}"/>
    <cellStyle name="Input 7 2 3" xfId="28050" xr:uid="{0F2081DF-13DD-41DC-8026-D4121705DE66}"/>
    <cellStyle name="Input 7 3" xfId="10170" xr:uid="{00000000-0005-0000-0000-0000951C0000}"/>
    <cellStyle name="Input 7 4" xfId="20155" xr:uid="{00000000-0005-0000-0000-0000931C0000}"/>
    <cellStyle name="Input 7 4 2" xfId="27597" xr:uid="{CFCB2459-CA0D-4F98-B90E-6DAAAA4B3279}"/>
    <cellStyle name="Input 7 4 2 2" xfId="42534" xr:uid="{3CA0C64E-728F-429A-BC7B-156132EB6E28}"/>
    <cellStyle name="Input 7 4 3" xfId="35173" xr:uid="{89440E8F-7BD0-4F9B-8D08-8BFEF20160FA}"/>
    <cellStyle name="Input 7 5" xfId="28049" xr:uid="{5F97D77A-8F2F-4435-B52F-8F5AAA7B36ED}"/>
    <cellStyle name="Input 8" xfId="10171" xr:uid="{00000000-0005-0000-0000-0000961C0000}"/>
    <cellStyle name="Input 8 2" xfId="10172" xr:uid="{00000000-0005-0000-0000-0000971C0000}"/>
    <cellStyle name="Input 8 3" xfId="10173" xr:uid="{00000000-0005-0000-0000-0000981C0000}"/>
    <cellStyle name="Input 9" xfId="10174" xr:uid="{00000000-0005-0000-0000-0000991C0000}"/>
    <cellStyle name="LabelWithTotals" xfId="558" xr:uid="{00000000-0005-0000-0000-0000C3010000}"/>
    <cellStyle name="Last,_First" xfId="560" xr:uid="{00000000-0005-0000-0000-0000C4010000}"/>
    <cellStyle name="Last_Name" xfId="559" xr:uid="{00000000-0005-0000-0000-0000C5010000}"/>
    <cellStyle name="Linked Cell" xfId="76" builtinId="24" customBuiltin="1"/>
    <cellStyle name="Linked Cell 10" xfId="10175" xr:uid="{00000000-0005-0000-0000-00009D1C0000}"/>
    <cellStyle name="Linked Cell 2" xfId="561" xr:uid="{00000000-0005-0000-0000-0000C6010000}"/>
    <cellStyle name="Linked Cell 2 2" xfId="10177" xr:uid="{00000000-0005-0000-0000-00009F1C0000}"/>
    <cellStyle name="Linked Cell 2 2 2" xfId="10178" xr:uid="{00000000-0005-0000-0000-0000A01C0000}"/>
    <cellStyle name="Linked Cell 2 3" xfId="10179" xr:uid="{00000000-0005-0000-0000-0000A11C0000}"/>
    <cellStyle name="Linked Cell 2 4" xfId="10176" xr:uid="{00000000-0005-0000-0000-00009E1C0000}"/>
    <cellStyle name="Linked Cell 3" xfId="562" xr:uid="{00000000-0005-0000-0000-0000C7010000}"/>
    <cellStyle name="Linked Cell 3 2" xfId="10180" xr:uid="{00000000-0005-0000-0000-0000A31C0000}"/>
    <cellStyle name="Linked Cell 3 3" xfId="10181" xr:uid="{00000000-0005-0000-0000-0000A41C0000}"/>
    <cellStyle name="Linked Cell 4" xfId="563" xr:uid="{00000000-0005-0000-0000-0000C8010000}"/>
    <cellStyle name="Linked Cell 5" xfId="564" xr:uid="{00000000-0005-0000-0000-0000C9010000}"/>
    <cellStyle name="Linked Cell 6" xfId="565" xr:uid="{00000000-0005-0000-0000-0000CA010000}"/>
    <cellStyle name="Linked Cell 7" xfId="566" xr:uid="{00000000-0005-0000-0000-0000CB010000}"/>
    <cellStyle name="Linked Cell 8" xfId="10182" xr:uid="{00000000-0005-0000-0000-0000A91C0000}"/>
    <cellStyle name="Linked Cell 9" xfId="10183" xr:uid="{00000000-0005-0000-0000-0000AA1C0000}"/>
    <cellStyle name="Millares [0]_2AV_M_M " xfId="567" xr:uid="{00000000-0005-0000-0000-0000CC010000}"/>
    <cellStyle name="Millares_2AV_M_M " xfId="568" xr:uid="{00000000-0005-0000-0000-0000CD010000}"/>
    <cellStyle name="million" xfId="569" xr:uid="{00000000-0005-0000-0000-0000CE010000}"/>
    <cellStyle name="Moneda [0]_2AV_M_M " xfId="570" xr:uid="{00000000-0005-0000-0000-0000CF010000}"/>
    <cellStyle name="Moneda_2AV_M_M " xfId="571" xr:uid="{00000000-0005-0000-0000-0000D0010000}"/>
    <cellStyle name="MyHeading1" xfId="572" xr:uid="{00000000-0005-0000-0000-0000D1010000}"/>
    <cellStyle name="Name" xfId="573" xr:uid="{00000000-0005-0000-0000-0000D2010000}"/>
    <cellStyle name="Name 2" xfId="5396" xr:uid="{00000000-0005-0000-0000-0000B21C0000}"/>
    <cellStyle name="Name 2 2" xfId="13884" xr:uid="{00000000-0005-0000-0000-0000B21C0000}"/>
    <cellStyle name="Name 2 2 2" xfId="33840" xr:uid="{923E3628-1B31-4FDE-9030-3B5653F73FC4}"/>
    <cellStyle name="Name 3" xfId="5505" xr:uid="{00000000-0005-0000-0000-0000B11C0000}"/>
    <cellStyle name="Neutral" xfId="72" builtinId="28" customBuiltin="1"/>
    <cellStyle name="Neutral 10" xfId="10184" xr:uid="{00000000-0005-0000-0000-0000B31C0000}"/>
    <cellStyle name="Neutral 2" xfId="574" xr:uid="{00000000-0005-0000-0000-0000D3010000}"/>
    <cellStyle name="Neutral 2 12" xfId="20570" xr:uid="{03921355-7B55-4BD7-8180-02E2CF420EAD}"/>
    <cellStyle name="Neutral 2 2" xfId="10186" xr:uid="{00000000-0005-0000-0000-0000B51C0000}"/>
    <cellStyle name="Neutral 2 2 2" xfId="10187" xr:uid="{00000000-0005-0000-0000-0000B61C0000}"/>
    <cellStyle name="Neutral 2 2 2 2" xfId="10188" xr:uid="{00000000-0005-0000-0000-0000B71C0000}"/>
    <cellStyle name="Neutral 2 2 3" xfId="10189" xr:uid="{00000000-0005-0000-0000-0000B81C0000}"/>
    <cellStyle name="Neutral 2 3" xfId="10190" xr:uid="{00000000-0005-0000-0000-0000B91C0000}"/>
    <cellStyle name="Neutral 2 3 2" xfId="10191" xr:uid="{00000000-0005-0000-0000-0000BA1C0000}"/>
    <cellStyle name="Neutral 2 3 3" xfId="10192" xr:uid="{00000000-0005-0000-0000-0000BB1C0000}"/>
    <cellStyle name="Neutral 2 4" xfId="10193" xr:uid="{00000000-0005-0000-0000-0000BC1C0000}"/>
    <cellStyle name="Neutral 2 5" xfId="10185" xr:uid="{00000000-0005-0000-0000-0000B41C0000}"/>
    <cellStyle name="Neutral 3" xfId="575" xr:uid="{00000000-0005-0000-0000-0000D4010000}"/>
    <cellStyle name="Neutral 4" xfId="576" xr:uid="{00000000-0005-0000-0000-0000D5010000}"/>
    <cellStyle name="Neutral 4 2" xfId="10194" xr:uid="{00000000-0005-0000-0000-0000BF1C0000}"/>
    <cellStyle name="Neutral 4 3" xfId="10195" xr:uid="{00000000-0005-0000-0000-0000C01C0000}"/>
    <cellStyle name="Neutral 5" xfId="577" xr:uid="{00000000-0005-0000-0000-0000D6010000}"/>
    <cellStyle name="Neutral 6" xfId="578" xr:uid="{00000000-0005-0000-0000-0000D7010000}"/>
    <cellStyle name="Neutral 7" xfId="579" xr:uid="{00000000-0005-0000-0000-0000D8010000}"/>
    <cellStyle name="Neutral 8" xfId="10196" xr:uid="{00000000-0005-0000-0000-0000C41C0000}"/>
    <cellStyle name="Neutral 9" xfId="10197" xr:uid="{00000000-0005-0000-0000-0000C51C0000}"/>
    <cellStyle name="no dec" xfId="580" xr:uid="{00000000-0005-0000-0000-0000D9010000}"/>
    <cellStyle name="no dec 2" xfId="5395" xr:uid="{00000000-0005-0000-0000-0000C71C0000}"/>
    <cellStyle name="Normal" xfId="0" builtinId="0"/>
    <cellStyle name="Normal - Style1" xfId="581" xr:uid="{00000000-0005-0000-0000-0000DB010000}"/>
    <cellStyle name="Normal - Style1 2" xfId="582" xr:uid="{00000000-0005-0000-0000-0000DC010000}"/>
    <cellStyle name="Normal - Style1 2 2" xfId="10198" xr:uid="{00000000-0005-0000-0000-0000CB1C0000}"/>
    <cellStyle name="Normal - Style1 2 3" xfId="10199" xr:uid="{00000000-0005-0000-0000-0000CC1C0000}"/>
    <cellStyle name="Normal - Style1 2 4" xfId="5394" xr:uid="{00000000-0005-0000-0000-0000CA1C0000}"/>
    <cellStyle name="Normal - Style1 3" xfId="583" xr:uid="{00000000-0005-0000-0000-0000DD010000}"/>
    <cellStyle name="Normal - Style1 4" xfId="10200" xr:uid="{00000000-0005-0000-0000-0000CE1C0000}"/>
    <cellStyle name="Normal - Style1 5" xfId="10201" xr:uid="{00000000-0005-0000-0000-0000CF1C0000}"/>
    <cellStyle name="Normal - Style1_2010-2012 Program Workbook_Incent_FS" xfId="584" xr:uid="{00000000-0005-0000-0000-0000DE010000}"/>
    <cellStyle name="Normal - Style2" xfId="585" xr:uid="{00000000-0005-0000-0000-0000DF010000}"/>
    <cellStyle name="Normal - Style3" xfId="586" xr:uid="{00000000-0005-0000-0000-0000E0010000}"/>
    <cellStyle name="Normal - Style4" xfId="587" xr:uid="{00000000-0005-0000-0000-0000E1010000}"/>
    <cellStyle name="Normal - Style5" xfId="588" xr:uid="{00000000-0005-0000-0000-0000E2010000}"/>
    <cellStyle name="Normal - Style6" xfId="589" xr:uid="{00000000-0005-0000-0000-0000E3010000}"/>
    <cellStyle name="Normal - Style7" xfId="590" xr:uid="{00000000-0005-0000-0000-0000E4010000}"/>
    <cellStyle name="Normal - Style8" xfId="591" xr:uid="{00000000-0005-0000-0000-0000E5010000}"/>
    <cellStyle name="Normal 10" xfId="12" xr:uid="{00000000-0005-0000-0000-000009000000}"/>
    <cellStyle name="Normal 10 10" xfId="10202" xr:uid="{00000000-0005-0000-0000-0000D91C0000}"/>
    <cellStyle name="Normal 10 10 2" xfId="10203" xr:uid="{00000000-0005-0000-0000-0000DA1C0000}"/>
    <cellStyle name="Normal 10 10 2 2" xfId="10204" xr:uid="{00000000-0005-0000-0000-0000DB1C0000}"/>
    <cellStyle name="Normal 10 10 2 2 2" xfId="25801" xr:uid="{271FC56F-AFFA-4DD1-8B47-03A56A9AED0A}"/>
    <cellStyle name="Normal 10 10 2 2 2 2" xfId="40764" xr:uid="{3CFE1B55-E03A-4525-BB05-A5CA793ED763}"/>
    <cellStyle name="Normal 10 10 2 2 3" xfId="33169" xr:uid="{0B578211-0627-4BD4-9C98-34D930C2BF91}"/>
    <cellStyle name="Normal 10 10 3" xfId="10205" xr:uid="{00000000-0005-0000-0000-0000DC1C0000}"/>
    <cellStyle name="Normal 10 10 3 2" xfId="25802" xr:uid="{3B606CA3-1AD3-4483-90C3-C3FEC95A6C54}"/>
    <cellStyle name="Normal 10 10 3 2 2" xfId="40765" xr:uid="{85E56E8B-A3DA-44C4-AA18-86B028A4A862}"/>
    <cellStyle name="Normal 10 10 3 3" xfId="33170" xr:uid="{BCDA8AF3-D46C-4CC3-983B-B8F7A00C5054}"/>
    <cellStyle name="Normal 10 10 4" xfId="25800" xr:uid="{9211DA37-9A47-4EFC-97F4-D5B8C00E0B67}"/>
    <cellStyle name="Normal 10 10 4 2" xfId="40763" xr:uid="{21BAC357-6F68-4AAE-8556-999C268B1DE2}"/>
    <cellStyle name="Normal 10 10 5" xfId="33168" xr:uid="{B9ED2877-D09A-4D94-9BC9-24B0F78E8B5A}"/>
    <cellStyle name="Normal 10 11" xfId="10206" xr:uid="{00000000-0005-0000-0000-0000DD1C0000}"/>
    <cellStyle name="Normal 10 11 2" xfId="10207" xr:uid="{00000000-0005-0000-0000-0000DE1C0000}"/>
    <cellStyle name="Normal 10 11 2 2" xfId="25803" xr:uid="{6AC9A4CD-7562-40CC-A53B-033673F683A4}"/>
    <cellStyle name="Normal 10 11 2 2 2" xfId="40766" xr:uid="{38A28DF3-C8D2-49B5-9E7C-C2C324D45521}"/>
    <cellStyle name="Normal 10 11 2 3" xfId="33171" xr:uid="{8B573B5A-C99E-413C-A732-D9846492E648}"/>
    <cellStyle name="Normal 10 12" xfId="10208" xr:uid="{00000000-0005-0000-0000-0000DF1C0000}"/>
    <cellStyle name="Normal 10 12 2" xfId="25804" xr:uid="{2F3C82BC-8159-4654-A4B6-0E3D9C5D0D03}"/>
    <cellStyle name="Normal 10 12 2 2" xfId="40767" xr:uid="{D9AEE4C4-2319-4A0E-9A0B-C015A7FC06CA}"/>
    <cellStyle name="Normal 10 12 3" xfId="33172" xr:uid="{C589F321-0DB8-4615-9EE2-C2D294D58815}"/>
    <cellStyle name="Normal 10 13" xfId="10209" xr:uid="{00000000-0005-0000-0000-0000E01C0000}"/>
    <cellStyle name="Normal 10 2" xfId="13" xr:uid="{00000000-0005-0000-0000-00000A000000}"/>
    <cellStyle name="Normal 10 3" xfId="592" xr:uid="{00000000-0005-0000-0000-0000E6010000}"/>
    <cellStyle name="Normal 10 3 2" xfId="10211" xr:uid="{00000000-0005-0000-0000-0000E31C0000}"/>
    <cellStyle name="Normal 10 3 3" xfId="10212" xr:uid="{00000000-0005-0000-0000-0000E41C0000}"/>
    <cellStyle name="Normal 10 3 4" xfId="10213" xr:uid="{00000000-0005-0000-0000-0000E51C0000}"/>
    <cellStyle name="Normal 10 3 4 2" xfId="25805" xr:uid="{6F066341-3994-4C8E-9727-CD76B7DAD0BA}"/>
    <cellStyle name="Normal 10 3 4 2 2" xfId="40768" xr:uid="{B0647CC3-2DDE-4285-BF34-86C8B1A2A886}"/>
    <cellStyle name="Normal 10 3 4 3" xfId="33173" xr:uid="{627779A1-F954-470B-A8F2-5DA6432155AC}"/>
    <cellStyle name="Normal 10 3 5" xfId="10214" xr:uid="{00000000-0005-0000-0000-0000E61C0000}"/>
    <cellStyle name="Normal 10 3 5 2" xfId="25806" xr:uid="{3EC933EB-3A62-4F97-9805-D0B3EA781ADA}"/>
    <cellStyle name="Normal 10 3 5 2 2" xfId="40769" xr:uid="{A06A36F4-FEEE-4E17-A64A-7E10B7C9ED73}"/>
    <cellStyle name="Normal 10 3 5 3" xfId="33174" xr:uid="{AAFD1109-9569-4711-8DE3-508875530D97}"/>
    <cellStyle name="Normal 10 3 6" xfId="10210" xr:uid="{00000000-0005-0000-0000-0000E21C0000}"/>
    <cellStyle name="Normal 10 4" xfId="10215" xr:uid="{00000000-0005-0000-0000-0000E71C0000}"/>
    <cellStyle name="Normal 10 4 2" xfId="10216" xr:uid="{00000000-0005-0000-0000-0000E81C0000}"/>
    <cellStyle name="Normal 10 4 2 2" xfId="10217" xr:uid="{00000000-0005-0000-0000-0000E91C0000}"/>
    <cellStyle name="Normal 10 4 2 2 2" xfId="10218" xr:uid="{00000000-0005-0000-0000-0000EA1C0000}"/>
    <cellStyle name="Normal 10 4 2 2 2 2" xfId="25810" xr:uid="{4535A6D8-4125-4198-98F1-29D87C98A566}"/>
    <cellStyle name="Normal 10 4 2 2 2 2 2" xfId="40773" xr:uid="{6A9D5D48-40FE-47DB-80FF-FB44D467B52B}"/>
    <cellStyle name="Normal 10 4 2 2 2 3" xfId="33178" xr:uid="{D495BEA5-25F5-4D15-ADD3-8C24EE95F67B}"/>
    <cellStyle name="Normal 10 4 2 2 3" xfId="10219" xr:uid="{00000000-0005-0000-0000-0000EB1C0000}"/>
    <cellStyle name="Normal 10 4 2 2 3 2" xfId="25811" xr:uid="{4A44A9F4-AE37-4792-AC0E-581D5274999A}"/>
    <cellStyle name="Normal 10 4 2 2 3 2 2" xfId="40774" xr:uid="{13DB6CE9-EF8D-4BEE-95AC-7B05884F4708}"/>
    <cellStyle name="Normal 10 4 2 2 3 3" xfId="33179" xr:uid="{F83ED78A-328B-41D0-9761-1089B177DAEA}"/>
    <cellStyle name="Normal 10 4 2 2 4" xfId="25809" xr:uid="{FD6024BB-6AA1-4936-992A-8470305120E2}"/>
    <cellStyle name="Normal 10 4 2 2 4 2" xfId="40772" xr:uid="{9D98D394-1AAA-4E4E-95ED-6E53F1DCE929}"/>
    <cellStyle name="Normal 10 4 2 2 5" xfId="33177" xr:uid="{D167B3D3-3F9E-411A-B8BB-5439DCA822FD}"/>
    <cellStyle name="Normal 10 4 2 3" xfId="10220" xr:uid="{00000000-0005-0000-0000-0000EC1C0000}"/>
    <cellStyle name="Normal 10 4 2 3 2" xfId="25812" xr:uid="{AA084996-E52A-4BF9-A8D2-CB91F295C723}"/>
    <cellStyle name="Normal 10 4 2 3 2 2" xfId="40775" xr:uid="{771BD35B-04F7-46ED-A059-AF9CEC105241}"/>
    <cellStyle name="Normal 10 4 2 3 3" xfId="33180" xr:uid="{9E233436-B0BE-47A8-9C0E-CE24E330A71E}"/>
    <cellStyle name="Normal 10 4 2 4" xfId="10221" xr:uid="{00000000-0005-0000-0000-0000ED1C0000}"/>
    <cellStyle name="Normal 10 4 2 4 2" xfId="25813" xr:uid="{1C01428B-4BC8-4C77-8030-A24F88C56F9D}"/>
    <cellStyle name="Normal 10 4 2 4 2 2" xfId="40776" xr:uid="{0C1AB6C7-F64C-4E25-904B-166F236A2ACE}"/>
    <cellStyle name="Normal 10 4 2 4 3" xfId="33181" xr:uid="{CD218BB7-FBFD-4D24-AC6A-60DDDE01D37C}"/>
    <cellStyle name="Normal 10 4 2 5" xfId="25808" xr:uid="{9DC95DD8-4CB8-4432-ABE7-EF868302EA08}"/>
    <cellStyle name="Normal 10 4 2 5 2" xfId="40771" xr:uid="{75053276-D619-4FD8-B826-B4D98B7AC0FB}"/>
    <cellStyle name="Normal 10 4 2 6" xfId="33176" xr:uid="{2AE47524-068F-46D8-A520-00F27BE38C77}"/>
    <cellStyle name="Normal 10 4 3" xfId="10222" xr:uid="{00000000-0005-0000-0000-0000EE1C0000}"/>
    <cellStyle name="Normal 10 4 3 2" xfId="10223" xr:uid="{00000000-0005-0000-0000-0000EF1C0000}"/>
    <cellStyle name="Normal 10 4 3 2 2" xfId="10224" xr:uid="{00000000-0005-0000-0000-0000F01C0000}"/>
    <cellStyle name="Normal 10 4 3 2 2 2" xfId="25816" xr:uid="{D6B974FA-B801-4A45-9B0E-37911A2178CE}"/>
    <cellStyle name="Normal 10 4 3 2 2 2 2" xfId="40779" xr:uid="{CFC6AC67-B7AC-47D8-A03D-31932DE1FB4E}"/>
    <cellStyle name="Normal 10 4 3 2 2 3" xfId="33184" xr:uid="{F8D38B08-F15A-4BAB-97FF-708392156A5B}"/>
    <cellStyle name="Normal 10 4 3 2 3" xfId="10225" xr:uid="{00000000-0005-0000-0000-0000F11C0000}"/>
    <cellStyle name="Normal 10 4 3 2 3 2" xfId="25817" xr:uid="{072E8792-1261-4798-A202-F45450050F3A}"/>
    <cellStyle name="Normal 10 4 3 2 3 2 2" xfId="40780" xr:uid="{15BB8071-B182-4C01-B7BD-653B324C0448}"/>
    <cellStyle name="Normal 10 4 3 2 3 3" xfId="33185" xr:uid="{B8224125-4781-4C30-8136-5CB59FA4EB1D}"/>
    <cellStyle name="Normal 10 4 3 2 4" xfId="25815" xr:uid="{09C0D652-2006-4AD2-9B5D-89F2AEAA92DB}"/>
    <cellStyle name="Normal 10 4 3 2 4 2" xfId="40778" xr:uid="{EBA15C7C-54D0-42E5-85DA-FA19685E99A1}"/>
    <cellStyle name="Normal 10 4 3 2 5" xfId="33183" xr:uid="{1CC045D9-12E5-48E2-A380-3CAA439285DB}"/>
    <cellStyle name="Normal 10 4 3 3" xfId="10226" xr:uid="{00000000-0005-0000-0000-0000F21C0000}"/>
    <cellStyle name="Normal 10 4 3 3 2" xfId="25818" xr:uid="{3420CE37-5918-4CD9-A6DF-F63CA576B66A}"/>
    <cellStyle name="Normal 10 4 3 3 2 2" xfId="40781" xr:uid="{1649FB9A-4C05-4D82-93CE-690A69CDA2AA}"/>
    <cellStyle name="Normal 10 4 3 3 3" xfId="33186" xr:uid="{FD98F9F9-1BA4-41E6-84B3-CD3BF5F3CA02}"/>
    <cellStyle name="Normal 10 4 3 4" xfId="10227" xr:uid="{00000000-0005-0000-0000-0000F31C0000}"/>
    <cellStyle name="Normal 10 4 3 4 2" xfId="25819" xr:uid="{7BAF429D-70E9-41E8-B68C-F2FA05D41E0C}"/>
    <cellStyle name="Normal 10 4 3 4 2 2" xfId="40782" xr:uid="{1D41CECD-8868-4B9F-BD13-2E14E5E55448}"/>
    <cellStyle name="Normal 10 4 3 4 3" xfId="33187" xr:uid="{65E601F1-E866-4756-87FD-C15910F416C3}"/>
    <cellStyle name="Normal 10 4 3 5" xfId="25814" xr:uid="{1657C17B-525D-4619-ABCC-A06F3A1D217D}"/>
    <cellStyle name="Normal 10 4 3 5 2" xfId="40777" xr:uid="{EFB89B75-174B-4024-9AD1-5B5607200145}"/>
    <cellStyle name="Normal 10 4 3 6" xfId="33182" xr:uid="{5AB08EB4-D54E-4A0C-94B5-EC2869403C83}"/>
    <cellStyle name="Normal 10 4 4" xfId="10228" xr:uid="{00000000-0005-0000-0000-0000F41C0000}"/>
    <cellStyle name="Normal 10 4 4 2" xfId="10229" xr:uid="{00000000-0005-0000-0000-0000F51C0000}"/>
    <cellStyle name="Normal 10 4 4 2 2" xfId="25821" xr:uid="{61EFFECB-3986-47A2-9FDD-FEE038FB687F}"/>
    <cellStyle name="Normal 10 4 4 2 2 2" xfId="40784" xr:uid="{63F73F9A-D6E8-40B7-ADE7-C0318110F92B}"/>
    <cellStyle name="Normal 10 4 4 2 3" xfId="33189" xr:uid="{91EA6865-3873-4EDD-8928-0F80D99970C4}"/>
    <cellStyle name="Normal 10 4 4 3" xfId="10230" xr:uid="{00000000-0005-0000-0000-0000F61C0000}"/>
    <cellStyle name="Normal 10 4 4 3 2" xfId="25822" xr:uid="{04E6E356-8C68-4B42-A7CD-D510ABC5FD22}"/>
    <cellStyle name="Normal 10 4 4 3 2 2" xfId="40785" xr:uid="{A2CE5C04-025C-4145-B678-512E00EBB574}"/>
    <cellStyle name="Normal 10 4 4 3 3" xfId="33190" xr:uid="{3BE22687-23D1-43FA-BBA0-02789F277A9E}"/>
    <cellStyle name="Normal 10 4 4 4" xfId="25820" xr:uid="{180EE6BD-9568-4C1C-99E7-819E2DB5A709}"/>
    <cellStyle name="Normal 10 4 4 4 2" xfId="40783" xr:uid="{9DCB0B8F-CB43-4882-97E5-571ADC07FADF}"/>
    <cellStyle name="Normal 10 4 4 5" xfId="33188" xr:uid="{AF5035A5-1F03-4667-95B8-C278351D07F6}"/>
    <cellStyle name="Normal 10 4 5" xfId="10231" xr:uid="{00000000-0005-0000-0000-0000F71C0000}"/>
    <cellStyle name="Normal 10 4 5 2" xfId="25823" xr:uid="{A930B779-9E08-4226-99A4-0D3738F7A34E}"/>
    <cellStyle name="Normal 10 4 5 2 2" xfId="40786" xr:uid="{92536353-3D81-49F2-AAB4-C70B38FEF3B3}"/>
    <cellStyle name="Normal 10 4 5 3" xfId="33191" xr:uid="{0FB313F1-06D8-4CEA-9C74-D9EC10F3CA86}"/>
    <cellStyle name="Normal 10 4 6" xfId="10232" xr:uid="{00000000-0005-0000-0000-0000F81C0000}"/>
    <cellStyle name="Normal 10 4 6 2" xfId="25824" xr:uid="{CF9E7713-F5DB-41F0-8687-0F6E48B42EC8}"/>
    <cellStyle name="Normal 10 4 6 2 2" xfId="40787" xr:uid="{E0BCCDE8-6320-4240-B59C-1A31CC7B29D2}"/>
    <cellStyle name="Normal 10 4 6 3" xfId="33192" xr:uid="{D8C07D52-704C-45FD-BE7A-EE9F98C5F314}"/>
    <cellStyle name="Normal 10 4 7" xfId="25807" xr:uid="{463D3DA6-08E2-4259-A1D1-0669E97E619F}"/>
    <cellStyle name="Normal 10 4 7 2" xfId="40770" xr:uid="{23117D6F-7A6A-43F2-B700-822F9E01E29F}"/>
    <cellStyle name="Normal 10 4 8" xfId="33175" xr:uid="{5B5F8427-28ED-4755-A8BB-546EA179B483}"/>
    <cellStyle name="Normal 10 5" xfId="10233" xr:uid="{00000000-0005-0000-0000-0000F91C0000}"/>
    <cellStyle name="Normal 10 5 2" xfId="10234" xr:uid="{00000000-0005-0000-0000-0000FA1C0000}"/>
    <cellStyle name="Normal 10 5 2 2" xfId="10235" xr:uid="{00000000-0005-0000-0000-0000FB1C0000}"/>
    <cellStyle name="Normal 10 5 2 2 2" xfId="25827" xr:uid="{2F82A392-1987-48D8-85FA-CC0536C722EE}"/>
    <cellStyle name="Normal 10 5 2 2 2 2" xfId="40790" xr:uid="{06056F60-2313-492E-BB88-C887F17DC5CB}"/>
    <cellStyle name="Normal 10 5 2 2 3" xfId="33195" xr:uid="{0E2711B4-AFB3-4ABA-9CB8-1E95196D0A62}"/>
    <cellStyle name="Normal 10 5 2 3" xfId="10236" xr:uid="{00000000-0005-0000-0000-0000FC1C0000}"/>
    <cellStyle name="Normal 10 5 2 3 2" xfId="25828" xr:uid="{A62BA442-F262-4B80-A913-D5A2B4EE727F}"/>
    <cellStyle name="Normal 10 5 2 3 2 2" xfId="40791" xr:uid="{29AC1C98-7396-4719-8E74-928D7F3DB5B3}"/>
    <cellStyle name="Normal 10 5 2 3 3" xfId="33196" xr:uid="{EDD12FE4-4BC8-4F34-8D71-90014FAE083B}"/>
    <cellStyle name="Normal 10 5 2 4" xfId="25826" xr:uid="{96D648E5-9AEE-4884-A6E3-1A59FEAB9066}"/>
    <cellStyle name="Normal 10 5 2 4 2" xfId="40789" xr:uid="{74CB10CD-AB44-4671-994C-A5A10892A9D3}"/>
    <cellStyle name="Normal 10 5 2 5" xfId="33194" xr:uid="{274E8279-5997-4E82-9669-E5371F488600}"/>
    <cellStyle name="Normal 10 5 3" xfId="10237" xr:uid="{00000000-0005-0000-0000-0000FD1C0000}"/>
    <cellStyle name="Normal 10 5 3 2" xfId="25829" xr:uid="{1FBD6F26-DADA-47E4-8AC9-A840D59208D6}"/>
    <cellStyle name="Normal 10 5 3 2 2" xfId="40792" xr:uid="{16463054-40D6-425F-8CF6-B819A946E501}"/>
    <cellStyle name="Normal 10 5 3 3" xfId="33197" xr:uid="{973F8B05-CB78-45C8-BD80-BFF1CAA3B7C4}"/>
    <cellStyle name="Normal 10 5 4" xfId="10238" xr:uid="{00000000-0005-0000-0000-0000FE1C0000}"/>
    <cellStyle name="Normal 10 5 4 2" xfId="25830" xr:uid="{A7879145-003D-4184-ACF5-71241BA51CBA}"/>
    <cellStyle name="Normal 10 5 4 2 2" xfId="40793" xr:uid="{36083040-8C92-48F1-9BB8-C84B3E149508}"/>
    <cellStyle name="Normal 10 5 4 3" xfId="33198" xr:uid="{E90EC5AA-8B70-40AE-9553-C8FEA712BAD3}"/>
    <cellStyle name="Normal 10 5 5" xfId="25825" xr:uid="{FEC2F643-3879-4864-B71D-0674B5DCDC52}"/>
    <cellStyle name="Normal 10 5 5 2" xfId="40788" xr:uid="{A90E942A-657F-44D6-80A5-7D0F4F76B81C}"/>
    <cellStyle name="Normal 10 5 6" xfId="33193" xr:uid="{BC6D6CBE-43A6-49FB-B5DA-09D5C3F62FE9}"/>
    <cellStyle name="Normal 10 6" xfId="10239" xr:uid="{00000000-0005-0000-0000-0000FF1C0000}"/>
    <cellStyle name="Normal 10 6 2" xfId="10240" xr:uid="{00000000-0005-0000-0000-0000001D0000}"/>
    <cellStyle name="Normal 10 6 2 2" xfId="10241" xr:uid="{00000000-0005-0000-0000-0000011D0000}"/>
    <cellStyle name="Normal 10 6 2 2 2" xfId="25833" xr:uid="{B6835E91-81F7-47EE-B0C1-E8D77DBD4B24}"/>
    <cellStyle name="Normal 10 6 2 2 2 2" xfId="40796" xr:uid="{2EAC07EE-A8D0-43C8-AB0E-C219755EE79C}"/>
    <cellStyle name="Normal 10 6 2 2 3" xfId="33201" xr:uid="{D0DED249-8FF7-4706-B1D1-2D151BB021D9}"/>
    <cellStyle name="Normal 10 6 2 3" xfId="10242" xr:uid="{00000000-0005-0000-0000-0000021D0000}"/>
    <cellStyle name="Normal 10 6 2 3 2" xfId="25834" xr:uid="{BE814132-8B5E-45B5-8AD7-150164DCD973}"/>
    <cellStyle name="Normal 10 6 2 3 2 2" xfId="40797" xr:uid="{9CD1D59C-EC2F-46AB-907F-8679DD917E65}"/>
    <cellStyle name="Normal 10 6 2 3 3" xfId="33202" xr:uid="{F65B1280-2F54-4C2F-BD3E-AB82EB26EC61}"/>
    <cellStyle name="Normal 10 6 2 4" xfId="25832" xr:uid="{28FB7D15-F1CD-4656-B209-D87DF69628F6}"/>
    <cellStyle name="Normal 10 6 2 4 2" xfId="40795" xr:uid="{F8347FB3-12F1-4FC7-AFE7-BD52C1D03B23}"/>
    <cellStyle name="Normal 10 6 2 5" xfId="33200" xr:uid="{83AF9106-9774-4751-8FFC-C536A1BE9E79}"/>
    <cellStyle name="Normal 10 6 3" xfId="10243" xr:uid="{00000000-0005-0000-0000-0000031D0000}"/>
    <cellStyle name="Normal 10 6 3 2" xfId="25835" xr:uid="{9AE97104-055A-446C-8F33-BF611977767D}"/>
    <cellStyle name="Normal 10 6 3 2 2" xfId="40798" xr:uid="{C7AB8745-BE77-4737-995F-3D15B1626001}"/>
    <cellStyle name="Normal 10 6 3 3" xfId="33203" xr:uid="{6B304237-A172-4CFE-8168-B912DBACBE36}"/>
    <cellStyle name="Normal 10 6 4" xfId="10244" xr:uid="{00000000-0005-0000-0000-0000041D0000}"/>
    <cellStyle name="Normal 10 6 4 2" xfId="25836" xr:uid="{4268B720-D538-4B74-A9C2-8693D2A074C7}"/>
    <cellStyle name="Normal 10 6 4 2 2" xfId="40799" xr:uid="{8799A9AF-90E8-4D8E-8C6A-46E720CA04E4}"/>
    <cellStyle name="Normal 10 6 4 3" xfId="33204" xr:uid="{D5EBA340-AD34-48A1-B892-E1B3524E5B46}"/>
    <cellStyle name="Normal 10 6 5" xfId="10245" xr:uid="{00000000-0005-0000-0000-0000051D0000}"/>
    <cellStyle name="Normal 10 6 6" xfId="25831" xr:uid="{DC5934F5-55C5-47FA-8B96-09BC826735B5}"/>
    <cellStyle name="Normal 10 6 6 2" xfId="40794" xr:uid="{79729877-0783-4DF1-A453-16B08B1984DC}"/>
    <cellStyle name="Normal 10 6 7" xfId="33199" xr:uid="{756E5A5E-F5B6-4EF0-AF14-E3362FE4FE09}"/>
    <cellStyle name="Normal 10 7" xfId="10246" xr:uid="{00000000-0005-0000-0000-0000061D0000}"/>
    <cellStyle name="Normal 10 7 2" xfId="10247" xr:uid="{00000000-0005-0000-0000-0000071D0000}"/>
    <cellStyle name="Normal 10 7 2 2" xfId="10248" xr:uid="{00000000-0005-0000-0000-0000081D0000}"/>
    <cellStyle name="Normal 10 7 2 2 2" xfId="25839" xr:uid="{4F7B9CB6-8120-40C7-8798-91E2563061E7}"/>
    <cellStyle name="Normal 10 7 2 2 2 2" xfId="40802" xr:uid="{464667DB-862A-4CFE-9E93-303F5B4FCCF9}"/>
    <cellStyle name="Normal 10 7 2 2 3" xfId="33207" xr:uid="{08AA842D-B152-4FC9-9490-858DB230EA4F}"/>
    <cellStyle name="Normal 10 7 2 3" xfId="10249" xr:uid="{00000000-0005-0000-0000-0000091D0000}"/>
    <cellStyle name="Normal 10 7 2 3 2" xfId="25840" xr:uid="{8A51958C-9499-4A53-8348-F45CE05E570D}"/>
    <cellStyle name="Normal 10 7 2 3 2 2" xfId="40803" xr:uid="{EC0B8694-FC92-4BDA-8C0A-517E372BC28A}"/>
    <cellStyle name="Normal 10 7 2 3 3" xfId="33208" xr:uid="{74612310-E63D-4529-BCEB-4770A5625AFD}"/>
    <cellStyle name="Normal 10 7 2 4" xfId="25838" xr:uid="{B57CA35C-C2C8-49E9-9086-3FC8DFF71FFA}"/>
    <cellStyle name="Normal 10 7 2 4 2" xfId="40801" xr:uid="{5EA3202E-69F8-42BC-BA58-48AFF4AD3CB2}"/>
    <cellStyle name="Normal 10 7 2 5" xfId="33206" xr:uid="{976DE2DF-A745-4F31-AE37-E2568F622242}"/>
    <cellStyle name="Normal 10 7 3" xfId="10250" xr:uid="{00000000-0005-0000-0000-00000A1D0000}"/>
    <cellStyle name="Normal 10 7 3 2" xfId="25841" xr:uid="{3E56EECB-F6A2-4DA3-BD6F-40F41EFFCDAE}"/>
    <cellStyle name="Normal 10 7 3 2 2" xfId="40804" xr:uid="{BEF75E97-93EE-45CF-9DA9-82B851435F83}"/>
    <cellStyle name="Normal 10 7 3 3" xfId="33209" xr:uid="{C7E8CEC3-F238-405D-A967-8D0803A61601}"/>
    <cellStyle name="Normal 10 7 4" xfId="10251" xr:uid="{00000000-0005-0000-0000-00000B1D0000}"/>
    <cellStyle name="Normal 10 7 4 2" xfId="25842" xr:uid="{2832E00C-C572-46A9-A128-FB867895E6D8}"/>
    <cellStyle name="Normal 10 7 4 2 2" xfId="40805" xr:uid="{18CBFE7F-0CBC-4414-82B0-3EEEC175114F}"/>
    <cellStyle name="Normal 10 7 4 3" xfId="33210" xr:uid="{D53D6C49-4613-4035-82A3-553AD3C72A19}"/>
    <cellStyle name="Normal 10 7 5" xfId="25837" xr:uid="{1BCC1E81-C6C2-4AFE-BE80-8C853E8CC9F5}"/>
    <cellStyle name="Normal 10 7 5 2" xfId="40800" xr:uid="{7D718B6E-715D-4FA4-A699-2B9357E31FF4}"/>
    <cellStyle name="Normal 10 7 6" xfId="33205" xr:uid="{12EB12CE-125B-49A5-8B59-0CC8C809CB37}"/>
    <cellStyle name="Normal 10 8" xfId="10252" xr:uid="{00000000-0005-0000-0000-00000C1D0000}"/>
    <cellStyle name="Normal 10 8 2" xfId="10253" xr:uid="{00000000-0005-0000-0000-00000D1D0000}"/>
    <cellStyle name="Normal 10 8 2 2" xfId="25844" xr:uid="{0F1442E8-CFC3-438C-8E55-0823BC702F94}"/>
    <cellStyle name="Normal 10 8 2 2 2" xfId="40807" xr:uid="{5D945C49-2FC1-43C3-98B2-E7073B8EEDCE}"/>
    <cellStyle name="Normal 10 8 2 3" xfId="33212" xr:uid="{8AAEE13F-EA77-4D19-8451-DD3179DD0688}"/>
    <cellStyle name="Normal 10 8 3" xfId="10254" xr:uid="{00000000-0005-0000-0000-00000E1D0000}"/>
    <cellStyle name="Normal 10 8 3 2" xfId="25845" xr:uid="{B8223285-0FF6-4A41-8CBC-BA32FA35125A}"/>
    <cellStyle name="Normal 10 8 3 2 2" xfId="40808" xr:uid="{7C26DE3B-A48C-4F07-82BC-D4FD1C52E6C1}"/>
    <cellStyle name="Normal 10 8 3 3" xfId="33213" xr:uid="{82B575CA-8CA0-4C71-9922-59A44F153708}"/>
    <cellStyle name="Normal 10 8 4" xfId="25843" xr:uid="{6022E0C3-B07D-400B-AC18-181E034DED74}"/>
    <cellStyle name="Normal 10 8 4 2" xfId="40806" xr:uid="{2E3F8B7B-C937-4F84-8391-5A8235E1C513}"/>
    <cellStyle name="Normal 10 8 5" xfId="33211" xr:uid="{025B5836-1DC0-42B5-B770-A15CAE174446}"/>
    <cellStyle name="Normal 10 9" xfId="10255" xr:uid="{00000000-0005-0000-0000-00000F1D0000}"/>
    <cellStyle name="Normal 10 9 2" xfId="10256" xr:uid="{00000000-0005-0000-0000-0000101D0000}"/>
    <cellStyle name="Normal 10 9 2 2" xfId="25847" xr:uid="{9BE6A691-4503-4B68-A650-B71E079BAA18}"/>
    <cellStyle name="Normal 10 9 2 2 2" xfId="40810" xr:uid="{D10F669C-F3A2-48C7-9EA9-1E2EDC436E50}"/>
    <cellStyle name="Normal 10 9 2 3" xfId="33215" xr:uid="{D4E460E7-F3CD-490F-90EC-99655E33A883}"/>
    <cellStyle name="Normal 10 9 3" xfId="10257" xr:uid="{00000000-0005-0000-0000-0000111D0000}"/>
    <cellStyle name="Normal 10 9 3 2" xfId="25848" xr:uid="{D6F9A841-41DB-46F9-98EB-C3220586FE3D}"/>
    <cellStyle name="Normal 10 9 3 2 2" xfId="40811" xr:uid="{20703606-AE0C-418C-883E-2AE1622432E4}"/>
    <cellStyle name="Normal 10 9 3 3" xfId="33216" xr:uid="{974141B9-6D06-4370-B100-EA337EE0A872}"/>
    <cellStyle name="Normal 10 9 4" xfId="25846" xr:uid="{5143763A-7606-49C7-909B-9100DC8B142B}"/>
    <cellStyle name="Normal 10 9 4 2" xfId="40809" xr:uid="{C103AA2A-BB64-4D5C-AA51-27199D4013FA}"/>
    <cellStyle name="Normal 10 9 5" xfId="33214" xr:uid="{0CB5082F-2ED7-4B78-BF41-8D03F26BE433}"/>
    <cellStyle name="Normal 10_App b.3 Unspent_" xfId="594" xr:uid="{00000000-0005-0000-0000-0000E8010000}"/>
    <cellStyle name="Normal 100" xfId="10258" xr:uid="{00000000-0005-0000-0000-0000121D0000}"/>
    <cellStyle name="Normal 100 2" xfId="10259" xr:uid="{00000000-0005-0000-0000-0000131D0000}"/>
    <cellStyle name="Normal 100 2 2" xfId="25850" xr:uid="{FBA720C6-1A47-47A3-A71D-7BA4B2891640}"/>
    <cellStyle name="Normal 100 2 2 2" xfId="40813" xr:uid="{4FC2A77E-DE18-403A-B008-3E5A3761E642}"/>
    <cellStyle name="Normal 100 2 3" xfId="33218" xr:uid="{67F9D1AC-23E5-490D-ACAC-9D0F75D6E7B3}"/>
    <cellStyle name="Normal 100 3" xfId="10260" xr:uid="{00000000-0005-0000-0000-0000141D0000}"/>
    <cellStyle name="Normal 100 3 2" xfId="25851" xr:uid="{A7E597D5-8EEB-473B-A515-B7472A512A76}"/>
    <cellStyle name="Normal 100 3 2 2" xfId="40814" xr:uid="{21CD8854-6505-446A-984B-B63EBB161CCC}"/>
    <cellStyle name="Normal 100 3 3" xfId="33219" xr:uid="{ECEA8216-02D7-458F-9B83-D6EE780B28FB}"/>
    <cellStyle name="Normal 100 4" xfId="25849" xr:uid="{0A224E80-9249-4595-9F04-244D31B2F3ED}"/>
    <cellStyle name="Normal 100 4 2" xfId="40812" xr:uid="{B5AF842E-1006-457D-B17E-4B8A7083E3C9}"/>
    <cellStyle name="Normal 100 5" xfId="33217" xr:uid="{97922D1B-E43C-4382-94C9-9E36B6FD98FE}"/>
    <cellStyle name="Normal 101" xfId="10261" xr:uid="{00000000-0005-0000-0000-0000151D0000}"/>
    <cellStyle name="Normal 101 2" xfId="10262" xr:uid="{00000000-0005-0000-0000-0000161D0000}"/>
    <cellStyle name="Normal 101 2 2" xfId="25853" xr:uid="{B33DD038-62FE-48CA-9E88-470BE7F54BE5}"/>
    <cellStyle name="Normal 101 2 2 2" xfId="40816" xr:uid="{7129AA40-E159-4081-B8CD-0E2C5A590118}"/>
    <cellStyle name="Normal 101 2 3" xfId="33221" xr:uid="{4EEC7E68-268C-4514-9E7C-670CB7A57C2F}"/>
    <cellStyle name="Normal 101 3" xfId="10263" xr:uid="{00000000-0005-0000-0000-0000171D0000}"/>
    <cellStyle name="Normal 101 3 2" xfId="25854" xr:uid="{AAFBF464-E0AF-4FAB-891C-3E835D7A5E00}"/>
    <cellStyle name="Normal 101 3 2 2" xfId="40817" xr:uid="{F511FEEE-26C8-44D3-AE9C-D6BDD1F09989}"/>
    <cellStyle name="Normal 101 3 3" xfId="33222" xr:uid="{2506498E-76A8-4DCC-95AA-E855E5E45ED5}"/>
    <cellStyle name="Normal 101 4" xfId="25852" xr:uid="{3F4D42FF-C464-43A2-B18C-20B7B190A1A3}"/>
    <cellStyle name="Normal 101 4 2" xfId="40815" xr:uid="{E85CC4A8-8E43-4B32-9FEA-1170D9F3994E}"/>
    <cellStyle name="Normal 101 5" xfId="33220" xr:uid="{FE4526DF-9455-4BBE-997B-8EF2E4491D9E}"/>
    <cellStyle name="Normal 102" xfId="10264" xr:uid="{00000000-0005-0000-0000-0000181D0000}"/>
    <cellStyle name="Normal 102 2" xfId="10265" xr:uid="{00000000-0005-0000-0000-0000191D0000}"/>
    <cellStyle name="Normal 102 2 2" xfId="25856" xr:uid="{45600835-C74D-4EB9-AE9E-58DCDECFC5AB}"/>
    <cellStyle name="Normal 102 2 2 2" xfId="40819" xr:uid="{84363C27-4F7B-4A2D-B61A-E090E3DF7003}"/>
    <cellStyle name="Normal 102 2 3" xfId="33224" xr:uid="{CE908F3C-478C-4E24-8588-42DF7403B799}"/>
    <cellStyle name="Normal 102 3" xfId="10266" xr:uid="{00000000-0005-0000-0000-00001A1D0000}"/>
    <cellStyle name="Normal 102 3 2" xfId="25857" xr:uid="{FC9BCAED-008A-462F-A485-FAE6A8BDF80C}"/>
    <cellStyle name="Normal 102 3 2 2" xfId="40820" xr:uid="{600CE333-99E8-4553-906D-84E881BE8DF9}"/>
    <cellStyle name="Normal 102 3 3" xfId="33225" xr:uid="{0D888C1D-BF4E-45B6-8278-D38553CF9995}"/>
    <cellStyle name="Normal 102 4" xfId="25855" xr:uid="{BC2DAFD3-C179-474C-9CE2-02E4E7E68197}"/>
    <cellStyle name="Normal 102 4 2" xfId="40818" xr:uid="{2FCC5C8D-1AA7-4D84-980F-45109C29CCC1}"/>
    <cellStyle name="Normal 102 5" xfId="33223" xr:uid="{D41131A9-9C8A-4BA6-83F2-F0B6AE1BDB4F}"/>
    <cellStyle name="Normal 103" xfId="10267" xr:uid="{00000000-0005-0000-0000-00001B1D0000}"/>
    <cellStyle name="Normal 103 2" xfId="10268" xr:uid="{00000000-0005-0000-0000-00001C1D0000}"/>
    <cellStyle name="Normal 103 2 2" xfId="25859" xr:uid="{3917C7E4-55D7-4278-955B-202007D0756A}"/>
    <cellStyle name="Normal 103 2 2 2" xfId="40822" xr:uid="{91AA7273-4298-451B-9DC0-7605AE28D263}"/>
    <cellStyle name="Normal 103 2 3" xfId="33227" xr:uid="{E72E7807-BE8E-405A-AF10-E647A48F3EE8}"/>
    <cellStyle name="Normal 103 3" xfId="10269" xr:uid="{00000000-0005-0000-0000-00001D1D0000}"/>
    <cellStyle name="Normal 103 3 2" xfId="25860" xr:uid="{7D562216-2880-4F5B-906F-E9C0B9669AB8}"/>
    <cellStyle name="Normal 103 3 2 2" xfId="40823" xr:uid="{82843909-B384-45F5-8E81-93F02AE028C8}"/>
    <cellStyle name="Normal 103 3 3" xfId="33228" xr:uid="{3D020A4B-068B-4049-A60D-0EF9ABB8497C}"/>
    <cellStyle name="Normal 103 4" xfId="25858" xr:uid="{87672E3B-5318-43F1-B2C4-52DAB8AE1142}"/>
    <cellStyle name="Normal 103 4 2" xfId="40821" xr:uid="{8C1EF205-6231-4D48-98D5-E790D1E1094B}"/>
    <cellStyle name="Normal 103 5" xfId="33226" xr:uid="{CDC9E212-5E75-48E8-AADA-0529EC797DF0}"/>
    <cellStyle name="Normal 104" xfId="10270" xr:uid="{00000000-0005-0000-0000-00001E1D0000}"/>
    <cellStyle name="Normal 104 2" xfId="10271" xr:uid="{00000000-0005-0000-0000-00001F1D0000}"/>
    <cellStyle name="Normal 104 2 2" xfId="25862" xr:uid="{E9FF44BC-E61A-4EDF-A466-BF3F1A9CD9F3}"/>
    <cellStyle name="Normal 104 2 2 2" xfId="40825" xr:uid="{19660673-4C5A-4B67-91A9-C63BFFE72DF5}"/>
    <cellStyle name="Normal 104 2 3" xfId="33230" xr:uid="{2590E2ED-95EA-4BF5-830B-4ECD34B93BA2}"/>
    <cellStyle name="Normal 104 3" xfId="10272" xr:uid="{00000000-0005-0000-0000-0000201D0000}"/>
    <cellStyle name="Normal 104 3 2" xfId="25863" xr:uid="{CB962EBB-3B25-4DDE-99A3-FA617EF5FFEB}"/>
    <cellStyle name="Normal 104 3 2 2" xfId="40826" xr:uid="{E54161DC-BCDC-4B08-AF68-46775D576F56}"/>
    <cellStyle name="Normal 104 3 3" xfId="33231" xr:uid="{5B41E60E-4858-4E62-A4C5-AEB69E0FD7E8}"/>
    <cellStyle name="Normal 104 4" xfId="25861" xr:uid="{523CFF7C-DFE1-448B-B27B-A274B7FA9D4F}"/>
    <cellStyle name="Normal 104 4 2" xfId="40824" xr:uid="{CAD21343-3045-4E25-806C-B4910920FBA7}"/>
    <cellStyle name="Normal 104 5" xfId="33229" xr:uid="{142AEB7D-1852-4967-ABF7-D36D9BE7FCDC}"/>
    <cellStyle name="Normal 105" xfId="10273" xr:uid="{00000000-0005-0000-0000-0000211D0000}"/>
    <cellStyle name="Normal 105 2" xfId="10274" xr:uid="{00000000-0005-0000-0000-0000221D0000}"/>
    <cellStyle name="Normal 105 2 2" xfId="25865" xr:uid="{EE59553F-82C9-4490-8639-A0560C783C79}"/>
    <cellStyle name="Normal 105 2 2 2" xfId="40828" xr:uid="{8992C488-C917-489D-8CB3-04C3B330A004}"/>
    <cellStyle name="Normal 105 2 3" xfId="33233" xr:uid="{F2C9FA14-77AB-4C6E-B226-A02313E72D43}"/>
    <cellStyle name="Normal 105 3" xfId="10275" xr:uid="{00000000-0005-0000-0000-0000231D0000}"/>
    <cellStyle name="Normal 105 3 2" xfId="25866" xr:uid="{CDCFC732-8537-459A-97F0-E437248AC801}"/>
    <cellStyle name="Normal 105 3 2 2" xfId="40829" xr:uid="{6D731572-2146-4540-A0EF-B9C914F902AD}"/>
    <cellStyle name="Normal 105 3 3" xfId="33234" xr:uid="{373560E8-A3D2-41D4-9CF3-E38C8D8A25A6}"/>
    <cellStyle name="Normal 105 4" xfId="25864" xr:uid="{A89113F8-E67D-423E-AD10-A28209CDE477}"/>
    <cellStyle name="Normal 105 4 2" xfId="40827" xr:uid="{029A0FC1-61B7-4926-8F4D-591D79EB1DA6}"/>
    <cellStyle name="Normal 105 5" xfId="33232" xr:uid="{918E9CC6-116D-411E-979A-F07F433D8597}"/>
    <cellStyle name="Normal 106" xfId="10276" xr:uid="{00000000-0005-0000-0000-0000241D0000}"/>
    <cellStyle name="Normal 106 2" xfId="10277" xr:uid="{00000000-0005-0000-0000-0000251D0000}"/>
    <cellStyle name="Normal 106 2 2" xfId="25868" xr:uid="{7845275C-EA94-46B8-B2E1-A8757C1C6C45}"/>
    <cellStyle name="Normal 106 2 2 2" xfId="40831" xr:uid="{63FC65AF-5558-4433-9C8C-7A38346ACA37}"/>
    <cellStyle name="Normal 106 2 3" xfId="33236" xr:uid="{0359986B-8585-4268-A666-022A8168548A}"/>
    <cellStyle name="Normal 106 3" xfId="10278" xr:uid="{00000000-0005-0000-0000-0000261D0000}"/>
    <cellStyle name="Normal 106 3 2" xfId="25869" xr:uid="{CDEE6818-0B51-4A66-A75D-0EA21AB69EFE}"/>
    <cellStyle name="Normal 106 3 2 2" xfId="40832" xr:uid="{CA311CD7-B5AD-4289-B25E-C5658A2CD48C}"/>
    <cellStyle name="Normal 106 3 3" xfId="33237" xr:uid="{1061AC24-B5ED-4594-BE12-EB28F6728EC1}"/>
    <cellStyle name="Normal 106 4" xfId="25867" xr:uid="{0D8F44AF-B993-48C5-B032-D3D6696EA630}"/>
    <cellStyle name="Normal 106 4 2" xfId="40830" xr:uid="{56835699-B962-4552-8FA0-AB60D45095B3}"/>
    <cellStyle name="Normal 106 5" xfId="33235" xr:uid="{2E6150CD-F312-4617-B443-BD8DC6992CF8}"/>
    <cellStyle name="Normal 107" xfId="10279" xr:uid="{00000000-0005-0000-0000-0000271D0000}"/>
    <cellStyle name="Normal 107 2" xfId="10280" xr:uid="{00000000-0005-0000-0000-0000281D0000}"/>
    <cellStyle name="Normal 107 2 2" xfId="25871" xr:uid="{A6EED922-E60F-4A82-B6FB-BC3EDA6ECBA3}"/>
    <cellStyle name="Normal 107 2 2 2" xfId="40834" xr:uid="{BE1620EE-AA36-418F-A680-D41BD3079D11}"/>
    <cellStyle name="Normal 107 2 3" xfId="33239" xr:uid="{9F863BDB-02EF-40ED-97C1-CB404D7305B4}"/>
    <cellStyle name="Normal 107 3" xfId="10281" xr:uid="{00000000-0005-0000-0000-0000291D0000}"/>
    <cellStyle name="Normal 107 3 2" xfId="25872" xr:uid="{0C78B3BD-DA46-48F6-87FF-5035A7CA3D63}"/>
    <cellStyle name="Normal 107 3 2 2" xfId="40835" xr:uid="{8292B9D2-954C-496D-B692-F14E4E9F75EF}"/>
    <cellStyle name="Normal 107 3 3" xfId="33240" xr:uid="{8A67F7EB-E659-46DF-BF85-9C25E3AF5DA6}"/>
    <cellStyle name="Normal 107 4" xfId="25870" xr:uid="{F8E9B1D4-9C36-456B-B6ED-BB0A37E54B2F}"/>
    <cellStyle name="Normal 107 4 2" xfId="40833" xr:uid="{A1BF2177-2142-483C-9FB3-6E04B7B9DC3C}"/>
    <cellStyle name="Normal 107 5" xfId="33238" xr:uid="{C7DF42FC-5BF4-46F3-9159-F4074525D5DE}"/>
    <cellStyle name="Normal 108" xfId="10282" xr:uid="{00000000-0005-0000-0000-00002A1D0000}"/>
    <cellStyle name="Normal 108 2" xfId="10283" xr:uid="{00000000-0005-0000-0000-00002B1D0000}"/>
    <cellStyle name="Normal 108 2 2" xfId="25874" xr:uid="{9F752BAC-5817-4BC1-81FB-48FFAD0AFB2D}"/>
    <cellStyle name="Normal 108 2 2 2" xfId="40837" xr:uid="{FD25416B-4EDC-4636-A9CB-C835AA48929F}"/>
    <cellStyle name="Normal 108 2 3" xfId="33242" xr:uid="{E2781E78-A806-4DCC-8302-71F81E4FDDD3}"/>
    <cellStyle name="Normal 108 3" xfId="10284" xr:uid="{00000000-0005-0000-0000-00002C1D0000}"/>
    <cellStyle name="Normal 108 3 2" xfId="25875" xr:uid="{501532B7-B21B-47CD-8676-986DC23964FF}"/>
    <cellStyle name="Normal 108 3 2 2" xfId="40838" xr:uid="{FA8B3C42-B107-49B0-817C-D55E04B02108}"/>
    <cellStyle name="Normal 108 3 3" xfId="33243" xr:uid="{826E8F5D-42C8-4892-8222-0F745195600F}"/>
    <cellStyle name="Normal 108 4" xfId="25873" xr:uid="{AD68D730-4230-4D3E-B360-DFE547B15C90}"/>
    <cellStyle name="Normal 108 4 2" xfId="40836" xr:uid="{36051C77-8848-434F-A15E-7882809CF433}"/>
    <cellStyle name="Normal 108 5" xfId="33241" xr:uid="{A16BC478-BE48-4644-A72B-D723A49E6B48}"/>
    <cellStyle name="Normal 109" xfId="10285" xr:uid="{00000000-0005-0000-0000-00002D1D0000}"/>
    <cellStyle name="Normal 109 2" xfId="10286" xr:uid="{00000000-0005-0000-0000-00002E1D0000}"/>
    <cellStyle name="Normal 109 2 2" xfId="25877" xr:uid="{062620C5-42DC-4052-A06F-7689260F2475}"/>
    <cellStyle name="Normal 109 2 2 2" xfId="40840" xr:uid="{E01C18DA-BA72-4A63-929E-395B669A0EFF}"/>
    <cellStyle name="Normal 109 2 3" xfId="33245" xr:uid="{BA8EF834-88A1-4EC3-8DD6-9C6D721AB63F}"/>
    <cellStyle name="Normal 109 3" xfId="10287" xr:uid="{00000000-0005-0000-0000-00002F1D0000}"/>
    <cellStyle name="Normal 109 3 2" xfId="25878" xr:uid="{663F8CC9-9B1E-4888-B5B3-E2B2D7B6120C}"/>
    <cellStyle name="Normal 109 3 2 2" xfId="40841" xr:uid="{4983FCA0-5F88-40F5-BBAD-D39D8781A1BE}"/>
    <cellStyle name="Normal 109 3 3" xfId="33246" xr:uid="{46D19B9A-0C3A-43AC-9107-ACEF63FAB1AC}"/>
    <cellStyle name="Normal 109 4" xfId="25876" xr:uid="{71112C43-ABB0-44A9-B93E-345C169D4E68}"/>
    <cellStyle name="Normal 109 4 2" xfId="40839" xr:uid="{1E5B38FC-D160-4C99-A7A2-DDF31C1A9B69}"/>
    <cellStyle name="Normal 109 5" xfId="33244" xr:uid="{1F18ECEB-6852-4C9E-B843-390B1FAC2AE6}"/>
    <cellStyle name="Normal 11" xfId="595" xr:uid="{00000000-0005-0000-0000-0000E9010000}"/>
    <cellStyle name="Normal 11 10" xfId="10288" xr:uid="{00000000-0005-0000-0000-0000311D0000}"/>
    <cellStyle name="Normal 11 10 2" xfId="10289" xr:uid="{00000000-0005-0000-0000-0000321D0000}"/>
    <cellStyle name="Normal 11 10 2 2" xfId="25879" xr:uid="{DBE26881-E4DF-4E6B-A62D-78383F2390C3}"/>
    <cellStyle name="Normal 11 10 2 2 2" xfId="40842" xr:uid="{C698C807-F1F7-403E-913C-B9754B22F288}"/>
    <cellStyle name="Normal 11 10 2 3" xfId="33247" xr:uid="{578C6A28-8B7D-46F3-B797-F4735E797510}"/>
    <cellStyle name="Normal 11 11" xfId="5393" xr:uid="{00000000-0005-0000-0000-0000301D0000}"/>
    <cellStyle name="Normal 11 2" xfId="596" xr:uid="{00000000-0005-0000-0000-0000EA010000}"/>
    <cellStyle name="Normal 11 2 2" xfId="10290" xr:uid="{00000000-0005-0000-0000-0000341D0000}"/>
    <cellStyle name="Normal 11 2 2 2" xfId="10291" xr:uid="{00000000-0005-0000-0000-0000351D0000}"/>
    <cellStyle name="Normal 11 2 2 3" xfId="10292" xr:uid="{00000000-0005-0000-0000-0000361D0000}"/>
    <cellStyle name="Normal 11 2 3" xfId="10293" xr:uid="{00000000-0005-0000-0000-0000371D0000}"/>
    <cellStyle name="Normal 11 2 3 2" xfId="10294" xr:uid="{00000000-0005-0000-0000-0000381D0000}"/>
    <cellStyle name="Normal 11 2 3 2 2" xfId="10295" xr:uid="{00000000-0005-0000-0000-0000391D0000}"/>
    <cellStyle name="Normal 11 2 3 2 2 2" xfId="10296" xr:uid="{00000000-0005-0000-0000-00003A1D0000}"/>
    <cellStyle name="Normal 11 2 3 2 2 2 2" xfId="25883" xr:uid="{4FA9B69B-6748-4334-95FD-7C9C6AAEFE91}"/>
    <cellStyle name="Normal 11 2 3 2 2 2 2 2" xfId="40846" xr:uid="{D6E9785A-5DAE-472B-AEBA-54F1E9CDBF55}"/>
    <cellStyle name="Normal 11 2 3 2 2 2 3" xfId="33251" xr:uid="{407DB43F-3338-43CF-8D08-ADE9A18FF5D4}"/>
    <cellStyle name="Normal 11 2 3 2 2 3" xfId="10297" xr:uid="{00000000-0005-0000-0000-00003B1D0000}"/>
    <cellStyle name="Normal 11 2 3 2 2 3 2" xfId="25884" xr:uid="{B9B3680D-83B4-4204-BCA6-2A9065DDC75D}"/>
    <cellStyle name="Normal 11 2 3 2 2 3 2 2" xfId="40847" xr:uid="{AA8B5649-0695-463E-8A34-652B6BD8BC2E}"/>
    <cellStyle name="Normal 11 2 3 2 2 3 3" xfId="33252" xr:uid="{892974B9-54BF-44B2-9F8D-5A7EB8C43FA6}"/>
    <cellStyle name="Normal 11 2 3 2 2 4" xfId="25882" xr:uid="{02FDBDFB-5DB9-44FD-9B0A-18033C63B7F9}"/>
    <cellStyle name="Normal 11 2 3 2 2 4 2" xfId="40845" xr:uid="{B5769C9C-D03D-433F-B0D7-5CE38A696133}"/>
    <cellStyle name="Normal 11 2 3 2 2 5" xfId="33250" xr:uid="{D7943A4F-AB00-4353-851C-B0A32A0C4432}"/>
    <cellStyle name="Normal 11 2 3 2 3" xfId="10298" xr:uid="{00000000-0005-0000-0000-00003C1D0000}"/>
    <cellStyle name="Normal 11 2 3 2 3 2" xfId="25885" xr:uid="{B6D56A37-197B-483F-BF15-E201D9B0D4BF}"/>
    <cellStyle name="Normal 11 2 3 2 3 2 2" xfId="40848" xr:uid="{B367921F-9F8B-460F-9429-4B869C1FFD7B}"/>
    <cellStyle name="Normal 11 2 3 2 3 3" xfId="33253" xr:uid="{1C47809F-FF90-40AF-A2D9-02EB8846F693}"/>
    <cellStyle name="Normal 11 2 3 2 4" xfId="10299" xr:uid="{00000000-0005-0000-0000-00003D1D0000}"/>
    <cellStyle name="Normal 11 2 3 2 4 2" xfId="25886" xr:uid="{173A64D4-AE06-4E8E-AC62-24022A57BE34}"/>
    <cellStyle name="Normal 11 2 3 2 4 2 2" xfId="40849" xr:uid="{BB4393C9-B8CF-464F-97F6-9F80A356E5E9}"/>
    <cellStyle name="Normal 11 2 3 2 4 3" xfId="33254" xr:uid="{42BDB88B-D12C-4006-BE22-DD02A65B4AE2}"/>
    <cellStyle name="Normal 11 2 3 2 5" xfId="25881" xr:uid="{F03F2BC7-BC61-4739-A68D-00D6069FB9FE}"/>
    <cellStyle name="Normal 11 2 3 2 5 2" xfId="40844" xr:uid="{A464A75D-F362-4C7F-9B0A-897B9D86CD8F}"/>
    <cellStyle name="Normal 11 2 3 2 6" xfId="33249" xr:uid="{51EA8C56-008A-4C20-A322-29A006C17CAD}"/>
    <cellStyle name="Normal 11 2 3 3" xfId="10300" xr:uid="{00000000-0005-0000-0000-00003E1D0000}"/>
    <cellStyle name="Normal 11 2 3 3 2" xfId="10301" xr:uid="{00000000-0005-0000-0000-00003F1D0000}"/>
    <cellStyle name="Normal 11 2 3 3 2 2" xfId="25888" xr:uid="{0E6272DC-21CE-46B5-BF32-5CFDDCF77B93}"/>
    <cellStyle name="Normal 11 2 3 3 2 2 2" xfId="40851" xr:uid="{B689AC99-9FFA-43DA-8FD9-6286A7E8A584}"/>
    <cellStyle name="Normal 11 2 3 3 2 3" xfId="33256" xr:uid="{6E6A5A17-5D23-4327-927C-D765DA4EAD1A}"/>
    <cellStyle name="Normal 11 2 3 3 3" xfId="10302" xr:uid="{00000000-0005-0000-0000-0000401D0000}"/>
    <cellStyle name="Normal 11 2 3 3 3 2" xfId="25889" xr:uid="{2CB2F0CD-8B46-4EE7-B9EC-2E9791996AF5}"/>
    <cellStyle name="Normal 11 2 3 3 3 2 2" xfId="40852" xr:uid="{93AAAEE4-4F88-437C-92A5-C4F8A566B95A}"/>
    <cellStyle name="Normal 11 2 3 3 3 3" xfId="33257" xr:uid="{19371C52-D90C-4374-9BBB-FF9FF75FC67A}"/>
    <cellStyle name="Normal 11 2 3 3 4" xfId="25887" xr:uid="{F220438F-245F-4E25-844B-6EDBCEEDE8F8}"/>
    <cellStyle name="Normal 11 2 3 3 4 2" xfId="40850" xr:uid="{41990122-B014-46DE-A929-7705B07FCC0D}"/>
    <cellStyle name="Normal 11 2 3 3 5" xfId="33255" xr:uid="{717B9F50-73AB-49F2-9361-A5828783BA68}"/>
    <cellStyle name="Normal 11 2 3 4" xfId="10303" xr:uid="{00000000-0005-0000-0000-0000411D0000}"/>
    <cellStyle name="Normal 11 2 3 4 2" xfId="25890" xr:uid="{4154E62E-4738-4371-A2A8-DEF0BC7987FA}"/>
    <cellStyle name="Normal 11 2 3 4 2 2" xfId="40853" xr:uid="{28D96BFB-0072-46E4-98D9-7712AE83DEF7}"/>
    <cellStyle name="Normal 11 2 3 4 3" xfId="33258" xr:uid="{862E8F9D-0EAF-4EB7-B102-52E090FAAADD}"/>
    <cellStyle name="Normal 11 2 3 5" xfId="10304" xr:uid="{00000000-0005-0000-0000-0000421D0000}"/>
    <cellStyle name="Normal 11 2 3 5 2" xfId="25891" xr:uid="{40BB4196-9B93-40FF-B737-6A870FEFFF74}"/>
    <cellStyle name="Normal 11 2 3 5 2 2" xfId="40854" xr:uid="{BDE60EB9-2871-4E95-ABF3-F1D13CC0D8B9}"/>
    <cellStyle name="Normal 11 2 3 5 3" xfId="33259" xr:uid="{9090C984-443C-4818-8B77-2C314CC0AA8F}"/>
    <cellStyle name="Normal 11 2 3 6" xfId="25880" xr:uid="{DC3E1FD2-62B3-46DA-BC44-624530D3B7EA}"/>
    <cellStyle name="Normal 11 2 3 6 2" xfId="40843" xr:uid="{9F5CE0F5-8714-4D7C-9DC3-62F42F0696B7}"/>
    <cellStyle name="Normal 11 2 3 7" xfId="33248" xr:uid="{6C1DEBA1-06EA-43A4-813E-4BF32735D9EB}"/>
    <cellStyle name="Normal 11 2 4" xfId="10305" xr:uid="{00000000-0005-0000-0000-0000431D0000}"/>
    <cellStyle name="Normal 11 2 4 2" xfId="10306" xr:uid="{00000000-0005-0000-0000-0000441D0000}"/>
    <cellStyle name="Normal 11 2 4 2 2" xfId="10307" xr:uid="{00000000-0005-0000-0000-0000451D0000}"/>
    <cellStyle name="Normal 11 2 4 2 2 2" xfId="25894" xr:uid="{78268EAD-2831-436D-935E-19402A3EDC72}"/>
    <cellStyle name="Normal 11 2 4 2 2 2 2" xfId="40857" xr:uid="{D757A142-45DE-4D5D-9644-19E5DF68D582}"/>
    <cellStyle name="Normal 11 2 4 2 2 3" xfId="33262" xr:uid="{B9AE4989-48BE-4F2E-937B-BD6F4532746A}"/>
    <cellStyle name="Normal 11 2 4 2 3" xfId="10308" xr:uid="{00000000-0005-0000-0000-0000461D0000}"/>
    <cellStyle name="Normal 11 2 4 2 3 2" xfId="25895" xr:uid="{51C974A4-C837-4E0D-917F-CAD1A25683B4}"/>
    <cellStyle name="Normal 11 2 4 2 3 2 2" xfId="40858" xr:uid="{598D7CF9-BE6A-4892-8966-891F8842AFE7}"/>
    <cellStyle name="Normal 11 2 4 2 3 3" xfId="33263" xr:uid="{03CFFBA9-F013-4F19-BAA1-69F3EC3DBE61}"/>
    <cellStyle name="Normal 11 2 4 2 4" xfId="25893" xr:uid="{5E33015E-3328-48A4-A815-00AF40CE26F9}"/>
    <cellStyle name="Normal 11 2 4 2 4 2" xfId="40856" xr:uid="{9FAF2B14-9318-4287-9CC9-1BB8024F28A0}"/>
    <cellStyle name="Normal 11 2 4 2 5" xfId="33261" xr:uid="{D6192829-B1EF-4CB9-B71C-F1C81F60547B}"/>
    <cellStyle name="Normal 11 2 4 3" xfId="10309" xr:uid="{00000000-0005-0000-0000-0000471D0000}"/>
    <cellStyle name="Normal 11 2 4 3 2" xfId="25896" xr:uid="{C9C4FDB1-7ACB-43F4-A775-B77237675ABA}"/>
    <cellStyle name="Normal 11 2 4 3 2 2" xfId="40859" xr:uid="{BE896B2D-A8F1-49FE-9ADC-9F2D525BD4CF}"/>
    <cellStyle name="Normal 11 2 4 3 3" xfId="33264" xr:uid="{C076CBD0-0CB1-43E6-94E3-0B6B730B2B77}"/>
    <cellStyle name="Normal 11 2 4 4" xfId="10310" xr:uid="{00000000-0005-0000-0000-0000481D0000}"/>
    <cellStyle name="Normal 11 2 4 4 2" xfId="25897" xr:uid="{E18E1575-71A3-46E3-A863-5C8A8D2A9D1D}"/>
    <cellStyle name="Normal 11 2 4 4 2 2" xfId="40860" xr:uid="{D30CE5F3-D620-473D-84BB-C0027C196CBB}"/>
    <cellStyle name="Normal 11 2 4 4 3" xfId="33265" xr:uid="{B7D4DB8A-6146-4498-8FB9-CA8453F8B19E}"/>
    <cellStyle name="Normal 11 2 4 5" xfId="10311" xr:uid="{00000000-0005-0000-0000-0000491D0000}"/>
    <cellStyle name="Normal 11 2 4 6" xfId="25892" xr:uid="{55838DDB-086E-4447-9AB2-F5F08C7BA4E6}"/>
    <cellStyle name="Normal 11 2 4 6 2" xfId="40855" xr:uid="{1D206969-3A7E-42B1-AF28-E70DABF31530}"/>
    <cellStyle name="Normal 11 2 4 7" xfId="33260" xr:uid="{0A720FB3-EB57-4E46-ADC7-F7CE9F017073}"/>
    <cellStyle name="Normal 11 2 5" xfId="10312" xr:uid="{00000000-0005-0000-0000-00004A1D0000}"/>
    <cellStyle name="Normal 11 2 6" xfId="10313" xr:uid="{00000000-0005-0000-0000-00004B1D0000}"/>
    <cellStyle name="Normal 11 2 6 2" xfId="25898" xr:uid="{0DFC2B3C-87FE-4C95-8819-8883CB4600CE}"/>
    <cellStyle name="Normal 11 2 6 2 2" xfId="40861" xr:uid="{2AAB26FF-7361-4389-9BDE-C543F73FFDE4}"/>
    <cellStyle name="Normal 11 2 6 3" xfId="33266" xr:uid="{5F959D9A-47F0-4A66-A07F-03F84CEFF0E0}"/>
    <cellStyle name="Normal 11 2 7" xfId="10314" xr:uid="{00000000-0005-0000-0000-00004C1D0000}"/>
    <cellStyle name="Normal 11 2 7 2" xfId="25899" xr:uid="{ED0AD86D-3572-4A71-A449-B5FCB4B5102B}"/>
    <cellStyle name="Normal 11 2 7 2 2" xfId="40862" xr:uid="{560BB412-5334-4FC2-8C00-2ABA71C67B7C}"/>
    <cellStyle name="Normal 11 2 7 3" xfId="33267" xr:uid="{44735FBB-92F5-4DE8-A0B6-A9B8CCC564F6}"/>
    <cellStyle name="Normal 11 3" xfId="597" xr:uid="{00000000-0005-0000-0000-0000EB010000}"/>
    <cellStyle name="Normal 11 3 2" xfId="10316" xr:uid="{00000000-0005-0000-0000-00004E1D0000}"/>
    <cellStyle name="Normal 11 3 3" xfId="10317" xr:uid="{00000000-0005-0000-0000-00004F1D0000}"/>
    <cellStyle name="Normal 11 3 3 2" xfId="25900" xr:uid="{39430886-530C-47E8-BF86-0F29469B745A}"/>
    <cellStyle name="Normal 11 3 3 2 2" xfId="40863" xr:uid="{F3B2DC1E-4208-419B-A7F4-8E9560B90C83}"/>
    <cellStyle name="Normal 11 3 3 3" xfId="33268" xr:uid="{CC15E859-459F-4AEC-B73A-CC40BA6DD54F}"/>
    <cellStyle name="Normal 11 3 4" xfId="10318" xr:uid="{00000000-0005-0000-0000-0000501D0000}"/>
    <cellStyle name="Normal 11 3 4 2" xfId="25901" xr:uid="{AA1693FD-6C2D-4533-9FD0-1F1ADE60B9DC}"/>
    <cellStyle name="Normal 11 3 4 2 2" xfId="40864" xr:uid="{562C2A6A-45A6-438C-9068-F540837AB3D4}"/>
    <cellStyle name="Normal 11 3 4 3" xfId="33269" xr:uid="{87561918-4FCF-48AA-8500-4F0012F3308D}"/>
    <cellStyle name="Normal 11 3 5" xfId="10315" xr:uid="{00000000-0005-0000-0000-00004D1D0000}"/>
    <cellStyle name="Normal 11 4" xfId="10319" xr:uid="{00000000-0005-0000-0000-0000511D0000}"/>
    <cellStyle name="Normal 11 4 2" xfId="10320" xr:uid="{00000000-0005-0000-0000-0000521D0000}"/>
    <cellStyle name="Normal 11 4 2 2" xfId="10321" xr:uid="{00000000-0005-0000-0000-0000531D0000}"/>
    <cellStyle name="Normal 11 4 2 2 2" xfId="10322" xr:uid="{00000000-0005-0000-0000-0000541D0000}"/>
    <cellStyle name="Normal 11 4 2 2 2 2" xfId="25905" xr:uid="{E9C4C4F6-2ACB-45EC-A087-302D000F81CF}"/>
    <cellStyle name="Normal 11 4 2 2 2 2 2" xfId="40868" xr:uid="{928F7610-4790-4490-8361-90E68D92042D}"/>
    <cellStyle name="Normal 11 4 2 2 2 3" xfId="33273" xr:uid="{B1ED1E31-9586-4E3A-A3FE-5DA32EADD7BD}"/>
    <cellStyle name="Normal 11 4 2 2 3" xfId="10323" xr:uid="{00000000-0005-0000-0000-0000551D0000}"/>
    <cellStyle name="Normal 11 4 2 2 3 2" xfId="25906" xr:uid="{AD5F8A4D-018D-485B-81B0-71A71149C1A0}"/>
    <cellStyle name="Normal 11 4 2 2 3 2 2" xfId="40869" xr:uid="{08608F11-41DD-49D9-98CC-8C70E6C0089A}"/>
    <cellStyle name="Normal 11 4 2 2 3 3" xfId="33274" xr:uid="{086714BA-85E6-402D-9D49-04892E6E2D5E}"/>
    <cellStyle name="Normal 11 4 2 2 4" xfId="25904" xr:uid="{3D72ED0E-C588-4A6E-9722-75EF386B81D8}"/>
    <cellStyle name="Normal 11 4 2 2 4 2" xfId="40867" xr:uid="{7ED14A38-671D-46EA-8306-DE58B5942AC3}"/>
    <cellStyle name="Normal 11 4 2 2 5" xfId="33272" xr:uid="{16A33B2B-B9B2-4219-841B-628B3639874F}"/>
    <cellStyle name="Normal 11 4 2 3" xfId="10324" xr:uid="{00000000-0005-0000-0000-0000561D0000}"/>
    <cellStyle name="Normal 11 4 2 3 2" xfId="25907" xr:uid="{A6E46729-9EEA-463F-A03B-C48FEA828215}"/>
    <cellStyle name="Normal 11 4 2 3 2 2" xfId="40870" xr:uid="{3A1DC8E3-BF9F-4BEE-BBF9-2E55486D641D}"/>
    <cellStyle name="Normal 11 4 2 3 3" xfId="33275" xr:uid="{FC845D5F-21F6-4CF7-9C73-8D42466CEDCD}"/>
    <cellStyle name="Normal 11 4 2 4" xfId="10325" xr:uid="{00000000-0005-0000-0000-0000571D0000}"/>
    <cellStyle name="Normal 11 4 2 4 2" xfId="25908" xr:uid="{A974AE71-26AB-4E5A-BB3C-16FB65250E8B}"/>
    <cellStyle name="Normal 11 4 2 4 2 2" xfId="40871" xr:uid="{59E35D2D-D5ED-48D7-8ECC-140DBB333244}"/>
    <cellStyle name="Normal 11 4 2 4 3" xfId="33276" xr:uid="{DE0DED3A-C016-459E-BC48-C0799ED2C921}"/>
    <cellStyle name="Normal 11 4 2 5" xfId="25903" xr:uid="{A08D8799-0C56-4E5F-A8AF-EAC92568F651}"/>
    <cellStyle name="Normal 11 4 2 5 2" xfId="40866" xr:uid="{93AC1926-9D28-4059-A21B-AAF9CEDC18AC}"/>
    <cellStyle name="Normal 11 4 2 6" xfId="33271" xr:uid="{19C9222B-8363-4E9A-ACF4-A08650E7269D}"/>
    <cellStyle name="Normal 11 4 3" xfId="10326" xr:uid="{00000000-0005-0000-0000-0000581D0000}"/>
    <cellStyle name="Normal 11 4 3 2" xfId="10327" xr:uid="{00000000-0005-0000-0000-0000591D0000}"/>
    <cellStyle name="Normal 11 4 3 2 2" xfId="25910" xr:uid="{87DA554F-53AB-4EE4-85F7-1F8C273F885A}"/>
    <cellStyle name="Normal 11 4 3 2 2 2" xfId="40873" xr:uid="{20FA85F5-80F2-4020-BF35-6E628ECD8F6E}"/>
    <cellStyle name="Normal 11 4 3 2 3" xfId="33278" xr:uid="{C34A135B-7199-4162-B680-AD74D80DBE08}"/>
    <cellStyle name="Normal 11 4 3 3" xfId="10328" xr:uid="{00000000-0005-0000-0000-00005A1D0000}"/>
    <cellStyle name="Normal 11 4 3 3 2" xfId="25911" xr:uid="{DA09F64B-B4CB-4E82-8E93-45A0823EE18D}"/>
    <cellStyle name="Normal 11 4 3 3 2 2" xfId="40874" xr:uid="{38289836-22EC-454D-B048-281B4FE29364}"/>
    <cellStyle name="Normal 11 4 3 3 3" xfId="33279" xr:uid="{ED94519E-455F-4EAB-B5AF-4F7CFC556D8B}"/>
    <cellStyle name="Normal 11 4 3 4" xfId="25909" xr:uid="{B09DEF2B-EE1E-455F-B57F-D69CBA1B792F}"/>
    <cellStyle name="Normal 11 4 3 4 2" xfId="40872" xr:uid="{532CD1E6-F9E9-48F1-A8CD-72277AB8F391}"/>
    <cellStyle name="Normal 11 4 3 5" xfId="33277" xr:uid="{044C5052-C711-459A-A6F3-7C8512BF4FF5}"/>
    <cellStyle name="Normal 11 4 4" xfId="10329" xr:uid="{00000000-0005-0000-0000-00005B1D0000}"/>
    <cellStyle name="Normal 11 4 4 2" xfId="25912" xr:uid="{CDEAC0DE-6971-4030-BADD-79D3F47ADDB1}"/>
    <cellStyle name="Normal 11 4 4 2 2" xfId="40875" xr:uid="{30EF1843-517C-4FF9-85F3-381CD31782F3}"/>
    <cellStyle name="Normal 11 4 4 3" xfId="33280" xr:uid="{D49EB885-9698-47A5-9058-3F97E46F4C70}"/>
    <cellStyle name="Normal 11 4 5" xfId="10330" xr:uid="{00000000-0005-0000-0000-00005C1D0000}"/>
    <cellStyle name="Normal 11 4 5 2" xfId="25913" xr:uid="{537D68FC-662C-4D20-B7A7-14FAF89632AC}"/>
    <cellStyle name="Normal 11 4 5 2 2" xfId="40876" xr:uid="{741A2002-A51B-4BC2-AB41-50339A0431E1}"/>
    <cellStyle name="Normal 11 4 5 3" xfId="33281" xr:uid="{4CB46246-4579-4B77-AD2A-F1BB92194C68}"/>
    <cellStyle name="Normal 11 4 6" xfId="10331" xr:uid="{00000000-0005-0000-0000-00005D1D0000}"/>
    <cellStyle name="Normal 11 4 7" xfId="25902" xr:uid="{B94BE9B1-62D3-4153-BF53-3FC59B780526}"/>
    <cellStyle name="Normal 11 4 7 2" xfId="40865" xr:uid="{0DBE069B-62F7-46F0-B4AE-B64A60B8C4A4}"/>
    <cellStyle name="Normal 11 4 8" xfId="33270" xr:uid="{B29BB3EF-B632-4970-932B-217AF76A4889}"/>
    <cellStyle name="Normal 11 5" xfId="10332" xr:uid="{00000000-0005-0000-0000-00005E1D0000}"/>
    <cellStyle name="Normal 11 5 2" xfId="10333" xr:uid="{00000000-0005-0000-0000-00005F1D0000}"/>
    <cellStyle name="Normal 11 5 2 2" xfId="25914" xr:uid="{C7D2CB51-9FAB-42F7-BC49-326EF0BFCEDF}"/>
    <cellStyle name="Normal 11 5 2 2 2" xfId="40877" xr:uid="{4735DDEC-75BE-450E-992A-4B08DEEEDE29}"/>
    <cellStyle name="Normal 11 5 2 3" xfId="33282" xr:uid="{C66A74F0-107E-4A60-8F73-8F8F3873FA1A}"/>
    <cellStyle name="Normal 11 5 3" xfId="10334" xr:uid="{00000000-0005-0000-0000-0000601D0000}"/>
    <cellStyle name="Normal 11 5 4" xfId="10335" xr:uid="{00000000-0005-0000-0000-0000611D0000}"/>
    <cellStyle name="Normal 11 5 4 2" xfId="25915" xr:uid="{A620EDD3-B687-4397-94DC-F8AAD7ECA895}"/>
    <cellStyle name="Normal 11 5 4 2 2" xfId="40878" xr:uid="{4BFFF857-0EE9-44D5-8A7D-CA92065F6515}"/>
    <cellStyle name="Normal 11 5 4 3" xfId="33283" xr:uid="{4787A7D5-BBA5-4CFE-A223-64B9230426A6}"/>
    <cellStyle name="Normal 11 6" xfId="10336" xr:uid="{00000000-0005-0000-0000-0000621D0000}"/>
    <cellStyle name="Normal 11 6 2" xfId="10337" xr:uid="{00000000-0005-0000-0000-0000631D0000}"/>
    <cellStyle name="Normal 11 6 2 2" xfId="10338" xr:uid="{00000000-0005-0000-0000-0000641D0000}"/>
    <cellStyle name="Normal 11 6 2 2 2" xfId="25918" xr:uid="{0AFF6E04-77A8-4A4B-B433-DFB6B9EC5AEB}"/>
    <cellStyle name="Normal 11 6 2 2 2 2" xfId="40881" xr:uid="{71E892EC-9FFE-4AD5-A772-CBD34EB3B978}"/>
    <cellStyle name="Normal 11 6 2 2 3" xfId="33286" xr:uid="{A61994A4-2C39-4A5B-A889-290712571CF3}"/>
    <cellStyle name="Normal 11 6 2 3" xfId="10339" xr:uid="{00000000-0005-0000-0000-0000651D0000}"/>
    <cellStyle name="Normal 11 6 2 3 2" xfId="25919" xr:uid="{52877E45-AB01-4C20-BEDC-3F15BDDBF67A}"/>
    <cellStyle name="Normal 11 6 2 3 2 2" xfId="40882" xr:uid="{EE70C9C8-1911-4448-B16E-18CB4BE4F6C9}"/>
    <cellStyle name="Normal 11 6 2 3 3" xfId="33287" xr:uid="{5826CA59-8BB3-429D-8A5F-1A5136EE632F}"/>
    <cellStyle name="Normal 11 6 2 4" xfId="25917" xr:uid="{40FCE565-7E67-439A-8C87-8A6D77812A61}"/>
    <cellStyle name="Normal 11 6 2 4 2" xfId="40880" xr:uid="{83B49C8C-F6EF-4661-BAFA-6B2A624E640C}"/>
    <cellStyle name="Normal 11 6 2 5" xfId="33285" xr:uid="{3DC3D6B1-48D4-4979-9BED-BA4815B0FB92}"/>
    <cellStyle name="Normal 11 6 3" xfId="10340" xr:uid="{00000000-0005-0000-0000-0000661D0000}"/>
    <cellStyle name="Normal 11 6 3 2" xfId="25920" xr:uid="{6AFA8498-B30F-4B35-A54F-DBD3DED70F5D}"/>
    <cellStyle name="Normal 11 6 3 2 2" xfId="40883" xr:uid="{299CD64C-1BC0-4B9F-A16A-8E2CC800CF74}"/>
    <cellStyle name="Normal 11 6 3 3" xfId="33288" xr:uid="{7D10505A-7500-4DC1-9F16-9558721CEB62}"/>
    <cellStyle name="Normal 11 6 4" xfId="10341" xr:uid="{00000000-0005-0000-0000-0000671D0000}"/>
    <cellStyle name="Normal 11 6 4 2" xfId="25921" xr:uid="{A632BC23-B270-4D1B-816C-DF752BB8B334}"/>
    <cellStyle name="Normal 11 6 4 2 2" xfId="40884" xr:uid="{0866B29A-815E-4138-8607-0EC26362ACA2}"/>
    <cellStyle name="Normal 11 6 4 3" xfId="33289" xr:uid="{9DF97B60-32EE-436A-B934-B1502E7C1194}"/>
    <cellStyle name="Normal 11 6 5" xfId="25916" xr:uid="{C614600F-48A7-4071-8D15-E8ECD197CAA1}"/>
    <cellStyle name="Normal 11 6 5 2" xfId="40879" xr:uid="{BB88E8C9-D164-45B2-B0A0-953A8660F958}"/>
    <cellStyle name="Normal 11 6 6" xfId="33284" xr:uid="{AB78064D-C896-4031-8E23-042EDB4A8041}"/>
    <cellStyle name="Normal 11 7" xfId="10342" xr:uid="{00000000-0005-0000-0000-0000681D0000}"/>
    <cellStyle name="Normal 11 7 2" xfId="10343" xr:uid="{00000000-0005-0000-0000-0000691D0000}"/>
    <cellStyle name="Normal 11 7 2 2" xfId="10344" xr:uid="{00000000-0005-0000-0000-00006A1D0000}"/>
    <cellStyle name="Normal 11 7 2 2 2" xfId="25924" xr:uid="{871824BA-960C-46C9-95D8-EDD4D31F04F8}"/>
    <cellStyle name="Normal 11 7 2 2 2 2" xfId="40887" xr:uid="{A1690BFD-B2F9-4B3A-BF59-34557E10B345}"/>
    <cellStyle name="Normal 11 7 2 2 3" xfId="33292" xr:uid="{547E555B-16E3-41EC-B5B4-CC2743A96BC5}"/>
    <cellStyle name="Normal 11 7 2 3" xfId="10345" xr:uid="{00000000-0005-0000-0000-00006B1D0000}"/>
    <cellStyle name="Normal 11 7 2 3 2" xfId="25925" xr:uid="{56656AEB-D33C-45B3-AB0E-4C565165F925}"/>
    <cellStyle name="Normal 11 7 2 3 2 2" xfId="40888" xr:uid="{9CE57F25-B728-4ACE-A18D-A452944C7A27}"/>
    <cellStyle name="Normal 11 7 2 3 3" xfId="33293" xr:uid="{771DEA03-8EF4-4E73-B09F-E328C2C62106}"/>
    <cellStyle name="Normal 11 7 2 4" xfId="25923" xr:uid="{756BB50C-542E-4D0B-8FCE-C807E45CB715}"/>
    <cellStyle name="Normal 11 7 2 4 2" xfId="40886" xr:uid="{3D068FD8-FEF4-4AC6-9569-C1D2727B9CCF}"/>
    <cellStyle name="Normal 11 7 2 5" xfId="33291" xr:uid="{F91D3910-B321-455E-BDEB-7C70FA6AD2B0}"/>
    <cellStyle name="Normal 11 7 3" xfId="10346" xr:uid="{00000000-0005-0000-0000-00006C1D0000}"/>
    <cellStyle name="Normal 11 7 3 2" xfId="25926" xr:uid="{BA32A15C-34F4-4B75-8573-9534786C3047}"/>
    <cellStyle name="Normal 11 7 3 2 2" xfId="40889" xr:uid="{40936A03-4E50-4C2A-8048-7D94ADF6AD44}"/>
    <cellStyle name="Normal 11 7 3 3" xfId="33294" xr:uid="{157056C6-B12F-43F0-B3C5-E3BBFF769D2E}"/>
    <cellStyle name="Normal 11 7 4" xfId="10347" xr:uid="{00000000-0005-0000-0000-00006D1D0000}"/>
    <cellStyle name="Normal 11 7 4 2" xfId="25927" xr:uid="{ED00B8BA-B5BA-41E4-A576-CF542EC2EB13}"/>
    <cellStyle name="Normal 11 7 4 2 2" xfId="40890" xr:uid="{E84380C2-F66A-454B-BEF3-B4BA8B5455B5}"/>
    <cellStyle name="Normal 11 7 4 3" xfId="33295" xr:uid="{F92AE15F-71DE-4711-B381-A9B9570F3E29}"/>
    <cellStyle name="Normal 11 7 5" xfId="10348" xr:uid="{00000000-0005-0000-0000-00006E1D0000}"/>
    <cellStyle name="Normal 11 7 6" xfId="25922" xr:uid="{4B9DBC65-29CB-43B8-9406-FB0BAC052EB5}"/>
    <cellStyle name="Normal 11 7 6 2" xfId="40885" xr:uid="{5FB85C26-5B95-495A-8FC2-BF7C442D0383}"/>
    <cellStyle name="Normal 11 7 7" xfId="33290" xr:uid="{F64E8BC7-F8FF-46F8-8EBB-A1B8C9A31417}"/>
    <cellStyle name="Normal 11 8" xfId="10349" xr:uid="{00000000-0005-0000-0000-00006F1D0000}"/>
    <cellStyle name="Normal 11 9" xfId="10350" xr:uid="{00000000-0005-0000-0000-0000701D0000}"/>
    <cellStyle name="Normal 11 9 2" xfId="10351" xr:uid="{00000000-0005-0000-0000-0000711D0000}"/>
    <cellStyle name="Normal 11 9 2 2" xfId="10352" xr:uid="{00000000-0005-0000-0000-0000721D0000}"/>
    <cellStyle name="Normal 11 9 2 2 2" xfId="25929" xr:uid="{80674443-6030-4297-800B-08D08B2E8E8C}"/>
    <cellStyle name="Normal 11 9 2 2 2 2" xfId="40892" xr:uid="{697B97E4-8D9B-4E86-A766-FAC9056FA5B5}"/>
    <cellStyle name="Normal 11 9 2 2 3" xfId="33297" xr:uid="{0CEB0495-50AB-49AF-891E-B511632D301B}"/>
    <cellStyle name="Normal 11 9 3" xfId="10353" xr:uid="{00000000-0005-0000-0000-0000731D0000}"/>
    <cellStyle name="Normal 11 9 3 2" xfId="25930" xr:uid="{2575F653-5B18-4A44-9E77-F182B77A24E9}"/>
    <cellStyle name="Normal 11 9 3 2 2" xfId="40893" xr:uid="{82ADA300-56A0-4369-8439-C3FB142C1057}"/>
    <cellStyle name="Normal 11 9 3 3" xfId="33298" xr:uid="{75A40373-32F3-41BA-9E14-30A9135B0E22}"/>
    <cellStyle name="Normal 11 9 4" xfId="25928" xr:uid="{648FC715-190F-463E-A195-C88FFDB3FB1D}"/>
    <cellStyle name="Normal 11 9 4 2" xfId="40891" xr:uid="{BC519C82-BA8D-465A-9750-3E76FFEB5684}"/>
    <cellStyle name="Normal 11 9 5" xfId="33296" xr:uid="{42E8C572-A79D-46B2-8831-37F2F24E17BF}"/>
    <cellStyle name="Normal 11_App b.3 Unspent_" xfId="598" xr:uid="{00000000-0005-0000-0000-0000EC010000}"/>
    <cellStyle name="Normal 110" xfId="10354" xr:uid="{00000000-0005-0000-0000-0000741D0000}"/>
    <cellStyle name="Normal 110 2" xfId="10355" xr:uid="{00000000-0005-0000-0000-0000751D0000}"/>
    <cellStyle name="Normal 110 2 2" xfId="25932" xr:uid="{8B5F1A11-8CA9-41D8-9C34-571B82A75098}"/>
    <cellStyle name="Normal 110 2 2 2" xfId="40895" xr:uid="{BAC4D344-F228-4F74-ADF9-82D699BB79DB}"/>
    <cellStyle name="Normal 110 2 3" xfId="33300" xr:uid="{E1C4B4DC-3B0B-479F-9FDA-D6704C2AB3D8}"/>
    <cellStyle name="Normal 110 3" xfId="10356" xr:uid="{00000000-0005-0000-0000-0000761D0000}"/>
    <cellStyle name="Normal 110 3 2" xfId="25933" xr:uid="{BA721300-D74A-4B3E-BAA6-70729E3CAEED}"/>
    <cellStyle name="Normal 110 3 2 2" xfId="40896" xr:uid="{0EFC2896-1F50-443A-82F9-C17F4CDB24EB}"/>
    <cellStyle name="Normal 110 3 3" xfId="33301" xr:uid="{8E7EC8C8-F593-4FDB-93E5-11940EB6A262}"/>
    <cellStyle name="Normal 110 4" xfId="25931" xr:uid="{5E473E41-1671-4FFA-9020-3D439D10F381}"/>
    <cellStyle name="Normal 110 4 2" xfId="40894" xr:uid="{FA9169B9-273A-49FE-BD15-1081C370458B}"/>
    <cellStyle name="Normal 110 5" xfId="33299" xr:uid="{342C5278-636A-4DEF-AD6F-C091A6690E65}"/>
    <cellStyle name="Normal 111" xfId="10357" xr:uid="{00000000-0005-0000-0000-0000771D0000}"/>
    <cellStyle name="Normal 111 2" xfId="10358" xr:uid="{00000000-0005-0000-0000-0000781D0000}"/>
    <cellStyle name="Normal 111 2 2" xfId="25934" xr:uid="{59D78E17-1EF0-4902-84DC-30C977D9446E}"/>
    <cellStyle name="Normal 111 2 2 2" xfId="40897" xr:uid="{9B90672A-2768-4188-A898-EEFDB9BB7196}"/>
    <cellStyle name="Normal 111 2 3" xfId="33302" xr:uid="{63EFDBB3-3413-49E5-8AA4-080CB9AB2799}"/>
    <cellStyle name="Normal 112" xfId="599" xr:uid="{00000000-0005-0000-0000-0000ED010000}"/>
    <cellStyle name="Normal 112 2" xfId="10360" xr:uid="{00000000-0005-0000-0000-00007A1D0000}"/>
    <cellStyle name="Normal 112 2 2" xfId="25935" xr:uid="{C440848B-F8B1-4A73-8F8C-CA6213564033}"/>
    <cellStyle name="Normal 112 2 2 2" xfId="40898" xr:uid="{321E8B58-26A8-4ED9-AD5B-A0200D64A8A1}"/>
    <cellStyle name="Normal 112 2 3" xfId="33303" xr:uid="{52DE175F-D7D9-4499-A2D4-9624E49CBC3E}"/>
    <cellStyle name="Normal 112 3" xfId="10359" xr:uid="{00000000-0005-0000-0000-0000791D0000}"/>
    <cellStyle name="Normal 113" xfId="600" xr:uid="{00000000-0005-0000-0000-0000EE010000}"/>
    <cellStyle name="Normal 113 2" xfId="10361" xr:uid="{00000000-0005-0000-0000-00007C1D0000}"/>
    <cellStyle name="Normal 113 2 2" xfId="25936" xr:uid="{8DFC4EA7-FD5D-4A66-AFF8-52B4E746D827}"/>
    <cellStyle name="Normal 113 2 2 2" xfId="40899" xr:uid="{64F5BB4A-F74A-4990-8748-98D3D845F735}"/>
    <cellStyle name="Normal 113 2 3" xfId="33304" xr:uid="{198C17B8-52AB-4E95-9258-5FE10E6A2039}"/>
    <cellStyle name="Normal 114" xfId="601" xr:uid="{00000000-0005-0000-0000-0000EF010000}"/>
    <cellStyle name="Normal 114 2" xfId="10362" xr:uid="{00000000-0005-0000-0000-00007E1D0000}"/>
    <cellStyle name="Normal 114 2 2" xfId="25937" xr:uid="{3BC227DF-B8E2-4889-A645-C2A8C41C9A24}"/>
    <cellStyle name="Normal 114 2 2 2" xfId="40900" xr:uid="{ADF42470-7A5E-406F-B241-0CF1C3C6DBE1}"/>
    <cellStyle name="Normal 114 2 3" xfId="33305" xr:uid="{3B5B52B0-6615-41AD-9A81-4E83FFA5B51F}"/>
    <cellStyle name="Normal 114 3" xfId="10363" xr:uid="{00000000-0005-0000-0000-00007F1D0000}"/>
    <cellStyle name="Normal 114 4" xfId="10364" xr:uid="{00000000-0005-0000-0000-0000801D0000}"/>
    <cellStyle name="Normal 114 4 2" xfId="25938" xr:uid="{67C7D8E2-5320-4D08-AF2C-6E35BE6BBD9A}"/>
    <cellStyle name="Normal 114 4 2 2" xfId="40901" xr:uid="{EDD7D176-E9DD-45BA-911C-0C5646A71311}"/>
    <cellStyle name="Normal 114 4 3" xfId="33306" xr:uid="{3708C607-DB2D-41D3-B6D0-484C7482B998}"/>
    <cellStyle name="Normal 115" xfId="10365" xr:uid="{00000000-0005-0000-0000-0000811D0000}"/>
    <cellStyle name="Normal 115 2" xfId="10366" xr:uid="{00000000-0005-0000-0000-0000821D0000}"/>
    <cellStyle name="Normal 115 2 2" xfId="25939" xr:uid="{D7026E35-AB49-4B25-8F8D-F87A8195E72B}"/>
    <cellStyle name="Normal 115 2 2 2" xfId="40902" xr:uid="{DD7E9F82-C9DD-4D66-9B91-5359F8CA4BFB}"/>
    <cellStyle name="Normal 115 2 3" xfId="33307" xr:uid="{8AF456EF-FA99-40E8-98AD-B5331ED6FC61}"/>
    <cellStyle name="Normal 116" xfId="10367" xr:uid="{00000000-0005-0000-0000-0000831D0000}"/>
    <cellStyle name="Normal 116 2" xfId="10368" xr:uid="{00000000-0005-0000-0000-0000841D0000}"/>
    <cellStyle name="Normal 116 2 2" xfId="25940" xr:uid="{4AD4AE59-A0D2-4140-ABFD-D7911E7DF277}"/>
    <cellStyle name="Normal 116 2 2 2" xfId="40903" xr:uid="{17F42955-A3FF-436A-8A1A-8CDA7F1EC86F}"/>
    <cellStyle name="Normal 116 2 3" xfId="33308" xr:uid="{79AC8BF8-8501-4530-B778-4CB39CE568B9}"/>
    <cellStyle name="Normal 117" xfId="10369" xr:uid="{00000000-0005-0000-0000-0000851D0000}"/>
    <cellStyle name="Normal 117 2" xfId="10370" xr:uid="{00000000-0005-0000-0000-0000861D0000}"/>
    <cellStyle name="Normal 117 2 2" xfId="25941" xr:uid="{987F7EF4-DDF2-4E53-9926-8F50CDB9D6EA}"/>
    <cellStyle name="Normal 117 2 2 2" xfId="40904" xr:uid="{15AE7DC0-E446-47C1-BF14-DC05B171802C}"/>
    <cellStyle name="Normal 117 2 3" xfId="33309" xr:uid="{A08E810D-B20D-48DB-BF97-AC76633D4DAD}"/>
    <cellStyle name="Normal 118" xfId="10371" xr:uid="{00000000-0005-0000-0000-0000871D0000}"/>
    <cellStyle name="Normal 118 2" xfId="10372" xr:uid="{00000000-0005-0000-0000-0000881D0000}"/>
    <cellStyle name="Normal 118 2 2" xfId="25942" xr:uid="{370DE87F-D89E-4AB5-B8DB-B90A07B00025}"/>
    <cellStyle name="Normal 118 2 2 2" xfId="40905" xr:uid="{E7467235-6BCA-4203-8118-7BD3FB22EB89}"/>
    <cellStyle name="Normal 118 2 3" xfId="33310" xr:uid="{3237C84C-3EB0-47F2-B733-66B438E6617D}"/>
    <cellStyle name="Normal 119" xfId="10373" xr:uid="{00000000-0005-0000-0000-0000891D0000}"/>
    <cellStyle name="Normal 119 2" xfId="10374" xr:uid="{00000000-0005-0000-0000-00008A1D0000}"/>
    <cellStyle name="Normal 119 2 2" xfId="25943" xr:uid="{66A96455-806C-4170-8828-6191FB85B5BE}"/>
    <cellStyle name="Normal 119 2 2 2" xfId="40906" xr:uid="{B39F7B99-F7CB-4D5B-9C04-0AE03224FF2C}"/>
    <cellStyle name="Normal 119 2 3" xfId="33311" xr:uid="{61013796-4C75-4C09-8EFB-8EBD7EB34FA5}"/>
    <cellStyle name="Normal 12" xfId="602" xr:uid="{00000000-0005-0000-0000-0000F0010000}"/>
    <cellStyle name="Normal 12 10" xfId="10375" xr:uid="{00000000-0005-0000-0000-00008C1D0000}"/>
    <cellStyle name="Normal 12 10 2" xfId="25944" xr:uid="{E3EF182F-DED4-4EBA-B735-051080E298CF}"/>
    <cellStyle name="Normal 12 10 2 2" xfId="40907" xr:uid="{6CC0FB83-A2A4-4400-AFE1-92E5F8D6BD63}"/>
    <cellStyle name="Normal 12 10 3" xfId="33312" xr:uid="{29A45462-B36A-41C6-BFDB-53119FCF601F}"/>
    <cellStyle name="Normal 12 11" xfId="5392" xr:uid="{00000000-0005-0000-0000-00008B1D0000}"/>
    <cellStyle name="Normal 12 2" xfId="603" xr:uid="{00000000-0005-0000-0000-0000F1010000}"/>
    <cellStyle name="Normal 12 2 2" xfId="10376" xr:uid="{00000000-0005-0000-0000-00008E1D0000}"/>
    <cellStyle name="Normal 12 2 2 2" xfId="10377" xr:uid="{00000000-0005-0000-0000-00008F1D0000}"/>
    <cellStyle name="Normal 12 2 2 3" xfId="10378" xr:uid="{00000000-0005-0000-0000-0000901D0000}"/>
    <cellStyle name="Normal 12 2 3" xfId="10379" xr:uid="{00000000-0005-0000-0000-0000911D0000}"/>
    <cellStyle name="Normal 12 2 4" xfId="10380" xr:uid="{00000000-0005-0000-0000-0000921D0000}"/>
    <cellStyle name="Normal 12 2 5" xfId="10381" xr:uid="{00000000-0005-0000-0000-0000931D0000}"/>
    <cellStyle name="Normal 12 2 5 2" xfId="10382" xr:uid="{00000000-0005-0000-0000-0000941D0000}"/>
    <cellStyle name="Normal 12 2 5 3" xfId="25945" xr:uid="{96E00136-8D40-49A8-84C2-66427D486A98}"/>
    <cellStyle name="Normal 12 2 5 3 2" xfId="40908" xr:uid="{061947D3-DD5B-48AF-A359-A806DF03D4F6}"/>
    <cellStyle name="Normal 12 2 5 4" xfId="33313" xr:uid="{09B2690F-A683-4270-B602-D49A7F810283}"/>
    <cellStyle name="Normal 12 2 6" xfId="10383" xr:uid="{00000000-0005-0000-0000-0000951D0000}"/>
    <cellStyle name="Normal 12 2 6 2" xfId="25946" xr:uid="{2FC5C7F9-14C5-4618-BF48-8B28AA89C50F}"/>
    <cellStyle name="Normal 12 2 6 2 2" xfId="40909" xr:uid="{C8054A6F-B3F1-40C3-8F00-1CAE5F580138}"/>
    <cellStyle name="Normal 12 2 6 3" xfId="33314" xr:uid="{655811B7-0183-49CA-9DF1-EB4F65A4103F}"/>
    <cellStyle name="Normal 12 2 7" xfId="5391" xr:uid="{00000000-0005-0000-0000-00008D1D0000}"/>
    <cellStyle name="Normal 12 3" xfId="604" xr:uid="{00000000-0005-0000-0000-0000F2010000}"/>
    <cellStyle name="Normal 12 3 2" xfId="10385" xr:uid="{00000000-0005-0000-0000-0000971D0000}"/>
    <cellStyle name="Normal 12 3 3" xfId="10386" xr:uid="{00000000-0005-0000-0000-0000981D0000}"/>
    <cellStyle name="Normal 12 3 4" xfId="10384" xr:uid="{00000000-0005-0000-0000-0000961D0000}"/>
    <cellStyle name="Normal 12 4" xfId="10387" xr:uid="{00000000-0005-0000-0000-0000991D0000}"/>
    <cellStyle name="Normal 12 5" xfId="10388" xr:uid="{00000000-0005-0000-0000-00009A1D0000}"/>
    <cellStyle name="Normal 12 5 2" xfId="10389" xr:uid="{00000000-0005-0000-0000-00009B1D0000}"/>
    <cellStyle name="Normal 12 5 3" xfId="10390" xr:uid="{00000000-0005-0000-0000-00009C1D0000}"/>
    <cellStyle name="Normal 12 6" xfId="10391" xr:uid="{00000000-0005-0000-0000-00009D1D0000}"/>
    <cellStyle name="Normal 12 6 2" xfId="10392" xr:uid="{00000000-0005-0000-0000-00009E1D0000}"/>
    <cellStyle name="Normal 12 6 2 2" xfId="10393" xr:uid="{00000000-0005-0000-0000-00009F1D0000}"/>
    <cellStyle name="Normal 12 6 2 2 2" xfId="25949" xr:uid="{BE425FC3-4E52-4366-A265-C1BAA20A1720}"/>
    <cellStyle name="Normal 12 6 2 2 2 2" xfId="40912" xr:uid="{8D70D39A-01C4-46EA-8CA0-3BA76EEFFBC3}"/>
    <cellStyle name="Normal 12 6 2 2 3" xfId="33317" xr:uid="{215EE004-F8DA-44A5-A33F-53C66782B725}"/>
    <cellStyle name="Normal 12 6 2 3" xfId="10394" xr:uid="{00000000-0005-0000-0000-0000A01D0000}"/>
    <cellStyle name="Normal 12 6 2 3 2" xfId="25950" xr:uid="{A1F1F3E9-6E9C-4C6D-A2D0-6FA5EE36F3A9}"/>
    <cellStyle name="Normal 12 6 2 3 2 2" xfId="40913" xr:uid="{3E798BE2-2BCE-4908-9080-3BDBE8A4D2B1}"/>
    <cellStyle name="Normal 12 6 2 3 3" xfId="33318" xr:uid="{E03BC133-1602-4B7A-8D2C-B4B6B8BC0E95}"/>
    <cellStyle name="Normal 12 6 2 4" xfId="25948" xr:uid="{C092BA3B-5F91-40BD-BF7B-F20529DC4D6E}"/>
    <cellStyle name="Normal 12 6 2 4 2" xfId="40911" xr:uid="{BABC5774-81A7-4DF3-93E2-C208BC11792A}"/>
    <cellStyle name="Normal 12 6 2 5" xfId="33316" xr:uid="{6A34CCF2-EC30-433D-9095-719A3439EFE7}"/>
    <cellStyle name="Normal 12 6 3" xfId="10395" xr:uid="{00000000-0005-0000-0000-0000A11D0000}"/>
    <cellStyle name="Normal 12 6 3 2" xfId="25951" xr:uid="{795D1F4B-ABAC-46F2-8885-1595848951AE}"/>
    <cellStyle name="Normal 12 6 3 2 2" xfId="40914" xr:uid="{026D5930-AF03-475A-8D00-C92019DB5647}"/>
    <cellStyle name="Normal 12 6 3 3" xfId="33319" xr:uid="{D61E4917-E6FD-4CEF-9BD4-566559EB1666}"/>
    <cellStyle name="Normal 12 6 4" xfId="10396" xr:uid="{00000000-0005-0000-0000-0000A21D0000}"/>
    <cellStyle name="Normal 12 6 4 2" xfId="25952" xr:uid="{E2810A61-2922-4643-8559-8FD1AC0ECA66}"/>
    <cellStyle name="Normal 12 6 4 2 2" xfId="40915" xr:uid="{98C99855-2C9D-401B-8BF3-CE68ADC0131A}"/>
    <cellStyle name="Normal 12 6 4 3" xfId="33320" xr:uid="{39761B6C-582A-4754-AD3E-6FE3F7403793}"/>
    <cellStyle name="Normal 12 6 5" xfId="25947" xr:uid="{5BC01BFF-6579-410B-B065-DC6B49DC7FF1}"/>
    <cellStyle name="Normal 12 6 5 2" xfId="40910" xr:uid="{661B18F5-D1A8-4AB0-B807-48D4B7F1A624}"/>
    <cellStyle name="Normal 12 6 6" xfId="33315" xr:uid="{880CB63F-1D9C-47B6-B322-1DA5FEE42F00}"/>
    <cellStyle name="Normal 12 7" xfId="10397" xr:uid="{00000000-0005-0000-0000-0000A31D0000}"/>
    <cellStyle name="Normal 12 7 2" xfId="10398" xr:uid="{00000000-0005-0000-0000-0000A41D0000}"/>
    <cellStyle name="Normal 12 7 3" xfId="10399" xr:uid="{00000000-0005-0000-0000-0000A51D0000}"/>
    <cellStyle name="Normal 12 7 3 2" xfId="25953" xr:uid="{B041DB1A-B6CF-4A0F-B12F-9DA5A7795426}"/>
    <cellStyle name="Normal 12 7 3 2 2" xfId="40916" xr:uid="{100F6ED7-BF24-47A3-87BE-ED15126DDCD0}"/>
    <cellStyle name="Normal 12 7 3 3" xfId="33321" xr:uid="{F0A91C97-C2D8-46CC-B18C-110044BF926C}"/>
    <cellStyle name="Normal 12 8" xfId="10400" xr:uid="{00000000-0005-0000-0000-0000A61D0000}"/>
    <cellStyle name="Normal 12 8 2" xfId="10401" xr:uid="{00000000-0005-0000-0000-0000A71D0000}"/>
    <cellStyle name="Normal 12 8 2 2" xfId="10402" xr:uid="{00000000-0005-0000-0000-0000A81D0000}"/>
    <cellStyle name="Normal 12 8 2 2 2" xfId="25955" xr:uid="{DC244AC0-AB5B-40EA-8E16-132762A084A4}"/>
    <cellStyle name="Normal 12 8 2 2 2 2" xfId="40918" xr:uid="{1E820054-69BA-4F7F-A168-F1FEFA50EFCF}"/>
    <cellStyle name="Normal 12 8 2 2 3" xfId="33323" xr:uid="{BA061B16-592B-49DF-8403-D502149C1987}"/>
    <cellStyle name="Normal 12 8 3" xfId="10403" xr:uid="{00000000-0005-0000-0000-0000A91D0000}"/>
    <cellStyle name="Normal 12 8 3 2" xfId="25956" xr:uid="{CB9E32FC-9DEF-400E-AC9B-056423E4F196}"/>
    <cellStyle name="Normal 12 8 3 2 2" xfId="40919" xr:uid="{E6B78F72-2127-44B5-A66D-94B1B2411616}"/>
    <cellStyle name="Normal 12 8 3 3" xfId="33324" xr:uid="{E7B8517B-0D07-4BB1-93AC-C6F2B1662F91}"/>
    <cellStyle name="Normal 12 8 4" xfId="25954" xr:uid="{CD8606BB-71C6-460F-9933-543FED819CAA}"/>
    <cellStyle name="Normal 12 8 4 2" xfId="40917" xr:uid="{6B36E45B-950D-4E67-ACA8-F68E70C35849}"/>
    <cellStyle name="Normal 12 8 5" xfId="33322" xr:uid="{B55DA3BD-9720-44AD-B68E-93A74860D47F}"/>
    <cellStyle name="Normal 12 9" xfId="10404" xr:uid="{00000000-0005-0000-0000-0000AA1D0000}"/>
    <cellStyle name="Normal 12_2010 - 2012 CEE Analysis - 2012 Budget DRAFT 11.1.11" xfId="605" xr:uid="{00000000-0005-0000-0000-0000F3010000}"/>
    <cellStyle name="Normal 120" xfId="10405" xr:uid="{00000000-0005-0000-0000-0000AC1D0000}"/>
    <cellStyle name="Normal 120 2" xfId="10406" xr:uid="{00000000-0005-0000-0000-0000AD1D0000}"/>
    <cellStyle name="Normal 120 2 2" xfId="25957" xr:uid="{A506CC25-D5FA-40E3-A392-5600A80DD501}"/>
    <cellStyle name="Normal 120 2 2 2" xfId="40920" xr:uid="{54ED1FFE-577F-478F-B0CF-00CE885C3685}"/>
    <cellStyle name="Normal 120 2 3" xfId="33325" xr:uid="{522EBEAE-F8DB-4C0E-A9C2-3D5BE73BE0C9}"/>
    <cellStyle name="Normal 121" xfId="10407" xr:uid="{00000000-0005-0000-0000-0000AE1D0000}"/>
    <cellStyle name="Normal 121 2" xfId="10408" xr:uid="{00000000-0005-0000-0000-0000AF1D0000}"/>
    <cellStyle name="Normal 121 2 2" xfId="25958" xr:uid="{E9690F59-58AD-4727-8530-D6784C6DA096}"/>
    <cellStyle name="Normal 121 2 2 2" xfId="40921" xr:uid="{948CB165-1564-4AF9-9826-E279156CE3CB}"/>
    <cellStyle name="Normal 121 2 3" xfId="33326" xr:uid="{5992C816-9FBF-4694-95E8-D7FBF71543E4}"/>
    <cellStyle name="Normal 122" xfId="10409" xr:uid="{00000000-0005-0000-0000-0000B01D0000}"/>
    <cellStyle name="Normal 122 2" xfId="10410" xr:uid="{00000000-0005-0000-0000-0000B11D0000}"/>
    <cellStyle name="Normal 122 2 2" xfId="25959" xr:uid="{F1A2D6A9-FF4F-49CB-BFFC-E7B21AA4611B}"/>
    <cellStyle name="Normal 122 2 2 2" xfId="40922" xr:uid="{74709F7A-BDA1-4A24-9FE9-F04246578307}"/>
    <cellStyle name="Normal 122 2 3" xfId="33327" xr:uid="{2FD921D6-07B8-4071-BE91-50F81F033180}"/>
    <cellStyle name="Normal 123" xfId="10411" xr:uid="{00000000-0005-0000-0000-0000B21D0000}"/>
    <cellStyle name="Normal 123 2" xfId="10412" xr:uid="{00000000-0005-0000-0000-0000B31D0000}"/>
    <cellStyle name="Normal 123 2 2" xfId="25960" xr:uid="{FC5BFDAD-B0EC-49EE-8E9C-1FD40D89D743}"/>
    <cellStyle name="Normal 123 2 2 2" xfId="40923" xr:uid="{4DCCC2A4-60BE-4B25-A058-C2F262AFE0E5}"/>
    <cellStyle name="Normal 123 2 3" xfId="33328" xr:uid="{D7FC0F13-BFE3-43AA-946E-B945587110F5}"/>
    <cellStyle name="Normal 124" xfId="10413" xr:uid="{00000000-0005-0000-0000-0000B41D0000}"/>
    <cellStyle name="Normal 124 2" xfId="10414" xr:uid="{00000000-0005-0000-0000-0000B51D0000}"/>
    <cellStyle name="Normal 124 2 2" xfId="25961" xr:uid="{DBBBA336-19E9-420A-AE62-ABD39C9CFEF0}"/>
    <cellStyle name="Normal 124 2 2 2" xfId="40924" xr:uid="{70219C99-78CC-4E40-889B-914A42F1A3AB}"/>
    <cellStyle name="Normal 124 2 3" xfId="33329" xr:uid="{A27BCD76-9FD8-4623-A243-E892ECD07D67}"/>
    <cellStyle name="Normal 125" xfId="10415" xr:uid="{00000000-0005-0000-0000-0000B61D0000}"/>
    <cellStyle name="Normal 125 2" xfId="10416" xr:uid="{00000000-0005-0000-0000-0000B71D0000}"/>
    <cellStyle name="Normal 125 2 2" xfId="25962" xr:uid="{2BC987DB-38DC-41E3-BDAA-0AD496E345B6}"/>
    <cellStyle name="Normal 125 2 2 2" xfId="40925" xr:uid="{2D048A5E-967D-4166-ABE7-AF6500A6676A}"/>
    <cellStyle name="Normal 125 2 3" xfId="33330" xr:uid="{66414A11-108D-476C-9FE1-760ECDFDB1FF}"/>
    <cellStyle name="Normal 126" xfId="10417" xr:uid="{00000000-0005-0000-0000-0000B81D0000}"/>
    <cellStyle name="Normal 126 2" xfId="10418" xr:uid="{00000000-0005-0000-0000-0000B91D0000}"/>
    <cellStyle name="Normal 126 2 2" xfId="25963" xr:uid="{59742C1F-631F-446E-A2C2-559D3D3AC5E7}"/>
    <cellStyle name="Normal 126 2 2 2" xfId="40926" xr:uid="{ECF8AFB5-33C5-42F1-BF89-DB2CA9256E6E}"/>
    <cellStyle name="Normal 126 2 3" xfId="33331" xr:uid="{90181274-81C7-4681-A635-963E29ACD37B}"/>
    <cellStyle name="Normal 127" xfId="10419" xr:uid="{00000000-0005-0000-0000-0000BA1D0000}"/>
    <cellStyle name="Normal 127 2" xfId="10420" xr:uid="{00000000-0005-0000-0000-0000BB1D0000}"/>
    <cellStyle name="Normal 127 2 2" xfId="25964" xr:uid="{1DB1D109-ACA2-489E-996A-E53E0D0F7FAE}"/>
    <cellStyle name="Normal 127 2 2 2" xfId="40927" xr:uid="{38F38C0E-4CC0-4904-B632-04722940A30A}"/>
    <cellStyle name="Normal 127 2 3" xfId="33332" xr:uid="{8A37C61F-F2FE-4D48-9077-CBEE8A09F441}"/>
    <cellStyle name="Normal 128" xfId="10421" xr:uid="{00000000-0005-0000-0000-0000BC1D0000}"/>
    <cellStyle name="Normal 128 2" xfId="10422" xr:uid="{00000000-0005-0000-0000-0000BD1D0000}"/>
    <cellStyle name="Normal 128 2 2" xfId="25965" xr:uid="{BE6AA30B-D940-4783-A529-5FEFF4798CF4}"/>
    <cellStyle name="Normal 128 2 2 2" xfId="40928" xr:uid="{14781406-8B2E-400B-85B8-844E5655FE8E}"/>
    <cellStyle name="Normal 128 2 3" xfId="33333" xr:uid="{867A6DB1-A21F-438A-8803-99A84D913AFE}"/>
    <cellStyle name="Normal 129" xfId="10423" xr:uid="{00000000-0005-0000-0000-0000BE1D0000}"/>
    <cellStyle name="Normal 129 2" xfId="10424" xr:uid="{00000000-0005-0000-0000-0000BF1D0000}"/>
    <cellStyle name="Normal 129 2 2" xfId="25966" xr:uid="{CDF8ABBC-CE20-4CD6-86A2-2E2153293F72}"/>
    <cellStyle name="Normal 129 2 2 2" xfId="40929" xr:uid="{739F4FF8-7947-49CD-B082-855AD5FEF00C}"/>
    <cellStyle name="Normal 129 2 3" xfId="33334" xr:uid="{D1AF80EF-5F09-4CF0-8B04-A0B6A1C503E2}"/>
    <cellStyle name="Normal 13" xfId="606" xr:uid="{00000000-0005-0000-0000-0000F4010000}"/>
    <cellStyle name="Normal 13 10" xfId="10425" xr:uid="{00000000-0005-0000-0000-0000C11D0000}"/>
    <cellStyle name="Normal 13 11" xfId="10426" xr:uid="{00000000-0005-0000-0000-0000C21D0000}"/>
    <cellStyle name="Normal 13 12" xfId="5390" xr:uid="{00000000-0005-0000-0000-0000C01D0000}"/>
    <cellStyle name="Normal 13 2" xfId="5607" xr:uid="{00000000-0005-0000-0000-0000C31D0000}"/>
    <cellStyle name="Normal 13 2 2" xfId="10427" xr:uid="{00000000-0005-0000-0000-0000C41D0000}"/>
    <cellStyle name="Normal 13 2 2 2" xfId="10428" xr:uid="{00000000-0005-0000-0000-0000C51D0000}"/>
    <cellStyle name="Normal 13 2 2 2 2" xfId="10429" xr:uid="{00000000-0005-0000-0000-0000C61D0000}"/>
    <cellStyle name="Normal 13 2 2 2 2 2" xfId="10430" xr:uid="{00000000-0005-0000-0000-0000C71D0000}"/>
    <cellStyle name="Normal 13 2 2 2 2 2 2" xfId="25970" xr:uid="{F83FF931-FED0-4A56-A22A-70A2CC55316F}"/>
    <cellStyle name="Normal 13 2 2 2 2 2 2 2" xfId="40933" xr:uid="{E847970A-D7CD-4D69-9BBE-E93496B52FAF}"/>
    <cellStyle name="Normal 13 2 2 2 2 2 3" xfId="33338" xr:uid="{A527E8DB-5D58-455B-8EE3-53C3E980ED6C}"/>
    <cellStyle name="Normal 13 2 2 2 2 3" xfId="10431" xr:uid="{00000000-0005-0000-0000-0000C81D0000}"/>
    <cellStyle name="Normal 13 2 2 2 2 3 2" xfId="25971" xr:uid="{89C7808A-0693-4905-8E62-5A527D34F4AB}"/>
    <cellStyle name="Normal 13 2 2 2 2 3 2 2" xfId="40934" xr:uid="{E7382BDC-93D2-43DD-AB19-8575A1039780}"/>
    <cellStyle name="Normal 13 2 2 2 2 3 3" xfId="33339" xr:uid="{C6F90578-CF03-4F9A-AB80-2F3CEA78F3B6}"/>
    <cellStyle name="Normal 13 2 2 2 2 4" xfId="25969" xr:uid="{A1901ACA-12C4-487E-B55F-5E7DD6BCD91C}"/>
    <cellStyle name="Normal 13 2 2 2 2 4 2" xfId="40932" xr:uid="{F2FD3884-741D-432D-967C-4FB41FDB4D5A}"/>
    <cellStyle name="Normal 13 2 2 2 2 5" xfId="33337" xr:uid="{1434B249-D744-4FCF-AE7A-407B73C89993}"/>
    <cellStyle name="Normal 13 2 2 2 3" xfId="10432" xr:uid="{00000000-0005-0000-0000-0000C91D0000}"/>
    <cellStyle name="Normal 13 2 2 2 3 2" xfId="25972" xr:uid="{D77EAB2E-5121-450B-BB31-673DCF017F2F}"/>
    <cellStyle name="Normal 13 2 2 2 3 2 2" xfId="40935" xr:uid="{444D999E-1A25-4B4C-A631-EC0CE7EA1EA5}"/>
    <cellStyle name="Normal 13 2 2 2 3 3" xfId="33340" xr:uid="{5EBE4EFC-C1D8-4ECE-8CDC-6B0044853C24}"/>
    <cellStyle name="Normal 13 2 2 2 4" xfId="10433" xr:uid="{00000000-0005-0000-0000-0000CA1D0000}"/>
    <cellStyle name="Normal 13 2 2 2 4 2" xfId="25973" xr:uid="{42A858D6-3996-4C57-A32C-F26FBCCE1C10}"/>
    <cellStyle name="Normal 13 2 2 2 4 2 2" xfId="40936" xr:uid="{3D723DBF-5083-45CB-9350-585C338D2407}"/>
    <cellStyle name="Normal 13 2 2 2 4 3" xfId="33341" xr:uid="{5CCA5526-651D-4CDC-BB3D-C7F96D510DB7}"/>
    <cellStyle name="Normal 13 2 2 2 5" xfId="25968" xr:uid="{3A64522B-63FE-4425-9757-3209D8595D22}"/>
    <cellStyle name="Normal 13 2 2 2 5 2" xfId="40931" xr:uid="{CFEFE9B3-513A-47FD-9B56-701C1D19A9E0}"/>
    <cellStyle name="Normal 13 2 2 2 6" xfId="33336" xr:uid="{8516EA3C-C3EE-4E27-950F-6BF15060D231}"/>
    <cellStyle name="Normal 13 2 2 3" xfId="10434" xr:uid="{00000000-0005-0000-0000-0000CB1D0000}"/>
    <cellStyle name="Normal 13 2 2 3 2" xfId="10435" xr:uid="{00000000-0005-0000-0000-0000CC1D0000}"/>
    <cellStyle name="Normal 13 2 2 3 2 2" xfId="25975" xr:uid="{E9D268D2-C28D-4451-B2ED-E84E18E68F20}"/>
    <cellStyle name="Normal 13 2 2 3 2 2 2" xfId="40938" xr:uid="{C494CBAE-48C0-4EBD-8666-DD517FDE8E50}"/>
    <cellStyle name="Normal 13 2 2 3 2 3" xfId="33343" xr:uid="{D519BF1D-0361-4A6B-B19E-60A3A134EF07}"/>
    <cellStyle name="Normal 13 2 2 3 3" xfId="10436" xr:uid="{00000000-0005-0000-0000-0000CD1D0000}"/>
    <cellStyle name="Normal 13 2 2 3 3 2" xfId="25976" xr:uid="{9A37FA46-C538-4AAA-BCAF-217BEF57F334}"/>
    <cellStyle name="Normal 13 2 2 3 3 2 2" xfId="40939" xr:uid="{36DC0406-01D5-4E48-8D64-57E205857059}"/>
    <cellStyle name="Normal 13 2 2 3 3 3" xfId="33344" xr:uid="{5A2A8B4F-D0E4-443F-8277-FA571C41AF7B}"/>
    <cellStyle name="Normal 13 2 2 3 4" xfId="25974" xr:uid="{D0E1948D-B3BA-42FF-8788-5A2235F9704A}"/>
    <cellStyle name="Normal 13 2 2 3 4 2" xfId="40937" xr:uid="{B6FBB4EF-B2E9-4C95-B2B6-74C1B000D5F8}"/>
    <cellStyle name="Normal 13 2 2 3 5" xfId="33342" xr:uid="{0980486A-0651-4372-9FC0-A56FE12D9B97}"/>
    <cellStyle name="Normal 13 2 2 4" xfId="10437" xr:uid="{00000000-0005-0000-0000-0000CE1D0000}"/>
    <cellStyle name="Normal 13 2 2 4 2" xfId="25977" xr:uid="{6EC25D0A-BC36-43EF-B598-E452427F1D21}"/>
    <cellStyle name="Normal 13 2 2 4 2 2" xfId="40940" xr:uid="{2406DF90-D445-4E11-BDBD-C785D7AB2717}"/>
    <cellStyle name="Normal 13 2 2 4 3" xfId="33345" xr:uid="{81EADD08-FBCD-4289-9781-A8A56F09F32A}"/>
    <cellStyle name="Normal 13 2 2 5" xfId="10438" xr:uid="{00000000-0005-0000-0000-0000CF1D0000}"/>
    <cellStyle name="Normal 13 2 2 5 2" xfId="25978" xr:uid="{00587684-B4D0-437A-BA7B-18F801093B12}"/>
    <cellStyle name="Normal 13 2 2 5 2 2" xfId="40941" xr:uid="{4764665C-8C8D-45EC-B4F0-847A29D435E0}"/>
    <cellStyle name="Normal 13 2 2 5 3" xfId="33346" xr:uid="{ED8A2436-6D8B-4BE0-93F7-991A4215AA7E}"/>
    <cellStyle name="Normal 13 2 2 6" xfId="10439" xr:uid="{00000000-0005-0000-0000-0000D01D0000}"/>
    <cellStyle name="Normal 13 2 2 7" xfId="25967" xr:uid="{F1F85C92-5934-4CD7-A82B-5FCBBFC4348D}"/>
    <cellStyle name="Normal 13 2 2 7 2" xfId="40930" xr:uid="{4CF92434-8E76-4EE0-957B-02D8BEDE49CA}"/>
    <cellStyle name="Normal 13 2 2 8" xfId="33335" xr:uid="{554D2B4E-89E7-4D14-A91A-F9B8434B6C77}"/>
    <cellStyle name="Normal 13 2 3" xfId="10440" xr:uid="{00000000-0005-0000-0000-0000D11D0000}"/>
    <cellStyle name="Normal 13 2 3 2" xfId="10441" xr:uid="{00000000-0005-0000-0000-0000D21D0000}"/>
    <cellStyle name="Normal 13 2 3 2 2" xfId="10442" xr:uid="{00000000-0005-0000-0000-0000D31D0000}"/>
    <cellStyle name="Normal 13 2 3 2 2 2" xfId="25981" xr:uid="{7E31861A-0D2B-4370-9463-886836C3CF7A}"/>
    <cellStyle name="Normal 13 2 3 2 2 2 2" xfId="40944" xr:uid="{AC5D20E5-E308-4B62-A66A-6D758ABA0BD6}"/>
    <cellStyle name="Normal 13 2 3 2 2 3" xfId="33349" xr:uid="{85968D31-80FE-4B02-A5EF-9B2E06C7506D}"/>
    <cellStyle name="Normal 13 2 3 2 3" xfId="10443" xr:uid="{00000000-0005-0000-0000-0000D41D0000}"/>
    <cellStyle name="Normal 13 2 3 2 3 2" xfId="25982" xr:uid="{48A2B7BE-43FB-4535-A424-766B74651BCB}"/>
    <cellStyle name="Normal 13 2 3 2 3 2 2" xfId="40945" xr:uid="{4ACDE945-BF53-45F9-9A8C-FFD6C36FD8BC}"/>
    <cellStyle name="Normal 13 2 3 2 3 3" xfId="33350" xr:uid="{315C6099-6BEC-4345-B468-3323535A162D}"/>
    <cellStyle name="Normal 13 2 3 2 4" xfId="25980" xr:uid="{1716EB53-8882-4A79-B001-9CC8CD335547}"/>
    <cellStyle name="Normal 13 2 3 2 4 2" xfId="40943" xr:uid="{614C1270-C1A8-4F81-BB06-4B55D9A76D8F}"/>
    <cellStyle name="Normal 13 2 3 2 5" xfId="33348" xr:uid="{16B1156F-7AF3-4059-A470-3FD6386EA48D}"/>
    <cellStyle name="Normal 13 2 3 3" xfId="10444" xr:uid="{00000000-0005-0000-0000-0000D51D0000}"/>
    <cellStyle name="Normal 13 2 3 3 2" xfId="25983" xr:uid="{D2EAF6E6-5698-4BF5-965F-E8783019D6C4}"/>
    <cellStyle name="Normal 13 2 3 3 2 2" xfId="40946" xr:uid="{70D808F0-B3B3-44A5-9CD0-23BBFD57E282}"/>
    <cellStyle name="Normal 13 2 3 3 3" xfId="33351" xr:uid="{3BA749AB-AD3D-4F81-8644-6A048CE95EFC}"/>
    <cellStyle name="Normal 13 2 3 4" xfId="10445" xr:uid="{00000000-0005-0000-0000-0000D61D0000}"/>
    <cellStyle name="Normal 13 2 3 4 2" xfId="25984" xr:uid="{361DDFFC-66CA-4F8D-B94B-B37159957B8F}"/>
    <cellStyle name="Normal 13 2 3 4 2 2" xfId="40947" xr:uid="{D2D82478-F228-43DA-B077-BEACEC635E7A}"/>
    <cellStyle name="Normal 13 2 3 4 3" xfId="33352" xr:uid="{75BA1703-4B65-4CAB-A6B7-07638D87929C}"/>
    <cellStyle name="Normal 13 2 3 5" xfId="25979" xr:uid="{947AF140-AFF2-4967-9978-8A58FD16480D}"/>
    <cellStyle name="Normal 13 2 3 5 2" xfId="40942" xr:uid="{81A4A093-D86C-4B3D-86A1-A924523E4C3B}"/>
    <cellStyle name="Normal 13 2 3 6" xfId="33347" xr:uid="{DCEEBBAB-9D23-4D99-9B40-F7CEFBE8B8D9}"/>
    <cellStyle name="Normal 13 2 4" xfId="10446" xr:uid="{00000000-0005-0000-0000-0000D71D0000}"/>
    <cellStyle name="Normal 13 2 5" xfId="10447" xr:uid="{00000000-0005-0000-0000-0000D81D0000}"/>
    <cellStyle name="Normal 13 2 5 2" xfId="10448" xr:uid="{00000000-0005-0000-0000-0000D91D0000}"/>
    <cellStyle name="Normal 13 2 5 3" xfId="25985" xr:uid="{FDAB56C2-9AEC-4A72-968D-19CBAF217538}"/>
    <cellStyle name="Normal 13 2 5 3 2" xfId="40948" xr:uid="{4D3902D2-F084-459F-BB58-B0312B778280}"/>
    <cellStyle name="Normal 13 2 5 4" xfId="33353" xr:uid="{5EAC106F-E5D0-420F-ACDA-67D1BFADF19B}"/>
    <cellStyle name="Normal 13 2 6" xfId="10449" xr:uid="{00000000-0005-0000-0000-0000DA1D0000}"/>
    <cellStyle name="Normal 13 2 6 2" xfId="25986" xr:uid="{007C027E-E752-422B-9137-E8E44D921678}"/>
    <cellStyle name="Normal 13 2 6 2 2" xfId="40949" xr:uid="{9A1788D0-34CB-4FCD-AD87-A4E7DE64EB23}"/>
    <cellStyle name="Normal 13 2 6 3" xfId="33354" xr:uid="{D8C25AAA-85A6-4D60-BD13-3D9033C8DB2A}"/>
    <cellStyle name="Normal 13 3" xfId="10450" xr:uid="{00000000-0005-0000-0000-0000DB1D0000}"/>
    <cellStyle name="Normal 13 3 2" xfId="10451" xr:uid="{00000000-0005-0000-0000-0000DC1D0000}"/>
    <cellStyle name="Normal 13 3 3" xfId="10452" xr:uid="{00000000-0005-0000-0000-0000DD1D0000}"/>
    <cellStyle name="Normal 13 4" xfId="10453" xr:uid="{00000000-0005-0000-0000-0000DE1D0000}"/>
    <cellStyle name="Normal 13 4 2" xfId="10454" xr:uid="{00000000-0005-0000-0000-0000DF1D0000}"/>
    <cellStyle name="Normal 13 4 2 2" xfId="10455" xr:uid="{00000000-0005-0000-0000-0000E01D0000}"/>
    <cellStyle name="Normal 13 4 2 2 2" xfId="10456" xr:uid="{00000000-0005-0000-0000-0000E11D0000}"/>
    <cellStyle name="Normal 13 4 2 2 2 2" xfId="25990" xr:uid="{473C4E63-FA2C-4ACD-A4FC-24935980414B}"/>
    <cellStyle name="Normal 13 4 2 2 2 2 2" xfId="40953" xr:uid="{502B8627-2ABD-4353-A665-56E7F29E88DB}"/>
    <cellStyle name="Normal 13 4 2 2 2 3" xfId="33358" xr:uid="{8ED0FF48-F3A9-48B0-A876-60A968AF32A4}"/>
    <cellStyle name="Normal 13 4 2 2 3" xfId="10457" xr:uid="{00000000-0005-0000-0000-0000E21D0000}"/>
    <cellStyle name="Normal 13 4 2 2 3 2" xfId="25991" xr:uid="{799FF848-032A-425F-A718-4C74033B2B52}"/>
    <cellStyle name="Normal 13 4 2 2 3 2 2" xfId="40954" xr:uid="{00DF96D2-D11C-4BD2-96F6-60BF35A04387}"/>
    <cellStyle name="Normal 13 4 2 2 3 3" xfId="33359" xr:uid="{B892F3FA-5B9B-4974-B2BF-10B10087D8DA}"/>
    <cellStyle name="Normal 13 4 2 2 4" xfId="25989" xr:uid="{BE7588A7-DAA9-4149-BAC2-1A07A87C7D0A}"/>
    <cellStyle name="Normal 13 4 2 2 4 2" xfId="40952" xr:uid="{3B9AC930-A894-41C0-8F1E-3CAAAA0623A4}"/>
    <cellStyle name="Normal 13 4 2 2 5" xfId="33357" xr:uid="{185779A2-89E7-4665-A2A2-ECE35BC98EEE}"/>
    <cellStyle name="Normal 13 4 2 3" xfId="10458" xr:uid="{00000000-0005-0000-0000-0000E31D0000}"/>
    <cellStyle name="Normal 13 4 2 3 2" xfId="25992" xr:uid="{B3AEDA49-536A-43CE-A12F-8A5587E33AE2}"/>
    <cellStyle name="Normal 13 4 2 3 2 2" xfId="40955" xr:uid="{C4579684-608F-4B8D-9FEB-51EBD6F9D9DB}"/>
    <cellStyle name="Normal 13 4 2 3 3" xfId="33360" xr:uid="{3462DFB0-F6F0-420E-9EE5-8F6B4F18C4AD}"/>
    <cellStyle name="Normal 13 4 2 4" xfId="10459" xr:uid="{00000000-0005-0000-0000-0000E41D0000}"/>
    <cellStyle name="Normal 13 4 2 4 2" xfId="25993" xr:uid="{D96376AD-64CE-480B-8306-9A543C24F279}"/>
    <cellStyle name="Normal 13 4 2 4 2 2" xfId="40956" xr:uid="{6A28E32B-E89F-4006-829D-898D10F48881}"/>
    <cellStyle name="Normal 13 4 2 4 3" xfId="33361" xr:uid="{7143D5B1-2C25-4080-B5EC-9F99384CAAEE}"/>
    <cellStyle name="Normal 13 4 2 5" xfId="25988" xr:uid="{DCCF75BA-4AF3-47D3-8F36-E86CDE68ACC7}"/>
    <cellStyle name="Normal 13 4 2 5 2" xfId="40951" xr:uid="{1A623FFC-CF8B-4479-A19C-BFC28F7A9CD3}"/>
    <cellStyle name="Normal 13 4 2 6" xfId="33356" xr:uid="{62BD7793-95A5-4618-9A8F-FD9AC106A3C8}"/>
    <cellStyle name="Normal 13 4 3" xfId="10460" xr:uid="{00000000-0005-0000-0000-0000E51D0000}"/>
    <cellStyle name="Normal 13 4 3 2" xfId="10461" xr:uid="{00000000-0005-0000-0000-0000E61D0000}"/>
    <cellStyle name="Normal 13 4 3 2 2" xfId="25995" xr:uid="{D20DB48A-0785-4FE5-82D1-5A45054717AC}"/>
    <cellStyle name="Normal 13 4 3 2 2 2" xfId="40958" xr:uid="{81B31975-2BB3-4A05-B118-DF733EE1E3F2}"/>
    <cellStyle name="Normal 13 4 3 2 3" xfId="33363" xr:uid="{D9B142E0-1359-4DF6-B580-DABC2E1C7676}"/>
    <cellStyle name="Normal 13 4 3 3" xfId="10462" xr:uid="{00000000-0005-0000-0000-0000E71D0000}"/>
    <cellStyle name="Normal 13 4 3 3 2" xfId="25996" xr:uid="{41EFF79A-3805-46FD-BB26-3F9450B38E9D}"/>
    <cellStyle name="Normal 13 4 3 3 2 2" xfId="40959" xr:uid="{9FB4A531-F844-45C4-96A1-6E6F81164D1D}"/>
    <cellStyle name="Normal 13 4 3 3 3" xfId="33364" xr:uid="{DC48137F-CCB5-45AF-9912-C88887584E5B}"/>
    <cellStyle name="Normal 13 4 3 4" xfId="25994" xr:uid="{E2449D46-A718-44F7-8BAB-59330823E2F8}"/>
    <cellStyle name="Normal 13 4 3 4 2" xfId="40957" xr:uid="{1F4FD111-DE08-4C8C-AFC7-2D61C0F30F05}"/>
    <cellStyle name="Normal 13 4 3 5" xfId="33362" xr:uid="{121B5415-059C-425F-AB42-6F3677E1EE33}"/>
    <cellStyle name="Normal 13 4 4" xfId="10463" xr:uid="{00000000-0005-0000-0000-0000E81D0000}"/>
    <cellStyle name="Normal 13 4 4 2" xfId="25997" xr:uid="{5761EB47-5CED-46E3-8156-AB3670A7421B}"/>
    <cellStyle name="Normal 13 4 4 2 2" xfId="40960" xr:uid="{F8565211-3E61-4A55-BCEF-0D58CA6D444D}"/>
    <cellStyle name="Normal 13 4 4 3" xfId="33365" xr:uid="{69240EBB-FE9B-4A6C-9506-F2B6E2B9D35B}"/>
    <cellStyle name="Normal 13 4 5" xfId="10464" xr:uid="{00000000-0005-0000-0000-0000E91D0000}"/>
    <cellStyle name="Normal 13 4 5 2" xfId="25998" xr:uid="{78113917-5965-4051-9974-ABE7680579B8}"/>
    <cellStyle name="Normal 13 4 5 2 2" xfId="40961" xr:uid="{6CAED715-923C-479A-AF16-200AA291D21B}"/>
    <cellStyle name="Normal 13 4 5 3" xfId="33366" xr:uid="{5BA8A34D-D63A-4E90-B387-E5344E5C94EB}"/>
    <cellStyle name="Normal 13 4 6" xfId="25987" xr:uid="{23D345C0-3915-4D84-B039-111AF425F47B}"/>
    <cellStyle name="Normal 13 4 6 2" xfId="40950" xr:uid="{8D4B27A3-44AD-4640-B283-EC2B0625ACA3}"/>
    <cellStyle name="Normal 13 4 7" xfId="33355" xr:uid="{379D06E3-15AD-4833-B653-C644ACE2549D}"/>
    <cellStyle name="Normal 13 5" xfId="10465" xr:uid="{00000000-0005-0000-0000-0000EA1D0000}"/>
    <cellStyle name="Normal 13 5 2" xfId="10466" xr:uid="{00000000-0005-0000-0000-0000EB1D0000}"/>
    <cellStyle name="Normal 13 5 3" xfId="10467" xr:uid="{00000000-0005-0000-0000-0000EC1D0000}"/>
    <cellStyle name="Normal 13 6" xfId="10468" xr:uid="{00000000-0005-0000-0000-0000ED1D0000}"/>
    <cellStyle name="Normal 13 6 2" xfId="10469" xr:uid="{00000000-0005-0000-0000-0000EE1D0000}"/>
    <cellStyle name="Normal 13 6 2 2" xfId="10470" xr:uid="{00000000-0005-0000-0000-0000EF1D0000}"/>
    <cellStyle name="Normal 13 6 2 2 2" xfId="26001" xr:uid="{81E55064-88BB-44E4-89CD-14DA5A9F0677}"/>
    <cellStyle name="Normal 13 6 2 2 2 2" xfId="40964" xr:uid="{F48892D3-0E02-44E5-A0C0-709EC40B1DEB}"/>
    <cellStyle name="Normal 13 6 2 2 3" xfId="33369" xr:uid="{5AE3B99D-7334-44BA-A154-A5C0E7E05E65}"/>
    <cellStyle name="Normal 13 6 2 3" xfId="10471" xr:uid="{00000000-0005-0000-0000-0000F01D0000}"/>
    <cellStyle name="Normal 13 6 2 3 2" xfId="26002" xr:uid="{3ACAA154-6471-458B-B93F-9CBD9C335110}"/>
    <cellStyle name="Normal 13 6 2 3 2 2" xfId="40965" xr:uid="{56E72525-8565-437F-AB90-C8CACB490DA7}"/>
    <cellStyle name="Normal 13 6 2 3 3" xfId="33370" xr:uid="{446A46A8-0EF5-4C72-A0B9-6CF6C7EA4C35}"/>
    <cellStyle name="Normal 13 6 2 4" xfId="26000" xr:uid="{2A0B7269-6FF3-4BD6-8473-215D7C08BB41}"/>
    <cellStyle name="Normal 13 6 2 4 2" xfId="40963" xr:uid="{4D4EDB3A-90E7-43B3-ACA2-A3B59BA5BB03}"/>
    <cellStyle name="Normal 13 6 2 5" xfId="33368" xr:uid="{507BE313-449E-4924-B4CC-E6088751AC8B}"/>
    <cellStyle name="Normal 13 6 3" xfId="10472" xr:uid="{00000000-0005-0000-0000-0000F11D0000}"/>
    <cellStyle name="Normal 13 6 3 2" xfId="26003" xr:uid="{0D9D7C8E-110A-4A82-9026-B4A9C75DD812}"/>
    <cellStyle name="Normal 13 6 3 2 2" xfId="40966" xr:uid="{9FC94B93-C4BD-459A-B3DD-B734B93D8370}"/>
    <cellStyle name="Normal 13 6 3 3" xfId="33371" xr:uid="{E96BA0E5-3197-4CDE-A708-2BE5E0A09252}"/>
    <cellStyle name="Normal 13 6 4" xfId="10473" xr:uid="{00000000-0005-0000-0000-0000F21D0000}"/>
    <cellStyle name="Normal 13 6 4 2" xfId="26004" xr:uid="{082355F8-68E1-4792-98F2-33B61C6D94C7}"/>
    <cellStyle name="Normal 13 6 4 2 2" xfId="40967" xr:uid="{3BECA221-D65B-4E82-B9D0-02484E3E56E3}"/>
    <cellStyle name="Normal 13 6 4 3" xfId="33372" xr:uid="{7202BC10-EB9C-43D1-B184-544EDFFCF7F6}"/>
    <cellStyle name="Normal 13 6 5" xfId="25999" xr:uid="{1C04F7C8-56F7-49A2-8D06-0190707DD46E}"/>
    <cellStyle name="Normal 13 6 5 2" xfId="40962" xr:uid="{D96C1F3A-B345-4544-A4D0-787701698ACA}"/>
    <cellStyle name="Normal 13 6 6" xfId="33367" xr:uid="{BA8C3819-12C6-479F-9861-88292303458B}"/>
    <cellStyle name="Normal 13 7" xfId="10474" xr:uid="{00000000-0005-0000-0000-0000F31D0000}"/>
    <cellStyle name="Normal 13 7 2" xfId="10475" xr:uid="{00000000-0005-0000-0000-0000F41D0000}"/>
    <cellStyle name="Normal 13 7 2 2" xfId="10476" xr:uid="{00000000-0005-0000-0000-0000F51D0000}"/>
    <cellStyle name="Normal 13 7 2 2 2" xfId="26007" xr:uid="{FF58F20B-B1B2-43FF-A383-C454AA80FE7D}"/>
    <cellStyle name="Normal 13 7 2 2 2 2" xfId="40970" xr:uid="{4CBE2805-DD77-437A-9B84-F7B53367FE1C}"/>
    <cellStyle name="Normal 13 7 2 2 3" xfId="33375" xr:uid="{BBC84980-CE4A-4636-84E5-45E25A88F6CC}"/>
    <cellStyle name="Normal 13 7 2 3" xfId="10477" xr:uid="{00000000-0005-0000-0000-0000F61D0000}"/>
    <cellStyle name="Normal 13 7 2 3 2" xfId="26008" xr:uid="{4F6BF44B-8C94-44AD-B974-1CBCD4300679}"/>
    <cellStyle name="Normal 13 7 2 3 2 2" xfId="40971" xr:uid="{5EA45E6E-56F4-40F5-A6DB-DBB3F54EAF7D}"/>
    <cellStyle name="Normal 13 7 2 3 3" xfId="33376" xr:uid="{8681627C-4078-48F0-80E7-5FD482E99C96}"/>
    <cellStyle name="Normal 13 7 2 4" xfId="26006" xr:uid="{90E3AB94-42F6-400C-9C1F-B4BF52FE0B29}"/>
    <cellStyle name="Normal 13 7 2 4 2" xfId="40969" xr:uid="{F9E947CF-42CE-4116-9FF8-4BF2577CE510}"/>
    <cellStyle name="Normal 13 7 2 5" xfId="33374" xr:uid="{8CECF35E-2DF9-4A97-8CEE-B5D17FB479A6}"/>
    <cellStyle name="Normal 13 7 3" xfId="10478" xr:uid="{00000000-0005-0000-0000-0000F71D0000}"/>
    <cellStyle name="Normal 13 7 3 2" xfId="26009" xr:uid="{41A9C291-5CBE-4A77-A560-F72429531959}"/>
    <cellStyle name="Normal 13 7 3 2 2" xfId="40972" xr:uid="{243497F5-D89F-42F7-AA76-D96C0B3D6B23}"/>
    <cellStyle name="Normal 13 7 3 3" xfId="33377" xr:uid="{C90EE21A-CCE8-43AE-AB24-1C226C60EA6A}"/>
    <cellStyle name="Normal 13 7 4" xfId="10479" xr:uid="{00000000-0005-0000-0000-0000F81D0000}"/>
    <cellStyle name="Normal 13 7 4 2" xfId="26010" xr:uid="{96CB3783-4BD7-435A-AA04-E0154F61DDE8}"/>
    <cellStyle name="Normal 13 7 4 2 2" xfId="40973" xr:uid="{D3847519-759D-42C1-9284-60C3ABB9E00E}"/>
    <cellStyle name="Normal 13 7 4 3" xfId="33378" xr:uid="{31E6554D-8CB3-4527-838B-36036FFF7486}"/>
    <cellStyle name="Normal 13 7 5" xfId="26005" xr:uid="{03358FE0-09F6-40A8-8912-2A136BB62EB5}"/>
    <cellStyle name="Normal 13 7 5 2" xfId="40968" xr:uid="{8A293C34-04ED-4A5F-AF14-F7C7486B250A}"/>
    <cellStyle name="Normal 13 7 6" xfId="33373" xr:uid="{A3C3F3DB-FFEB-4938-8714-5A523D6F5F63}"/>
    <cellStyle name="Normal 13 8" xfId="10480" xr:uid="{00000000-0005-0000-0000-0000F91D0000}"/>
    <cellStyle name="Normal 13 8 2" xfId="10481" xr:uid="{00000000-0005-0000-0000-0000FA1D0000}"/>
    <cellStyle name="Normal 13 8 3" xfId="10482" xr:uid="{00000000-0005-0000-0000-0000FB1D0000}"/>
    <cellStyle name="Normal 13 9" xfId="10483" xr:uid="{00000000-0005-0000-0000-0000FC1D0000}"/>
    <cellStyle name="Normal 13 9 2" xfId="10484" xr:uid="{00000000-0005-0000-0000-0000FD1D0000}"/>
    <cellStyle name="Normal 13 9 2 2" xfId="26012" xr:uid="{14660781-9276-4BCD-84E3-95068AF66255}"/>
    <cellStyle name="Normal 13 9 2 2 2" xfId="40975" xr:uid="{7F367EC2-9F3B-4D00-BFD0-762AD644556F}"/>
    <cellStyle name="Normal 13 9 2 3" xfId="33380" xr:uid="{2922767B-6C08-4D21-B4DA-DE6301F06F86}"/>
    <cellStyle name="Normal 13 9 3" xfId="10485" xr:uid="{00000000-0005-0000-0000-0000FE1D0000}"/>
    <cellStyle name="Normal 13 9 3 2" xfId="26013" xr:uid="{5ABE06F9-9942-4DA6-94D0-335A9D26E822}"/>
    <cellStyle name="Normal 13 9 3 2 2" xfId="40976" xr:uid="{3441CED2-6C8B-48A9-B6D0-D4840B9F8ED5}"/>
    <cellStyle name="Normal 13 9 3 3" xfId="33381" xr:uid="{AF8A5B86-EF1B-40BA-AB41-E48B519AD74C}"/>
    <cellStyle name="Normal 13 9 4" xfId="26011" xr:uid="{14A83438-0597-4A42-A85B-53C5E3D1644E}"/>
    <cellStyle name="Normal 13 9 4 2" xfId="40974" xr:uid="{EE2B0105-270C-4C05-875E-1B8EC5408826}"/>
    <cellStyle name="Normal 13 9 5" xfId="33379" xr:uid="{EF102E2E-00AB-4A43-BF28-D6882E3A695D}"/>
    <cellStyle name="Normal 130" xfId="10486" xr:uid="{00000000-0005-0000-0000-0000FF1D0000}"/>
    <cellStyle name="Normal 130 2" xfId="10487" xr:uid="{00000000-0005-0000-0000-0000001E0000}"/>
    <cellStyle name="Normal 130 2 2" xfId="26014" xr:uid="{640C6B7F-720F-4F12-B949-2F6BE23FE8CF}"/>
    <cellStyle name="Normal 130 2 2 2" xfId="40977" xr:uid="{7BFE9FC5-4DF6-4CF3-9E83-3012C3F0EAD6}"/>
    <cellStyle name="Normal 130 2 3" xfId="33382" xr:uid="{2F539F6E-DB8D-4434-ABB1-AF79D471F195}"/>
    <cellStyle name="Normal 131" xfId="5283" xr:uid="{00000000-0005-0000-0000-0000011E0000}"/>
    <cellStyle name="Normal 131 2" xfId="10488" xr:uid="{00000000-0005-0000-0000-0000021E0000}"/>
    <cellStyle name="Normal 131 2 2" xfId="26015" xr:uid="{A90AD96B-755D-4ACD-BD8E-A972D411CDAE}"/>
    <cellStyle name="Normal 131 2 2 2" xfId="40978" xr:uid="{3EA6030D-5CC5-4FD7-9950-EE1AA2FEDB79}"/>
    <cellStyle name="Normal 131 2 3" xfId="33383" xr:uid="{FF17F9DD-6F63-4317-AD91-1B173137039E}"/>
    <cellStyle name="Normal 132" xfId="10489" xr:uid="{00000000-0005-0000-0000-0000031E0000}"/>
    <cellStyle name="Normal 132 2" xfId="10490" xr:uid="{00000000-0005-0000-0000-0000041E0000}"/>
    <cellStyle name="Normal 132 2 2" xfId="26016" xr:uid="{4FF1224F-6BEE-4010-9DE6-B07360D07BB1}"/>
    <cellStyle name="Normal 132 2 2 2" xfId="40979" xr:uid="{0068CD18-A036-4751-84E9-62B35E3A6865}"/>
    <cellStyle name="Normal 132 2 3" xfId="33384" xr:uid="{917565F8-FE1C-4459-8D7F-02991DBB01E0}"/>
    <cellStyle name="Normal 133" xfId="5282" xr:uid="{00000000-0005-0000-0000-0000051E0000}"/>
    <cellStyle name="Normal 133 2" xfId="10491" xr:uid="{00000000-0005-0000-0000-0000061E0000}"/>
    <cellStyle name="Normal 133 2 2" xfId="26017" xr:uid="{684EE4ED-EC7D-4F99-B574-F20DEAFE1DEC}"/>
    <cellStyle name="Normal 133 2 2 2" xfId="40980" xr:uid="{40F3A4F6-98B7-43AF-98A1-08A5A7961D3C}"/>
    <cellStyle name="Normal 133 2 3" xfId="33385" xr:uid="{E3E28085-4113-4862-AEA1-0295E388A6BB}"/>
    <cellStyle name="Normal 134" xfId="10492" xr:uid="{00000000-0005-0000-0000-0000071E0000}"/>
    <cellStyle name="Normal 134 2" xfId="10493" xr:uid="{00000000-0005-0000-0000-0000081E0000}"/>
    <cellStyle name="Normal 134 2 2" xfId="26018" xr:uid="{087CC667-9A2F-4948-888B-348E2F66839E}"/>
    <cellStyle name="Normal 134 2 2 2" xfId="40981" xr:uid="{91C44E70-16B3-4F42-8743-69363F8F494A}"/>
    <cellStyle name="Normal 134 2 3" xfId="33386" xr:uid="{49B2A87A-7C05-4FA8-9250-2304F989EC44}"/>
    <cellStyle name="Normal 135" xfId="10494" xr:uid="{00000000-0005-0000-0000-0000091E0000}"/>
    <cellStyle name="Normal 135 2" xfId="10495" xr:uid="{00000000-0005-0000-0000-00000A1E0000}"/>
    <cellStyle name="Normal 135 2 2" xfId="26019" xr:uid="{B1321870-19F4-4FFF-87C8-81F38627D1AF}"/>
    <cellStyle name="Normal 135 2 2 2" xfId="40982" xr:uid="{283F0D9F-913F-4F12-8866-9729558FA641}"/>
    <cellStyle name="Normal 135 2 3" xfId="33387" xr:uid="{0EED3125-EADA-4FC7-BDCF-0220F38DC631}"/>
    <cellStyle name="Normal 136" xfId="5281" xr:uid="{00000000-0005-0000-0000-00000B1E0000}"/>
    <cellStyle name="Normal 136 2" xfId="10496" xr:uid="{00000000-0005-0000-0000-00000C1E0000}"/>
    <cellStyle name="Normal 136 2 2" xfId="26020" xr:uid="{A353D48D-09C9-4CAF-8584-43E3FCD9C23D}"/>
    <cellStyle name="Normal 136 2 2 2" xfId="40983" xr:uid="{253E8140-069E-409D-9C4A-258485BA7E3D}"/>
    <cellStyle name="Normal 136 2 3" xfId="33388" xr:uid="{0864D328-D57E-4ADD-97D2-227654A625F9}"/>
    <cellStyle name="Normal 137" xfId="10497" xr:uid="{00000000-0005-0000-0000-00000D1E0000}"/>
    <cellStyle name="Normal 137 2" xfId="10498" xr:uid="{00000000-0005-0000-0000-00000E1E0000}"/>
    <cellStyle name="Normal 137 2 2" xfId="26021" xr:uid="{C62337BC-544B-43E0-9F7D-69758A0BC0A7}"/>
    <cellStyle name="Normal 137 2 2 2" xfId="40984" xr:uid="{26B07EB3-4827-4F89-95D4-5AADD195EDEC}"/>
    <cellStyle name="Normal 137 2 3" xfId="33389" xr:uid="{78E47487-4230-414B-AEA8-09A15478F417}"/>
    <cellStyle name="Normal 138" xfId="5280" xr:uid="{00000000-0005-0000-0000-00000F1E0000}"/>
    <cellStyle name="Normal 138 2" xfId="10499" xr:uid="{00000000-0005-0000-0000-0000101E0000}"/>
    <cellStyle name="Normal 138 2 2" xfId="26022" xr:uid="{7C7C1271-6B4D-4334-BCF4-A9E5721B8B9B}"/>
    <cellStyle name="Normal 138 2 2 2" xfId="40985" xr:uid="{DEBAF06E-D25D-4D6E-8E02-6BEBAFCE79AA}"/>
    <cellStyle name="Normal 138 2 3" xfId="33390" xr:uid="{4511DB34-5CED-4AC4-9D80-EAA75813C359}"/>
    <cellStyle name="Normal 139" xfId="5279" xr:uid="{00000000-0005-0000-0000-0000111E0000}"/>
    <cellStyle name="Normal 139 2" xfId="10500" xr:uid="{00000000-0005-0000-0000-0000121E0000}"/>
    <cellStyle name="Normal 139 2 2" xfId="26023" xr:uid="{CBBA44DA-4BF8-471F-8684-D75A860323BE}"/>
    <cellStyle name="Normal 139 2 2 2" xfId="40986" xr:uid="{54EE629B-6DA1-453F-9FA6-7C567303E538}"/>
    <cellStyle name="Normal 139 2 3" xfId="33391" xr:uid="{BBD3155E-34E7-43A4-B4EE-3AEA408B169E}"/>
    <cellStyle name="Normal 14" xfId="607" xr:uid="{00000000-0005-0000-0000-0000F5010000}"/>
    <cellStyle name="Normal 14 2" xfId="608" xr:uid="{00000000-0005-0000-0000-0000F6010000}"/>
    <cellStyle name="Normal 14 2 2" xfId="10501" xr:uid="{00000000-0005-0000-0000-0000151E0000}"/>
    <cellStyle name="Normal 14 2 2 2" xfId="10502" xr:uid="{00000000-0005-0000-0000-0000161E0000}"/>
    <cellStyle name="Normal 14 2 2 3" xfId="26024" xr:uid="{F1517571-F3BF-4F5E-B899-BF97CEB334CB}"/>
    <cellStyle name="Normal 14 2 2 3 2" xfId="40987" xr:uid="{389EEE95-F054-46EE-A294-34CC98A637B9}"/>
    <cellStyle name="Normal 14 2 2 4" xfId="33392" xr:uid="{6BC1A0A9-77A8-440F-A1ED-CCA161CB5D3A}"/>
    <cellStyle name="Normal 14 2 3" xfId="10503" xr:uid="{00000000-0005-0000-0000-0000171E0000}"/>
    <cellStyle name="Normal 14 2 4" xfId="10504" xr:uid="{00000000-0005-0000-0000-0000181E0000}"/>
    <cellStyle name="Normal 14 2 5" xfId="10505" xr:uid="{00000000-0005-0000-0000-0000191E0000}"/>
    <cellStyle name="Normal 14 2 5 2" xfId="26025" xr:uid="{E3AAD0E2-C6D9-4D42-8CDD-4C71EF435C0B}"/>
    <cellStyle name="Normal 14 2 5 2 2" xfId="40988" xr:uid="{C7D48E09-EFF0-4C48-A46A-4B9FE976007F}"/>
    <cellStyle name="Normal 14 2 5 3" xfId="33393" xr:uid="{0896016B-495F-4CBA-A5F5-8AB5D9668441}"/>
    <cellStyle name="Normal 14 2 6" xfId="5389" xr:uid="{00000000-0005-0000-0000-0000141E0000}"/>
    <cellStyle name="Normal 14 3" xfId="10506" xr:uid="{00000000-0005-0000-0000-00001A1E0000}"/>
    <cellStyle name="Normal 14 3 2" xfId="10507" xr:uid="{00000000-0005-0000-0000-00001B1E0000}"/>
    <cellStyle name="Normal 14 3 2 2" xfId="10508" xr:uid="{00000000-0005-0000-0000-00001C1E0000}"/>
    <cellStyle name="Normal 14 3 3" xfId="10509" xr:uid="{00000000-0005-0000-0000-00001D1E0000}"/>
    <cellStyle name="Normal 14 3 3 2" xfId="26026" xr:uid="{3E4418C7-7A93-4A98-B937-32913CE7FD82}"/>
    <cellStyle name="Normal 14 3 3 2 2" xfId="40989" xr:uid="{31D027B6-3C22-4AA1-9E2E-4D956A8C3816}"/>
    <cellStyle name="Normal 14 3 3 3" xfId="33394" xr:uid="{A728933B-8C69-4502-96F2-FDC3BB090F6D}"/>
    <cellStyle name="Normal 14 4" xfId="10510" xr:uid="{00000000-0005-0000-0000-00001E1E0000}"/>
    <cellStyle name="Normal 14 5" xfId="10511" xr:uid="{00000000-0005-0000-0000-00001F1E0000}"/>
    <cellStyle name="Normal 14 5 2" xfId="10512" xr:uid="{00000000-0005-0000-0000-0000201E0000}"/>
    <cellStyle name="Normal 14 5 2 2" xfId="26028" xr:uid="{61B1770F-9DEB-47D1-86A4-2DB95E92A5F2}"/>
    <cellStyle name="Normal 14 5 2 2 2" xfId="40991" xr:uid="{B0F5A9D8-1ADE-4267-936C-F41CDF58D1B2}"/>
    <cellStyle name="Normal 14 5 2 3" xfId="33396" xr:uid="{2467E917-30CC-479C-8A77-71B5FB9BE3C7}"/>
    <cellStyle name="Normal 14 5 3" xfId="10513" xr:uid="{00000000-0005-0000-0000-0000211E0000}"/>
    <cellStyle name="Normal 14 5 3 2" xfId="26029" xr:uid="{8BFD6500-AC83-42ED-8EEE-1E39CE3F6528}"/>
    <cellStyle name="Normal 14 5 3 2 2" xfId="40992" xr:uid="{58E3C45E-6657-465E-99CE-D8F94D8DFBD9}"/>
    <cellStyle name="Normal 14 5 3 3" xfId="33397" xr:uid="{86210696-6857-48F9-9DBB-FA4A88F23C64}"/>
    <cellStyle name="Normal 14 5 4" xfId="26027" xr:uid="{82C617AE-43B3-406D-9CF1-52F04430908E}"/>
    <cellStyle name="Normal 14 5 4 2" xfId="40990" xr:uid="{866DB776-9D63-4DFD-A319-50467C02E4FC}"/>
    <cellStyle name="Normal 14 5 5" xfId="33395" xr:uid="{8E812B15-62AA-4665-AE65-4958AAC02C30}"/>
    <cellStyle name="Normal 14 6" xfId="10514" xr:uid="{00000000-0005-0000-0000-0000221E0000}"/>
    <cellStyle name="Normal 14 6 2" xfId="26030" xr:uid="{B90BB740-09B7-4C96-90AC-B4ECE20F1152}"/>
    <cellStyle name="Normal 14 6 2 2" xfId="40993" xr:uid="{FC7F91BC-A3D3-4670-89FE-B403650E5EC4}"/>
    <cellStyle name="Normal 14 6 3" xfId="33398" xr:uid="{E78B2AB0-FD89-46D1-8C97-0558EAD466F6}"/>
    <cellStyle name="Normal 14 7" xfId="10515" xr:uid="{00000000-0005-0000-0000-0000231E0000}"/>
    <cellStyle name="Normal 14 7 2" xfId="26031" xr:uid="{669DDA32-40B9-4BC3-B382-64721C8DB952}"/>
    <cellStyle name="Normal 14 7 2 2" xfId="40994" xr:uid="{A07508B8-9E8C-4570-9B76-CB3CF771DD16}"/>
    <cellStyle name="Normal 14 7 3" xfId="33399" xr:uid="{219937A8-9822-4865-9F1C-075CD74EBAFB}"/>
    <cellStyle name="Normal 14_App b.3 Unspent_" xfId="609" xr:uid="{00000000-0005-0000-0000-0000F7010000}"/>
    <cellStyle name="Normal 140" xfId="5278" xr:uid="{00000000-0005-0000-0000-0000241E0000}"/>
    <cellStyle name="Normal 140 2" xfId="10516" xr:uid="{00000000-0005-0000-0000-0000251E0000}"/>
    <cellStyle name="Normal 140 2 2" xfId="26032" xr:uid="{ECF49C31-70E7-4B33-BB28-8DD7BEDE7D80}"/>
    <cellStyle name="Normal 140 2 2 2" xfId="40995" xr:uid="{36CD3E31-DB9B-41A4-9EE8-7B320F91DF30}"/>
    <cellStyle name="Normal 140 2 3" xfId="33400" xr:uid="{113F7F0B-EFC8-4750-A93B-C866E47587B2}"/>
    <cellStyle name="Normal 141" xfId="5277" xr:uid="{00000000-0005-0000-0000-0000261E0000}"/>
    <cellStyle name="Normal 141 2" xfId="10517" xr:uid="{00000000-0005-0000-0000-0000271E0000}"/>
    <cellStyle name="Normal 141 2 2" xfId="26033" xr:uid="{36DA777B-FC27-4082-AFC5-6EF13687630A}"/>
    <cellStyle name="Normal 141 2 2 2" xfId="40996" xr:uid="{6BB24FD1-098B-4CFC-829E-CE5E09433DCE}"/>
    <cellStyle name="Normal 141 2 3" xfId="33401" xr:uid="{B735F818-EB7E-4A86-8C67-FFA2123F93E6}"/>
    <cellStyle name="Normal 142" xfId="10518" xr:uid="{00000000-0005-0000-0000-0000281E0000}"/>
    <cellStyle name="Normal 142 2" xfId="10519" xr:uid="{00000000-0005-0000-0000-0000291E0000}"/>
    <cellStyle name="Normal 142 2 2" xfId="26034" xr:uid="{A2DB9C69-7FCC-471A-9B41-C54160DC0030}"/>
    <cellStyle name="Normal 142 2 2 2" xfId="40997" xr:uid="{78DD5582-84F1-4DD6-B06D-958A9A283A43}"/>
    <cellStyle name="Normal 142 2 3" xfId="33402" xr:uid="{FDE9C455-52E9-46B3-91BA-F2AAA2291A25}"/>
    <cellStyle name="Normal 143" xfId="10520" xr:uid="{00000000-0005-0000-0000-00002A1E0000}"/>
    <cellStyle name="Normal 143 2" xfId="10521" xr:uid="{00000000-0005-0000-0000-00002B1E0000}"/>
    <cellStyle name="Normal 143 2 2" xfId="26036" xr:uid="{B39E339D-6601-4B40-867B-BEDFEE3C1BD1}"/>
    <cellStyle name="Normal 143 2 2 2" xfId="40999" xr:uid="{A52438A5-3224-4D7A-A9E7-321BD00AC29B}"/>
    <cellStyle name="Normal 143 2 3" xfId="33404" xr:uid="{647B74B3-2B4F-4AA9-86A7-0CCAF487E989}"/>
    <cellStyle name="Normal 143 3" xfId="26035" xr:uid="{55A8689D-09F7-45AE-9C9F-5BED2245C32C}"/>
    <cellStyle name="Normal 143 3 2" xfId="40998" xr:uid="{03299E7C-C4BA-4600-AA84-88555A174528}"/>
    <cellStyle name="Normal 143 4" xfId="33403" xr:uid="{23B7BDDF-BCEF-4848-A9E5-42FE6B41F281}"/>
    <cellStyle name="Normal 144" xfId="10522" xr:uid="{00000000-0005-0000-0000-00002C1E0000}"/>
    <cellStyle name="Normal 144 2" xfId="10523" xr:uid="{00000000-0005-0000-0000-00002D1E0000}"/>
    <cellStyle name="Normal 144 2 2" xfId="26038" xr:uid="{8F8F6D96-FC30-43A5-8AA7-0CEF93D24066}"/>
    <cellStyle name="Normal 144 2 2 2" xfId="41001" xr:uid="{5F89D984-DEDE-40C8-BCAD-03D20560BB75}"/>
    <cellStyle name="Normal 144 2 3" xfId="33406" xr:uid="{6C48140B-4A06-4E76-8152-02286112D567}"/>
    <cellStyle name="Normal 144 3" xfId="26037" xr:uid="{A1B65B29-F7AD-464A-9A5E-CD2AC0C0E1A0}"/>
    <cellStyle name="Normal 144 3 2" xfId="41000" xr:uid="{CC7472E9-455B-4526-ADB1-D0BEB6443D4C}"/>
    <cellStyle name="Normal 144 4" xfId="33405" xr:uid="{DBEC6F92-CE77-4B68-9BA6-B21BF3F1DCD2}"/>
    <cellStyle name="Normal 145" xfId="10524" xr:uid="{00000000-0005-0000-0000-00002E1E0000}"/>
    <cellStyle name="Normal 145 2" xfId="10525" xr:uid="{00000000-0005-0000-0000-00002F1E0000}"/>
    <cellStyle name="Normal 145 2 2" xfId="26039" xr:uid="{2EA792ED-2021-4924-9C67-69FCB18E5A75}"/>
    <cellStyle name="Normal 145 2 2 2" xfId="41002" xr:uid="{50062AB8-9495-46FC-8C52-97373454114E}"/>
    <cellStyle name="Normal 145 2 3" xfId="33407" xr:uid="{4E200B06-C092-459F-976F-5EF707EFB29E}"/>
    <cellStyle name="Normal 146" xfId="5276" xr:uid="{00000000-0005-0000-0000-0000301E0000}"/>
    <cellStyle name="Normal 146 2" xfId="10526" xr:uid="{00000000-0005-0000-0000-0000311E0000}"/>
    <cellStyle name="Normal 146 2 2" xfId="26040" xr:uid="{DD2E26D8-DA78-499C-9078-ABB9E3D15068}"/>
    <cellStyle name="Normal 146 2 2 2" xfId="41003" xr:uid="{1880F416-E2C3-44D9-831C-EC9CBD62A3BE}"/>
    <cellStyle name="Normal 146 2 3" xfId="33408" xr:uid="{F55171D7-1DC9-4DC4-BF5E-7BDAAF141B96}"/>
    <cellStyle name="Normal 147" xfId="10527" xr:uid="{00000000-0005-0000-0000-0000321E0000}"/>
    <cellStyle name="Normal 147 2" xfId="10528" xr:uid="{00000000-0005-0000-0000-0000331E0000}"/>
    <cellStyle name="Normal 147 2 2" xfId="26041" xr:uid="{9547AEB0-56D3-4E35-A44E-E0B80B57B97F}"/>
    <cellStyle name="Normal 147 2 2 2" xfId="41004" xr:uid="{48321DB8-BAD5-4022-B7BF-1A3D136B466B}"/>
    <cellStyle name="Normal 147 2 3" xfId="33409" xr:uid="{8AC84A2B-A55C-4F09-9016-50E3196C5401}"/>
    <cellStyle name="Normal 148" xfId="10529" xr:uid="{00000000-0005-0000-0000-0000341E0000}"/>
    <cellStyle name="Normal 148 2" xfId="10530" xr:uid="{00000000-0005-0000-0000-0000351E0000}"/>
    <cellStyle name="Normal 148 2 2" xfId="26043" xr:uid="{3F234445-FE41-4AE3-A4DA-5A5C956E91C5}"/>
    <cellStyle name="Normal 148 2 2 2" xfId="41006" xr:uid="{8106F0BD-D8EF-418D-9695-F671372C5670}"/>
    <cellStyle name="Normal 148 2 3" xfId="33411" xr:uid="{164EC643-8943-470E-8B97-F268BD080B58}"/>
    <cellStyle name="Normal 148 3" xfId="26042" xr:uid="{343E3F8B-60BC-4A5C-81D5-8D187053AFD8}"/>
    <cellStyle name="Normal 148 3 2" xfId="41005" xr:uid="{B47851FF-167E-4661-8180-22B77DA3D661}"/>
    <cellStyle name="Normal 148 4" xfId="33410" xr:uid="{54DBE53E-136E-449A-AE24-47A55CB41E1E}"/>
    <cellStyle name="Normal 149" xfId="10531" xr:uid="{00000000-0005-0000-0000-0000361E0000}"/>
    <cellStyle name="Normal 149 2" xfId="26044" xr:uid="{276979F7-D3C9-425C-A5B3-F5B1E749D8C1}"/>
    <cellStyle name="Normal 149 2 2" xfId="41007" xr:uid="{DE208B9A-788D-4603-8FC9-4E46772392ED}"/>
    <cellStyle name="Normal 149 3" xfId="33412" xr:uid="{723AAA40-849B-4E16-A660-4AFEC860DC49}"/>
    <cellStyle name="Normal 15" xfId="610" xr:uid="{00000000-0005-0000-0000-0000F8010000}"/>
    <cellStyle name="Normal 15 10" xfId="5388" xr:uid="{00000000-0005-0000-0000-0000371E0000}"/>
    <cellStyle name="Normal 15 2" xfId="611" xr:uid="{00000000-0005-0000-0000-0000F9010000}"/>
    <cellStyle name="Normal 15 2 2" xfId="10532" xr:uid="{00000000-0005-0000-0000-0000391E0000}"/>
    <cellStyle name="Normal 15 2 2 2" xfId="10533" xr:uid="{00000000-0005-0000-0000-00003A1E0000}"/>
    <cellStyle name="Normal 15 2 2 3" xfId="10534" xr:uid="{00000000-0005-0000-0000-00003B1E0000}"/>
    <cellStyle name="Normal 15 2 3" xfId="5387" xr:uid="{00000000-0005-0000-0000-0000381E0000}"/>
    <cellStyle name="Normal 15 3" xfId="5386" xr:uid="{00000000-0005-0000-0000-00003C1E0000}"/>
    <cellStyle name="Normal 15 4" xfId="10535" xr:uid="{00000000-0005-0000-0000-00003D1E0000}"/>
    <cellStyle name="Normal 15 4 2" xfId="10536" xr:uid="{00000000-0005-0000-0000-00003E1E0000}"/>
    <cellStyle name="Normal 15 4 2 2" xfId="10537" xr:uid="{00000000-0005-0000-0000-00003F1E0000}"/>
    <cellStyle name="Normal 15 4 2 3" xfId="26045" xr:uid="{F441A938-6C96-47AD-A6DE-34BA927D6F70}"/>
    <cellStyle name="Normal 15 4 2 3 2" xfId="41008" xr:uid="{F356BC18-2351-4D7F-8A5C-EE889B2212C0}"/>
    <cellStyle name="Normal 15 4 2 4" xfId="33413" xr:uid="{5EAF84C8-E5C7-4B97-A52F-FDFAD45799A7}"/>
    <cellStyle name="Normal 15 4 3" xfId="10538" xr:uid="{00000000-0005-0000-0000-0000401E0000}"/>
    <cellStyle name="Normal 15 4 4" xfId="10539" xr:uid="{00000000-0005-0000-0000-0000411E0000}"/>
    <cellStyle name="Normal 15 4 4 2" xfId="26046" xr:uid="{1CD3E52A-38F2-441A-B629-C63AAAB3FDF0}"/>
    <cellStyle name="Normal 15 4 4 2 2" xfId="41009" xr:uid="{0656A38C-4882-4E71-B9A9-BCA8955A284E}"/>
    <cellStyle name="Normal 15 4 4 3" xfId="33414" xr:uid="{7184FF6A-C558-49BF-88EB-710C96E06A5D}"/>
    <cellStyle name="Normal 15 5" xfId="10540" xr:uid="{00000000-0005-0000-0000-0000421E0000}"/>
    <cellStyle name="Normal 15 5 2" xfId="10541" xr:uid="{00000000-0005-0000-0000-0000431E0000}"/>
    <cellStyle name="Normal 15 5 2 2" xfId="10542" xr:uid="{00000000-0005-0000-0000-0000441E0000}"/>
    <cellStyle name="Normal 15 5 2 2 2" xfId="26049" xr:uid="{5398265A-2BF7-4012-BDC4-A3D71C2D8B9B}"/>
    <cellStyle name="Normal 15 5 2 2 2 2" xfId="41012" xr:uid="{FB93CAEA-3B65-4E47-9C58-AFF90127DFFC}"/>
    <cellStyle name="Normal 15 5 2 2 3" xfId="33417" xr:uid="{42DA293D-602F-4CD8-8C82-1F282A54570E}"/>
    <cellStyle name="Normal 15 5 2 3" xfId="10543" xr:uid="{00000000-0005-0000-0000-0000451E0000}"/>
    <cellStyle name="Normal 15 5 2 3 2" xfId="26050" xr:uid="{67DD4424-5628-49FF-9DB7-C4391E854A58}"/>
    <cellStyle name="Normal 15 5 2 3 2 2" xfId="41013" xr:uid="{A93E3F4F-6A52-4E9A-824B-4192CAFA3D50}"/>
    <cellStyle name="Normal 15 5 2 3 3" xfId="33418" xr:uid="{4E554C14-8E4F-46D5-9F04-34374B6DD995}"/>
    <cellStyle name="Normal 15 5 2 4" xfId="26048" xr:uid="{8948F315-6304-4E11-9869-AF447A13FBC5}"/>
    <cellStyle name="Normal 15 5 2 4 2" xfId="41011" xr:uid="{BD77C0FF-E036-4870-B8F5-83DA7FD55995}"/>
    <cellStyle name="Normal 15 5 2 5" xfId="33416" xr:uid="{8C1B7591-03DC-45F7-BA8A-06AE9C79554C}"/>
    <cellStyle name="Normal 15 5 3" xfId="10544" xr:uid="{00000000-0005-0000-0000-0000461E0000}"/>
    <cellStyle name="Normal 15 5 3 2" xfId="26051" xr:uid="{E8A091B3-F6A1-4E80-8148-9E8B1C5031DF}"/>
    <cellStyle name="Normal 15 5 3 2 2" xfId="41014" xr:uid="{0164124D-15CD-4ADD-92ED-4CF5CF64373F}"/>
    <cellStyle name="Normal 15 5 3 3" xfId="33419" xr:uid="{984D2E79-E41B-4F36-8675-C0F920D7045F}"/>
    <cellStyle name="Normal 15 5 4" xfId="10545" xr:uid="{00000000-0005-0000-0000-0000471E0000}"/>
    <cellStyle name="Normal 15 5 4 2" xfId="26052" xr:uid="{9590601D-13D7-4026-AD55-52A9A839D947}"/>
    <cellStyle name="Normal 15 5 4 2 2" xfId="41015" xr:uid="{41D1CF2A-4308-4076-99B8-22E8126E7ABE}"/>
    <cellStyle name="Normal 15 5 4 3" xfId="33420" xr:uid="{8DBC9187-508B-458B-BDFA-050855F5EE24}"/>
    <cellStyle name="Normal 15 5 5" xfId="26047" xr:uid="{6AC4941F-B31E-4634-BCAA-8BD43E8B0318}"/>
    <cellStyle name="Normal 15 5 5 2" xfId="41010" xr:uid="{224EDDDE-B390-4604-9704-C72BBC7ECDB3}"/>
    <cellStyle name="Normal 15 5 6" xfId="33415" xr:uid="{18C83BE9-274A-4BBF-A7EE-834DEABF006D}"/>
    <cellStyle name="Normal 15 6" xfId="10546" xr:uid="{00000000-0005-0000-0000-0000481E0000}"/>
    <cellStyle name="Normal 15 6 2" xfId="10547" xr:uid="{00000000-0005-0000-0000-0000491E0000}"/>
    <cellStyle name="Normal 15 6 3" xfId="10548" xr:uid="{00000000-0005-0000-0000-00004A1E0000}"/>
    <cellStyle name="Normal 15 7" xfId="10549" xr:uid="{00000000-0005-0000-0000-00004B1E0000}"/>
    <cellStyle name="Normal 15 7 2" xfId="10550" xr:uid="{00000000-0005-0000-0000-00004C1E0000}"/>
    <cellStyle name="Normal 15 7 2 2" xfId="26054" xr:uid="{8E2B4AC0-A858-4AF9-A3FC-0DC2E1BC5228}"/>
    <cellStyle name="Normal 15 7 2 2 2" xfId="41017" xr:uid="{C36452D6-E86C-47F3-BECC-3CFB42A09126}"/>
    <cellStyle name="Normal 15 7 2 3" xfId="33422" xr:uid="{5C365295-65C6-4DEF-9D05-F68D137B2567}"/>
    <cellStyle name="Normal 15 7 3" xfId="10551" xr:uid="{00000000-0005-0000-0000-00004D1E0000}"/>
    <cellStyle name="Normal 15 7 3 2" xfId="26055" xr:uid="{1F09FB1C-DA27-42B6-9E48-E207CF616C8E}"/>
    <cellStyle name="Normal 15 7 3 2 2" xfId="41018" xr:uid="{7E9737D5-FB79-4D9E-ADE4-BCBEF749E128}"/>
    <cellStyle name="Normal 15 7 3 3" xfId="33423" xr:uid="{5B8B11F1-9FAA-4BAD-931C-0DF185C5EF12}"/>
    <cellStyle name="Normal 15 7 4" xfId="26053" xr:uid="{E59DFA03-C616-48AD-AE9D-65F1829B501B}"/>
    <cellStyle name="Normal 15 7 4 2" xfId="41016" xr:uid="{5AD87BDA-E289-47C1-A9B2-9656238EFF2F}"/>
    <cellStyle name="Normal 15 7 5" xfId="33421" xr:uid="{20C6B35B-6141-46B4-8349-9A542F90CBED}"/>
    <cellStyle name="Normal 15 8" xfId="10552" xr:uid="{00000000-0005-0000-0000-00004E1E0000}"/>
    <cellStyle name="Normal 15 8 2" xfId="26056" xr:uid="{D44A5478-EFD6-425A-B41B-E245E696A35C}"/>
    <cellStyle name="Normal 15 8 2 2" xfId="41019" xr:uid="{62A7B7AA-2F91-486F-B278-9E11C205280A}"/>
    <cellStyle name="Normal 15 8 3" xfId="33424" xr:uid="{7BFC874D-80AA-4F9F-A0B8-3206586C60B4}"/>
    <cellStyle name="Normal 15 9" xfId="10553" xr:uid="{00000000-0005-0000-0000-00004F1E0000}"/>
    <cellStyle name="Normal 15 9 2" xfId="26057" xr:uid="{384194D0-7EA8-4330-B3C7-E4EA51F44AA7}"/>
    <cellStyle name="Normal 15 9 2 2" xfId="41020" xr:uid="{C09AD3BA-B0ED-4A75-AD11-02F84BD64419}"/>
    <cellStyle name="Normal 15 9 3" xfId="33425" xr:uid="{0344C0F5-0E1C-4416-B545-A6935EE0E625}"/>
    <cellStyle name="Normal 15_App b.3 Unspent_" xfId="612" xr:uid="{00000000-0005-0000-0000-0000FA010000}"/>
    <cellStyle name="Normal 150" xfId="10554" xr:uid="{00000000-0005-0000-0000-0000501E0000}"/>
    <cellStyle name="Normal 150 2" xfId="26058" xr:uid="{45A39738-615A-43BD-A82A-7105D4AB0D04}"/>
    <cellStyle name="Normal 150 2 2" xfId="41021" xr:uid="{12C8C0F4-21F9-416D-A97E-D0F2FCE9E43A}"/>
    <cellStyle name="Normal 150 3" xfId="33426" xr:uid="{A2AD23EB-AA46-4493-B799-BFD4F8C22EF2}"/>
    <cellStyle name="Normal 151" xfId="10555" xr:uid="{00000000-0005-0000-0000-0000511E0000}"/>
    <cellStyle name="Normal 151 2" xfId="26059" xr:uid="{95D2FD1C-4809-4A23-8468-E6ED1B14F4A4}"/>
    <cellStyle name="Normal 151 2 2" xfId="41022" xr:uid="{62C0AA2C-A444-4FBF-A512-55D3394BB5D5}"/>
    <cellStyle name="Normal 151 3" xfId="33427" xr:uid="{5FB467A2-74A7-49C1-9ACB-DEA519FCD97A}"/>
    <cellStyle name="Normal 152" xfId="10556" xr:uid="{00000000-0005-0000-0000-0000521E0000}"/>
    <cellStyle name="Normal 152 2" xfId="26060" xr:uid="{5F4DB416-7ACB-4458-A887-22FC008049F8}"/>
    <cellStyle name="Normal 152 2 2" xfId="41023" xr:uid="{F43CC235-3C51-48C7-B9B1-9F9FE7D02138}"/>
    <cellStyle name="Normal 152 3" xfId="33428" xr:uid="{39244EA0-0F97-4385-AA24-C38F5F773E83}"/>
    <cellStyle name="Normal 153" xfId="2871" xr:uid="{00000000-0005-0000-0000-0000FB010000}"/>
    <cellStyle name="Normal 153 2" xfId="10557" xr:uid="{00000000-0005-0000-0000-0000531E0000}"/>
    <cellStyle name="Normal 153 2 2" xfId="26061" xr:uid="{CCA435B9-ADCA-48D9-813C-A50307CA360E}"/>
    <cellStyle name="Normal 153 2 2 2" xfId="41024" xr:uid="{E8F7648B-9440-4302-97FC-880CA4F2BEF7}"/>
    <cellStyle name="Normal 153 2 3" xfId="33429" xr:uid="{531D6713-38EE-4CC8-91CC-AE68690A9D07}"/>
    <cellStyle name="Normal 154" xfId="10558" xr:uid="{00000000-0005-0000-0000-0000541E0000}"/>
    <cellStyle name="Normal 154 2" xfId="26062" xr:uid="{8FB98884-1564-4C0B-8CA9-AB22082D1551}"/>
    <cellStyle name="Normal 154 2 2" xfId="41025" xr:uid="{36DCC7CC-5380-4F8A-BB2F-28CF1D658755}"/>
    <cellStyle name="Normal 154 3" xfId="33430" xr:uid="{92A2F996-F338-4137-ADBD-C4F32EFF1180}"/>
    <cellStyle name="Normal 155" xfId="10559" xr:uid="{00000000-0005-0000-0000-0000551E0000}"/>
    <cellStyle name="Normal 155 2" xfId="26063" xr:uid="{F88F28E9-9D93-4CBE-96BA-BA7F472EF748}"/>
    <cellStyle name="Normal 155 2 2" xfId="41026" xr:uid="{30A35778-FC00-49AE-98EE-D03255809205}"/>
    <cellStyle name="Normal 155 3" xfId="33431" xr:uid="{CC8B5C67-7360-4358-B787-2551B706C2BC}"/>
    <cellStyle name="Normal 156" xfId="10560" xr:uid="{00000000-0005-0000-0000-0000561E0000}"/>
    <cellStyle name="Normal 156 2" xfId="26064" xr:uid="{E712D8A1-C1EB-411B-BD28-10D2B4C79FE0}"/>
    <cellStyle name="Normal 156 2 2" xfId="41027" xr:uid="{7CF7D8AD-CFB5-48E2-AF1D-29DF90DF093C}"/>
    <cellStyle name="Normal 156 3" xfId="33432" xr:uid="{E7823123-9BF3-40C4-9E6F-BF4724098AD6}"/>
    <cellStyle name="Normal 157" xfId="10561" xr:uid="{00000000-0005-0000-0000-0000571E0000}"/>
    <cellStyle name="Normal 157 2" xfId="26065" xr:uid="{9F700135-E455-4EC4-87DF-BDE2D6267B8B}"/>
    <cellStyle name="Normal 157 2 2" xfId="41028" xr:uid="{6AF922EB-0AEB-4E6B-AD23-74AB24E816D8}"/>
    <cellStyle name="Normal 157 3" xfId="33433" xr:uid="{29AF254A-3C9D-4030-9599-4EE539E5EC7F}"/>
    <cellStyle name="Normal 158" xfId="10562" xr:uid="{00000000-0005-0000-0000-0000581E0000}"/>
    <cellStyle name="Normal 158 2" xfId="26066" xr:uid="{4A0C0B36-AE8E-46B0-8E39-C1C3FD9D86FE}"/>
    <cellStyle name="Normal 158 2 2" xfId="41029" xr:uid="{1635E563-163C-4B9C-B9E3-6D1FE1A8D538}"/>
    <cellStyle name="Normal 158 3" xfId="33434" xr:uid="{0918F5A3-3C2C-4C50-BA52-0BDD5504ECAE}"/>
    <cellStyle name="Normal 159" xfId="10563" xr:uid="{00000000-0005-0000-0000-0000591E0000}"/>
    <cellStyle name="Normal 159 2" xfId="26067" xr:uid="{3E17A0F8-189E-4B44-8D06-87B3FC8B5EF7}"/>
    <cellStyle name="Normal 159 2 2" xfId="41030" xr:uid="{53FA4568-9381-4428-BE07-7358F5EB1AC5}"/>
    <cellStyle name="Normal 159 3" xfId="33435" xr:uid="{C431575B-BF36-4A2D-B304-C159549FBEA7}"/>
    <cellStyle name="Normal 16" xfId="613" xr:uid="{00000000-0005-0000-0000-0000FC010000}"/>
    <cellStyle name="Normal 16 10" xfId="10564" xr:uid="{00000000-0005-0000-0000-00005B1E0000}"/>
    <cellStyle name="Normal 16 10 2" xfId="26068" xr:uid="{1E2AD326-C2D3-48AB-ACB1-20405D01750F}"/>
    <cellStyle name="Normal 16 10 2 2" xfId="41031" xr:uid="{E9AE345D-4F96-49B8-A958-F5D65A7E2496}"/>
    <cellStyle name="Normal 16 10 3" xfId="33436" xr:uid="{E572949D-0103-4B7D-B098-521CA568FA36}"/>
    <cellStyle name="Normal 16 2" xfId="614" xr:uid="{00000000-0005-0000-0000-0000FD010000}"/>
    <cellStyle name="Normal 16 2 2" xfId="10565" xr:uid="{00000000-0005-0000-0000-00005D1E0000}"/>
    <cellStyle name="Normal 16 2 2 2" xfId="10566" xr:uid="{00000000-0005-0000-0000-00005E1E0000}"/>
    <cellStyle name="Normal 16 2 3" xfId="10567" xr:uid="{00000000-0005-0000-0000-00005F1E0000}"/>
    <cellStyle name="Normal 16 2 4" xfId="10568" xr:uid="{00000000-0005-0000-0000-0000601E0000}"/>
    <cellStyle name="Normal 16 2 5" xfId="5385" xr:uid="{00000000-0005-0000-0000-00005C1E0000}"/>
    <cellStyle name="Normal 16 3" xfId="10569" xr:uid="{00000000-0005-0000-0000-0000611E0000}"/>
    <cellStyle name="Normal 16 3 2" xfId="10570" xr:uid="{00000000-0005-0000-0000-0000621E0000}"/>
    <cellStyle name="Normal 16 4" xfId="10571" xr:uid="{00000000-0005-0000-0000-0000631E0000}"/>
    <cellStyle name="Normal 16 4 2" xfId="10572" xr:uid="{00000000-0005-0000-0000-0000641E0000}"/>
    <cellStyle name="Normal 16 5" xfId="10573" xr:uid="{00000000-0005-0000-0000-0000651E0000}"/>
    <cellStyle name="Normal 16 5 2" xfId="10574" xr:uid="{00000000-0005-0000-0000-0000661E0000}"/>
    <cellStyle name="Normal 16 5 2 2" xfId="10575" xr:uid="{00000000-0005-0000-0000-0000671E0000}"/>
    <cellStyle name="Normal 16 5 2 2 2" xfId="10576" xr:uid="{00000000-0005-0000-0000-0000681E0000}"/>
    <cellStyle name="Normal 16 5 2 2 2 2" xfId="26072" xr:uid="{0F0C951F-6297-485E-A6F3-B2A2C6FB025F}"/>
    <cellStyle name="Normal 16 5 2 2 2 2 2" xfId="41035" xr:uid="{CEC9261A-B627-4C7C-9B6C-DBABE80D72CC}"/>
    <cellStyle name="Normal 16 5 2 2 2 3" xfId="33440" xr:uid="{5E6DAB7C-7440-4880-8AF9-C46AA9B93397}"/>
    <cellStyle name="Normal 16 5 2 2 3" xfId="10577" xr:uid="{00000000-0005-0000-0000-0000691E0000}"/>
    <cellStyle name="Normal 16 5 2 2 3 2" xfId="26073" xr:uid="{6BC407DA-84EB-4313-9031-580FB256BE91}"/>
    <cellStyle name="Normal 16 5 2 2 3 2 2" xfId="41036" xr:uid="{437D9688-A85E-468E-8008-250D7CA73467}"/>
    <cellStyle name="Normal 16 5 2 2 3 3" xfId="33441" xr:uid="{CFF61246-F919-4DF4-95DB-A73DED68B9BB}"/>
    <cellStyle name="Normal 16 5 2 2 4" xfId="26071" xr:uid="{1791913E-8704-43F0-BB94-9AA470F42C2C}"/>
    <cellStyle name="Normal 16 5 2 2 4 2" xfId="41034" xr:uid="{D9FEE46B-A9B2-487B-99FD-F548D07A87A2}"/>
    <cellStyle name="Normal 16 5 2 2 5" xfId="33439" xr:uid="{A9525727-5F9A-4E0C-9801-37779729AE8A}"/>
    <cellStyle name="Normal 16 5 2 3" xfId="10578" xr:uid="{00000000-0005-0000-0000-00006A1E0000}"/>
    <cellStyle name="Normal 16 5 2 3 2" xfId="26074" xr:uid="{BBCE6B11-CE5B-4924-97A2-170D8F834669}"/>
    <cellStyle name="Normal 16 5 2 3 2 2" xfId="41037" xr:uid="{675CBF29-A223-4514-8031-5A09A695969F}"/>
    <cellStyle name="Normal 16 5 2 3 3" xfId="33442" xr:uid="{48279439-C3BB-4580-A853-00154EABD2E1}"/>
    <cellStyle name="Normal 16 5 2 4" xfId="10579" xr:uid="{00000000-0005-0000-0000-00006B1E0000}"/>
    <cellStyle name="Normal 16 5 2 4 2" xfId="26075" xr:uid="{C932E528-823D-4AF8-B7C1-64816EA4D2AC}"/>
    <cellStyle name="Normal 16 5 2 4 2 2" xfId="41038" xr:uid="{98114114-BB93-47DA-9E40-545A7819C40C}"/>
    <cellStyle name="Normal 16 5 2 4 3" xfId="33443" xr:uid="{4C615AB9-EA73-4A6C-8BF7-482E18260829}"/>
    <cellStyle name="Normal 16 5 2 5" xfId="26070" xr:uid="{1E2CCFA2-431F-4FDC-B344-D25FABA70FB3}"/>
    <cellStyle name="Normal 16 5 2 5 2" xfId="41033" xr:uid="{BEFB6AE0-BC3C-4799-AF52-C3C99EB6C14D}"/>
    <cellStyle name="Normal 16 5 2 6" xfId="33438" xr:uid="{A697008D-6D28-46FE-9EAF-23C7E3F51E2F}"/>
    <cellStyle name="Normal 16 5 3" xfId="10580" xr:uid="{00000000-0005-0000-0000-00006C1E0000}"/>
    <cellStyle name="Normal 16 5 3 2" xfId="10581" xr:uid="{00000000-0005-0000-0000-00006D1E0000}"/>
    <cellStyle name="Normal 16 5 3 2 2" xfId="26077" xr:uid="{6D6C84A2-8951-40F2-B80D-FFCABC05A07C}"/>
    <cellStyle name="Normal 16 5 3 2 2 2" xfId="41040" xr:uid="{BA46A965-C580-448F-868C-89286E516C16}"/>
    <cellStyle name="Normal 16 5 3 2 3" xfId="33445" xr:uid="{AEAD6D47-7FBF-42A7-9A61-ED6C83DBCAD5}"/>
    <cellStyle name="Normal 16 5 3 3" xfId="10582" xr:uid="{00000000-0005-0000-0000-00006E1E0000}"/>
    <cellStyle name="Normal 16 5 3 3 2" xfId="26078" xr:uid="{0FAADF8A-D32F-44BC-8FDA-79511F0B4BB6}"/>
    <cellStyle name="Normal 16 5 3 3 2 2" xfId="41041" xr:uid="{17AA7DA0-F563-4EF6-BE59-9DE1BF0EFB9B}"/>
    <cellStyle name="Normal 16 5 3 3 3" xfId="33446" xr:uid="{1FB0C590-D38B-418C-84AB-5F48DD26B5CD}"/>
    <cellStyle name="Normal 16 5 3 4" xfId="26076" xr:uid="{D130F723-5E2B-4339-BD90-47C808AF64B9}"/>
    <cellStyle name="Normal 16 5 3 4 2" xfId="41039" xr:uid="{DB2F1CCB-747B-480F-B0B6-CF897AEFB826}"/>
    <cellStyle name="Normal 16 5 3 5" xfId="33444" xr:uid="{0D347AB0-8E7B-42A2-9A52-38840C1710C2}"/>
    <cellStyle name="Normal 16 5 4" xfId="10583" xr:uid="{00000000-0005-0000-0000-00006F1E0000}"/>
    <cellStyle name="Normal 16 5 4 2" xfId="26079" xr:uid="{9DBD06FE-C97E-4027-8898-D767700C72B1}"/>
    <cellStyle name="Normal 16 5 4 2 2" xfId="41042" xr:uid="{F56B10CA-1118-41C9-8F35-49D884874BF8}"/>
    <cellStyle name="Normal 16 5 4 3" xfId="33447" xr:uid="{F661481C-032D-4D9D-8DE6-7DC0FEBA490C}"/>
    <cellStyle name="Normal 16 5 5" xfId="10584" xr:uid="{00000000-0005-0000-0000-0000701E0000}"/>
    <cellStyle name="Normal 16 5 5 2" xfId="26080" xr:uid="{84EBF53B-5DFE-48CC-943B-85539DFDF0C2}"/>
    <cellStyle name="Normal 16 5 5 2 2" xfId="41043" xr:uid="{38682595-EA2E-48DC-88CC-92BB5C345959}"/>
    <cellStyle name="Normal 16 5 5 3" xfId="33448" xr:uid="{92CAD1BF-FC77-40AC-B491-BB6533B48D61}"/>
    <cellStyle name="Normal 16 5 6" xfId="26069" xr:uid="{5B57252A-B317-4F96-BBB4-BFD07AAC4A06}"/>
    <cellStyle name="Normal 16 5 6 2" xfId="41032" xr:uid="{E63AA88F-FF39-4EAD-9763-F9B638621C2F}"/>
    <cellStyle name="Normal 16 5 7" xfId="33437" xr:uid="{7BD582EF-7C84-4034-9690-DEC7FE652C93}"/>
    <cellStyle name="Normal 16 6" xfId="10585" xr:uid="{00000000-0005-0000-0000-0000711E0000}"/>
    <cellStyle name="Normal 16 6 2" xfId="10586" xr:uid="{00000000-0005-0000-0000-0000721E0000}"/>
    <cellStyle name="Normal 16 6 2 2" xfId="10587" xr:uid="{00000000-0005-0000-0000-0000731E0000}"/>
    <cellStyle name="Normal 16 6 2 2 2" xfId="26083" xr:uid="{E9C14A6E-F3D7-4C29-AD3C-9DBF96963172}"/>
    <cellStyle name="Normal 16 6 2 2 2 2" xfId="41046" xr:uid="{59C99342-A995-4F6B-8C5D-C77B2BFF8C1E}"/>
    <cellStyle name="Normal 16 6 2 2 3" xfId="33451" xr:uid="{34830BA6-2074-456B-9083-DC54E64E625F}"/>
    <cellStyle name="Normal 16 6 2 3" xfId="10588" xr:uid="{00000000-0005-0000-0000-0000741E0000}"/>
    <cellStyle name="Normal 16 6 2 3 2" xfId="26084" xr:uid="{98F0293C-CC0D-45B3-9AD2-646EAB090236}"/>
    <cellStyle name="Normal 16 6 2 3 2 2" xfId="41047" xr:uid="{49E56BA8-9258-416C-BE66-4AF75B2A45FA}"/>
    <cellStyle name="Normal 16 6 2 3 3" xfId="33452" xr:uid="{2D907613-91EF-4755-91AB-FC17B45FCC90}"/>
    <cellStyle name="Normal 16 6 2 4" xfId="26082" xr:uid="{84F4ED3A-0DB6-4FC2-9776-994D3E85355F}"/>
    <cellStyle name="Normal 16 6 2 4 2" xfId="41045" xr:uid="{391D3141-45DF-4A49-9A1C-51212F75D0BD}"/>
    <cellStyle name="Normal 16 6 2 5" xfId="33450" xr:uid="{3D85CD1D-EBE7-4B51-A252-421C10CEE614}"/>
    <cellStyle name="Normal 16 6 3" xfId="10589" xr:uid="{00000000-0005-0000-0000-0000751E0000}"/>
    <cellStyle name="Normal 16 6 3 2" xfId="26085" xr:uid="{47FFDA45-2E79-422B-B1E5-A867EF7DE520}"/>
    <cellStyle name="Normal 16 6 3 2 2" xfId="41048" xr:uid="{92D72BB4-C54F-490D-A7F4-4A23B62CEC14}"/>
    <cellStyle name="Normal 16 6 3 3" xfId="33453" xr:uid="{6100C25D-7931-4443-90A6-F591B9ED9667}"/>
    <cellStyle name="Normal 16 6 4" xfId="10590" xr:uid="{00000000-0005-0000-0000-0000761E0000}"/>
    <cellStyle name="Normal 16 6 4 2" xfId="26086" xr:uid="{B2D2BA1E-7593-45D9-89BD-841659F54997}"/>
    <cellStyle name="Normal 16 6 4 2 2" xfId="41049" xr:uid="{E119D6F1-0AA4-4705-882E-B327A9B4E3DE}"/>
    <cellStyle name="Normal 16 6 4 3" xfId="33454" xr:uid="{C57A8007-CEED-43DE-8903-4DFF0515911B}"/>
    <cellStyle name="Normal 16 6 5" xfId="26081" xr:uid="{FB525905-C0FF-4784-AE0C-C840E4B6E16D}"/>
    <cellStyle name="Normal 16 6 5 2" xfId="41044" xr:uid="{9BC79B8F-41B1-4C36-A389-FA89C71757CB}"/>
    <cellStyle name="Normal 16 6 6" xfId="33449" xr:uid="{AEDDFACD-F35D-4AD2-A35D-5B093B8F3CD4}"/>
    <cellStyle name="Normal 16 7" xfId="10591" xr:uid="{00000000-0005-0000-0000-0000771E0000}"/>
    <cellStyle name="Normal 16 8" xfId="10592" xr:uid="{00000000-0005-0000-0000-0000781E0000}"/>
    <cellStyle name="Normal 16 8 2" xfId="10593" xr:uid="{00000000-0005-0000-0000-0000791E0000}"/>
    <cellStyle name="Normal 16 8 2 2" xfId="26087" xr:uid="{1411BC9C-18F5-4D93-8686-02EAB76B7BCB}"/>
    <cellStyle name="Normal 16 8 2 2 2" xfId="41050" xr:uid="{AF6A6AA8-AC8A-4867-9D92-28D1E416CE45}"/>
    <cellStyle name="Normal 16 8 2 3" xfId="33455" xr:uid="{26140FB2-B994-4027-95E9-D9A17655457A}"/>
    <cellStyle name="Normal 16 9" xfId="10594" xr:uid="{00000000-0005-0000-0000-00007A1E0000}"/>
    <cellStyle name="Normal 16 9 2" xfId="26088" xr:uid="{D1017EBA-D52D-4425-A39F-0E41716A08FC}"/>
    <cellStyle name="Normal 16 9 2 2" xfId="41051" xr:uid="{6967354A-4A9F-4FEA-BADC-00721D0A9F89}"/>
    <cellStyle name="Normal 16 9 3" xfId="33456" xr:uid="{1C0F2313-3541-4D41-8B64-E6C31DA46BA7}"/>
    <cellStyle name="Normal 16_App b.3 Unspent_" xfId="615" xr:uid="{00000000-0005-0000-0000-0000FE010000}"/>
    <cellStyle name="Normal 160" xfId="10595" xr:uid="{00000000-0005-0000-0000-00007B1E0000}"/>
    <cellStyle name="Normal 160 2" xfId="26089" xr:uid="{F43E9F61-A814-4741-8A08-AD3BCFD547B1}"/>
    <cellStyle name="Normal 160 2 2" xfId="41052" xr:uid="{880D618F-2366-4FE8-B2DE-CE85409DCA01}"/>
    <cellStyle name="Normal 160 3" xfId="33457" xr:uid="{5EF53327-A7D1-4777-8FF7-8E1E7DAA8A85}"/>
    <cellStyle name="Normal 161" xfId="10596" xr:uid="{00000000-0005-0000-0000-00007C1E0000}"/>
    <cellStyle name="Normal 161 2" xfId="26090" xr:uid="{2F920DC7-8C51-4DE8-8E7C-95AAD4FB67EE}"/>
    <cellStyle name="Normal 161 2 2" xfId="41053" xr:uid="{966A9FF4-1DD0-4DB8-A484-A748613F2922}"/>
    <cellStyle name="Normal 161 3" xfId="33458" xr:uid="{3E4164F7-BAE9-4926-A873-5E29D55EED2E}"/>
    <cellStyle name="Normal 162" xfId="10597" xr:uid="{00000000-0005-0000-0000-00007D1E0000}"/>
    <cellStyle name="Normal 162 2" xfId="26091" xr:uid="{0FA07043-C840-451E-9412-06E8E042C859}"/>
    <cellStyle name="Normal 162 2 2" xfId="41054" xr:uid="{4F0B3F56-AF29-4051-B733-E2C492B21DF0}"/>
    <cellStyle name="Normal 162 3" xfId="33459" xr:uid="{317DFF4F-8C86-4115-BA81-5FF8E4140CFA}"/>
    <cellStyle name="Normal 163" xfId="10598" xr:uid="{00000000-0005-0000-0000-00007E1E0000}"/>
    <cellStyle name="Normal 163 2" xfId="26092" xr:uid="{FB56CA0E-427A-42B7-96A8-A2C61A79084C}"/>
    <cellStyle name="Normal 163 2 2" xfId="41055" xr:uid="{8E5F151E-93F3-454D-850C-06E2AA2B1755}"/>
    <cellStyle name="Normal 163 3" xfId="33460" xr:uid="{43F64F27-6632-4919-8F6C-395308DDAD2F}"/>
    <cellStyle name="Normal 164" xfId="10599" xr:uid="{00000000-0005-0000-0000-00007F1E0000}"/>
    <cellStyle name="Normal 164 2" xfId="26093" xr:uid="{47DDE7A0-21F9-4E54-9E62-8663CBA741FA}"/>
    <cellStyle name="Normal 164 2 2" xfId="41056" xr:uid="{3ED5E56A-12BF-4CE3-AC44-4515A1396B88}"/>
    <cellStyle name="Normal 164 3" xfId="33461" xr:uid="{DDF4FE85-3F8B-43C0-88C1-F065E91E935C}"/>
    <cellStyle name="Normal 165" xfId="5275" xr:uid="{00000000-0005-0000-0000-0000801E0000}"/>
    <cellStyle name="Normal 165 2" xfId="23166" xr:uid="{0C73F427-94E2-4E6A-8BF3-A54FF349C9B9}"/>
    <cellStyle name="Normal 165 2 2" xfId="38142" xr:uid="{F8C102AA-1BF3-4C50-AE27-EE34C0DD6DD0}"/>
    <cellStyle name="Normal 165 3" xfId="30538" xr:uid="{47C64C8F-ADE4-4145-9793-ACDE7AA94B90}"/>
    <cellStyle name="Normal 165 3 4" xfId="10600" xr:uid="{00000000-0005-0000-0000-0000811E0000}"/>
    <cellStyle name="Normal 165 3 4 2" xfId="26094" xr:uid="{D44DBA33-0DD0-4591-B658-501C46F2BC7C}"/>
    <cellStyle name="Normal 165 3 4 2 2" xfId="41057" xr:uid="{A7C566EA-5480-4663-8236-2032682CB7CF}"/>
    <cellStyle name="Normal 165 3 4 3" xfId="33462" xr:uid="{530BCE48-2F31-4DE3-8052-2BBAF4709A9D}"/>
    <cellStyle name="Normal 166" xfId="10601" xr:uid="{00000000-0005-0000-0000-0000821E0000}"/>
    <cellStyle name="Normal 166 2" xfId="26095" xr:uid="{BADB56F2-0055-4648-B916-76F9E2A87AF4}"/>
    <cellStyle name="Normal 166 2 2" xfId="41058" xr:uid="{FE14A982-4221-4503-ACD5-40C52A46DE94}"/>
    <cellStyle name="Normal 166 3" xfId="33463" xr:uid="{4680D6A9-02CF-4538-BAC2-1B10F1E984F1}"/>
    <cellStyle name="Normal 167" xfId="10602" xr:uid="{00000000-0005-0000-0000-0000831E0000}"/>
    <cellStyle name="Normal 167 2" xfId="26096" xr:uid="{9D4AB435-185C-4621-83C5-524205AB29C4}"/>
    <cellStyle name="Normal 167 2 2" xfId="41059" xr:uid="{6C009605-A78C-4556-8929-D9C26BB0E655}"/>
    <cellStyle name="Normal 167 3" xfId="33464" xr:uid="{77C7ED92-74A9-4848-87B8-24853AEB56A1}"/>
    <cellStyle name="Normal 168" xfId="5274" xr:uid="{00000000-0005-0000-0000-0000841E0000}"/>
    <cellStyle name="Normal 168 2" xfId="23165" xr:uid="{5A8D888A-E64E-47C9-92CF-9DA772F794D7}"/>
    <cellStyle name="Normal 168 2 2" xfId="38141" xr:uid="{83D71470-2A13-4D2F-A62E-EFAFCB228F64}"/>
    <cellStyle name="Normal 168 3" xfId="30537" xr:uid="{508BB6F5-9096-44A4-879C-0D34D7933481}"/>
    <cellStyle name="Normal 169" xfId="10603" xr:uid="{00000000-0005-0000-0000-0000851E0000}"/>
    <cellStyle name="Normal 169 2" xfId="26097" xr:uid="{8BAB90DC-B07E-4D37-9891-FD67ED09A2A6}"/>
    <cellStyle name="Normal 169 2 2" xfId="41060" xr:uid="{1176FB8D-C786-4326-BA17-B31532D57E54}"/>
    <cellStyle name="Normal 169 3" xfId="33465" xr:uid="{63ED4047-8384-4307-AE86-C0F2E96FCEA8}"/>
    <cellStyle name="Normal 17" xfId="616" xr:uid="{00000000-0005-0000-0000-0000FF010000}"/>
    <cellStyle name="Normal 17 2" xfId="617" xr:uid="{00000000-0005-0000-0000-000000020000}"/>
    <cellStyle name="Normal 17 2 2" xfId="10604" xr:uid="{00000000-0005-0000-0000-0000881E0000}"/>
    <cellStyle name="Normal 17 2 2 2" xfId="10605" xr:uid="{00000000-0005-0000-0000-0000891E0000}"/>
    <cellStyle name="Normal 17 2 2 2 2" xfId="26098" xr:uid="{E74BC877-1AD9-48FF-9E49-CBF7BE891E0F}"/>
    <cellStyle name="Normal 17 2 2 2 2 2" xfId="41061" xr:uid="{1CD5FCB1-58E1-452B-B6CC-7F3E88898AAF}"/>
    <cellStyle name="Normal 17 2 2 2 3" xfId="33466" xr:uid="{1536AC58-C9C5-495E-B92A-F6E022836614}"/>
    <cellStyle name="Normal 17 2 3" xfId="10606" xr:uid="{00000000-0005-0000-0000-00008A1E0000}"/>
    <cellStyle name="Normal 17 2 4" xfId="5383" xr:uid="{00000000-0005-0000-0000-0000871E0000}"/>
    <cellStyle name="Normal 17 3" xfId="5382" xr:uid="{00000000-0005-0000-0000-00008B1E0000}"/>
    <cellStyle name="Normal 17 3 2" xfId="10607" xr:uid="{00000000-0005-0000-0000-00008C1E0000}"/>
    <cellStyle name="Normal 17 3 2 2" xfId="10608" xr:uid="{00000000-0005-0000-0000-00008D1E0000}"/>
    <cellStyle name="Normal 17 3 2 2 2" xfId="10609" xr:uid="{00000000-0005-0000-0000-00008E1E0000}"/>
    <cellStyle name="Normal 17 3 2 2 2 2" xfId="26101" xr:uid="{A3DCE535-2BED-441B-8D67-EB75F59F84D3}"/>
    <cellStyle name="Normal 17 3 2 2 2 2 2" xfId="41064" xr:uid="{15758848-D765-447A-A2D6-EF477768E6EB}"/>
    <cellStyle name="Normal 17 3 2 2 2 3" xfId="33469" xr:uid="{A276A9FA-E6D3-4346-A881-E87165B0BCC2}"/>
    <cellStyle name="Normal 17 3 2 2 3" xfId="10610" xr:uid="{00000000-0005-0000-0000-00008F1E0000}"/>
    <cellStyle name="Normal 17 3 2 2 3 2" xfId="26102" xr:uid="{80DE5B5A-6087-48E8-B8CF-3AFB35858435}"/>
    <cellStyle name="Normal 17 3 2 2 3 2 2" xfId="41065" xr:uid="{4220EA95-0A7A-458F-BBDB-DD381160CF63}"/>
    <cellStyle name="Normal 17 3 2 2 3 3" xfId="33470" xr:uid="{1A847066-975C-4D3F-B58F-EA6D94B581BF}"/>
    <cellStyle name="Normal 17 3 2 2 4" xfId="26100" xr:uid="{A706B607-E96B-462A-BB75-B297F30321FB}"/>
    <cellStyle name="Normal 17 3 2 2 4 2" xfId="41063" xr:uid="{18368761-C4F1-4CB5-B91B-3D1C013634F3}"/>
    <cellStyle name="Normal 17 3 2 2 5" xfId="33468" xr:uid="{8260F63D-F930-44CB-9501-FFBB200E2053}"/>
    <cellStyle name="Normal 17 3 2 3" xfId="10611" xr:uid="{00000000-0005-0000-0000-0000901E0000}"/>
    <cellStyle name="Normal 17 3 2 3 2" xfId="26103" xr:uid="{521BBACE-81A0-431D-A58F-7B5773AE9D05}"/>
    <cellStyle name="Normal 17 3 2 3 2 2" xfId="41066" xr:uid="{BB91E765-F192-4E4C-AB18-B9418C97E538}"/>
    <cellStyle name="Normal 17 3 2 3 3" xfId="33471" xr:uid="{CB3813E6-6FF9-4F1F-AD96-9E1E1110A061}"/>
    <cellStyle name="Normal 17 3 2 4" xfId="10612" xr:uid="{00000000-0005-0000-0000-0000911E0000}"/>
    <cellStyle name="Normal 17 3 2 4 2" xfId="26104" xr:uid="{6AACC126-B7EF-4E3E-A72B-71DC9279F39A}"/>
    <cellStyle name="Normal 17 3 2 4 2 2" xfId="41067" xr:uid="{29D6AE3F-0AD4-453D-8F24-F8DC523B7CA0}"/>
    <cellStyle name="Normal 17 3 2 4 3" xfId="33472" xr:uid="{B736BD41-45B8-4AF2-86F2-20F339B2D995}"/>
    <cellStyle name="Normal 17 3 2 5" xfId="26099" xr:uid="{CBE20EF3-CDAC-4B1E-8610-DCE1BFD8E0EA}"/>
    <cellStyle name="Normal 17 3 2 5 2" xfId="41062" xr:uid="{0C3332F0-44CB-42DE-BD21-2390CEEE71FF}"/>
    <cellStyle name="Normal 17 3 2 6" xfId="33467" xr:uid="{57CA41D5-E64B-43E7-8480-7A438B8E83B9}"/>
    <cellStyle name="Normal 17 3 3" xfId="10613" xr:uid="{00000000-0005-0000-0000-0000921E0000}"/>
    <cellStyle name="Normal 17 3 3 2" xfId="10614" xr:uid="{00000000-0005-0000-0000-0000931E0000}"/>
    <cellStyle name="Normal 17 3 3 2 2" xfId="26106" xr:uid="{9F764040-B249-4BBA-AE1C-9A2C19100684}"/>
    <cellStyle name="Normal 17 3 3 2 2 2" xfId="41069" xr:uid="{0D8E41D9-3251-490D-B52A-2003A6401330}"/>
    <cellStyle name="Normal 17 3 3 2 3" xfId="33474" xr:uid="{4CCDF289-6B22-4EE5-8872-7D307620672E}"/>
    <cellStyle name="Normal 17 3 3 3" xfId="10615" xr:uid="{00000000-0005-0000-0000-0000941E0000}"/>
    <cellStyle name="Normal 17 3 3 3 2" xfId="26107" xr:uid="{A2FC8871-5D99-4D76-9F6A-D62839B07A69}"/>
    <cellStyle name="Normal 17 3 3 3 2 2" xfId="41070" xr:uid="{4195FA8E-C76B-45F3-B268-EBD841918C41}"/>
    <cellStyle name="Normal 17 3 3 3 3" xfId="33475" xr:uid="{0093C0D2-A803-4F40-9ABA-1661A9B96BC4}"/>
    <cellStyle name="Normal 17 3 3 4" xfId="26105" xr:uid="{EAD945AD-714F-4407-B7E7-1E3E4F0F6C8E}"/>
    <cellStyle name="Normal 17 3 3 4 2" xfId="41068" xr:uid="{E4A53775-EA13-4E9F-A936-263904FB7371}"/>
    <cellStyle name="Normal 17 3 3 5" xfId="33473" xr:uid="{1322821F-EEFF-4DCB-A617-C48AF140F3B3}"/>
    <cellStyle name="Normal 17 3 4" xfId="10616" xr:uid="{00000000-0005-0000-0000-0000951E0000}"/>
    <cellStyle name="Normal 17 3 4 2" xfId="26108" xr:uid="{E446BB2B-F75B-4DEA-AD22-5FFE869ABABC}"/>
    <cellStyle name="Normal 17 3 4 2 2" xfId="41071" xr:uid="{CC830CD3-31FF-4BBB-8A0D-570BD7D9D00A}"/>
    <cellStyle name="Normal 17 3 4 3" xfId="33476" xr:uid="{9EEF030F-EFFF-4131-843A-A6E994F0AE69}"/>
    <cellStyle name="Normal 17 3 5" xfId="10617" xr:uid="{00000000-0005-0000-0000-0000961E0000}"/>
    <cellStyle name="Normal 17 3 5 2" xfId="26109" xr:uid="{EA971A82-C126-420B-A2E7-5D38E60EC3EE}"/>
    <cellStyle name="Normal 17 3 5 2 2" xfId="41072" xr:uid="{417E90B5-9C16-41A0-B04A-C94643F42679}"/>
    <cellStyle name="Normal 17 3 5 3" xfId="33477" xr:uid="{0195C8DB-B9D3-45C6-92AD-72616E8877D2}"/>
    <cellStyle name="Normal 17 3 6" xfId="10618" xr:uid="{00000000-0005-0000-0000-0000971E0000}"/>
    <cellStyle name="Normal 17 4" xfId="5381" xr:uid="{00000000-0005-0000-0000-0000981E0000}"/>
    <cellStyle name="Normal 17 4 2" xfId="10619" xr:uid="{00000000-0005-0000-0000-0000991E0000}"/>
    <cellStyle name="Normal 17 4 3" xfId="10620" xr:uid="{00000000-0005-0000-0000-00009A1E0000}"/>
    <cellStyle name="Normal 17 5" xfId="10621" xr:uid="{00000000-0005-0000-0000-00009B1E0000}"/>
    <cellStyle name="Normal 17 5 2" xfId="10622" xr:uid="{00000000-0005-0000-0000-00009C1E0000}"/>
    <cellStyle name="Normal 17 5 2 2" xfId="10623" xr:uid="{00000000-0005-0000-0000-00009D1E0000}"/>
    <cellStyle name="Normal 17 5 2 2 2" xfId="26112" xr:uid="{B6EDFDB7-F027-4BFC-81F6-D997E8F16C42}"/>
    <cellStyle name="Normal 17 5 2 2 2 2" xfId="41075" xr:uid="{C228B3C8-F981-473B-849F-20260ADEA692}"/>
    <cellStyle name="Normal 17 5 2 2 3" xfId="33480" xr:uid="{AB947437-2CF2-4D89-BE4A-B5693AA7815D}"/>
    <cellStyle name="Normal 17 5 2 3" xfId="10624" xr:uid="{00000000-0005-0000-0000-00009E1E0000}"/>
    <cellStyle name="Normal 17 5 2 3 2" xfId="26113" xr:uid="{AF258C08-2517-4952-9857-D95AE20B2025}"/>
    <cellStyle name="Normal 17 5 2 3 2 2" xfId="41076" xr:uid="{9C1AC6EB-DE76-42F0-BB9D-18B4CD2AE91E}"/>
    <cellStyle name="Normal 17 5 2 3 3" xfId="33481" xr:uid="{E83C7FD9-9BBB-4E0B-9A4F-7EC4BA8C773C}"/>
    <cellStyle name="Normal 17 5 2 4" xfId="26111" xr:uid="{55A2A29B-18EB-49DC-B42E-0FE35CC2F4F2}"/>
    <cellStyle name="Normal 17 5 2 4 2" xfId="41074" xr:uid="{3BB43ADE-BF30-4A93-8161-1ED54DE83B08}"/>
    <cellStyle name="Normal 17 5 2 5" xfId="33479" xr:uid="{671EEFAC-D15A-41C7-B590-84CB8B735B32}"/>
    <cellStyle name="Normal 17 5 3" xfId="10625" xr:uid="{00000000-0005-0000-0000-00009F1E0000}"/>
    <cellStyle name="Normal 17 5 3 2" xfId="26114" xr:uid="{CA26BE88-763E-4A47-9C91-222B405C4BE5}"/>
    <cellStyle name="Normal 17 5 3 2 2" xfId="41077" xr:uid="{76835B0E-B7A7-4DDB-A39F-136740F0D4B7}"/>
    <cellStyle name="Normal 17 5 3 3" xfId="33482" xr:uid="{903F790A-E303-4632-AFB2-6741442319AE}"/>
    <cellStyle name="Normal 17 5 4" xfId="10626" xr:uid="{00000000-0005-0000-0000-0000A01E0000}"/>
    <cellStyle name="Normal 17 5 4 2" xfId="26115" xr:uid="{DEF2B48B-09E6-48B4-842F-43E96509F273}"/>
    <cellStyle name="Normal 17 5 4 2 2" xfId="41078" xr:uid="{6AB09197-27E7-4B54-864F-DA27C3144607}"/>
    <cellStyle name="Normal 17 5 4 3" xfId="33483" xr:uid="{240DB7FE-C16B-4FCA-A7CF-8244968813BC}"/>
    <cellStyle name="Normal 17 5 5" xfId="10627" xr:uid="{00000000-0005-0000-0000-0000A11E0000}"/>
    <cellStyle name="Normal 17 5 6" xfId="26110" xr:uid="{92A07796-13CA-4BD4-A129-CBDF4EC06E4B}"/>
    <cellStyle name="Normal 17 5 6 2" xfId="41073" xr:uid="{76D826DF-1B54-4A90-AB41-41E87C6AA1E5}"/>
    <cellStyle name="Normal 17 5 7" xfId="33478" xr:uid="{CEC70A67-3EFB-4325-BD7F-E9F73269F0D0}"/>
    <cellStyle name="Normal 17 6" xfId="10628" xr:uid="{00000000-0005-0000-0000-0000A21E0000}"/>
    <cellStyle name="Normal 17 7" xfId="10629" xr:uid="{00000000-0005-0000-0000-0000A31E0000}"/>
    <cellStyle name="Normal 17 7 2" xfId="26116" xr:uid="{B52BC20D-90DA-4FF9-95C7-DC139063BC66}"/>
    <cellStyle name="Normal 17 7 2 2" xfId="41079" xr:uid="{F99B0E09-CE33-4C63-A291-E4FAFD5605B3}"/>
    <cellStyle name="Normal 17 7 3" xfId="33484" xr:uid="{97B47E31-A118-4F96-9091-1685F59ADBBA}"/>
    <cellStyle name="Normal 17 8" xfId="10630" xr:uid="{00000000-0005-0000-0000-0000A41E0000}"/>
    <cellStyle name="Normal 17 8 2" xfId="10631" xr:uid="{00000000-0005-0000-0000-0000A51E0000}"/>
    <cellStyle name="Normal 17 8 2 2" xfId="26117" xr:uid="{1B4D9E0D-A6C2-4E8F-BF60-561528443EDB}"/>
    <cellStyle name="Normal 17 8 2 2 2" xfId="41080" xr:uid="{1925AFD0-E378-4436-ABD6-1FA660852CDE}"/>
    <cellStyle name="Normal 17 8 2 3" xfId="33485" xr:uid="{9DB785BD-AE56-4C45-A32C-F4794FBA3BFA}"/>
    <cellStyle name="Normal 17 9" xfId="5384" xr:uid="{00000000-0005-0000-0000-0000861E0000}"/>
    <cellStyle name="Normal 17_App b.3 Unspent_" xfId="618" xr:uid="{00000000-0005-0000-0000-000001020000}"/>
    <cellStyle name="Normal 170" xfId="10632" xr:uid="{00000000-0005-0000-0000-0000A61E0000}"/>
    <cellStyle name="Normal 170 2" xfId="26118" xr:uid="{DEB3276C-1CF3-449A-B581-AB919EB8726A}"/>
    <cellStyle name="Normal 170 2 2" xfId="41081" xr:uid="{53F30E26-7F14-4ECD-A991-39368D2DD42B}"/>
    <cellStyle name="Normal 170 3" xfId="33486" xr:uid="{F21958B8-BC35-4A24-9D7E-601B0F01D5F5}"/>
    <cellStyle name="Normal 171" xfId="10633" xr:uid="{00000000-0005-0000-0000-0000A71E0000}"/>
    <cellStyle name="Normal 171 2" xfId="26119" xr:uid="{344E6B5A-01DA-4467-B677-16AF0639D39D}"/>
    <cellStyle name="Normal 171 2 2" xfId="41082" xr:uid="{65B34784-0BCB-46F1-8B85-A1B2FEBA510B}"/>
    <cellStyle name="Normal 171 3" xfId="33487" xr:uid="{A48FD9B3-359A-46AD-869A-CEEDA5BFC21B}"/>
    <cellStyle name="Normal 172" xfId="10634" xr:uid="{00000000-0005-0000-0000-0000A81E0000}"/>
    <cellStyle name="Normal 172 2" xfId="26120" xr:uid="{BED3DA72-B549-4835-A4F5-7803EAC0F578}"/>
    <cellStyle name="Normal 172 2 2" xfId="41083" xr:uid="{E9C39BE3-0853-4796-98FF-62A8833EC92D}"/>
    <cellStyle name="Normal 172 3" xfId="33488" xr:uid="{74D576AD-734C-4EA4-B305-F2F447F4B54B}"/>
    <cellStyle name="Normal 173" xfId="10635" xr:uid="{00000000-0005-0000-0000-0000A91E0000}"/>
    <cellStyle name="Normal 173 2" xfId="26121" xr:uid="{C0B90395-5E75-41EC-913B-33D6BEE283EA}"/>
    <cellStyle name="Normal 173 2 2" xfId="41084" xr:uid="{FEABEB73-AC71-4BF0-9DFD-8CF16A220A89}"/>
    <cellStyle name="Normal 173 3" xfId="33489" xr:uid="{39D5A80B-D150-4E1C-8AF6-89563562543D}"/>
    <cellStyle name="Normal 174" xfId="10636" xr:uid="{00000000-0005-0000-0000-0000AA1E0000}"/>
    <cellStyle name="Normal 174 2" xfId="26122" xr:uid="{A0281735-E289-4158-881C-5DBA56D696E3}"/>
    <cellStyle name="Normal 174 2 2" xfId="41085" xr:uid="{9D03796E-1D75-451F-B5E8-3BC488988D1F}"/>
    <cellStyle name="Normal 174 3" xfId="33490" xr:uid="{0E222D14-00AF-4811-8371-42024D10C931}"/>
    <cellStyle name="Normal 175" xfId="10637" xr:uid="{00000000-0005-0000-0000-0000AB1E0000}"/>
    <cellStyle name="Normal 175 2" xfId="26123" xr:uid="{4D13F3D6-E6F7-4609-923F-330368350ED7}"/>
    <cellStyle name="Normal 175 2 2" xfId="41086" xr:uid="{2F95BEB4-619D-45E3-AEFA-C28F57375F32}"/>
    <cellStyle name="Normal 175 3" xfId="33491" xr:uid="{CB8B91E3-05F0-4BFF-8AC0-8815DFF7685D}"/>
    <cellStyle name="Normal 176" xfId="10638" xr:uid="{00000000-0005-0000-0000-0000AC1E0000}"/>
    <cellStyle name="Normal 176 2" xfId="26124" xr:uid="{9DEB34E7-D959-4E32-864A-9F86A8D73A6C}"/>
    <cellStyle name="Normal 176 2 2" xfId="41087" xr:uid="{BA833A57-AACA-49F5-9844-CCB3851D87D8}"/>
    <cellStyle name="Normal 176 3" xfId="33492" xr:uid="{08B58824-A04A-487C-B9E4-D013D23A7560}"/>
    <cellStyle name="Normal 177" xfId="10639" xr:uid="{00000000-0005-0000-0000-0000AD1E0000}"/>
    <cellStyle name="Normal 177 2" xfId="26125" xr:uid="{8484E4B5-7827-4069-ACD9-9151CF7C8936}"/>
    <cellStyle name="Normal 177 2 2" xfId="41088" xr:uid="{625263C0-DE5F-4846-860C-B497CAA0C063}"/>
    <cellStyle name="Normal 177 3" xfId="33493" xr:uid="{29BBCEE2-C2F1-4C2F-B04D-152F94EBC88F}"/>
    <cellStyle name="Normal 178" xfId="10640" xr:uid="{00000000-0005-0000-0000-0000AE1E0000}"/>
    <cellStyle name="Normal 178 2" xfId="26126" xr:uid="{128B509E-122F-4BB4-BC4E-4F5126EC9CC4}"/>
    <cellStyle name="Normal 178 2 2" xfId="41089" xr:uid="{C5B4B4AD-E62A-4A72-AFE8-13E80E3B52EB}"/>
    <cellStyle name="Normal 178 3" xfId="33494" xr:uid="{D463942B-D93D-4174-9E34-AA3F9123BEDA}"/>
    <cellStyle name="Normal 179" xfId="10641" xr:uid="{00000000-0005-0000-0000-0000AF1E0000}"/>
    <cellStyle name="Normal 179 2" xfId="26127" xr:uid="{669BB869-413F-43DB-9211-B4962BF1DF35}"/>
    <cellStyle name="Normal 179 2 2" xfId="41090" xr:uid="{C1326C54-3E28-4782-AD95-1E55EFE230A0}"/>
    <cellStyle name="Normal 179 3" xfId="33495" xr:uid="{C6880E25-1B31-4A8C-87BC-025DF7A71DBD}"/>
    <cellStyle name="Normal 18" xfId="619" xr:uid="{00000000-0005-0000-0000-000002020000}"/>
    <cellStyle name="Normal 18 2" xfId="5606" xr:uid="{00000000-0005-0000-0000-0000B11E0000}"/>
    <cellStyle name="Normal 18 2 2" xfId="10642" xr:uid="{00000000-0005-0000-0000-0000B21E0000}"/>
    <cellStyle name="Normal 18 2 2 2" xfId="26128" xr:uid="{BC02D55E-1811-4DDF-9BEC-AE3306285EF4}"/>
    <cellStyle name="Normal 18 2 2 2 2" xfId="41091" xr:uid="{DFCBF212-A722-4791-BEA7-9A1597818AB5}"/>
    <cellStyle name="Normal 18 2 2 3" xfId="33496" xr:uid="{C18C2292-05DC-4041-83DE-4CA50099F376}"/>
    <cellStyle name="Normal 18 3" xfId="16" xr:uid="{00000000-0005-0000-0000-00000B000000}"/>
    <cellStyle name="Normal 18 3 2" xfId="118" xr:uid="{00000000-0005-0000-0000-00000B000000}"/>
    <cellStyle name="Normal 18 3 2 2" xfId="10644" xr:uid="{00000000-0005-0000-0000-0000B41E0000}"/>
    <cellStyle name="Normal 18 3 2 3" xfId="20665" xr:uid="{513D916A-3E6F-4724-8DFB-C3A6F911D0FC}"/>
    <cellStyle name="Normal 18 3 2 3 2" xfId="35666" xr:uid="{1DB0BC9C-F3F8-4B82-A347-8110A57E1F34}"/>
    <cellStyle name="Normal 18 3 2 4" xfId="27969" xr:uid="{A991B6CD-F9B2-4725-B9D5-8E98DB80CFD1}"/>
    <cellStyle name="Normal 18 3 3" xfId="17" xr:uid="{00000000-0005-0000-0000-00000C000000}"/>
    <cellStyle name="Normal 18 3 3 2" xfId="119" xr:uid="{00000000-0005-0000-0000-00000C000000}"/>
    <cellStyle name="Normal 18 3 3 2 2" xfId="20666" xr:uid="{CDD00B0E-0537-48B1-BFAB-6FF13ACD2964}"/>
    <cellStyle name="Normal 18 3 3 2 2 2" xfId="35667" xr:uid="{76CA478C-ECBF-4828-808C-7D9281310A9F}"/>
    <cellStyle name="Normal 18 3 3 2 3" xfId="27970" xr:uid="{9BB51709-D76C-4139-8175-9A6730CB9188}"/>
    <cellStyle name="Normal 18 3 3 3" xfId="10645" xr:uid="{00000000-0005-0000-0000-0000B51E0000}"/>
    <cellStyle name="Normal 18 3 3 4" xfId="20596" xr:uid="{6A602872-9B98-4C24-9594-6128ECF18D11}"/>
    <cellStyle name="Normal 18 3 3 4 2" xfId="35597" xr:uid="{0C3ECFD1-1224-4EBA-B921-13D7BCE67FD7}"/>
    <cellStyle name="Normal 18 3 3 5" xfId="27900" xr:uid="{1C671565-7286-476F-B0F8-3DEF25D3AD06}"/>
    <cellStyle name="Normal 18 3 4" xfId="10643" xr:uid="{00000000-0005-0000-0000-0000B31E0000}"/>
    <cellStyle name="Normal 18 3 5" xfId="20595" xr:uid="{3A559E72-7859-4859-9E29-26F7D7F6644D}"/>
    <cellStyle name="Normal 18 3 5 2" xfId="35596" xr:uid="{992E786D-C461-46B8-A323-5841127BE22C}"/>
    <cellStyle name="Normal 18 3 6" xfId="27899" xr:uid="{A4F9237C-A4E6-4895-B288-260F8D5EC9DD}"/>
    <cellStyle name="Normal 18 4" xfId="10646" xr:uid="{00000000-0005-0000-0000-0000B61E0000}"/>
    <cellStyle name="Normal 18 4 2" xfId="10647" xr:uid="{00000000-0005-0000-0000-0000B71E0000}"/>
    <cellStyle name="Normal 18 4 2 2" xfId="10648" xr:uid="{00000000-0005-0000-0000-0000B81E0000}"/>
    <cellStyle name="Normal 18 4 2 2 2" xfId="10649" xr:uid="{00000000-0005-0000-0000-0000B91E0000}"/>
    <cellStyle name="Normal 18 4 2 2 2 2" xfId="26132" xr:uid="{270911FB-138B-4ADF-A9A3-886A4D62248F}"/>
    <cellStyle name="Normal 18 4 2 2 2 2 2" xfId="41095" xr:uid="{B405955E-18D1-4BD8-B7F6-955E501744E6}"/>
    <cellStyle name="Normal 18 4 2 2 2 3" xfId="33500" xr:uid="{AC7C2C5E-7B99-4F75-990B-8BB0796C932C}"/>
    <cellStyle name="Normal 18 4 2 2 3" xfId="10650" xr:uid="{00000000-0005-0000-0000-0000BA1E0000}"/>
    <cellStyle name="Normal 18 4 2 2 3 2" xfId="26133" xr:uid="{35F508BC-2633-4C8E-BE8A-66258594FD28}"/>
    <cellStyle name="Normal 18 4 2 2 3 2 2" xfId="41096" xr:uid="{2B2BC513-5FF7-4A61-8CF1-9079A6C28026}"/>
    <cellStyle name="Normal 18 4 2 2 3 3" xfId="33501" xr:uid="{73C99B3A-0CB5-4114-8CCD-8320E09DA4E6}"/>
    <cellStyle name="Normal 18 4 2 2 4" xfId="26131" xr:uid="{78D44A43-FCC2-4980-AE5A-0085E07727A9}"/>
    <cellStyle name="Normal 18 4 2 2 4 2" xfId="41094" xr:uid="{927E54AA-297D-44C1-893D-8E709AFF6D31}"/>
    <cellStyle name="Normal 18 4 2 2 5" xfId="33499" xr:uid="{595E6D57-CC35-49E7-BB1D-BD26A25A85A3}"/>
    <cellStyle name="Normal 18 4 2 3" xfId="10651" xr:uid="{00000000-0005-0000-0000-0000BB1E0000}"/>
    <cellStyle name="Normal 18 4 2 3 2" xfId="26134" xr:uid="{F5105C27-78D0-4DCF-9ED8-87725CAA1B26}"/>
    <cellStyle name="Normal 18 4 2 3 2 2" xfId="41097" xr:uid="{5083DC92-2F79-42BA-A12B-F67352197865}"/>
    <cellStyle name="Normal 18 4 2 3 3" xfId="33502" xr:uid="{9F9F1A86-036E-48DA-84D8-DD58866E694A}"/>
    <cellStyle name="Normal 18 4 2 4" xfId="10652" xr:uid="{00000000-0005-0000-0000-0000BC1E0000}"/>
    <cellStyle name="Normal 18 4 2 4 2" xfId="26135" xr:uid="{4B9C3EBB-A5D7-4BF1-ADD4-E68044417F14}"/>
    <cellStyle name="Normal 18 4 2 4 2 2" xfId="41098" xr:uid="{5DE2718D-AF8F-41A2-A18E-A9F4D54487A4}"/>
    <cellStyle name="Normal 18 4 2 4 3" xfId="33503" xr:uid="{C3DEDF76-43AF-4AA3-A416-2D17BEC18C1B}"/>
    <cellStyle name="Normal 18 4 2 5" xfId="26130" xr:uid="{C957C5AA-6E8E-43AE-A713-2F77626EB7A1}"/>
    <cellStyle name="Normal 18 4 2 5 2" xfId="41093" xr:uid="{F45C4ECD-0F04-46AE-9A17-8215FA7C5702}"/>
    <cellStyle name="Normal 18 4 2 6" xfId="33498" xr:uid="{225D8A10-BCBE-4D73-85E0-90FB5C779122}"/>
    <cellStyle name="Normal 18 4 3" xfId="10653" xr:uid="{00000000-0005-0000-0000-0000BD1E0000}"/>
    <cellStyle name="Normal 18 4 3 2" xfId="10654" xr:uid="{00000000-0005-0000-0000-0000BE1E0000}"/>
    <cellStyle name="Normal 18 4 3 2 2" xfId="26137" xr:uid="{DFA1CBD6-1AE9-4D90-B749-563B4FC1B65E}"/>
    <cellStyle name="Normal 18 4 3 2 2 2" xfId="41100" xr:uid="{8749EE73-7CDD-4EDD-85DD-3354218F324F}"/>
    <cellStyle name="Normal 18 4 3 2 3" xfId="33505" xr:uid="{4BEFCE1B-3092-4ADA-B08B-ECBC2A07E80A}"/>
    <cellStyle name="Normal 18 4 3 3" xfId="10655" xr:uid="{00000000-0005-0000-0000-0000BF1E0000}"/>
    <cellStyle name="Normal 18 4 3 3 2" xfId="26138" xr:uid="{5405D344-D07D-436F-8093-E564D293C529}"/>
    <cellStyle name="Normal 18 4 3 3 2 2" xfId="41101" xr:uid="{B87439A4-0403-44FF-BC37-960EB6EEC0A2}"/>
    <cellStyle name="Normal 18 4 3 3 3" xfId="33506" xr:uid="{BD8D6BA2-068C-4FC9-942A-27B957CFB987}"/>
    <cellStyle name="Normal 18 4 3 4" xfId="26136" xr:uid="{F9D0843A-9B78-463D-BC70-BDE9C62EFF45}"/>
    <cellStyle name="Normal 18 4 3 4 2" xfId="41099" xr:uid="{341C73D1-0A86-4BCD-873D-DF06836D35BB}"/>
    <cellStyle name="Normal 18 4 3 5" xfId="33504" xr:uid="{9DCFFFF5-4B0F-4597-8357-1B6375905357}"/>
    <cellStyle name="Normal 18 4 4" xfId="10656" xr:uid="{00000000-0005-0000-0000-0000C01E0000}"/>
    <cellStyle name="Normal 18 4 4 2" xfId="26139" xr:uid="{37D925A7-CC8F-4837-84A4-EA3999F245E6}"/>
    <cellStyle name="Normal 18 4 4 2 2" xfId="41102" xr:uid="{B99A2F49-B149-428E-9DAF-FA9838F04916}"/>
    <cellStyle name="Normal 18 4 4 3" xfId="33507" xr:uid="{01BFBC3C-BECE-4912-BF14-9861557DBACC}"/>
    <cellStyle name="Normal 18 4 5" xfId="10657" xr:uid="{00000000-0005-0000-0000-0000C11E0000}"/>
    <cellStyle name="Normal 18 4 5 2" xfId="26140" xr:uid="{F45ECB52-B106-4483-AF0F-1D884FE161F2}"/>
    <cellStyle name="Normal 18 4 5 2 2" xfId="41103" xr:uid="{46AC4343-94B7-4FEE-9CFC-952E0254F675}"/>
    <cellStyle name="Normal 18 4 5 3" xfId="33508" xr:uid="{F72D2559-41D4-4CCE-B161-280512983D89}"/>
    <cellStyle name="Normal 18 4 6" xfId="26129" xr:uid="{F33CDF02-35F2-46B1-8D92-08B6C825F174}"/>
    <cellStyle name="Normal 18 4 6 2" xfId="41092" xr:uid="{9BD49C4D-CCD5-470C-8A8F-6B20682814B7}"/>
    <cellStyle name="Normal 18 4 7" xfId="33497" xr:uid="{44544C32-8281-47F6-B08D-8D6E9CCF7D52}"/>
    <cellStyle name="Normal 18 5" xfId="10658" xr:uid="{00000000-0005-0000-0000-0000C21E0000}"/>
    <cellStyle name="Normal 18 6" xfId="10659" xr:uid="{00000000-0005-0000-0000-0000C31E0000}"/>
    <cellStyle name="Normal 18 6 2" xfId="26141" xr:uid="{A45F4E99-43BC-4AD2-9CB4-48E3D6FFA6D4}"/>
    <cellStyle name="Normal 18 6 2 2" xfId="41104" xr:uid="{195E020B-591B-4BCD-95CE-6F43EFEDC1C1}"/>
    <cellStyle name="Normal 18 6 3" xfId="33509" xr:uid="{44815345-F5CA-45ED-BE0A-1EECDBFAE038}"/>
    <cellStyle name="Normal 18 7" xfId="10660" xr:uid="{00000000-0005-0000-0000-0000C41E0000}"/>
    <cellStyle name="Normal 18 7 2" xfId="26142" xr:uid="{2654CC9E-345E-4263-BEA8-0CD9FE78F685}"/>
    <cellStyle name="Normal 18 7 2 2" xfId="41105" xr:uid="{D9BCAF78-1433-43A9-BA04-5AE842753346}"/>
    <cellStyle name="Normal 18 7 3" xfId="33510" xr:uid="{D28DF30A-2EAE-42F3-BB8A-BA3C25A78345}"/>
    <cellStyle name="Normal 18 8" xfId="5380" xr:uid="{00000000-0005-0000-0000-0000B01E0000}"/>
    <cellStyle name="Normal 180" xfId="10661" xr:uid="{00000000-0005-0000-0000-0000C51E0000}"/>
    <cellStyle name="Normal 180 2" xfId="26143" xr:uid="{377AFD9D-6B2D-462D-8EF4-2AE46355A812}"/>
    <cellStyle name="Normal 180 2 2" xfId="41106" xr:uid="{5838500E-6BB9-43C7-89BF-0568EAB1CF81}"/>
    <cellStyle name="Normal 180 3" xfId="33511" xr:uid="{658A027B-D309-413C-965A-C6A9CA2EB56B}"/>
    <cellStyle name="Normal 181" xfId="10662" xr:uid="{00000000-0005-0000-0000-0000C61E0000}"/>
    <cellStyle name="Normal 181 2" xfId="26144" xr:uid="{EDCB8B5D-311C-45D2-A20F-55FAB1B5C7EA}"/>
    <cellStyle name="Normal 181 2 2" xfId="41107" xr:uid="{0E4927DA-A39A-4A37-B7FC-CBA06FC56C66}"/>
    <cellStyle name="Normal 181 3" xfId="33512" xr:uid="{FD105433-CEED-4D9F-AA68-1B281C1F04FD}"/>
    <cellStyle name="Normal 182" xfId="10663" xr:uid="{00000000-0005-0000-0000-0000C71E0000}"/>
    <cellStyle name="Normal 182 2" xfId="26145" xr:uid="{2D866DC2-5D37-4469-A5D0-E7FC05DA75A1}"/>
    <cellStyle name="Normal 182 2 2" xfId="41108" xr:uid="{BE84746A-90E3-4DAA-8C67-8CCD295CD9F8}"/>
    <cellStyle name="Normal 182 3" xfId="33513" xr:uid="{E2950033-4B09-4524-BD9D-7FF76BD7C22C}"/>
    <cellStyle name="Normal 183" xfId="10664" xr:uid="{00000000-0005-0000-0000-0000C81E0000}"/>
    <cellStyle name="Normal 183 2" xfId="26146" xr:uid="{C30BB05E-9846-4FF0-8DCD-28C154945E5A}"/>
    <cellStyle name="Normal 183 2 2" xfId="41109" xr:uid="{4F7981B5-3BC8-475B-80E1-0F096CD1B3EB}"/>
    <cellStyle name="Normal 183 3" xfId="33514" xr:uid="{0BC26AB1-6DB4-423A-AFB9-E60BA36D7385}"/>
    <cellStyle name="Normal 184" xfId="10665" xr:uid="{00000000-0005-0000-0000-0000C91E0000}"/>
    <cellStyle name="Normal 184 2" xfId="26147" xr:uid="{BE549777-6E20-4B4D-BE4C-4F0853403101}"/>
    <cellStyle name="Normal 184 2 2" xfId="41110" xr:uid="{61C526AA-385D-4C91-B3FE-E044D6BF1B6D}"/>
    <cellStyle name="Normal 184 3" xfId="33515" xr:uid="{A3FEEBCD-2E0E-4393-8CB7-044A13F4307C}"/>
    <cellStyle name="Normal 185" xfId="10666" xr:uid="{00000000-0005-0000-0000-0000CA1E0000}"/>
    <cellStyle name="Normal 185 2" xfId="26148" xr:uid="{28F7E0D0-4A35-4127-B4FE-AC0A05049C37}"/>
    <cellStyle name="Normal 185 2 2" xfId="41111" xr:uid="{3EC94019-DCDC-4828-85FE-2BFCDCE569E2}"/>
    <cellStyle name="Normal 185 3" xfId="33516" xr:uid="{4966A2A9-B59E-4BB5-BF3C-69266879A23D}"/>
    <cellStyle name="Normal 186" xfId="10667" xr:uid="{00000000-0005-0000-0000-0000CB1E0000}"/>
    <cellStyle name="Normal 186 2" xfId="26149" xr:uid="{7718BCB1-67BE-4074-BEB5-B078B0AF92E3}"/>
    <cellStyle name="Normal 186 2 2" xfId="41112" xr:uid="{37728B6E-249B-485D-B90C-D52DAAE1A28D}"/>
    <cellStyle name="Normal 186 3" xfId="33517" xr:uid="{F20AEB51-C817-4B19-854B-192774887BDA}"/>
    <cellStyle name="Normal 187" xfId="10668" xr:uid="{00000000-0005-0000-0000-0000CC1E0000}"/>
    <cellStyle name="Normal 187 2" xfId="26150" xr:uid="{F0B7F5A6-2758-4E82-BE87-3011E26155E2}"/>
    <cellStyle name="Normal 187 2 2" xfId="41113" xr:uid="{38B11E18-2B9C-46CB-AF3A-0BFFF0FFFAFF}"/>
    <cellStyle name="Normal 187 3" xfId="33518" xr:uid="{9B46E929-4CAC-4251-8AD5-20BAA997BDB0}"/>
    <cellStyle name="Normal 188" xfId="10669" xr:uid="{00000000-0005-0000-0000-0000CD1E0000}"/>
    <cellStyle name="Normal 188 2" xfId="26151" xr:uid="{0C6DFD31-AF68-4193-B2F3-C5B96BE5D6EF}"/>
    <cellStyle name="Normal 188 2 2" xfId="41114" xr:uid="{73FCB30A-950F-4BA5-997C-BA4B5D29F36A}"/>
    <cellStyle name="Normal 188 3" xfId="33519" xr:uid="{0B05C48A-B18F-47D0-8C0A-D321506F3983}"/>
    <cellStyle name="Normal 189" xfId="10670" xr:uid="{00000000-0005-0000-0000-0000CE1E0000}"/>
    <cellStyle name="Normal 189 2" xfId="26152" xr:uid="{FA82D9AA-272F-43B1-BFFF-697569DABF1A}"/>
    <cellStyle name="Normal 189 2 2" xfId="41115" xr:uid="{80326AFB-DF52-45E7-B0D9-15B8EE8FF650}"/>
    <cellStyle name="Normal 189 3" xfId="33520" xr:uid="{ED31A8F1-82D5-4DD2-93CC-BE999CB12FFD}"/>
    <cellStyle name="Normal 19" xfId="620" xr:uid="{00000000-0005-0000-0000-000003020000}"/>
    <cellStyle name="Normal 19 2" xfId="621" xr:uid="{00000000-0005-0000-0000-000004020000}"/>
    <cellStyle name="Normal 19 2 2" xfId="10671" xr:uid="{00000000-0005-0000-0000-0000D11E0000}"/>
    <cellStyle name="Normal 19 2 2 2" xfId="10672" xr:uid="{00000000-0005-0000-0000-0000D21E0000}"/>
    <cellStyle name="Normal 19 2 2 2 2" xfId="10673" xr:uid="{00000000-0005-0000-0000-0000D31E0000}"/>
    <cellStyle name="Normal 19 2 2 2 2 2" xfId="26155" xr:uid="{3ACD1CA2-4D75-4D69-8B41-2C6734621FC5}"/>
    <cellStyle name="Normal 19 2 2 2 2 2 2" xfId="41118" xr:uid="{58C2BB05-2F96-4B45-87CF-8FCEEDF7BAB7}"/>
    <cellStyle name="Normal 19 2 2 2 2 3" xfId="33523" xr:uid="{6A6EA9DC-D394-4692-836E-2F06EFF62257}"/>
    <cellStyle name="Normal 19 2 2 2 3" xfId="10674" xr:uid="{00000000-0005-0000-0000-0000D41E0000}"/>
    <cellStyle name="Normal 19 2 2 2 3 2" xfId="26156" xr:uid="{2DFE080D-F37D-4728-8BD1-3A92D6D449A9}"/>
    <cellStyle name="Normal 19 2 2 2 3 2 2" xfId="41119" xr:uid="{6B70C6AE-FF1F-41E2-987D-79CB335D9244}"/>
    <cellStyle name="Normal 19 2 2 2 3 3" xfId="33524" xr:uid="{3F7DD58D-F8F2-4A0F-B0B2-A3831CD1CA91}"/>
    <cellStyle name="Normal 19 2 2 2 4" xfId="26154" xr:uid="{69CF2441-D36E-4A7B-B6F8-9EB16D1F2BB3}"/>
    <cellStyle name="Normal 19 2 2 2 4 2" xfId="41117" xr:uid="{23F4E7D7-361F-4C5B-9CE4-6F4AAD4E1BFC}"/>
    <cellStyle name="Normal 19 2 2 2 5" xfId="33522" xr:uid="{D3BCC777-572F-4884-A4CC-745813111AEA}"/>
    <cellStyle name="Normal 19 2 2 3" xfId="10675" xr:uid="{00000000-0005-0000-0000-0000D51E0000}"/>
    <cellStyle name="Normal 19 2 2 3 2" xfId="26157" xr:uid="{85706381-DE19-45E0-AA38-9DC9534EB530}"/>
    <cellStyle name="Normal 19 2 2 3 2 2" xfId="41120" xr:uid="{DA0FA12F-8623-4975-85B1-3FF2240C480B}"/>
    <cellStyle name="Normal 19 2 2 3 3" xfId="33525" xr:uid="{F64BBEF0-B34B-43D5-9F2A-DA3A2F4ECB87}"/>
    <cellStyle name="Normal 19 2 2 4" xfId="10676" xr:uid="{00000000-0005-0000-0000-0000D61E0000}"/>
    <cellStyle name="Normal 19 2 2 4 2" xfId="26158" xr:uid="{85E1B549-4037-4025-8889-F92AB17DB5C6}"/>
    <cellStyle name="Normal 19 2 2 4 2 2" xfId="41121" xr:uid="{DEFB9732-4E98-4998-A3DD-0E98147A35F7}"/>
    <cellStyle name="Normal 19 2 2 4 3" xfId="33526" xr:uid="{DE977564-4FFB-462D-A2B8-A20493789970}"/>
    <cellStyle name="Normal 19 2 2 5" xfId="26153" xr:uid="{E7B8058B-F6B5-4EDF-8D15-FB0CE8C4C1E1}"/>
    <cellStyle name="Normal 19 2 2 5 2" xfId="41116" xr:uid="{65F11E5C-A0D3-4E65-9B5F-4CADA5B09F6C}"/>
    <cellStyle name="Normal 19 2 2 6" xfId="33521" xr:uid="{1C7D8D64-B478-4646-921C-327139674B08}"/>
    <cellStyle name="Normal 19 2 3" xfId="10677" xr:uid="{00000000-0005-0000-0000-0000D71E0000}"/>
    <cellStyle name="Normal 19 2 3 2" xfId="10678" xr:uid="{00000000-0005-0000-0000-0000D81E0000}"/>
    <cellStyle name="Normal 19 2 3 2 2" xfId="26160" xr:uid="{24FD6996-B211-44AC-AFA5-EC2E54523575}"/>
    <cellStyle name="Normal 19 2 3 2 2 2" xfId="41123" xr:uid="{25A79873-980A-48F7-A355-11FC43DDFBED}"/>
    <cellStyle name="Normal 19 2 3 2 3" xfId="33528" xr:uid="{29CB0F0F-BB9A-4A52-8B64-C098B4A0A2F3}"/>
    <cellStyle name="Normal 19 2 3 3" xfId="10679" xr:uid="{00000000-0005-0000-0000-0000D91E0000}"/>
    <cellStyle name="Normal 19 2 3 3 2" xfId="26161" xr:uid="{036EC09C-9D52-401D-B7F4-2D7116816DEA}"/>
    <cellStyle name="Normal 19 2 3 3 2 2" xfId="41124" xr:uid="{C0BA02D1-51F1-4C80-BD87-54262D3FF328}"/>
    <cellStyle name="Normal 19 2 3 3 3" xfId="33529" xr:uid="{CC360724-3988-42D5-918F-D0BF5F37D78A}"/>
    <cellStyle name="Normal 19 2 3 4" xfId="26159" xr:uid="{D04067D7-FC91-46EC-BCC8-00205245B271}"/>
    <cellStyle name="Normal 19 2 3 4 2" xfId="41122" xr:uid="{304FDCBC-743F-4FE2-8B86-229F6FE3A6DE}"/>
    <cellStyle name="Normal 19 2 3 5" xfId="33527" xr:uid="{9EA6F719-4247-4943-AA2D-B56C8BD27D20}"/>
    <cellStyle name="Normal 19 2 4" xfId="10680" xr:uid="{00000000-0005-0000-0000-0000DA1E0000}"/>
    <cellStyle name="Normal 19 2 4 2" xfId="10681" xr:uid="{00000000-0005-0000-0000-0000DB1E0000}"/>
    <cellStyle name="Normal 19 2 4 3" xfId="26162" xr:uid="{D661C01C-1515-4928-B785-D3EB904A55B9}"/>
    <cellStyle name="Normal 19 2 4 3 2" xfId="41125" xr:uid="{A754AF55-A038-4AB7-975E-E06896F90381}"/>
    <cellStyle name="Normal 19 2 4 4" xfId="33530" xr:uid="{DD362E30-444E-4C4D-92DA-47639EC7E745}"/>
    <cellStyle name="Normal 19 2 5" xfId="10682" xr:uid="{00000000-0005-0000-0000-0000DC1E0000}"/>
    <cellStyle name="Normal 19 2 5 2" xfId="26163" xr:uid="{2B7E5558-1BFD-48BB-8266-6E806AB63E14}"/>
    <cellStyle name="Normal 19 2 5 2 2" xfId="41126" xr:uid="{19783F50-CED5-41C8-996D-F88324E04E05}"/>
    <cellStyle name="Normal 19 2 5 3" xfId="33531" xr:uid="{5CC462DF-41CF-42D9-94CF-4155E9805EDB}"/>
    <cellStyle name="Normal 19 2 6" xfId="10683" xr:uid="{00000000-0005-0000-0000-0000DD1E0000}"/>
    <cellStyle name="Normal 19 2 7" xfId="5379" xr:uid="{00000000-0005-0000-0000-0000D01E0000}"/>
    <cellStyle name="Normal 19 3" xfId="18" xr:uid="{00000000-0005-0000-0000-00000D000000}"/>
    <cellStyle name="Normal 19 3 2" xfId="120" xr:uid="{00000000-0005-0000-0000-00000D000000}"/>
    <cellStyle name="Normal 19 3 2 2" xfId="10685" xr:uid="{00000000-0005-0000-0000-0000DF1E0000}"/>
    <cellStyle name="Normal 19 3 2 3" xfId="20667" xr:uid="{28CBE07E-5EDA-4BE4-8A2E-98AB772AA3C1}"/>
    <cellStyle name="Normal 19 3 2 3 2" xfId="35668" xr:uid="{59E8EAA9-7469-4B6C-8EFA-7581EC31A153}"/>
    <cellStyle name="Normal 19 3 2 4" xfId="27971" xr:uid="{07EF8EB3-D6E5-4BD0-84D5-735CC60DA13E}"/>
    <cellStyle name="Normal 19 3 3" xfId="10686" xr:uid="{00000000-0005-0000-0000-0000E01E0000}"/>
    <cellStyle name="Normal 19 3 4" xfId="10684" xr:uid="{00000000-0005-0000-0000-0000DE1E0000}"/>
    <cellStyle name="Normal 19 3 5" xfId="20597" xr:uid="{6C5BAAD6-6159-457B-82A2-CAE2D467ECF0}"/>
    <cellStyle name="Normal 19 3 5 2" xfId="35598" xr:uid="{23C0FEFA-7111-4CC1-9F22-123E485D60DF}"/>
    <cellStyle name="Normal 19 3 6" xfId="27901" xr:uid="{C1872296-C5EE-4CAC-A28C-45D0C5A58EAF}"/>
    <cellStyle name="Normal 19 4" xfId="5536" xr:uid="{00000000-0005-0000-0000-0000CF1E0000}"/>
    <cellStyle name="Normal 19_App b.3 Unspent_" xfId="622" xr:uid="{00000000-0005-0000-0000-000005020000}"/>
    <cellStyle name="Normal 190" xfId="10687" xr:uid="{00000000-0005-0000-0000-0000E11E0000}"/>
    <cellStyle name="Normal 190 2" xfId="26164" xr:uid="{343A43CB-9B77-4CCB-9C52-81C02200B639}"/>
    <cellStyle name="Normal 190 2 2" xfId="41127" xr:uid="{D93BC716-85C4-4858-AAF8-9B6D80A6560A}"/>
    <cellStyle name="Normal 190 3" xfId="33532" xr:uid="{7F9036CA-89F5-45AD-BDF8-3747844D8CCF}"/>
    <cellStyle name="Normal 191" xfId="10688" xr:uid="{00000000-0005-0000-0000-0000E21E0000}"/>
    <cellStyle name="Normal 191 2" xfId="26165" xr:uid="{AD1AEB93-3650-44B8-ABDB-780A18390C21}"/>
    <cellStyle name="Normal 191 2 2" xfId="41128" xr:uid="{9CB2104F-97DB-4AEC-9966-D29B974C3804}"/>
    <cellStyle name="Normal 191 3" xfId="33533" xr:uid="{B7345401-8F06-4C73-9C4B-81DE386A9218}"/>
    <cellStyle name="Normal 192" xfId="10689" xr:uid="{00000000-0005-0000-0000-0000E31E0000}"/>
    <cellStyle name="Normal 192 2" xfId="26166" xr:uid="{FE2873A5-7D82-41A1-812F-4B892A14D775}"/>
    <cellStyle name="Normal 192 2 2" xfId="41129" xr:uid="{DB1E0E4F-B3F0-4695-BF2C-01F5B9494270}"/>
    <cellStyle name="Normal 192 3" xfId="33534" xr:uid="{B2CB177F-FB90-40E4-B718-B36B1A43323E}"/>
    <cellStyle name="Normal 193" xfId="10690" xr:uid="{00000000-0005-0000-0000-0000E41E0000}"/>
    <cellStyle name="Normal 193 2" xfId="26167" xr:uid="{4F4ACB95-9F93-4673-A19C-CFAE60DD383F}"/>
    <cellStyle name="Normal 193 2 2" xfId="41130" xr:uid="{050C957F-07B5-4522-907E-CC24942BCBD2}"/>
    <cellStyle name="Normal 193 3" xfId="33535" xr:uid="{BBEBB2AB-5EE7-4CA7-8A73-DDFEFDCAA232}"/>
    <cellStyle name="Normal 194" xfId="10691" xr:uid="{00000000-0005-0000-0000-0000E51E0000}"/>
    <cellStyle name="Normal 194 2" xfId="26168" xr:uid="{024DC150-6917-492C-AEEC-221D36FD3094}"/>
    <cellStyle name="Normal 194 2 2" xfId="41131" xr:uid="{A6044151-A0F4-4385-BDCE-FB003ADC37B9}"/>
    <cellStyle name="Normal 194 3" xfId="33536" xr:uid="{495D6AC3-2223-42F8-8DC4-588413DCC447}"/>
    <cellStyle name="Normal 195" xfId="10692" xr:uid="{00000000-0005-0000-0000-0000E61E0000}"/>
    <cellStyle name="Normal 195 2" xfId="26169" xr:uid="{791558D3-413D-46D7-9F80-0B96763A385C}"/>
    <cellStyle name="Normal 195 2 2" xfId="41132" xr:uid="{0FC7DB73-0C64-47B1-B7D4-F6415ABF5460}"/>
    <cellStyle name="Normal 195 3" xfId="33537" xr:uid="{6B52FC26-DB73-4A59-B2D0-2FC3D32D5FA7}"/>
    <cellStyle name="Normal 196" xfId="10693" xr:uid="{00000000-0005-0000-0000-0000E71E0000}"/>
    <cellStyle name="Normal 196 2" xfId="26170" xr:uid="{CAD1D729-5124-476A-BEC6-359AD4E56F54}"/>
    <cellStyle name="Normal 196 2 2" xfId="41133" xr:uid="{FC9C382E-4F39-473F-8CDC-F89194976D8F}"/>
    <cellStyle name="Normal 196 3" xfId="33538" xr:uid="{7F729C7D-5B2D-4AA0-BD2B-FC736A97635C}"/>
    <cellStyle name="Normal 197" xfId="10694" xr:uid="{00000000-0005-0000-0000-0000E81E0000}"/>
    <cellStyle name="Normal 198" xfId="5273" xr:uid="{00000000-0005-0000-0000-0000E91E0000}"/>
    <cellStyle name="Normal 199" xfId="10695" xr:uid="{00000000-0005-0000-0000-0000EA1E0000}"/>
    <cellStyle name="Normal 2" xfId="1" xr:uid="{00000000-0005-0000-0000-00000E000000}"/>
    <cellStyle name="Normal 2 10" xfId="623" xr:uid="{00000000-0005-0000-0000-000007020000}"/>
    <cellStyle name="Normal 2 10 10" xfId="624" xr:uid="{00000000-0005-0000-0000-000008020000}"/>
    <cellStyle name="Normal 2 10 10 2" xfId="14" xr:uid="{00000000-0005-0000-0000-00000F000000}"/>
    <cellStyle name="Normal 2 10 10 3" xfId="10696" xr:uid="{00000000-0005-0000-0000-0000EF1E0000}"/>
    <cellStyle name="Normal 2 10 11" xfId="626" xr:uid="{00000000-0005-0000-0000-00000A020000}"/>
    <cellStyle name="Normal 2 10 11 2" xfId="10697" xr:uid="{00000000-0005-0000-0000-0000F11E0000}"/>
    <cellStyle name="Normal 2 10 12" xfId="627" xr:uid="{00000000-0005-0000-0000-00000B020000}"/>
    <cellStyle name="Normal 2 10 12 2" xfId="10698" xr:uid="{00000000-0005-0000-0000-0000F31E0000}"/>
    <cellStyle name="Normal 2 10 13" xfId="628" xr:uid="{00000000-0005-0000-0000-00000C020000}"/>
    <cellStyle name="Normal 2 10 13 2" xfId="10699" xr:uid="{00000000-0005-0000-0000-0000F51E0000}"/>
    <cellStyle name="Normal 2 10 14" xfId="629" xr:uid="{00000000-0005-0000-0000-00000D020000}"/>
    <cellStyle name="Normal 2 10 14 2" xfId="10700" xr:uid="{00000000-0005-0000-0000-0000F71E0000}"/>
    <cellStyle name="Normal 2 10 15" xfId="630" xr:uid="{00000000-0005-0000-0000-00000E020000}"/>
    <cellStyle name="Normal 2 10 15 2" xfId="10701" xr:uid="{00000000-0005-0000-0000-0000F91E0000}"/>
    <cellStyle name="Normal 2 10 16" xfId="631" xr:uid="{00000000-0005-0000-0000-00000F020000}"/>
    <cellStyle name="Normal 2 10 16 2" xfId="10702" xr:uid="{00000000-0005-0000-0000-0000FB1E0000}"/>
    <cellStyle name="Normal 2 10 17" xfId="632" xr:uid="{00000000-0005-0000-0000-000010020000}"/>
    <cellStyle name="Normal 2 10 17 2" xfId="10703" xr:uid="{00000000-0005-0000-0000-0000FD1E0000}"/>
    <cellStyle name="Normal 2 10 18" xfId="633" xr:uid="{00000000-0005-0000-0000-000011020000}"/>
    <cellStyle name="Normal 2 10 18 2" xfId="10704" xr:uid="{00000000-0005-0000-0000-0000FF1E0000}"/>
    <cellStyle name="Normal 2 10 19" xfId="634" xr:uid="{00000000-0005-0000-0000-000012020000}"/>
    <cellStyle name="Normal 2 10 19 2" xfId="10705" xr:uid="{00000000-0005-0000-0000-0000011F0000}"/>
    <cellStyle name="Normal 2 10 2" xfId="635" xr:uid="{00000000-0005-0000-0000-000013020000}"/>
    <cellStyle name="Normal 2 10 2 2" xfId="10706" xr:uid="{00000000-0005-0000-0000-0000031F0000}"/>
    <cellStyle name="Normal 2 10 20" xfId="636" xr:uid="{00000000-0005-0000-0000-000014020000}"/>
    <cellStyle name="Normal 2 10 20 2" xfId="10707" xr:uid="{00000000-0005-0000-0000-0000051F0000}"/>
    <cellStyle name="Normal 2 10 21" xfId="637" xr:uid="{00000000-0005-0000-0000-000015020000}"/>
    <cellStyle name="Normal 2 10 21 2" xfId="10708" xr:uid="{00000000-0005-0000-0000-0000071F0000}"/>
    <cellStyle name="Normal 2 10 22" xfId="638" xr:uid="{00000000-0005-0000-0000-000016020000}"/>
    <cellStyle name="Normal 2 10 22 2" xfId="10709" xr:uid="{00000000-0005-0000-0000-0000091F0000}"/>
    <cellStyle name="Normal 2 10 23" xfId="639" xr:uid="{00000000-0005-0000-0000-000017020000}"/>
    <cellStyle name="Normal 2 10 23 2" xfId="10710" xr:uid="{00000000-0005-0000-0000-00000B1F0000}"/>
    <cellStyle name="Normal 2 10 24" xfId="10711" xr:uid="{00000000-0005-0000-0000-00000C1F0000}"/>
    <cellStyle name="Normal 2 10 24 2" xfId="10712" xr:uid="{00000000-0005-0000-0000-00000D1F0000}"/>
    <cellStyle name="Normal 2 10 3" xfId="640" xr:uid="{00000000-0005-0000-0000-000018020000}"/>
    <cellStyle name="Normal 2 10 3 2" xfId="10713" xr:uid="{00000000-0005-0000-0000-00000F1F0000}"/>
    <cellStyle name="Normal 2 10 4" xfId="641" xr:uid="{00000000-0005-0000-0000-000019020000}"/>
    <cellStyle name="Normal 2 10 4 2" xfId="10714" xr:uid="{00000000-0005-0000-0000-0000111F0000}"/>
    <cellStyle name="Normal 2 10 5" xfId="642" xr:uid="{00000000-0005-0000-0000-00001A020000}"/>
    <cellStyle name="Normal 2 10 5 2" xfId="10715" xr:uid="{00000000-0005-0000-0000-0000131F0000}"/>
    <cellStyle name="Normal 2 10 6" xfId="643" xr:uid="{00000000-0005-0000-0000-00001B020000}"/>
    <cellStyle name="Normal 2 10 6 2" xfId="10716" xr:uid="{00000000-0005-0000-0000-0000151F0000}"/>
    <cellStyle name="Normal 2 10 7" xfId="644" xr:uid="{00000000-0005-0000-0000-00001C020000}"/>
    <cellStyle name="Normal 2 10 7 2" xfId="10717" xr:uid="{00000000-0005-0000-0000-0000171F0000}"/>
    <cellStyle name="Normal 2 10 8" xfId="645" xr:uid="{00000000-0005-0000-0000-00001D020000}"/>
    <cellStyle name="Normal 2 10 8 2" xfId="10718" xr:uid="{00000000-0005-0000-0000-0000191F0000}"/>
    <cellStyle name="Normal 2 10 9" xfId="646" xr:uid="{00000000-0005-0000-0000-00001E020000}"/>
    <cellStyle name="Normal 2 10 9 2" xfId="10719" xr:uid="{00000000-0005-0000-0000-00001B1F0000}"/>
    <cellStyle name="Normal 2 10_App b.3 Unspent_" xfId="647" xr:uid="{00000000-0005-0000-0000-00001F020000}"/>
    <cellStyle name="Normal 2 100" xfId="10720" xr:uid="{00000000-0005-0000-0000-00001C1F0000}"/>
    <cellStyle name="Normal 2 100 2" xfId="26171" xr:uid="{B8665927-93AA-4DBE-B52E-C8A48F8088B2}"/>
    <cellStyle name="Normal 2 100 2 2" xfId="41134" xr:uid="{D548F2FD-3FC8-4F03-9EB9-3D137BC19365}"/>
    <cellStyle name="Normal 2 100 3" xfId="33539" xr:uid="{C919E5AF-F070-43EA-B5F7-35002EB43964}"/>
    <cellStyle name="Normal 2 101" xfId="5497" xr:uid="{00000000-0005-0000-0000-0000EB1E0000}"/>
    <cellStyle name="Normal 2 101 2" xfId="23184" xr:uid="{2BD89D36-4FEB-434C-A06E-547938432A01}"/>
    <cellStyle name="Normal 2 101 2 2" xfId="38157" xr:uid="{194902EC-4A9E-4C12-ABD7-BBF6BCA3C702}"/>
    <cellStyle name="Normal 2 101 3" xfId="30554" xr:uid="{5B3C425C-030F-4338-9E95-333D9E3657E0}"/>
    <cellStyle name="Normal 2 102" xfId="15896" xr:uid="{00000000-0005-0000-0000-0000EB1E0000}"/>
    <cellStyle name="Normal 2 102 2" xfId="26889" xr:uid="{B829A476-3804-429F-9A3C-83B084803F77}"/>
    <cellStyle name="Normal 2 102 2 2" xfId="41852" xr:uid="{E5BE3143-0876-474C-BE03-7C0C80B69134}"/>
    <cellStyle name="Normal 2 102 3" xfId="34264" xr:uid="{DA1BF911-C7DC-4D72-BF9C-821D8DC05FE2}"/>
    <cellStyle name="Normal 2 103" xfId="20587" xr:uid="{4D238E44-9888-40B6-A98E-642F3450B73F}"/>
    <cellStyle name="Normal 2 103 2" xfId="27880" xr:uid="{173F01C4-872E-448C-8B0C-44AB2E29D50D}"/>
    <cellStyle name="Normal 2 103 2 2" xfId="42817" xr:uid="{64B6000B-06E5-4731-9E24-E6DF2F267F1A}"/>
    <cellStyle name="Normal 2 103 3" xfId="35589" xr:uid="{7CB425DA-7842-416C-8573-99CD376FA5A6}"/>
    <cellStyle name="Normal 2 104" xfId="20590" xr:uid="{DE88618A-0C75-4E74-A5B2-DDD468D66C17}"/>
    <cellStyle name="Normal 2 104 2" xfId="35591" xr:uid="{89DC321A-3B55-449F-8979-EE467B15B1A1}"/>
    <cellStyle name="Normal 2 105" xfId="27894" xr:uid="{16B82138-D2A7-4246-96B2-593A2235B101}"/>
    <cellStyle name="Normal 2 11" xfId="648" xr:uid="{00000000-0005-0000-0000-000020020000}"/>
    <cellStyle name="Normal 2 11 10" xfId="649" xr:uid="{00000000-0005-0000-0000-000021020000}"/>
    <cellStyle name="Normal 2 11 10 2" xfId="10721" xr:uid="{00000000-0005-0000-0000-00001F1F0000}"/>
    <cellStyle name="Normal 2 11 11" xfId="650" xr:uid="{00000000-0005-0000-0000-000022020000}"/>
    <cellStyle name="Normal 2 11 11 2" xfId="10722" xr:uid="{00000000-0005-0000-0000-0000211F0000}"/>
    <cellStyle name="Normal 2 11 12" xfId="651" xr:uid="{00000000-0005-0000-0000-000023020000}"/>
    <cellStyle name="Normal 2 11 12 2" xfId="10723" xr:uid="{00000000-0005-0000-0000-0000231F0000}"/>
    <cellStyle name="Normal 2 11 13" xfId="652" xr:uid="{00000000-0005-0000-0000-000024020000}"/>
    <cellStyle name="Normal 2 11 13 2" xfId="10724" xr:uid="{00000000-0005-0000-0000-0000251F0000}"/>
    <cellStyle name="Normal 2 11 14" xfId="653" xr:uid="{00000000-0005-0000-0000-000025020000}"/>
    <cellStyle name="Normal 2 11 14 2" xfId="10725" xr:uid="{00000000-0005-0000-0000-0000271F0000}"/>
    <cellStyle name="Normal 2 11 15" xfId="654" xr:uid="{00000000-0005-0000-0000-000026020000}"/>
    <cellStyle name="Normal 2 11 15 2" xfId="10726" xr:uid="{00000000-0005-0000-0000-0000291F0000}"/>
    <cellStyle name="Normal 2 11 16" xfId="655" xr:uid="{00000000-0005-0000-0000-000027020000}"/>
    <cellStyle name="Normal 2 11 16 2" xfId="10727" xr:uid="{00000000-0005-0000-0000-00002B1F0000}"/>
    <cellStyle name="Normal 2 11 17" xfId="656" xr:uid="{00000000-0005-0000-0000-000028020000}"/>
    <cellStyle name="Normal 2 11 17 2" xfId="10728" xr:uid="{00000000-0005-0000-0000-00002D1F0000}"/>
    <cellStyle name="Normal 2 11 18" xfId="657" xr:uid="{00000000-0005-0000-0000-000029020000}"/>
    <cellStyle name="Normal 2 11 18 2" xfId="10729" xr:uid="{00000000-0005-0000-0000-00002F1F0000}"/>
    <cellStyle name="Normal 2 11 19" xfId="658" xr:uid="{00000000-0005-0000-0000-00002A020000}"/>
    <cellStyle name="Normal 2 11 19 2" xfId="10730" xr:uid="{00000000-0005-0000-0000-0000311F0000}"/>
    <cellStyle name="Normal 2 11 2" xfId="659" xr:uid="{00000000-0005-0000-0000-00002B020000}"/>
    <cellStyle name="Normal 2 11 2 2" xfId="10731" xr:uid="{00000000-0005-0000-0000-0000331F0000}"/>
    <cellStyle name="Normal 2 11 2 2 2" xfId="26172" xr:uid="{80533EC5-CCF6-4A7A-B945-A4E1A2AA7395}"/>
    <cellStyle name="Normal 2 11 2 2 2 2" xfId="41135" xr:uid="{E796A669-3399-48A2-9DFD-51EF8C2DD0B1}"/>
    <cellStyle name="Normal 2 11 2 2 3" xfId="33540" xr:uid="{F6CAC7CD-690F-481B-990D-CF187CA0CF6E}"/>
    <cellStyle name="Normal 2 11 2 3" xfId="10732" xr:uid="{00000000-0005-0000-0000-0000341F0000}"/>
    <cellStyle name="Normal 2 11 2 3 2" xfId="26173" xr:uid="{9C68A31F-9075-41DF-B6FD-D4BCD45E7DA2}"/>
    <cellStyle name="Normal 2 11 2 3 2 2" xfId="41136" xr:uid="{36A33433-F677-41FD-BF71-B8B9221237E6}"/>
    <cellStyle name="Normal 2 11 2 3 3" xfId="33541" xr:uid="{326C6030-D3F4-4DA4-B29E-F72E725F89E3}"/>
    <cellStyle name="Normal 2 11 2 4" xfId="10733" xr:uid="{00000000-0005-0000-0000-0000351F0000}"/>
    <cellStyle name="Normal 2 11 20" xfId="660" xr:uid="{00000000-0005-0000-0000-00002C020000}"/>
    <cellStyle name="Normal 2 11 20 2" xfId="10734" xr:uid="{00000000-0005-0000-0000-0000371F0000}"/>
    <cellStyle name="Normal 2 11 21" xfId="661" xr:uid="{00000000-0005-0000-0000-00002D020000}"/>
    <cellStyle name="Normal 2 11 21 2" xfId="10735" xr:uid="{00000000-0005-0000-0000-0000391F0000}"/>
    <cellStyle name="Normal 2 11 22" xfId="662" xr:uid="{00000000-0005-0000-0000-00002E020000}"/>
    <cellStyle name="Normal 2 11 22 2" xfId="10736" xr:uid="{00000000-0005-0000-0000-00003B1F0000}"/>
    <cellStyle name="Normal 2 11 23" xfId="663" xr:uid="{00000000-0005-0000-0000-00002F020000}"/>
    <cellStyle name="Normal 2 11 23 2" xfId="10737" xr:uid="{00000000-0005-0000-0000-00003D1F0000}"/>
    <cellStyle name="Normal 2 11 24" xfId="10738" xr:uid="{00000000-0005-0000-0000-00003E1F0000}"/>
    <cellStyle name="Normal 2 11 24 2" xfId="10739" xr:uid="{00000000-0005-0000-0000-00003F1F0000}"/>
    <cellStyle name="Normal 2 11 24 3" xfId="10740" xr:uid="{00000000-0005-0000-0000-0000401F0000}"/>
    <cellStyle name="Normal 2 11 25" xfId="10741" xr:uid="{00000000-0005-0000-0000-0000411F0000}"/>
    <cellStyle name="Normal 2 11 25 2" xfId="10742" xr:uid="{00000000-0005-0000-0000-0000421F0000}"/>
    <cellStyle name="Normal 2 11 25 2 2" xfId="10743" xr:uid="{00000000-0005-0000-0000-0000431F0000}"/>
    <cellStyle name="Normal 2 11 25 2 2 2" xfId="26176" xr:uid="{F37A2945-CA88-46A0-AB8F-BAA3661A4232}"/>
    <cellStyle name="Normal 2 11 25 2 2 2 2" xfId="41139" xr:uid="{D5BFED77-39B0-4FA9-A34C-2B6A327845CE}"/>
    <cellStyle name="Normal 2 11 25 2 2 3" xfId="33544" xr:uid="{7EA04842-2637-4692-9AAB-002455EA144E}"/>
    <cellStyle name="Normal 2 11 25 2 3" xfId="10744" xr:uid="{00000000-0005-0000-0000-0000441F0000}"/>
    <cellStyle name="Normal 2 11 25 2 3 2" xfId="26177" xr:uid="{006CAA1A-73B6-4CFB-A1E3-312C2BDCC967}"/>
    <cellStyle name="Normal 2 11 25 2 3 2 2" xfId="41140" xr:uid="{FB6DCDE0-E3BD-4B9E-B90B-E6F7431499C0}"/>
    <cellStyle name="Normal 2 11 25 2 3 3" xfId="33545" xr:uid="{8CB1B3CB-A7EF-4617-8A5B-9772D481DDD8}"/>
    <cellStyle name="Normal 2 11 25 2 4" xfId="26175" xr:uid="{213AD9C9-D631-4919-BFBB-872A3242281B}"/>
    <cellStyle name="Normal 2 11 25 2 4 2" xfId="41138" xr:uid="{9680C2EB-33FE-48CB-86F8-6CEF045D7975}"/>
    <cellStyle name="Normal 2 11 25 2 5" xfId="33543" xr:uid="{AF619329-22E9-4667-9A81-B70419E087D9}"/>
    <cellStyle name="Normal 2 11 25 3" xfId="10745" xr:uid="{00000000-0005-0000-0000-0000451F0000}"/>
    <cellStyle name="Normal 2 11 25 3 2" xfId="26178" xr:uid="{8FF9AF32-453D-4A29-A70A-34399B7DEA0F}"/>
    <cellStyle name="Normal 2 11 25 3 2 2" xfId="41141" xr:uid="{5A8BFFBE-1C36-4C6E-9751-262AC8D75970}"/>
    <cellStyle name="Normal 2 11 25 3 3" xfId="33546" xr:uid="{319B6785-F125-4E0B-A780-B47B0DD19909}"/>
    <cellStyle name="Normal 2 11 25 4" xfId="10746" xr:uid="{00000000-0005-0000-0000-0000461F0000}"/>
    <cellStyle name="Normal 2 11 25 4 2" xfId="26179" xr:uid="{911A74FA-9E50-4300-A201-EFE1A7FD0F91}"/>
    <cellStyle name="Normal 2 11 25 4 2 2" xfId="41142" xr:uid="{8D45A1B2-DD9B-4B88-8C78-7F8F195B8F05}"/>
    <cellStyle name="Normal 2 11 25 4 3" xfId="33547" xr:uid="{52EF72B4-8730-4F88-B0BB-602D4D0062E5}"/>
    <cellStyle name="Normal 2 11 25 5" xfId="26174" xr:uid="{9E348633-9BB0-4A47-B96D-176F84347074}"/>
    <cellStyle name="Normal 2 11 25 5 2" xfId="41137" xr:uid="{329CEB9D-FF21-4846-925B-D21C4BFBA894}"/>
    <cellStyle name="Normal 2 11 25 6" xfId="33542" xr:uid="{A18C4E7C-2C70-475F-9110-091AB4AE5DF7}"/>
    <cellStyle name="Normal 2 11 26" xfId="10747" xr:uid="{00000000-0005-0000-0000-0000471F0000}"/>
    <cellStyle name="Normal 2 11 26 2" xfId="10748" xr:uid="{00000000-0005-0000-0000-0000481F0000}"/>
    <cellStyle name="Normal 2 11 26 2 2" xfId="26181" xr:uid="{31DBAD39-0CAB-4C9B-84EB-66EC9F46DC36}"/>
    <cellStyle name="Normal 2 11 26 2 2 2" xfId="41144" xr:uid="{9421B696-5435-458D-A868-F98258A10000}"/>
    <cellStyle name="Normal 2 11 26 2 3" xfId="33549" xr:uid="{AB47032D-D055-4912-984A-972105B59A69}"/>
    <cellStyle name="Normal 2 11 26 3" xfId="10749" xr:uid="{00000000-0005-0000-0000-0000491F0000}"/>
    <cellStyle name="Normal 2 11 26 3 2" xfId="26182" xr:uid="{E436F2AF-C106-4E4D-8A1A-6A830D2E661F}"/>
    <cellStyle name="Normal 2 11 26 3 2 2" xfId="41145" xr:uid="{DA951EB1-546A-4545-865A-F210F4EA6490}"/>
    <cellStyle name="Normal 2 11 26 3 3" xfId="33550" xr:uid="{690B5353-E025-4F48-B2F1-C8F27F53B97C}"/>
    <cellStyle name="Normal 2 11 26 4" xfId="26180" xr:uid="{13050CE2-7705-4344-B079-86FA5C08F4E0}"/>
    <cellStyle name="Normal 2 11 26 4 2" xfId="41143" xr:uid="{8430684D-A487-4897-B1DC-A469A8C737D5}"/>
    <cellStyle name="Normal 2 11 26 5" xfId="33548" xr:uid="{7C382678-3F9A-4E51-B3DD-679C2A3C6D90}"/>
    <cellStyle name="Normal 2 11 27" xfId="10750" xr:uid="{00000000-0005-0000-0000-00004A1F0000}"/>
    <cellStyle name="Normal 2 11 27 2" xfId="26183" xr:uid="{514C1011-2948-4E79-BF8D-FB261010FD5D}"/>
    <cellStyle name="Normal 2 11 27 2 2" xfId="41146" xr:uid="{899D99F3-8C29-48F1-9161-9207E2C24064}"/>
    <cellStyle name="Normal 2 11 27 3" xfId="33551" xr:uid="{561CFCFD-2185-4F33-AEF3-06D7B398B695}"/>
    <cellStyle name="Normal 2 11 28" xfId="10751" xr:uid="{00000000-0005-0000-0000-00004B1F0000}"/>
    <cellStyle name="Normal 2 11 28 2" xfId="26184" xr:uid="{3898D64E-D3C2-4E78-B1D0-FA7B0C759F5B}"/>
    <cellStyle name="Normal 2 11 28 2 2" xfId="41147" xr:uid="{864F144D-A1CE-4B7C-8753-4A6FAA11E625}"/>
    <cellStyle name="Normal 2 11 28 3" xfId="33552" xr:uid="{BB70E050-25B1-4AE0-8339-04A581C652A9}"/>
    <cellStyle name="Normal 2 11 29" xfId="20117" xr:uid="{00000000-0005-0000-0000-00004C1F0000}"/>
    <cellStyle name="Normal 2 11 29 2" xfId="27560" xr:uid="{2A0B08C1-D07C-47A3-918A-02E39BFC98BF}"/>
    <cellStyle name="Normal 2 11 29 2 2" xfId="42497" xr:uid="{138183ED-6375-4DDB-A410-16C9EFCBE95C}"/>
    <cellStyle name="Normal 2 11 29 3" xfId="35136" xr:uid="{A7A52002-EEBC-41F3-B028-8B50DA8BA5B8}"/>
    <cellStyle name="Normal 2 11 3" xfId="664" xr:uid="{00000000-0005-0000-0000-000030020000}"/>
    <cellStyle name="Normal 2 11 3 2" xfId="10752" xr:uid="{00000000-0005-0000-0000-00004E1F0000}"/>
    <cellStyle name="Normal 2 11 30" xfId="5292" xr:uid="{00000000-0005-0000-0000-00001D1F0000}"/>
    <cellStyle name="Normal 2 11 30 2" xfId="23170" xr:uid="{7FE909A6-82E5-4A82-9177-F5623A67541D}"/>
    <cellStyle name="Normal 2 11 30 2 2" xfId="38146" xr:uid="{25D64049-63AE-46CE-ACF2-B7266B3B9E5C}"/>
    <cellStyle name="Normal 2 11 30 3" xfId="30542" xr:uid="{4CBE4437-173D-4872-A241-B896744C9309}"/>
    <cellStyle name="Normal 2 11 4" xfId="665" xr:uid="{00000000-0005-0000-0000-000031020000}"/>
    <cellStyle name="Normal 2 11 4 2" xfId="10753" xr:uid="{00000000-0005-0000-0000-0000501F0000}"/>
    <cellStyle name="Normal 2 11 5" xfId="666" xr:uid="{00000000-0005-0000-0000-000032020000}"/>
    <cellStyle name="Normal 2 11 5 2" xfId="10754" xr:uid="{00000000-0005-0000-0000-0000521F0000}"/>
    <cellStyle name="Normal 2 11 6" xfId="667" xr:uid="{00000000-0005-0000-0000-000033020000}"/>
    <cellStyle name="Normal 2 11 6 2" xfId="10755" xr:uid="{00000000-0005-0000-0000-0000541F0000}"/>
    <cellStyle name="Normal 2 11 7" xfId="668" xr:uid="{00000000-0005-0000-0000-000034020000}"/>
    <cellStyle name="Normal 2 11 7 2" xfId="10756" xr:uid="{00000000-0005-0000-0000-0000561F0000}"/>
    <cellStyle name="Normal 2 11 8" xfId="669" xr:uid="{00000000-0005-0000-0000-000035020000}"/>
    <cellStyle name="Normal 2 11 8 2" xfId="10757" xr:uid="{00000000-0005-0000-0000-0000581F0000}"/>
    <cellStyle name="Normal 2 11 9" xfId="670" xr:uid="{00000000-0005-0000-0000-000036020000}"/>
    <cellStyle name="Normal 2 11 9 2" xfId="10758" xr:uid="{00000000-0005-0000-0000-00005A1F0000}"/>
    <cellStyle name="Normal 2 12" xfId="671" xr:uid="{00000000-0005-0000-0000-000037020000}"/>
    <cellStyle name="Normal 2 12 10" xfId="672" xr:uid="{00000000-0005-0000-0000-000038020000}"/>
    <cellStyle name="Normal 2 12 10 2" xfId="10759" xr:uid="{00000000-0005-0000-0000-00005D1F0000}"/>
    <cellStyle name="Normal 2 12 11" xfId="673" xr:uid="{00000000-0005-0000-0000-000039020000}"/>
    <cellStyle name="Normal 2 12 11 2" xfId="10760" xr:uid="{00000000-0005-0000-0000-00005F1F0000}"/>
    <cellStyle name="Normal 2 12 12" xfId="674" xr:uid="{00000000-0005-0000-0000-00003A020000}"/>
    <cellStyle name="Normal 2 12 12 2" xfId="10761" xr:uid="{00000000-0005-0000-0000-0000611F0000}"/>
    <cellStyle name="Normal 2 12 13" xfId="675" xr:uid="{00000000-0005-0000-0000-00003B020000}"/>
    <cellStyle name="Normal 2 12 13 2" xfId="10762" xr:uid="{00000000-0005-0000-0000-0000631F0000}"/>
    <cellStyle name="Normal 2 12 14" xfId="676" xr:uid="{00000000-0005-0000-0000-00003C020000}"/>
    <cellStyle name="Normal 2 12 14 2" xfId="10763" xr:uid="{00000000-0005-0000-0000-0000651F0000}"/>
    <cellStyle name="Normal 2 12 15" xfId="677" xr:uid="{00000000-0005-0000-0000-00003D020000}"/>
    <cellStyle name="Normal 2 12 15 2" xfId="10764" xr:uid="{00000000-0005-0000-0000-0000671F0000}"/>
    <cellStyle name="Normal 2 12 16" xfId="678" xr:uid="{00000000-0005-0000-0000-00003E020000}"/>
    <cellStyle name="Normal 2 12 16 2" xfId="10765" xr:uid="{00000000-0005-0000-0000-0000691F0000}"/>
    <cellStyle name="Normal 2 12 17" xfId="679" xr:uid="{00000000-0005-0000-0000-00003F020000}"/>
    <cellStyle name="Normal 2 12 17 2" xfId="10766" xr:uid="{00000000-0005-0000-0000-00006B1F0000}"/>
    <cellStyle name="Normal 2 12 18" xfId="680" xr:uid="{00000000-0005-0000-0000-000040020000}"/>
    <cellStyle name="Normal 2 12 18 2" xfId="10767" xr:uid="{00000000-0005-0000-0000-00006D1F0000}"/>
    <cellStyle name="Normal 2 12 19" xfId="681" xr:uid="{00000000-0005-0000-0000-000041020000}"/>
    <cellStyle name="Normal 2 12 19 2" xfId="10768" xr:uid="{00000000-0005-0000-0000-00006F1F0000}"/>
    <cellStyle name="Normal 2 12 2" xfId="682" xr:uid="{00000000-0005-0000-0000-000042020000}"/>
    <cellStyle name="Normal 2 12 2 2" xfId="10769" xr:uid="{00000000-0005-0000-0000-0000711F0000}"/>
    <cellStyle name="Normal 2 12 20" xfId="683" xr:uid="{00000000-0005-0000-0000-000043020000}"/>
    <cellStyle name="Normal 2 12 20 2" xfId="10770" xr:uid="{00000000-0005-0000-0000-0000731F0000}"/>
    <cellStyle name="Normal 2 12 21" xfId="684" xr:uid="{00000000-0005-0000-0000-000044020000}"/>
    <cellStyle name="Normal 2 12 21 2" xfId="10771" xr:uid="{00000000-0005-0000-0000-0000751F0000}"/>
    <cellStyle name="Normal 2 12 22" xfId="685" xr:uid="{00000000-0005-0000-0000-000045020000}"/>
    <cellStyle name="Normal 2 12 22 2" xfId="10772" xr:uid="{00000000-0005-0000-0000-0000771F0000}"/>
    <cellStyle name="Normal 2 12 23" xfId="686" xr:uid="{00000000-0005-0000-0000-000046020000}"/>
    <cellStyle name="Normal 2 12 23 2" xfId="10773" xr:uid="{00000000-0005-0000-0000-0000791F0000}"/>
    <cellStyle name="Normal 2 12 24" xfId="10774" xr:uid="{00000000-0005-0000-0000-00007A1F0000}"/>
    <cellStyle name="Normal 2 12 3" xfId="687" xr:uid="{00000000-0005-0000-0000-000047020000}"/>
    <cellStyle name="Normal 2 12 3 2" xfId="10775" xr:uid="{00000000-0005-0000-0000-00007C1F0000}"/>
    <cellStyle name="Normal 2 12 4" xfId="688" xr:uid="{00000000-0005-0000-0000-000048020000}"/>
    <cellStyle name="Normal 2 12 4 2" xfId="10776" xr:uid="{00000000-0005-0000-0000-00007E1F0000}"/>
    <cellStyle name="Normal 2 12 5" xfId="689" xr:uid="{00000000-0005-0000-0000-000049020000}"/>
    <cellStyle name="Normal 2 12 5 2" xfId="10777" xr:uid="{00000000-0005-0000-0000-0000801F0000}"/>
    <cellStyle name="Normal 2 12 6" xfId="690" xr:uid="{00000000-0005-0000-0000-00004A020000}"/>
    <cellStyle name="Normal 2 12 6 2" xfId="10778" xr:uid="{00000000-0005-0000-0000-0000821F0000}"/>
    <cellStyle name="Normal 2 12 7" xfId="691" xr:uid="{00000000-0005-0000-0000-00004B020000}"/>
    <cellStyle name="Normal 2 12 7 2" xfId="10779" xr:uid="{00000000-0005-0000-0000-0000841F0000}"/>
    <cellStyle name="Normal 2 12 8" xfId="692" xr:uid="{00000000-0005-0000-0000-00004C020000}"/>
    <cellStyle name="Normal 2 12 8 2" xfId="10780" xr:uid="{00000000-0005-0000-0000-0000861F0000}"/>
    <cellStyle name="Normal 2 12 9" xfId="693" xr:uid="{00000000-0005-0000-0000-00004D020000}"/>
    <cellStyle name="Normal 2 12 9 2" xfId="10781" xr:uid="{00000000-0005-0000-0000-0000881F0000}"/>
    <cellStyle name="Normal 2 122" xfId="20566" xr:uid="{4274BA2E-76D4-42DF-B17B-8A96717D3BDA}"/>
    <cellStyle name="Normal 2 13" xfId="694" xr:uid="{00000000-0005-0000-0000-00004E020000}"/>
    <cellStyle name="Normal 2 13 10" xfId="695" xr:uid="{00000000-0005-0000-0000-00004F020000}"/>
    <cellStyle name="Normal 2 13 10 2" xfId="10782" xr:uid="{00000000-0005-0000-0000-00008B1F0000}"/>
    <cellStyle name="Normal 2 13 11" xfId="696" xr:uid="{00000000-0005-0000-0000-000050020000}"/>
    <cellStyle name="Normal 2 13 11 2" xfId="10783" xr:uid="{00000000-0005-0000-0000-00008D1F0000}"/>
    <cellStyle name="Normal 2 13 12" xfId="697" xr:uid="{00000000-0005-0000-0000-000051020000}"/>
    <cellStyle name="Normal 2 13 12 2" xfId="10784" xr:uid="{00000000-0005-0000-0000-00008F1F0000}"/>
    <cellStyle name="Normal 2 13 13" xfId="698" xr:uid="{00000000-0005-0000-0000-000052020000}"/>
    <cellStyle name="Normal 2 13 13 2" xfId="10785" xr:uid="{00000000-0005-0000-0000-0000911F0000}"/>
    <cellStyle name="Normal 2 13 14" xfId="699" xr:uid="{00000000-0005-0000-0000-000053020000}"/>
    <cellStyle name="Normal 2 13 14 2" xfId="10786" xr:uid="{00000000-0005-0000-0000-0000931F0000}"/>
    <cellStyle name="Normal 2 13 15" xfId="700" xr:uid="{00000000-0005-0000-0000-000054020000}"/>
    <cellStyle name="Normal 2 13 15 2" xfId="10787" xr:uid="{00000000-0005-0000-0000-0000951F0000}"/>
    <cellStyle name="Normal 2 13 16" xfId="701" xr:uid="{00000000-0005-0000-0000-000055020000}"/>
    <cellStyle name="Normal 2 13 16 2" xfId="10788" xr:uid="{00000000-0005-0000-0000-0000971F0000}"/>
    <cellStyle name="Normal 2 13 17" xfId="702" xr:uid="{00000000-0005-0000-0000-000056020000}"/>
    <cellStyle name="Normal 2 13 17 2" xfId="10789" xr:uid="{00000000-0005-0000-0000-0000991F0000}"/>
    <cellStyle name="Normal 2 13 18" xfId="703" xr:uid="{00000000-0005-0000-0000-000057020000}"/>
    <cellStyle name="Normal 2 13 18 2" xfId="10790" xr:uid="{00000000-0005-0000-0000-00009B1F0000}"/>
    <cellStyle name="Normal 2 13 19" xfId="704" xr:uid="{00000000-0005-0000-0000-000058020000}"/>
    <cellStyle name="Normal 2 13 19 2" xfId="10791" xr:uid="{00000000-0005-0000-0000-00009D1F0000}"/>
    <cellStyle name="Normal 2 13 2" xfId="705" xr:uid="{00000000-0005-0000-0000-000059020000}"/>
    <cellStyle name="Normal 2 13 2 2" xfId="10792" xr:uid="{00000000-0005-0000-0000-00009F1F0000}"/>
    <cellStyle name="Normal 2 13 20" xfId="706" xr:uid="{00000000-0005-0000-0000-00005A020000}"/>
    <cellStyle name="Normal 2 13 20 2" xfId="10793" xr:uid="{00000000-0005-0000-0000-0000A11F0000}"/>
    <cellStyle name="Normal 2 13 21" xfId="707" xr:uid="{00000000-0005-0000-0000-00005B020000}"/>
    <cellStyle name="Normal 2 13 21 2" xfId="10794" xr:uid="{00000000-0005-0000-0000-0000A31F0000}"/>
    <cellStyle name="Normal 2 13 22" xfId="708" xr:uid="{00000000-0005-0000-0000-00005C020000}"/>
    <cellStyle name="Normal 2 13 22 2" xfId="10795" xr:uid="{00000000-0005-0000-0000-0000A51F0000}"/>
    <cellStyle name="Normal 2 13 23" xfId="709" xr:uid="{00000000-0005-0000-0000-00005D020000}"/>
    <cellStyle name="Normal 2 13 23 2" xfId="10796" xr:uid="{00000000-0005-0000-0000-0000A71F0000}"/>
    <cellStyle name="Normal 2 13 24" xfId="10797" xr:uid="{00000000-0005-0000-0000-0000A81F0000}"/>
    <cellStyle name="Normal 2 13 3" xfId="710" xr:uid="{00000000-0005-0000-0000-00005E020000}"/>
    <cellStyle name="Normal 2 13 3 2" xfId="10798" xr:uid="{00000000-0005-0000-0000-0000AA1F0000}"/>
    <cellStyle name="Normal 2 13 4" xfId="711" xr:uid="{00000000-0005-0000-0000-00005F020000}"/>
    <cellStyle name="Normal 2 13 4 2" xfId="10799" xr:uid="{00000000-0005-0000-0000-0000AC1F0000}"/>
    <cellStyle name="Normal 2 13 5" xfId="712" xr:uid="{00000000-0005-0000-0000-000060020000}"/>
    <cellStyle name="Normal 2 13 5 2" xfId="10800" xr:uid="{00000000-0005-0000-0000-0000AE1F0000}"/>
    <cellStyle name="Normal 2 13 6" xfId="713" xr:uid="{00000000-0005-0000-0000-000061020000}"/>
    <cellStyle name="Normal 2 13 6 2" xfId="10801" xr:uid="{00000000-0005-0000-0000-0000B01F0000}"/>
    <cellStyle name="Normal 2 13 7" xfId="714" xr:uid="{00000000-0005-0000-0000-000062020000}"/>
    <cellStyle name="Normal 2 13 7 2" xfId="10802" xr:uid="{00000000-0005-0000-0000-0000B21F0000}"/>
    <cellStyle name="Normal 2 13 8" xfId="715" xr:uid="{00000000-0005-0000-0000-000063020000}"/>
    <cellStyle name="Normal 2 13 8 2" xfId="10803" xr:uid="{00000000-0005-0000-0000-0000B41F0000}"/>
    <cellStyle name="Normal 2 13 9" xfId="716" xr:uid="{00000000-0005-0000-0000-000064020000}"/>
    <cellStyle name="Normal 2 13 9 2" xfId="10804" xr:uid="{00000000-0005-0000-0000-0000B61F0000}"/>
    <cellStyle name="Normal 2 14" xfId="717" xr:uid="{00000000-0005-0000-0000-000065020000}"/>
    <cellStyle name="Normal 2 14 10" xfId="718" xr:uid="{00000000-0005-0000-0000-000066020000}"/>
    <cellStyle name="Normal 2 14 10 2" xfId="10805" xr:uid="{00000000-0005-0000-0000-0000B91F0000}"/>
    <cellStyle name="Normal 2 14 11" xfId="719" xr:uid="{00000000-0005-0000-0000-000067020000}"/>
    <cellStyle name="Normal 2 14 11 2" xfId="10806" xr:uid="{00000000-0005-0000-0000-0000BB1F0000}"/>
    <cellStyle name="Normal 2 14 12" xfId="720" xr:uid="{00000000-0005-0000-0000-000068020000}"/>
    <cellStyle name="Normal 2 14 12 2" xfId="10807" xr:uid="{00000000-0005-0000-0000-0000BD1F0000}"/>
    <cellStyle name="Normal 2 14 13" xfId="721" xr:uid="{00000000-0005-0000-0000-000069020000}"/>
    <cellStyle name="Normal 2 14 13 2" xfId="10808" xr:uid="{00000000-0005-0000-0000-0000BF1F0000}"/>
    <cellStyle name="Normal 2 14 14" xfId="722" xr:uid="{00000000-0005-0000-0000-00006A020000}"/>
    <cellStyle name="Normal 2 14 14 2" xfId="10809" xr:uid="{00000000-0005-0000-0000-0000C11F0000}"/>
    <cellStyle name="Normal 2 14 15" xfId="723" xr:uid="{00000000-0005-0000-0000-00006B020000}"/>
    <cellStyle name="Normal 2 14 15 2" xfId="10810" xr:uid="{00000000-0005-0000-0000-0000C31F0000}"/>
    <cellStyle name="Normal 2 14 16" xfId="724" xr:uid="{00000000-0005-0000-0000-00006C020000}"/>
    <cellStyle name="Normal 2 14 16 2" xfId="10811" xr:uid="{00000000-0005-0000-0000-0000C51F0000}"/>
    <cellStyle name="Normal 2 14 17" xfId="725" xr:uid="{00000000-0005-0000-0000-00006D020000}"/>
    <cellStyle name="Normal 2 14 17 2" xfId="10812" xr:uid="{00000000-0005-0000-0000-0000C71F0000}"/>
    <cellStyle name="Normal 2 14 18" xfId="726" xr:uid="{00000000-0005-0000-0000-00006E020000}"/>
    <cellStyle name="Normal 2 14 18 2" xfId="10813" xr:uid="{00000000-0005-0000-0000-0000C91F0000}"/>
    <cellStyle name="Normal 2 14 19" xfId="727" xr:uid="{00000000-0005-0000-0000-00006F020000}"/>
    <cellStyle name="Normal 2 14 19 2" xfId="10814" xr:uid="{00000000-0005-0000-0000-0000CB1F0000}"/>
    <cellStyle name="Normal 2 14 2" xfId="728" xr:uid="{00000000-0005-0000-0000-000070020000}"/>
    <cellStyle name="Normal 2 14 2 2" xfId="10815" xr:uid="{00000000-0005-0000-0000-0000CD1F0000}"/>
    <cellStyle name="Normal 2 14 20" xfId="729" xr:uid="{00000000-0005-0000-0000-000071020000}"/>
    <cellStyle name="Normal 2 14 20 2" xfId="10816" xr:uid="{00000000-0005-0000-0000-0000CF1F0000}"/>
    <cellStyle name="Normal 2 14 21" xfId="730" xr:uid="{00000000-0005-0000-0000-000072020000}"/>
    <cellStyle name="Normal 2 14 21 2" xfId="10817" xr:uid="{00000000-0005-0000-0000-0000D11F0000}"/>
    <cellStyle name="Normal 2 14 22" xfId="731" xr:uid="{00000000-0005-0000-0000-000073020000}"/>
    <cellStyle name="Normal 2 14 22 2" xfId="10818" xr:uid="{00000000-0005-0000-0000-0000D31F0000}"/>
    <cellStyle name="Normal 2 14 23" xfId="732" xr:uid="{00000000-0005-0000-0000-000074020000}"/>
    <cellStyle name="Normal 2 14 23 2" xfId="10819" xr:uid="{00000000-0005-0000-0000-0000D51F0000}"/>
    <cellStyle name="Normal 2 14 24" xfId="10820" xr:uid="{00000000-0005-0000-0000-0000D61F0000}"/>
    <cellStyle name="Normal 2 14 3" xfId="733" xr:uid="{00000000-0005-0000-0000-000075020000}"/>
    <cellStyle name="Normal 2 14 3 2" xfId="10821" xr:uid="{00000000-0005-0000-0000-0000D81F0000}"/>
    <cellStyle name="Normal 2 14 4" xfId="734" xr:uid="{00000000-0005-0000-0000-000076020000}"/>
    <cellStyle name="Normal 2 14 4 2" xfId="10822" xr:uid="{00000000-0005-0000-0000-0000DA1F0000}"/>
    <cellStyle name="Normal 2 14 5" xfId="735" xr:uid="{00000000-0005-0000-0000-000077020000}"/>
    <cellStyle name="Normal 2 14 5 2" xfId="10823" xr:uid="{00000000-0005-0000-0000-0000DC1F0000}"/>
    <cellStyle name="Normal 2 14 6" xfId="736" xr:uid="{00000000-0005-0000-0000-000078020000}"/>
    <cellStyle name="Normal 2 14 6 2" xfId="10824" xr:uid="{00000000-0005-0000-0000-0000DE1F0000}"/>
    <cellStyle name="Normal 2 14 7" xfId="737" xr:uid="{00000000-0005-0000-0000-000079020000}"/>
    <cellStyle name="Normal 2 14 7 2" xfId="10825" xr:uid="{00000000-0005-0000-0000-0000E01F0000}"/>
    <cellStyle name="Normal 2 14 8" xfId="738" xr:uid="{00000000-0005-0000-0000-00007A020000}"/>
    <cellStyle name="Normal 2 14 8 2" xfId="10826" xr:uid="{00000000-0005-0000-0000-0000E21F0000}"/>
    <cellStyle name="Normal 2 14 9" xfId="739" xr:uid="{00000000-0005-0000-0000-00007B020000}"/>
    <cellStyle name="Normal 2 14 9 2" xfId="10827" xr:uid="{00000000-0005-0000-0000-0000E41F0000}"/>
    <cellStyle name="Normal 2 15" xfId="740" xr:uid="{00000000-0005-0000-0000-00007C020000}"/>
    <cellStyle name="Normal 2 15 10" xfId="741" xr:uid="{00000000-0005-0000-0000-00007D020000}"/>
    <cellStyle name="Normal 2 15 10 2" xfId="10828" xr:uid="{00000000-0005-0000-0000-0000E71F0000}"/>
    <cellStyle name="Normal 2 15 11" xfId="742" xr:uid="{00000000-0005-0000-0000-00007E020000}"/>
    <cellStyle name="Normal 2 15 11 2" xfId="10829" xr:uid="{00000000-0005-0000-0000-0000E91F0000}"/>
    <cellStyle name="Normal 2 15 12" xfId="743" xr:uid="{00000000-0005-0000-0000-00007F020000}"/>
    <cellStyle name="Normal 2 15 12 2" xfId="10830" xr:uid="{00000000-0005-0000-0000-0000EB1F0000}"/>
    <cellStyle name="Normal 2 15 13" xfId="744" xr:uid="{00000000-0005-0000-0000-000080020000}"/>
    <cellStyle name="Normal 2 15 13 2" xfId="10831" xr:uid="{00000000-0005-0000-0000-0000ED1F0000}"/>
    <cellStyle name="Normal 2 15 14" xfId="745" xr:uid="{00000000-0005-0000-0000-000081020000}"/>
    <cellStyle name="Normal 2 15 14 2" xfId="10832" xr:uid="{00000000-0005-0000-0000-0000EF1F0000}"/>
    <cellStyle name="Normal 2 15 15" xfId="746" xr:uid="{00000000-0005-0000-0000-000082020000}"/>
    <cellStyle name="Normal 2 15 15 2" xfId="10833" xr:uid="{00000000-0005-0000-0000-0000F11F0000}"/>
    <cellStyle name="Normal 2 15 16" xfId="747" xr:uid="{00000000-0005-0000-0000-000083020000}"/>
    <cellStyle name="Normal 2 15 16 2" xfId="10834" xr:uid="{00000000-0005-0000-0000-0000F31F0000}"/>
    <cellStyle name="Normal 2 15 17" xfId="748" xr:uid="{00000000-0005-0000-0000-000084020000}"/>
    <cellStyle name="Normal 2 15 17 2" xfId="10835" xr:uid="{00000000-0005-0000-0000-0000F51F0000}"/>
    <cellStyle name="Normal 2 15 18" xfId="749" xr:uid="{00000000-0005-0000-0000-000085020000}"/>
    <cellStyle name="Normal 2 15 18 2" xfId="10836" xr:uid="{00000000-0005-0000-0000-0000F71F0000}"/>
    <cellStyle name="Normal 2 15 19" xfId="750" xr:uid="{00000000-0005-0000-0000-000086020000}"/>
    <cellStyle name="Normal 2 15 19 2" xfId="10837" xr:uid="{00000000-0005-0000-0000-0000F91F0000}"/>
    <cellStyle name="Normal 2 15 2" xfId="751" xr:uid="{00000000-0005-0000-0000-000087020000}"/>
    <cellStyle name="Normal 2 15 2 2" xfId="10838" xr:uid="{00000000-0005-0000-0000-0000FB1F0000}"/>
    <cellStyle name="Normal 2 15 20" xfId="752" xr:uid="{00000000-0005-0000-0000-000088020000}"/>
    <cellStyle name="Normal 2 15 20 2" xfId="10839" xr:uid="{00000000-0005-0000-0000-0000FD1F0000}"/>
    <cellStyle name="Normal 2 15 21" xfId="753" xr:uid="{00000000-0005-0000-0000-000089020000}"/>
    <cellStyle name="Normal 2 15 21 2" xfId="10840" xr:uid="{00000000-0005-0000-0000-0000FF1F0000}"/>
    <cellStyle name="Normal 2 15 22" xfId="754" xr:uid="{00000000-0005-0000-0000-00008A020000}"/>
    <cellStyle name="Normal 2 15 22 2" xfId="10841" xr:uid="{00000000-0005-0000-0000-000001200000}"/>
    <cellStyle name="Normal 2 15 23" xfId="755" xr:uid="{00000000-0005-0000-0000-00008B020000}"/>
    <cellStyle name="Normal 2 15 23 2" xfId="10842" xr:uid="{00000000-0005-0000-0000-000003200000}"/>
    <cellStyle name="Normal 2 15 24" xfId="10843" xr:uid="{00000000-0005-0000-0000-000004200000}"/>
    <cellStyle name="Normal 2 15 3" xfId="756" xr:uid="{00000000-0005-0000-0000-00008C020000}"/>
    <cellStyle name="Normal 2 15 3 2" xfId="10844" xr:uid="{00000000-0005-0000-0000-000006200000}"/>
    <cellStyle name="Normal 2 15 4" xfId="757" xr:uid="{00000000-0005-0000-0000-00008D020000}"/>
    <cellStyle name="Normal 2 15 4 2" xfId="10845" xr:uid="{00000000-0005-0000-0000-000008200000}"/>
    <cellStyle name="Normal 2 15 5" xfId="758" xr:uid="{00000000-0005-0000-0000-00008E020000}"/>
    <cellStyle name="Normal 2 15 5 2" xfId="10846" xr:uid="{00000000-0005-0000-0000-00000A200000}"/>
    <cellStyle name="Normal 2 15 6" xfId="759" xr:uid="{00000000-0005-0000-0000-00008F020000}"/>
    <cellStyle name="Normal 2 15 6 2" xfId="10847" xr:uid="{00000000-0005-0000-0000-00000C200000}"/>
    <cellStyle name="Normal 2 15 7" xfId="760" xr:uid="{00000000-0005-0000-0000-000090020000}"/>
    <cellStyle name="Normal 2 15 7 2" xfId="10848" xr:uid="{00000000-0005-0000-0000-00000E200000}"/>
    <cellStyle name="Normal 2 15 8" xfId="761" xr:uid="{00000000-0005-0000-0000-000091020000}"/>
    <cellStyle name="Normal 2 15 8 2" xfId="10849" xr:uid="{00000000-0005-0000-0000-000010200000}"/>
    <cellStyle name="Normal 2 15 9" xfId="762" xr:uid="{00000000-0005-0000-0000-000092020000}"/>
    <cellStyle name="Normal 2 15 9 2" xfId="10850" xr:uid="{00000000-0005-0000-0000-000012200000}"/>
    <cellStyle name="Normal 2 16" xfId="763" xr:uid="{00000000-0005-0000-0000-000093020000}"/>
    <cellStyle name="Normal 2 16 10" xfId="764" xr:uid="{00000000-0005-0000-0000-000094020000}"/>
    <cellStyle name="Normal 2 16 10 2" xfId="10851" xr:uid="{00000000-0005-0000-0000-000015200000}"/>
    <cellStyle name="Normal 2 16 11" xfId="765" xr:uid="{00000000-0005-0000-0000-000095020000}"/>
    <cellStyle name="Normal 2 16 11 2" xfId="10852" xr:uid="{00000000-0005-0000-0000-000017200000}"/>
    <cellStyle name="Normal 2 16 12" xfId="766" xr:uid="{00000000-0005-0000-0000-000096020000}"/>
    <cellStyle name="Normal 2 16 12 2" xfId="10853" xr:uid="{00000000-0005-0000-0000-000019200000}"/>
    <cellStyle name="Normal 2 16 13" xfId="767" xr:uid="{00000000-0005-0000-0000-000097020000}"/>
    <cellStyle name="Normal 2 16 13 2" xfId="10854" xr:uid="{00000000-0005-0000-0000-00001B200000}"/>
    <cellStyle name="Normal 2 16 14" xfId="768" xr:uid="{00000000-0005-0000-0000-000098020000}"/>
    <cellStyle name="Normal 2 16 14 2" xfId="10855" xr:uid="{00000000-0005-0000-0000-00001D200000}"/>
    <cellStyle name="Normal 2 16 15" xfId="769" xr:uid="{00000000-0005-0000-0000-000099020000}"/>
    <cellStyle name="Normal 2 16 15 2" xfId="10856" xr:uid="{00000000-0005-0000-0000-00001F200000}"/>
    <cellStyle name="Normal 2 16 16" xfId="770" xr:uid="{00000000-0005-0000-0000-00009A020000}"/>
    <cellStyle name="Normal 2 16 16 2" xfId="10857" xr:uid="{00000000-0005-0000-0000-000021200000}"/>
    <cellStyle name="Normal 2 16 17" xfId="771" xr:uid="{00000000-0005-0000-0000-00009B020000}"/>
    <cellStyle name="Normal 2 16 17 2" xfId="10858" xr:uid="{00000000-0005-0000-0000-000023200000}"/>
    <cellStyle name="Normal 2 16 18" xfId="772" xr:uid="{00000000-0005-0000-0000-00009C020000}"/>
    <cellStyle name="Normal 2 16 18 2" xfId="10859" xr:uid="{00000000-0005-0000-0000-000025200000}"/>
    <cellStyle name="Normal 2 16 19" xfId="773" xr:uid="{00000000-0005-0000-0000-00009D020000}"/>
    <cellStyle name="Normal 2 16 19 2" xfId="10860" xr:uid="{00000000-0005-0000-0000-000027200000}"/>
    <cellStyle name="Normal 2 16 2" xfId="774" xr:uid="{00000000-0005-0000-0000-00009E020000}"/>
    <cellStyle name="Normal 2 16 2 2" xfId="10861" xr:uid="{00000000-0005-0000-0000-000029200000}"/>
    <cellStyle name="Normal 2 16 20" xfId="775" xr:uid="{00000000-0005-0000-0000-00009F020000}"/>
    <cellStyle name="Normal 2 16 20 2" xfId="10862" xr:uid="{00000000-0005-0000-0000-00002B200000}"/>
    <cellStyle name="Normal 2 16 21" xfId="776" xr:uid="{00000000-0005-0000-0000-0000A0020000}"/>
    <cellStyle name="Normal 2 16 21 2" xfId="10863" xr:uid="{00000000-0005-0000-0000-00002D200000}"/>
    <cellStyle name="Normal 2 16 22" xfId="777" xr:uid="{00000000-0005-0000-0000-0000A1020000}"/>
    <cellStyle name="Normal 2 16 22 2" xfId="10864" xr:uid="{00000000-0005-0000-0000-00002F200000}"/>
    <cellStyle name="Normal 2 16 23" xfId="778" xr:uid="{00000000-0005-0000-0000-0000A2020000}"/>
    <cellStyle name="Normal 2 16 23 2" xfId="10865" xr:uid="{00000000-0005-0000-0000-000031200000}"/>
    <cellStyle name="Normal 2 16 24" xfId="10866" xr:uid="{00000000-0005-0000-0000-000032200000}"/>
    <cellStyle name="Normal 2 16 3" xfId="779" xr:uid="{00000000-0005-0000-0000-0000A3020000}"/>
    <cellStyle name="Normal 2 16 3 2" xfId="10867" xr:uid="{00000000-0005-0000-0000-000034200000}"/>
    <cellStyle name="Normal 2 16 4" xfId="780" xr:uid="{00000000-0005-0000-0000-0000A4020000}"/>
    <cellStyle name="Normal 2 16 4 2" xfId="10868" xr:uid="{00000000-0005-0000-0000-000036200000}"/>
    <cellStyle name="Normal 2 16 5" xfId="781" xr:uid="{00000000-0005-0000-0000-0000A5020000}"/>
    <cellStyle name="Normal 2 16 5 2" xfId="10869" xr:uid="{00000000-0005-0000-0000-000038200000}"/>
    <cellStyle name="Normal 2 16 6" xfId="782" xr:uid="{00000000-0005-0000-0000-0000A6020000}"/>
    <cellStyle name="Normal 2 16 6 2" xfId="10870" xr:uid="{00000000-0005-0000-0000-00003A200000}"/>
    <cellStyle name="Normal 2 16 7" xfId="783" xr:uid="{00000000-0005-0000-0000-0000A7020000}"/>
    <cellStyle name="Normal 2 16 7 2" xfId="10871" xr:uid="{00000000-0005-0000-0000-00003C200000}"/>
    <cellStyle name="Normal 2 16 8" xfId="784" xr:uid="{00000000-0005-0000-0000-0000A8020000}"/>
    <cellStyle name="Normal 2 16 8 2" xfId="10872" xr:uid="{00000000-0005-0000-0000-00003E200000}"/>
    <cellStyle name="Normal 2 16 9" xfId="785" xr:uid="{00000000-0005-0000-0000-0000A9020000}"/>
    <cellStyle name="Normal 2 16 9 2" xfId="10873" xr:uid="{00000000-0005-0000-0000-000040200000}"/>
    <cellStyle name="Normal 2 17" xfId="786" xr:uid="{00000000-0005-0000-0000-0000AA020000}"/>
    <cellStyle name="Normal 2 17 10" xfId="787" xr:uid="{00000000-0005-0000-0000-0000AB020000}"/>
    <cellStyle name="Normal 2 17 10 2" xfId="10874" xr:uid="{00000000-0005-0000-0000-000043200000}"/>
    <cellStyle name="Normal 2 17 11" xfId="788" xr:uid="{00000000-0005-0000-0000-0000AC020000}"/>
    <cellStyle name="Normal 2 17 11 2" xfId="10875" xr:uid="{00000000-0005-0000-0000-000045200000}"/>
    <cellStyle name="Normal 2 17 12" xfId="789" xr:uid="{00000000-0005-0000-0000-0000AD020000}"/>
    <cellStyle name="Normal 2 17 12 2" xfId="10876" xr:uid="{00000000-0005-0000-0000-000047200000}"/>
    <cellStyle name="Normal 2 17 13" xfId="790" xr:uid="{00000000-0005-0000-0000-0000AE020000}"/>
    <cellStyle name="Normal 2 17 13 2" xfId="10877" xr:uid="{00000000-0005-0000-0000-000049200000}"/>
    <cellStyle name="Normal 2 17 14" xfId="791" xr:uid="{00000000-0005-0000-0000-0000AF020000}"/>
    <cellStyle name="Normal 2 17 14 2" xfId="10878" xr:uid="{00000000-0005-0000-0000-00004B200000}"/>
    <cellStyle name="Normal 2 17 15" xfId="792" xr:uid="{00000000-0005-0000-0000-0000B0020000}"/>
    <cellStyle name="Normal 2 17 15 2" xfId="10879" xr:uid="{00000000-0005-0000-0000-00004D200000}"/>
    <cellStyle name="Normal 2 17 16" xfId="793" xr:uid="{00000000-0005-0000-0000-0000B1020000}"/>
    <cellStyle name="Normal 2 17 16 2" xfId="10880" xr:uid="{00000000-0005-0000-0000-00004F200000}"/>
    <cellStyle name="Normal 2 17 17" xfId="794" xr:uid="{00000000-0005-0000-0000-0000B2020000}"/>
    <cellStyle name="Normal 2 17 17 2" xfId="10881" xr:uid="{00000000-0005-0000-0000-000051200000}"/>
    <cellStyle name="Normal 2 17 18" xfId="795" xr:uid="{00000000-0005-0000-0000-0000B3020000}"/>
    <cellStyle name="Normal 2 17 18 2" xfId="10882" xr:uid="{00000000-0005-0000-0000-000053200000}"/>
    <cellStyle name="Normal 2 17 19" xfId="796" xr:uid="{00000000-0005-0000-0000-0000B4020000}"/>
    <cellStyle name="Normal 2 17 19 2" xfId="10883" xr:uid="{00000000-0005-0000-0000-000055200000}"/>
    <cellStyle name="Normal 2 17 2" xfId="797" xr:uid="{00000000-0005-0000-0000-0000B5020000}"/>
    <cellStyle name="Normal 2 17 2 2" xfId="10884" xr:uid="{00000000-0005-0000-0000-000057200000}"/>
    <cellStyle name="Normal 2 17 20" xfId="798" xr:uid="{00000000-0005-0000-0000-0000B6020000}"/>
    <cellStyle name="Normal 2 17 20 2" xfId="10885" xr:uid="{00000000-0005-0000-0000-000059200000}"/>
    <cellStyle name="Normal 2 17 21" xfId="799" xr:uid="{00000000-0005-0000-0000-0000B7020000}"/>
    <cellStyle name="Normal 2 17 21 2" xfId="10886" xr:uid="{00000000-0005-0000-0000-00005B200000}"/>
    <cellStyle name="Normal 2 17 22" xfId="800" xr:uid="{00000000-0005-0000-0000-0000B8020000}"/>
    <cellStyle name="Normal 2 17 22 2" xfId="10887" xr:uid="{00000000-0005-0000-0000-00005D200000}"/>
    <cellStyle name="Normal 2 17 23" xfId="801" xr:uid="{00000000-0005-0000-0000-0000B9020000}"/>
    <cellStyle name="Normal 2 17 23 2" xfId="10888" xr:uid="{00000000-0005-0000-0000-00005F200000}"/>
    <cellStyle name="Normal 2 17 24" xfId="10889" xr:uid="{00000000-0005-0000-0000-000060200000}"/>
    <cellStyle name="Normal 2 17 3" xfId="802" xr:uid="{00000000-0005-0000-0000-0000BA020000}"/>
    <cellStyle name="Normal 2 17 3 2" xfId="10890" xr:uid="{00000000-0005-0000-0000-000062200000}"/>
    <cellStyle name="Normal 2 17 4" xfId="803" xr:uid="{00000000-0005-0000-0000-0000BB020000}"/>
    <cellStyle name="Normal 2 17 4 2" xfId="10891" xr:uid="{00000000-0005-0000-0000-000064200000}"/>
    <cellStyle name="Normal 2 17 5" xfId="804" xr:uid="{00000000-0005-0000-0000-0000BC020000}"/>
    <cellStyle name="Normal 2 17 5 2" xfId="10892" xr:uid="{00000000-0005-0000-0000-000066200000}"/>
    <cellStyle name="Normal 2 17 6" xfId="805" xr:uid="{00000000-0005-0000-0000-0000BD020000}"/>
    <cellStyle name="Normal 2 17 6 2" xfId="10893" xr:uid="{00000000-0005-0000-0000-000068200000}"/>
    <cellStyle name="Normal 2 17 7" xfId="806" xr:uid="{00000000-0005-0000-0000-0000BE020000}"/>
    <cellStyle name="Normal 2 17 7 2" xfId="10894" xr:uid="{00000000-0005-0000-0000-00006A200000}"/>
    <cellStyle name="Normal 2 17 8" xfId="807" xr:uid="{00000000-0005-0000-0000-0000BF020000}"/>
    <cellStyle name="Normal 2 17 8 2" xfId="10895" xr:uid="{00000000-0005-0000-0000-00006C200000}"/>
    <cellStyle name="Normal 2 17 9" xfId="808" xr:uid="{00000000-0005-0000-0000-0000C0020000}"/>
    <cellStyle name="Normal 2 17 9 2" xfId="10896" xr:uid="{00000000-0005-0000-0000-00006E200000}"/>
    <cellStyle name="Normal 2 18" xfId="809" xr:uid="{00000000-0005-0000-0000-0000C1020000}"/>
    <cellStyle name="Normal 2 18 10" xfId="810" xr:uid="{00000000-0005-0000-0000-0000C2020000}"/>
    <cellStyle name="Normal 2 18 10 2" xfId="10897" xr:uid="{00000000-0005-0000-0000-000071200000}"/>
    <cellStyle name="Normal 2 18 11" xfId="811" xr:uid="{00000000-0005-0000-0000-0000C3020000}"/>
    <cellStyle name="Normal 2 18 11 2" xfId="10898" xr:uid="{00000000-0005-0000-0000-000073200000}"/>
    <cellStyle name="Normal 2 18 12" xfId="812" xr:uid="{00000000-0005-0000-0000-0000C4020000}"/>
    <cellStyle name="Normal 2 18 12 2" xfId="10899" xr:uid="{00000000-0005-0000-0000-000075200000}"/>
    <cellStyle name="Normal 2 18 13" xfId="813" xr:uid="{00000000-0005-0000-0000-0000C5020000}"/>
    <cellStyle name="Normal 2 18 13 2" xfId="10900" xr:uid="{00000000-0005-0000-0000-000077200000}"/>
    <cellStyle name="Normal 2 18 14" xfId="814" xr:uid="{00000000-0005-0000-0000-0000C6020000}"/>
    <cellStyle name="Normal 2 18 14 2" xfId="10901" xr:uid="{00000000-0005-0000-0000-000079200000}"/>
    <cellStyle name="Normal 2 18 15" xfId="815" xr:uid="{00000000-0005-0000-0000-0000C7020000}"/>
    <cellStyle name="Normal 2 18 15 2" xfId="10902" xr:uid="{00000000-0005-0000-0000-00007B200000}"/>
    <cellStyle name="Normal 2 18 16" xfId="816" xr:uid="{00000000-0005-0000-0000-0000C8020000}"/>
    <cellStyle name="Normal 2 18 16 2" xfId="10903" xr:uid="{00000000-0005-0000-0000-00007D200000}"/>
    <cellStyle name="Normal 2 18 17" xfId="817" xr:uid="{00000000-0005-0000-0000-0000C9020000}"/>
    <cellStyle name="Normal 2 18 17 2" xfId="10904" xr:uid="{00000000-0005-0000-0000-00007F200000}"/>
    <cellStyle name="Normal 2 18 18" xfId="818" xr:uid="{00000000-0005-0000-0000-0000CA020000}"/>
    <cellStyle name="Normal 2 18 18 2" xfId="10905" xr:uid="{00000000-0005-0000-0000-000081200000}"/>
    <cellStyle name="Normal 2 18 19" xfId="819" xr:uid="{00000000-0005-0000-0000-0000CB020000}"/>
    <cellStyle name="Normal 2 18 19 2" xfId="10906" xr:uid="{00000000-0005-0000-0000-000083200000}"/>
    <cellStyle name="Normal 2 18 2" xfId="820" xr:uid="{00000000-0005-0000-0000-0000CC020000}"/>
    <cellStyle name="Normal 2 18 2 2" xfId="10907" xr:uid="{00000000-0005-0000-0000-000085200000}"/>
    <cellStyle name="Normal 2 18 20" xfId="821" xr:uid="{00000000-0005-0000-0000-0000CD020000}"/>
    <cellStyle name="Normal 2 18 20 2" xfId="10908" xr:uid="{00000000-0005-0000-0000-000087200000}"/>
    <cellStyle name="Normal 2 18 21" xfId="822" xr:uid="{00000000-0005-0000-0000-0000CE020000}"/>
    <cellStyle name="Normal 2 18 21 2" xfId="10909" xr:uid="{00000000-0005-0000-0000-000089200000}"/>
    <cellStyle name="Normal 2 18 22" xfId="823" xr:uid="{00000000-0005-0000-0000-0000CF020000}"/>
    <cellStyle name="Normal 2 18 22 2" xfId="10910" xr:uid="{00000000-0005-0000-0000-00008B200000}"/>
    <cellStyle name="Normal 2 18 23" xfId="824" xr:uid="{00000000-0005-0000-0000-0000D0020000}"/>
    <cellStyle name="Normal 2 18 23 2" xfId="10911" xr:uid="{00000000-0005-0000-0000-00008D200000}"/>
    <cellStyle name="Normal 2 18 24" xfId="10912" xr:uid="{00000000-0005-0000-0000-00008E200000}"/>
    <cellStyle name="Normal 2 18 3" xfId="825" xr:uid="{00000000-0005-0000-0000-0000D1020000}"/>
    <cellStyle name="Normal 2 18 3 2" xfId="10913" xr:uid="{00000000-0005-0000-0000-000090200000}"/>
    <cellStyle name="Normal 2 18 4" xfId="826" xr:uid="{00000000-0005-0000-0000-0000D2020000}"/>
    <cellStyle name="Normal 2 18 4 2" xfId="10914" xr:uid="{00000000-0005-0000-0000-000092200000}"/>
    <cellStyle name="Normal 2 18 5" xfId="827" xr:uid="{00000000-0005-0000-0000-0000D3020000}"/>
    <cellStyle name="Normal 2 18 5 2" xfId="10915" xr:uid="{00000000-0005-0000-0000-000094200000}"/>
    <cellStyle name="Normal 2 18 6" xfId="828" xr:uid="{00000000-0005-0000-0000-0000D4020000}"/>
    <cellStyle name="Normal 2 18 6 2" xfId="10916" xr:uid="{00000000-0005-0000-0000-000096200000}"/>
    <cellStyle name="Normal 2 18 7" xfId="829" xr:uid="{00000000-0005-0000-0000-0000D5020000}"/>
    <cellStyle name="Normal 2 18 7 2" xfId="10917" xr:uid="{00000000-0005-0000-0000-000098200000}"/>
    <cellStyle name="Normal 2 18 8" xfId="830" xr:uid="{00000000-0005-0000-0000-0000D6020000}"/>
    <cellStyle name="Normal 2 18 8 2" xfId="10918" xr:uid="{00000000-0005-0000-0000-00009A200000}"/>
    <cellStyle name="Normal 2 18 9" xfId="831" xr:uid="{00000000-0005-0000-0000-0000D7020000}"/>
    <cellStyle name="Normal 2 18 9 2" xfId="10919" xr:uid="{00000000-0005-0000-0000-00009C200000}"/>
    <cellStyle name="Normal 2 19" xfId="832" xr:uid="{00000000-0005-0000-0000-0000D8020000}"/>
    <cellStyle name="Normal 2 19 10" xfId="833" xr:uid="{00000000-0005-0000-0000-0000D9020000}"/>
    <cellStyle name="Normal 2 19 10 2" xfId="10920" xr:uid="{00000000-0005-0000-0000-00009F200000}"/>
    <cellStyle name="Normal 2 19 11" xfId="834" xr:uid="{00000000-0005-0000-0000-0000DA020000}"/>
    <cellStyle name="Normal 2 19 11 2" xfId="10921" xr:uid="{00000000-0005-0000-0000-0000A1200000}"/>
    <cellStyle name="Normal 2 19 12" xfId="835" xr:uid="{00000000-0005-0000-0000-0000DB020000}"/>
    <cellStyle name="Normal 2 19 12 2" xfId="10922" xr:uid="{00000000-0005-0000-0000-0000A3200000}"/>
    <cellStyle name="Normal 2 19 13" xfId="836" xr:uid="{00000000-0005-0000-0000-0000DC020000}"/>
    <cellStyle name="Normal 2 19 13 2" xfId="10923" xr:uid="{00000000-0005-0000-0000-0000A5200000}"/>
    <cellStyle name="Normal 2 19 14" xfId="837" xr:uid="{00000000-0005-0000-0000-0000DD020000}"/>
    <cellStyle name="Normal 2 19 14 2" xfId="10924" xr:uid="{00000000-0005-0000-0000-0000A7200000}"/>
    <cellStyle name="Normal 2 19 15" xfId="838" xr:uid="{00000000-0005-0000-0000-0000DE020000}"/>
    <cellStyle name="Normal 2 19 15 2" xfId="10925" xr:uid="{00000000-0005-0000-0000-0000A9200000}"/>
    <cellStyle name="Normal 2 19 16" xfId="839" xr:uid="{00000000-0005-0000-0000-0000DF020000}"/>
    <cellStyle name="Normal 2 19 16 2" xfId="10926" xr:uid="{00000000-0005-0000-0000-0000AB200000}"/>
    <cellStyle name="Normal 2 19 17" xfId="840" xr:uid="{00000000-0005-0000-0000-0000E0020000}"/>
    <cellStyle name="Normal 2 19 17 2" xfId="10927" xr:uid="{00000000-0005-0000-0000-0000AD200000}"/>
    <cellStyle name="Normal 2 19 18" xfId="841" xr:uid="{00000000-0005-0000-0000-0000E1020000}"/>
    <cellStyle name="Normal 2 19 18 2" xfId="10928" xr:uid="{00000000-0005-0000-0000-0000AF200000}"/>
    <cellStyle name="Normal 2 19 19" xfId="842" xr:uid="{00000000-0005-0000-0000-0000E2020000}"/>
    <cellStyle name="Normal 2 19 19 2" xfId="10929" xr:uid="{00000000-0005-0000-0000-0000B1200000}"/>
    <cellStyle name="Normal 2 19 2" xfId="843" xr:uid="{00000000-0005-0000-0000-0000E3020000}"/>
    <cellStyle name="Normal 2 19 2 2" xfId="10930" xr:uid="{00000000-0005-0000-0000-0000B3200000}"/>
    <cellStyle name="Normal 2 19 20" xfId="844" xr:uid="{00000000-0005-0000-0000-0000E4020000}"/>
    <cellStyle name="Normal 2 19 20 2" xfId="10931" xr:uid="{00000000-0005-0000-0000-0000B5200000}"/>
    <cellStyle name="Normal 2 19 21" xfId="845" xr:uid="{00000000-0005-0000-0000-0000E5020000}"/>
    <cellStyle name="Normal 2 19 21 2" xfId="10932" xr:uid="{00000000-0005-0000-0000-0000B7200000}"/>
    <cellStyle name="Normal 2 19 22" xfId="846" xr:uid="{00000000-0005-0000-0000-0000E6020000}"/>
    <cellStyle name="Normal 2 19 22 2" xfId="10933" xr:uid="{00000000-0005-0000-0000-0000B9200000}"/>
    <cellStyle name="Normal 2 19 23" xfId="847" xr:uid="{00000000-0005-0000-0000-0000E7020000}"/>
    <cellStyle name="Normal 2 19 23 2" xfId="10934" xr:uid="{00000000-0005-0000-0000-0000BB200000}"/>
    <cellStyle name="Normal 2 19 24" xfId="10935" xr:uid="{00000000-0005-0000-0000-0000BC200000}"/>
    <cellStyle name="Normal 2 19 3" xfId="848" xr:uid="{00000000-0005-0000-0000-0000E8020000}"/>
    <cellStyle name="Normal 2 19 3 2" xfId="10936" xr:uid="{00000000-0005-0000-0000-0000BE200000}"/>
    <cellStyle name="Normal 2 19 4" xfId="849" xr:uid="{00000000-0005-0000-0000-0000E9020000}"/>
    <cellStyle name="Normal 2 19 4 2" xfId="10937" xr:uid="{00000000-0005-0000-0000-0000C0200000}"/>
    <cellStyle name="Normal 2 19 5" xfId="850" xr:uid="{00000000-0005-0000-0000-0000EA020000}"/>
    <cellStyle name="Normal 2 19 5 2" xfId="10938" xr:uid="{00000000-0005-0000-0000-0000C2200000}"/>
    <cellStyle name="Normal 2 19 6" xfId="851" xr:uid="{00000000-0005-0000-0000-0000EB020000}"/>
    <cellStyle name="Normal 2 19 6 2" xfId="10939" xr:uid="{00000000-0005-0000-0000-0000C4200000}"/>
    <cellStyle name="Normal 2 19 7" xfId="852" xr:uid="{00000000-0005-0000-0000-0000EC020000}"/>
    <cellStyle name="Normal 2 19 7 2" xfId="10940" xr:uid="{00000000-0005-0000-0000-0000C6200000}"/>
    <cellStyle name="Normal 2 19 8" xfId="853" xr:uid="{00000000-0005-0000-0000-0000ED020000}"/>
    <cellStyle name="Normal 2 19 8 2" xfId="10941" xr:uid="{00000000-0005-0000-0000-0000C8200000}"/>
    <cellStyle name="Normal 2 19 9" xfId="854" xr:uid="{00000000-0005-0000-0000-0000EE020000}"/>
    <cellStyle name="Normal 2 19 9 2" xfId="10942" xr:uid="{00000000-0005-0000-0000-0000CA200000}"/>
    <cellStyle name="Normal 2 2" xfId="8" xr:uid="{00000000-0005-0000-0000-000010000000}"/>
    <cellStyle name="Normal 2 2 10" xfId="27897" xr:uid="{BB84905A-F7A0-43A3-9C50-E6BD82E639BC}"/>
    <cellStyle name="Normal 2 2 2" xfId="112" xr:uid="{00000000-0005-0000-0000-000010000000}"/>
    <cellStyle name="Normal 2 2 2 2" xfId="856" xr:uid="{00000000-0005-0000-0000-0000F0020000}"/>
    <cellStyle name="Normal 2 2 2 2 2" xfId="10943" xr:uid="{00000000-0005-0000-0000-0000CE200000}"/>
    <cellStyle name="Normal 2 2 2 3" xfId="10944" xr:uid="{00000000-0005-0000-0000-0000CF200000}"/>
    <cellStyle name="Normal 2 2 2 4" xfId="10945" xr:uid="{00000000-0005-0000-0000-0000D0200000}"/>
    <cellStyle name="Normal 2 2 2 5" xfId="10946" xr:uid="{00000000-0005-0000-0000-0000D1200000}"/>
    <cellStyle name="Normal 2 2 2 6" xfId="20663" xr:uid="{050375BE-41EA-4C58-82A6-E5CB600704D6}"/>
    <cellStyle name="Normal 2 2 2 6 2" xfId="35664" xr:uid="{94BE6729-A79E-4CE1-90DE-82DAB962307A}"/>
    <cellStyle name="Normal 2 2 2 7" xfId="27967" xr:uid="{EA5AA890-72D4-4203-8364-23B60DB93C2B}"/>
    <cellStyle name="Normal 2 2 3" xfId="857" xr:uid="{00000000-0005-0000-0000-0000F1020000}"/>
    <cellStyle name="Normal 2 2 3 2" xfId="10948" xr:uid="{00000000-0005-0000-0000-0000D3200000}"/>
    <cellStyle name="Normal 2 2 3 3" xfId="10949" xr:uid="{00000000-0005-0000-0000-0000D4200000}"/>
    <cellStyle name="Normal 2 2 3 4" xfId="10947" xr:uid="{00000000-0005-0000-0000-0000D2200000}"/>
    <cellStyle name="Normal 2 2 4" xfId="855" xr:uid="{00000000-0005-0000-0000-0000EF020000}"/>
    <cellStyle name="Normal 2 2 4 2" xfId="10951" xr:uid="{00000000-0005-0000-0000-0000D6200000}"/>
    <cellStyle name="Normal 2 2 4 2 2" xfId="10952" xr:uid="{00000000-0005-0000-0000-0000D7200000}"/>
    <cellStyle name="Normal 2 2 4 3" xfId="10953" xr:uid="{00000000-0005-0000-0000-0000D8200000}"/>
    <cellStyle name="Normal 2 2 4 4" xfId="10950" xr:uid="{00000000-0005-0000-0000-0000D5200000}"/>
    <cellStyle name="Normal 2 2 5" xfId="10954" xr:uid="{00000000-0005-0000-0000-0000D9200000}"/>
    <cellStyle name="Normal 2 2 5 2" xfId="10955" xr:uid="{00000000-0005-0000-0000-0000DA200000}"/>
    <cellStyle name="Normal 2 2 5 2 2" xfId="10956" xr:uid="{00000000-0005-0000-0000-0000DB200000}"/>
    <cellStyle name="Normal 2 2 5 3" xfId="10957" xr:uid="{00000000-0005-0000-0000-0000DC200000}"/>
    <cellStyle name="Normal 2 2 6" xfId="10958" xr:uid="{00000000-0005-0000-0000-0000DD200000}"/>
    <cellStyle name="Normal 2 2 6 2" xfId="10959" xr:uid="{00000000-0005-0000-0000-0000DE200000}"/>
    <cellStyle name="Normal 2 2 7" xfId="10960" xr:uid="{00000000-0005-0000-0000-0000DF200000}"/>
    <cellStyle name="Normal 2 2 8" xfId="20532" xr:uid="{E125A2C0-628B-48A2-A1FD-B5CB5266D13C}"/>
    <cellStyle name="Normal 2 2 8 2" xfId="20540" xr:uid="{91DCED61-724E-4E15-ACCF-DD31D84A0D68}"/>
    <cellStyle name="Normal 2 2 8 2 2" xfId="20548" xr:uid="{0CA544D7-17F4-48E8-A318-E6E47D14B7AD}"/>
    <cellStyle name="Normal 2 2 8 2 2 2" xfId="27853" xr:uid="{488D4FB1-E9FB-48A0-B6C5-257335E6D3F0}"/>
    <cellStyle name="Normal 2 2 8 2 2 2 2" xfId="42790" xr:uid="{44CBDD9D-743C-45C9-8EAE-B3621144E4D8}"/>
    <cellStyle name="Normal 2 2 8 2 2 3" xfId="35562" xr:uid="{5D0E1E0E-FE86-4957-9689-8D01F43F32B6}"/>
    <cellStyle name="Normal 2 2 8 2 3" xfId="27847" xr:uid="{5C8AAC54-FE4E-4AE4-9701-16BF56D0F492}"/>
    <cellStyle name="Normal 2 2 8 2 3 2" xfId="42784" xr:uid="{2347C693-97B2-47E4-94EB-2109A5D7B550}"/>
    <cellStyle name="Normal 2 2 8 2 4" xfId="35556" xr:uid="{4548DE6C-5FEA-4F53-9C57-D688882013D4}"/>
    <cellStyle name="Normal 2 2 8 3" xfId="20562" xr:uid="{A5241C68-4D71-423D-A378-4AE18A057E6E}"/>
    <cellStyle name="Normal 2 2 8 3 2" xfId="27860" xr:uid="{713159FF-36C2-41E2-A7B6-266A9B24F83D}"/>
    <cellStyle name="Normal 2 2 8 3 2 2" xfId="42797" xr:uid="{E6CB469D-C6F0-434B-B0B8-44222A186FD7}"/>
    <cellStyle name="Normal 2 2 8 3 3" xfId="35569" xr:uid="{B9CC84B0-6E2F-43D8-AC92-43EC6B9AB64A}"/>
    <cellStyle name="Normal 2 2 8 4" xfId="20573" xr:uid="{D8E6189D-97EA-4112-97C4-7FB35D08212E}"/>
    <cellStyle name="Normal 2 2 8 4 2" xfId="20574" xr:uid="{63BFFF18-3A4A-4318-9957-7423E25ECC39}"/>
    <cellStyle name="Normal 2 2 8 4 2 2" xfId="20577" xr:uid="{57407C9F-585F-4678-957B-0ABF387AD94E}"/>
    <cellStyle name="Normal 2 2 8 4 2 2 2" xfId="27870" xr:uid="{FF5C0B6A-4756-4ACE-BE8D-945B8A37EC6B}"/>
    <cellStyle name="Normal 2 2 8 4 2 2 2 2" xfId="42807" xr:uid="{FC829A66-2B5F-46A5-8ADD-294E37B62E66}"/>
    <cellStyle name="Normal 2 2 8 4 2 2 3" xfId="35579" xr:uid="{4ECEAB1E-D1BA-434C-8AA2-55BE13E7A63E}"/>
    <cellStyle name="Normal 2 2 8 4 2 3" xfId="27867" xr:uid="{1B6F8CED-D88D-46E1-BBCC-77A672E43DEC}"/>
    <cellStyle name="Normal 2 2 8 4 2 3 2" xfId="42804" xr:uid="{0BEC2051-1F26-4355-8C21-AD78D1A2EA53}"/>
    <cellStyle name="Normal 2 2 8 4 2 4" xfId="35576" xr:uid="{3785FE1B-BDA0-4A42-B536-EEDC8CB6FE1A}"/>
    <cellStyle name="Normal 2 2 8 4 3" xfId="27866" xr:uid="{60FDA28A-19AE-43F1-8491-4DA918B89DFF}"/>
    <cellStyle name="Normal 2 2 8 4 3 2" xfId="42803" xr:uid="{AAC478EC-3791-4D9E-A12D-B4D5352DC9DB}"/>
    <cellStyle name="Normal 2 2 8 4 4" xfId="35575" xr:uid="{7BC2B65F-AB00-43A2-B54C-3C8D095FF661}"/>
    <cellStyle name="Normal 2 2 8 5" xfId="27839" xr:uid="{BF69ED9F-D3F0-4C99-A5DF-0C12CF37F460}"/>
    <cellStyle name="Normal 2 2 8 5 2" xfId="42776" xr:uid="{CE20AC8C-7170-4A14-8E38-080015BDADBA}"/>
    <cellStyle name="Normal 2 2 8 6" xfId="27883" xr:uid="{979F555F-72FF-47FB-8302-D40F922E56E1}"/>
    <cellStyle name="Normal 2 2 8 6 2" xfId="42820" xr:uid="{128543B2-649B-4690-A7C9-3BD3218DF4B7}"/>
    <cellStyle name="Normal 2 2 8 7" xfId="27890" xr:uid="{72ADC9E4-F21D-4D46-8B72-BCAC227808FB}"/>
    <cellStyle name="Normal 2 2 8 7 2" xfId="42827" xr:uid="{C0420796-CBBB-4F3A-8719-FCC4F22F625E}"/>
    <cellStyle name="Normal 2 2 8 8" xfId="35548" xr:uid="{3BFDF389-FB1A-4721-B123-F18AE1F086A5}"/>
    <cellStyle name="Normal 2 2 9" xfId="20593" xr:uid="{60D4DCAB-5E77-409A-A0A0-839E9B20D05E}"/>
    <cellStyle name="Normal 2 2 9 2" xfId="35594" xr:uid="{FCF15F68-CE4E-4F9E-AFE5-834B42AD2039}"/>
    <cellStyle name="Normal 2 2_App b.3 Unspent_" xfId="858" xr:uid="{00000000-0005-0000-0000-0000F2020000}"/>
    <cellStyle name="Normal 2 20" xfId="859" xr:uid="{00000000-0005-0000-0000-0000F3020000}"/>
    <cellStyle name="Normal 2 20 10" xfId="860" xr:uid="{00000000-0005-0000-0000-0000F4020000}"/>
    <cellStyle name="Normal 2 20 10 2" xfId="10961" xr:uid="{00000000-0005-0000-0000-0000E3200000}"/>
    <cellStyle name="Normal 2 20 11" xfId="861" xr:uid="{00000000-0005-0000-0000-0000F5020000}"/>
    <cellStyle name="Normal 2 20 11 2" xfId="10962" xr:uid="{00000000-0005-0000-0000-0000E5200000}"/>
    <cellStyle name="Normal 2 20 12" xfId="862" xr:uid="{00000000-0005-0000-0000-0000F6020000}"/>
    <cellStyle name="Normal 2 20 12 2" xfId="10963" xr:uid="{00000000-0005-0000-0000-0000E7200000}"/>
    <cellStyle name="Normal 2 20 13" xfId="863" xr:uid="{00000000-0005-0000-0000-0000F7020000}"/>
    <cellStyle name="Normal 2 20 13 2" xfId="10964" xr:uid="{00000000-0005-0000-0000-0000E9200000}"/>
    <cellStyle name="Normal 2 20 14" xfId="864" xr:uid="{00000000-0005-0000-0000-0000F8020000}"/>
    <cellStyle name="Normal 2 20 14 2" xfId="10965" xr:uid="{00000000-0005-0000-0000-0000EB200000}"/>
    <cellStyle name="Normal 2 20 15" xfId="865" xr:uid="{00000000-0005-0000-0000-0000F9020000}"/>
    <cellStyle name="Normal 2 20 15 2" xfId="10966" xr:uid="{00000000-0005-0000-0000-0000ED200000}"/>
    <cellStyle name="Normal 2 20 16" xfId="866" xr:uid="{00000000-0005-0000-0000-0000FA020000}"/>
    <cellStyle name="Normal 2 20 16 2" xfId="10967" xr:uid="{00000000-0005-0000-0000-0000EF200000}"/>
    <cellStyle name="Normal 2 20 17" xfId="867" xr:uid="{00000000-0005-0000-0000-0000FB020000}"/>
    <cellStyle name="Normal 2 20 17 2" xfId="10968" xr:uid="{00000000-0005-0000-0000-0000F1200000}"/>
    <cellStyle name="Normal 2 20 18" xfId="868" xr:uid="{00000000-0005-0000-0000-0000FC020000}"/>
    <cellStyle name="Normal 2 20 18 2" xfId="10969" xr:uid="{00000000-0005-0000-0000-0000F3200000}"/>
    <cellStyle name="Normal 2 20 19" xfId="869" xr:uid="{00000000-0005-0000-0000-0000FD020000}"/>
    <cellStyle name="Normal 2 20 19 2" xfId="10970" xr:uid="{00000000-0005-0000-0000-0000F5200000}"/>
    <cellStyle name="Normal 2 20 2" xfId="870" xr:uid="{00000000-0005-0000-0000-0000FE020000}"/>
    <cellStyle name="Normal 2 20 2 2" xfId="10971" xr:uid="{00000000-0005-0000-0000-0000F7200000}"/>
    <cellStyle name="Normal 2 20 20" xfId="871" xr:uid="{00000000-0005-0000-0000-0000FF020000}"/>
    <cellStyle name="Normal 2 20 20 2" xfId="10972" xr:uid="{00000000-0005-0000-0000-0000F9200000}"/>
    <cellStyle name="Normal 2 20 21" xfId="872" xr:uid="{00000000-0005-0000-0000-000000030000}"/>
    <cellStyle name="Normal 2 20 21 2" xfId="10973" xr:uid="{00000000-0005-0000-0000-0000FB200000}"/>
    <cellStyle name="Normal 2 20 22" xfId="873" xr:uid="{00000000-0005-0000-0000-000001030000}"/>
    <cellStyle name="Normal 2 20 22 2" xfId="10974" xr:uid="{00000000-0005-0000-0000-0000FD200000}"/>
    <cellStyle name="Normal 2 20 23" xfId="874" xr:uid="{00000000-0005-0000-0000-000002030000}"/>
    <cellStyle name="Normal 2 20 23 2" xfId="10975" xr:uid="{00000000-0005-0000-0000-0000FF200000}"/>
    <cellStyle name="Normal 2 20 24" xfId="10976" xr:uid="{00000000-0005-0000-0000-000000210000}"/>
    <cellStyle name="Normal 2 20 3" xfId="875" xr:uid="{00000000-0005-0000-0000-000003030000}"/>
    <cellStyle name="Normal 2 20 3 2" xfId="10977" xr:uid="{00000000-0005-0000-0000-000002210000}"/>
    <cellStyle name="Normal 2 20 4" xfId="876" xr:uid="{00000000-0005-0000-0000-000004030000}"/>
    <cellStyle name="Normal 2 20 4 2" xfId="10978" xr:uid="{00000000-0005-0000-0000-000004210000}"/>
    <cellStyle name="Normal 2 20 5" xfId="877" xr:uid="{00000000-0005-0000-0000-000005030000}"/>
    <cellStyle name="Normal 2 20 5 2" xfId="10979" xr:uid="{00000000-0005-0000-0000-000006210000}"/>
    <cellStyle name="Normal 2 20 6" xfId="878" xr:uid="{00000000-0005-0000-0000-000006030000}"/>
    <cellStyle name="Normal 2 20 6 2" xfId="10980" xr:uid="{00000000-0005-0000-0000-000008210000}"/>
    <cellStyle name="Normal 2 20 7" xfId="879" xr:uid="{00000000-0005-0000-0000-000007030000}"/>
    <cellStyle name="Normal 2 20 7 2" xfId="10981" xr:uid="{00000000-0005-0000-0000-00000A210000}"/>
    <cellStyle name="Normal 2 20 8" xfId="880" xr:uid="{00000000-0005-0000-0000-000008030000}"/>
    <cellStyle name="Normal 2 20 8 2" xfId="10982" xr:uid="{00000000-0005-0000-0000-00000C210000}"/>
    <cellStyle name="Normal 2 20 9" xfId="881" xr:uid="{00000000-0005-0000-0000-000009030000}"/>
    <cellStyle name="Normal 2 20 9 2" xfId="10983" xr:uid="{00000000-0005-0000-0000-00000E210000}"/>
    <cellStyle name="Normal 2 21" xfId="882" xr:uid="{00000000-0005-0000-0000-00000A030000}"/>
    <cellStyle name="Normal 2 21 10" xfId="883" xr:uid="{00000000-0005-0000-0000-00000B030000}"/>
    <cellStyle name="Normal 2 21 10 2" xfId="10984" xr:uid="{00000000-0005-0000-0000-000011210000}"/>
    <cellStyle name="Normal 2 21 11" xfId="884" xr:uid="{00000000-0005-0000-0000-00000C030000}"/>
    <cellStyle name="Normal 2 21 11 2" xfId="10985" xr:uid="{00000000-0005-0000-0000-000013210000}"/>
    <cellStyle name="Normal 2 21 12" xfId="885" xr:uid="{00000000-0005-0000-0000-00000D030000}"/>
    <cellStyle name="Normal 2 21 12 2" xfId="10986" xr:uid="{00000000-0005-0000-0000-000015210000}"/>
    <cellStyle name="Normal 2 21 13" xfId="886" xr:uid="{00000000-0005-0000-0000-00000E030000}"/>
    <cellStyle name="Normal 2 21 13 2" xfId="10987" xr:uid="{00000000-0005-0000-0000-000017210000}"/>
    <cellStyle name="Normal 2 21 14" xfId="887" xr:uid="{00000000-0005-0000-0000-00000F030000}"/>
    <cellStyle name="Normal 2 21 14 2" xfId="10988" xr:uid="{00000000-0005-0000-0000-000019210000}"/>
    <cellStyle name="Normal 2 21 15" xfId="888" xr:uid="{00000000-0005-0000-0000-000010030000}"/>
    <cellStyle name="Normal 2 21 15 2" xfId="10989" xr:uid="{00000000-0005-0000-0000-00001B210000}"/>
    <cellStyle name="Normal 2 21 16" xfId="889" xr:uid="{00000000-0005-0000-0000-000011030000}"/>
    <cellStyle name="Normal 2 21 16 2" xfId="10990" xr:uid="{00000000-0005-0000-0000-00001D210000}"/>
    <cellStyle name="Normal 2 21 17" xfId="890" xr:uid="{00000000-0005-0000-0000-000012030000}"/>
    <cellStyle name="Normal 2 21 17 2" xfId="10991" xr:uid="{00000000-0005-0000-0000-00001F210000}"/>
    <cellStyle name="Normal 2 21 18" xfId="891" xr:uid="{00000000-0005-0000-0000-000013030000}"/>
    <cellStyle name="Normal 2 21 18 2" xfId="10992" xr:uid="{00000000-0005-0000-0000-000021210000}"/>
    <cellStyle name="Normal 2 21 19" xfId="892" xr:uid="{00000000-0005-0000-0000-000014030000}"/>
    <cellStyle name="Normal 2 21 19 2" xfId="10993" xr:uid="{00000000-0005-0000-0000-000023210000}"/>
    <cellStyle name="Normal 2 21 2" xfId="893" xr:uid="{00000000-0005-0000-0000-000015030000}"/>
    <cellStyle name="Normal 2 21 2 2" xfId="10994" xr:uid="{00000000-0005-0000-0000-000025210000}"/>
    <cellStyle name="Normal 2 21 20" xfId="894" xr:uid="{00000000-0005-0000-0000-000016030000}"/>
    <cellStyle name="Normal 2 21 20 2" xfId="10995" xr:uid="{00000000-0005-0000-0000-000027210000}"/>
    <cellStyle name="Normal 2 21 21" xfId="895" xr:uid="{00000000-0005-0000-0000-000017030000}"/>
    <cellStyle name="Normal 2 21 21 2" xfId="10996" xr:uid="{00000000-0005-0000-0000-000029210000}"/>
    <cellStyle name="Normal 2 21 22" xfId="896" xr:uid="{00000000-0005-0000-0000-000018030000}"/>
    <cellStyle name="Normal 2 21 22 2" xfId="10997" xr:uid="{00000000-0005-0000-0000-00002B210000}"/>
    <cellStyle name="Normal 2 21 23" xfId="897" xr:uid="{00000000-0005-0000-0000-000019030000}"/>
    <cellStyle name="Normal 2 21 23 2" xfId="10998" xr:uid="{00000000-0005-0000-0000-00002D210000}"/>
    <cellStyle name="Normal 2 21 24" xfId="10999" xr:uid="{00000000-0005-0000-0000-00002E210000}"/>
    <cellStyle name="Normal 2 21 3" xfId="898" xr:uid="{00000000-0005-0000-0000-00001A030000}"/>
    <cellStyle name="Normal 2 21 3 2" xfId="11000" xr:uid="{00000000-0005-0000-0000-000030210000}"/>
    <cellStyle name="Normal 2 21 4" xfId="899" xr:uid="{00000000-0005-0000-0000-00001B030000}"/>
    <cellStyle name="Normal 2 21 4 2" xfId="11001" xr:uid="{00000000-0005-0000-0000-000032210000}"/>
    <cellStyle name="Normal 2 21 5" xfId="900" xr:uid="{00000000-0005-0000-0000-00001C030000}"/>
    <cellStyle name="Normal 2 21 5 2" xfId="11002" xr:uid="{00000000-0005-0000-0000-000034210000}"/>
    <cellStyle name="Normal 2 21 6" xfId="901" xr:uid="{00000000-0005-0000-0000-00001D030000}"/>
    <cellStyle name="Normal 2 21 6 2" xfId="11003" xr:uid="{00000000-0005-0000-0000-000036210000}"/>
    <cellStyle name="Normal 2 21 7" xfId="902" xr:uid="{00000000-0005-0000-0000-00001E030000}"/>
    <cellStyle name="Normal 2 21 7 2" xfId="11004" xr:uid="{00000000-0005-0000-0000-000038210000}"/>
    <cellStyle name="Normal 2 21 8" xfId="903" xr:uid="{00000000-0005-0000-0000-00001F030000}"/>
    <cellStyle name="Normal 2 21 8 2" xfId="11005" xr:uid="{00000000-0005-0000-0000-00003A210000}"/>
    <cellStyle name="Normal 2 21 9" xfId="904" xr:uid="{00000000-0005-0000-0000-000020030000}"/>
    <cellStyle name="Normal 2 21 9 2" xfId="11006" xr:uid="{00000000-0005-0000-0000-00003C210000}"/>
    <cellStyle name="Normal 2 22" xfId="905" xr:uid="{00000000-0005-0000-0000-000021030000}"/>
    <cellStyle name="Normal 2 22 10" xfId="906" xr:uid="{00000000-0005-0000-0000-000022030000}"/>
    <cellStyle name="Normal 2 22 10 2" xfId="11007" xr:uid="{00000000-0005-0000-0000-00003F210000}"/>
    <cellStyle name="Normal 2 22 11" xfId="907" xr:uid="{00000000-0005-0000-0000-000023030000}"/>
    <cellStyle name="Normal 2 22 11 2" xfId="11008" xr:uid="{00000000-0005-0000-0000-000041210000}"/>
    <cellStyle name="Normal 2 22 12" xfId="908" xr:uid="{00000000-0005-0000-0000-000024030000}"/>
    <cellStyle name="Normal 2 22 12 2" xfId="11009" xr:uid="{00000000-0005-0000-0000-000043210000}"/>
    <cellStyle name="Normal 2 22 13" xfId="909" xr:uid="{00000000-0005-0000-0000-000025030000}"/>
    <cellStyle name="Normal 2 22 13 2" xfId="11010" xr:uid="{00000000-0005-0000-0000-000045210000}"/>
    <cellStyle name="Normal 2 22 14" xfId="910" xr:uid="{00000000-0005-0000-0000-000026030000}"/>
    <cellStyle name="Normal 2 22 14 2" xfId="11011" xr:uid="{00000000-0005-0000-0000-000047210000}"/>
    <cellStyle name="Normal 2 22 15" xfId="911" xr:uid="{00000000-0005-0000-0000-000027030000}"/>
    <cellStyle name="Normal 2 22 15 2" xfId="11012" xr:uid="{00000000-0005-0000-0000-000049210000}"/>
    <cellStyle name="Normal 2 22 16" xfId="912" xr:uid="{00000000-0005-0000-0000-000028030000}"/>
    <cellStyle name="Normal 2 22 16 2" xfId="11013" xr:uid="{00000000-0005-0000-0000-00004B210000}"/>
    <cellStyle name="Normal 2 22 17" xfId="913" xr:uid="{00000000-0005-0000-0000-000029030000}"/>
    <cellStyle name="Normal 2 22 17 2" xfId="11014" xr:uid="{00000000-0005-0000-0000-00004D210000}"/>
    <cellStyle name="Normal 2 22 18" xfId="914" xr:uid="{00000000-0005-0000-0000-00002A030000}"/>
    <cellStyle name="Normal 2 22 18 2" xfId="11015" xr:uid="{00000000-0005-0000-0000-00004F210000}"/>
    <cellStyle name="Normal 2 22 19" xfId="915" xr:uid="{00000000-0005-0000-0000-00002B030000}"/>
    <cellStyle name="Normal 2 22 19 2" xfId="11016" xr:uid="{00000000-0005-0000-0000-000051210000}"/>
    <cellStyle name="Normal 2 22 2" xfId="916" xr:uid="{00000000-0005-0000-0000-00002C030000}"/>
    <cellStyle name="Normal 2 22 2 2" xfId="11017" xr:uid="{00000000-0005-0000-0000-000053210000}"/>
    <cellStyle name="Normal 2 22 20" xfId="917" xr:uid="{00000000-0005-0000-0000-00002D030000}"/>
    <cellStyle name="Normal 2 22 20 2" xfId="11018" xr:uid="{00000000-0005-0000-0000-000055210000}"/>
    <cellStyle name="Normal 2 22 21" xfId="918" xr:uid="{00000000-0005-0000-0000-00002E030000}"/>
    <cellStyle name="Normal 2 22 21 2" xfId="11019" xr:uid="{00000000-0005-0000-0000-000057210000}"/>
    <cellStyle name="Normal 2 22 22" xfId="919" xr:uid="{00000000-0005-0000-0000-00002F030000}"/>
    <cellStyle name="Normal 2 22 22 2" xfId="11020" xr:uid="{00000000-0005-0000-0000-000059210000}"/>
    <cellStyle name="Normal 2 22 23" xfId="920" xr:uid="{00000000-0005-0000-0000-000030030000}"/>
    <cellStyle name="Normal 2 22 23 2" xfId="11021" xr:uid="{00000000-0005-0000-0000-00005B210000}"/>
    <cellStyle name="Normal 2 22 24" xfId="11022" xr:uid="{00000000-0005-0000-0000-00005C210000}"/>
    <cellStyle name="Normal 2 22 3" xfId="921" xr:uid="{00000000-0005-0000-0000-000031030000}"/>
    <cellStyle name="Normal 2 22 3 2" xfId="11023" xr:uid="{00000000-0005-0000-0000-00005E210000}"/>
    <cellStyle name="Normal 2 22 4" xfId="922" xr:uid="{00000000-0005-0000-0000-000032030000}"/>
    <cellStyle name="Normal 2 22 4 2" xfId="11024" xr:uid="{00000000-0005-0000-0000-000060210000}"/>
    <cellStyle name="Normal 2 22 5" xfId="923" xr:uid="{00000000-0005-0000-0000-000033030000}"/>
    <cellStyle name="Normal 2 22 5 2" xfId="11025" xr:uid="{00000000-0005-0000-0000-000062210000}"/>
    <cellStyle name="Normal 2 22 6" xfId="924" xr:uid="{00000000-0005-0000-0000-000034030000}"/>
    <cellStyle name="Normal 2 22 6 2" xfId="11026" xr:uid="{00000000-0005-0000-0000-000064210000}"/>
    <cellStyle name="Normal 2 22 7" xfId="925" xr:uid="{00000000-0005-0000-0000-000035030000}"/>
    <cellStyle name="Normal 2 22 7 2" xfId="11027" xr:uid="{00000000-0005-0000-0000-000066210000}"/>
    <cellStyle name="Normal 2 22 8" xfId="926" xr:uid="{00000000-0005-0000-0000-000036030000}"/>
    <cellStyle name="Normal 2 22 8 2" xfId="11028" xr:uid="{00000000-0005-0000-0000-000068210000}"/>
    <cellStyle name="Normal 2 22 9" xfId="927" xr:uid="{00000000-0005-0000-0000-000037030000}"/>
    <cellStyle name="Normal 2 22 9 2" xfId="11029" xr:uid="{00000000-0005-0000-0000-00006A210000}"/>
    <cellStyle name="Normal 2 23" xfId="928" xr:uid="{00000000-0005-0000-0000-000038030000}"/>
    <cellStyle name="Normal 2 23 10" xfId="929" xr:uid="{00000000-0005-0000-0000-000039030000}"/>
    <cellStyle name="Normal 2 23 10 2" xfId="11030" xr:uid="{00000000-0005-0000-0000-00006D210000}"/>
    <cellStyle name="Normal 2 23 11" xfId="930" xr:uid="{00000000-0005-0000-0000-00003A030000}"/>
    <cellStyle name="Normal 2 23 11 2" xfId="11031" xr:uid="{00000000-0005-0000-0000-00006F210000}"/>
    <cellStyle name="Normal 2 23 12" xfId="931" xr:uid="{00000000-0005-0000-0000-00003B030000}"/>
    <cellStyle name="Normal 2 23 12 2" xfId="11032" xr:uid="{00000000-0005-0000-0000-000071210000}"/>
    <cellStyle name="Normal 2 23 13" xfId="932" xr:uid="{00000000-0005-0000-0000-00003C030000}"/>
    <cellStyle name="Normal 2 23 13 2" xfId="11033" xr:uid="{00000000-0005-0000-0000-000073210000}"/>
    <cellStyle name="Normal 2 23 14" xfId="933" xr:uid="{00000000-0005-0000-0000-00003D030000}"/>
    <cellStyle name="Normal 2 23 14 2" xfId="11034" xr:uid="{00000000-0005-0000-0000-000075210000}"/>
    <cellStyle name="Normal 2 23 15" xfId="934" xr:uid="{00000000-0005-0000-0000-00003E030000}"/>
    <cellStyle name="Normal 2 23 15 2" xfId="11035" xr:uid="{00000000-0005-0000-0000-000077210000}"/>
    <cellStyle name="Normal 2 23 16" xfId="935" xr:uid="{00000000-0005-0000-0000-00003F030000}"/>
    <cellStyle name="Normal 2 23 16 2" xfId="11036" xr:uid="{00000000-0005-0000-0000-000079210000}"/>
    <cellStyle name="Normal 2 23 17" xfId="936" xr:uid="{00000000-0005-0000-0000-000040030000}"/>
    <cellStyle name="Normal 2 23 17 2" xfId="11037" xr:uid="{00000000-0005-0000-0000-00007B210000}"/>
    <cellStyle name="Normal 2 23 18" xfId="937" xr:uid="{00000000-0005-0000-0000-000041030000}"/>
    <cellStyle name="Normal 2 23 18 2" xfId="11038" xr:uid="{00000000-0005-0000-0000-00007D210000}"/>
    <cellStyle name="Normal 2 23 19" xfId="938" xr:uid="{00000000-0005-0000-0000-000042030000}"/>
    <cellStyle name="Normal 2 23 19 2" xfId="11039" xr:uid="{00000000-0005-0000-0000-00007F210000}"/>
    <cellStyle name="Normal 2 23 2" xfId="939" xr:uid="{00000000-0005-0000-0000-000043030000}"/>
    <cellStyle name="Normal 2 23 2 2" xfId="11040" xr:uid="{00000000-0005-0000-0000-000081210000}"/>
    <cellStyle name="Normal 2 23 20" xfId="940" xr:uid="{00000000-0005-0000-0000-000044030000}"/>
    <cellStyle name="Normal 2 23 20 2" xfId="11041" xr:uid="{00000000-0005-0000-0000-000083210000}"/>
    <cellStyle name="Normal 2 23 21" xfId="941" xr:uid="{00000000-0005-0000-0000-000045030000}"/>
    <cellStyle name="Normal 2 23 21 2" xfId="11042" xr:uid="{00000000-0005-0000-0000-000085210000}"/>
    <cellStyle name="Normal 2 23 22" xfId="942" xr:uid="{00000000-0005-0000-0000-000046030000}"/>
    <cellStyle name="Normal 2 23 22 2" xfId="11043" xr:uid="{00000000-0005-0000-0000-000087210000}"/>
    <cellStyle name="Normal 2 23 23" xfId="943" xr:uid="{00000000-0005-0000-0000-000047030000}"/>
    <cellStyle name="Normal 2 23 23 2" xfId="11044" xr:uid="{00000000-0005-0000-0000-000089210000}"/>
    <cellStyle name="Normal 2 23 24" xfId="11045" xr:uid="{00000000-0005-0000-0000-00008A210000}"/>
    <cellStyle name="Normal 2 23 3" xfId="944" xr:uid="{00000000-0005-0000-0000-000048030000}"/>
    <cellStyle name="Normal 2 23 3 2" xfId="11046" xr:uid="{00000000-0005-0000-0000-00008C210000}"/>
    <cellStyle name="Normal 2 23 4" xfId="945" xr:uid="{00000000-0005-0000-0000-000049030000}"/>
    <cellStyle name="Normal 2 23 4 2" xfId="11047" xr:uid="{00000000-0005-0000-0000-00008E210000}"/>
    <cellStyle name="Normal 2 23 5" xfId="946" xr:uid="{00000000-0005-0000-0000-00004A030000}"/>
    <cellStyle name="Normal 2 23 5 2" xfId="11048" xr:uid="{00000000-0005-0000-0000-000090210000}"/>
    <cellStyle name="Normal 2 23 6" xfId="947" xr:uid="{00000000-0005-0000-0000-00004B030000}"/>
    <cellStyle name="Normal 2 23 6 2" xfId="11049" xr:uid="{00000000-0005-0000-0000-000092210000}"/>
    <cellStyle name="Normal 2 23 7" xfId="948" xr:uid="{00000000-0005-0000-0000-00004C030000}"/>
    <cellStyle name="Normal 2 23 7 2" xfId="11050" xr:uid="{00000000-0005-0000-0000-000094210000}"/>
    <cellStyle name="Normal 2 23 8" xfId="949" xr:uid="{00000000-0005-0000-0000-00004D030000}"/>
    <cellStyle name="Normal 2 23 8 2" xfId="11051" xr:uid="{00000000-0005-0000-0000-000096210000}"/>
    <cellStyle name="Normal 2 23 9" xfId="950" xr:uid="{00000000-0005-0000-0000-00004E030000}"/>
    <cellStyle name="Normal 2 23 9 2" xfId="11052" xr:uid="{00000000-0005-0000-0000-000098210000}"/>
    <cellStyle name="Normal 2 24" xfId="951" xr:uid="{00000000-0005-0000-0000-00004F030000}"/>
    <cellStyle name="Normal 2 24 10" xfId="952" xr:uid="{00000000-0005-0000-0000-000050030000}"/>
    <cellStyle name="Normal 2 24 10 2" xfId="11053" xr:uid="{00000000-0005-0000-0000-00009B210000}"/>
    <cellStyle name="Normal 2 24 11" xfId="953" xr:uid="{00000000-0005-0000-0000-000051030000}"/>
    <cellStyle name="Normal 2 24 11 2" xfId="11054" xr:uid="{00000000-0005-0000-0000-00009D210000}"/>
    <cellStyle name="Normal 2 24 12" xfId="954" xr:uid="{00000000-0005-0000-0000-000052030000}"/>
    <cellStyle name="Normal 2 24 12 2" xfId="11055" xr:uid="{00000000-0005-0000-0000-00009F210000}"/>
    <cellStyle name="Normal 2 24 13" xfId="955" xr:uid="{00000000-0005-0000-0000-000053030000}"/>
    <cellStyle name="Normal 2 24 13 2" xfId="11056" xr:uid="{00000000-0005-0000-0000-0000A1210000}"/>
    <cellStyle name="Normal 2 24 14" xfId="956" xr:uid="{00000000-0005-0000-0000-000054030000}"/>
    <cellStyle name="Normal 2 24 14 2" xfId="11057" xr:uid="{00000000-0005-0000-0000-0000A3210000}"/>
    <cellStyle name="Normal 2 24 15" xfId="957" xr:uid="{00000000-0005-0000-0000-000055030000}"/>
    <cellStyle name="Normal 2 24 15 2" xfId="11058" xr:uid="{00000000-0005-0000-0000-0000A5210000}"/>
    <cellStyle name="Normal 2 24 16" xfId="958" xr:uid="{00000000-0005-0000-0000-000056030000}"/>
    <cellStyle name="Normal 2 24 16 2" xfId="11059" xr:uid="{00000000-0005-0000-0000-0000A7210000}"/>
    <cellStyle name="Normal 2 24 17" xfId="959" xr:uid="{00000000-0005-0000-0000-000057030000}"/>
    <cellStyle name="Normal 2 24 17 2" xfId="11060" xr:uid="{00000000-0005-0000-0000-0000A9210000}"/>
    <cellStyle name="Normal 2 24 18" xfId="960" xr:uid="{00000000-0005-0000-0000-000058030000}"/>
    <cellStyle name="Normal 2 24 18 2" xfId="11061" xr:uid="{00000000-0005-0000-0000-0000AB210000}"/>
    <cellStyle name="Normal 2 24 19" xfId="961" xr:uid="{00000000-0005-0000-0000-000059030000}"/>
    <cellStyle name="Normal 2 24 19 2" xfId="11062" xr:uid="{00000000-0005-0000-0000-0000AD210000}"/>
    <cellStyle name="Normal 2 24 2" xfId="962" xr:uid="{00000000-0005-0000-0000-00005A030000}"/>
    <cellStyle name="Normal 2 24 2 2" xfId="11063" xr:uid="{00000000-0005-0000-0000-0000AF210000}"/>
    <cellStyle name="Normal 2 24 20" xfId="963" xr:uid="{00000000-0005-0000-0000-00005B030000}"/>
    <cellStyle name="Normal 2 24 20 2" xfId="11064" xr:uid="{00000000-0005-0000-0000-0000B1210000}"/>
    <cellStyle name="Normal 2 24 21" xfId="964" xr:uid="{00000000-0005-0000-0000-00005C030000}"/>
    <cellStyle name="Normal 2 24 21 2" xfId="11065" xr:uid="{00000000-0005-0000-0000-0000B3210000}"/>
    <cellStyle name="Normal 2 24 22" xfId="965" xr:uid="{00000000-0005-0000-0000-00005D030000}"/>
    <cellStyle name="Normal 2 24 22 2" xfId="11066" xr:uid="{00000000-0005-0000-0000-0000B5210000}"/>
    <cellStyle name="Normal 2 24 23" xfId="966" xr:uid="{00000000-0005-0000-0000-00005E030000}"/>
    <cellStyle name="Normal 2 24 23 2" xfId="11067" xr:uid="{00000000-0005-0000-0000-0000B7210000}"/>
    <cellStyle name="Normal 2 24 24" xfId="11068" xr:uid="{00000000-0005-0000-0000-0000B8210000}"/>
    <cellStyle name="Normal 2 24 3" xfId="967" xr:uid="{00000000-0005-0000-0000-00005F030000}"/>
    <cellStyle name="Normal 2 24 3 2" xfId="11069" xr:uid="{00000000-0005-0000-0000-0000BA210000}"/>
    <cellStyle name="Normal 2 24 4" xfId="968" xr:uid="{00000000-0005-0000-0000-000060030000}"/>
    <cellStyle name="Normal 2 24 4 2" xfId="11070" xr:uid="{00000000-0005-0000-0000-0000BC210000}"/>
    <cellStyle name="Normal 2 24 5" xfId="969" xr:uid="{00000000-0005-0000-0000-000061030000}"/>
    <cellStyle name="Normal 2 24 5 2" xfId="11071" xr:uid="{00000000-0005-0000-0000-0000BE210000}"/>
    <cellStyle name="Normal 2 24 6" xfId="970" xr:uid="{00000000-0005-0000-0000-000062030000}"/>
    <cellStyle name="Normal 2 24 6 2" xfId="11072" xr:uid="{00000000-0005-0000-0000-0000C0210000}"/>
    <cellStyle name="Normal 2 24 7" xfId="971" xr:uid="{00000000-0005-0000-0000-000063030000}"/>
    <cellStyle name="Normal 2 24 7 2" xfId="11073" xr:uid="{00000000-0005-0000-0000-0000C2210000}"/>
    <cellStyle name="Normal 2 24 8" xfId="972" xr:uid="{00000000-0005-0000-0000-000064030000}"/>
    <cellStyle name="Normal 2 24 8 2" xfId="11074" xr:uid="{00000000-0005-0000-0000-0000C4210000}"/>
    <cellStyle name="Normal 2 24 9" xfId="973" xr:uid="{00000000-0005-0000-0000-000065030000}"/>
    <cellStyle name="Normal 2 24 9 2" xfId="11075" xr:uid="{00000000-0005-0000-0000-0000C6210000}"/>
    <cellStyle name="Normal 2 25" xfId="974" xr:uid="{00000000-0005-0000-0000-000066030000}"/>
    <cellStyle name="Normal 2 25 10" xfId="975" xr:uid="{00000000-0005-0000-0000-000067030000}"/>
    <cellStyle name="Normal 2 25 10 2" xfId="11076" xr:uid="{00000000-0005-0000-0000-0000C9210000}"/>
    <cellStyle name="Normal 2 25 11" xfId="976" xr:uid="{00000000-0005-0000-0000-000068030000}"/>
    <cellStyle name="Normal 2 25 11 2" xfId="11077" xr:uid="{00000000-0005-0000-0000-0000CB210000}"/>
    <cellStyle name="Normal 2 25 12" xfId="977" xr:uid="{00000000-0005-0000-0000-000069030000}"/>
    <cellStyle name="Normal 2 25 12 2" xfId="11078" xr:uid="{00000000-0005-0000-0000-0000CD210000}"/>
    <cellStyle name="Normal 2 25 13" xfId="978" xr:uid="{00000000-0005-0000-0000-00006A030000}"/>
    <cellStyle name="Normal 2 25 13 2" xfId="11079" xr:uid="{00000000-0005-0000-0000-0000CF210000}"/>
    <cellStyle name="Normal 2 25 14" xfId="979" xr:uid="{00000000-0005-0000-0000-00006B030000}"/>
    <cellStyle name="Normal 2 25 14 2" xfId="11080" xr:uid="{00000000-0005-0000-0000-0000D1210000}"/>
    <cellStyle name="Normal 2 25 15" xfId="980" xr:uid="{00000000-0005-0000-0000-00006C030000}"/>
    <cellStyle name="Normal 2 25 15 2" xfId="11081" xr:uid="{00000000-0005-0000-0000-0000D3210000}"/>
    <cellStyle name="Normal 2 25 16" xfId="981" xr:uid="{00000000-0005-0000-0000-00006D030000}"/>
    <cellStyle name="Normal 2 25 16 2" xfId="11082" xr:uid="{00000000-0005-0000-0000-0000D5210000}"/>
    <cellStyle name="Normal 2 25 17" xfId="982" xr:uid="{00000000-0005-0000-0000-00006E030000}"/>
    <cellStyle name="Normal 2 25 17 2" xfId="11083" xr:uid="{00000000-0005-0000-0000-0000D7210000}"/>
    <cellStyle name="Normal 2 25 18" xfId="983" xr:uid="{00000000-0005-0000-0000-00006F030000}"/>
    <cellStyle name="Normal 2 25 18 2" xfId="11084" xr:uid="{00000000-0005-0000-0000-0000D9210000}"/>
    <cellStyle name="Normal 2 25 19" xfId="984" xr:uid="{00000000-0005-0000-0000-000070030000}"/>
    <cellStyle name="Normal 2 25 19 2" xfId="11085" xr:uid="{00000000-0005-0000-0000-0000DB210000}"/>
    <cellStyle name="Normal 2 25 2" xfId="985" xr:uid="{00000000-0005-0000-0000-000071030000}"/>
    <cellStyle name="Normal 2 25 2 2" xfId="11086" xr:uid="{00000000-0005-0000-0000-0000DD210000}"/>
    <cellStyle name="Normal 2 25 20" xfId="986" xr:uid="{00000000-0005-0000-0000-000072030000}"/>
    <cellStyle name="Normal 2 25 20 2" xfId="11087" xr:uid="{00000000-0005-0000-0000-0000DF210000}"/>
    <cellStyle name="Normal 2 25 21" xfId="987" xr:uid="{00000000-0005-0000-0000-000073030000}"/>
    <cellStyle name="Normal 2 25 21 2" xfId="11088" xr:uid="{00000000-0005-0000-0000-0000E1210000}"/>
    <cellStyle name="Normal 2 25 22" xfId="988" xr:uid="{00000000-0005-0000-0000-000074030000}"/>
    <cellStyle name="Normal 2 25 22 2" xfId="11089" xr:uid="{00000000-0005-0000-0000-0000E3210000}"/>
    <cellStyle name="Normal 2 25 23" xfId="989" xr:uid="{00000000-0005-0000-0000-000075030000}"/>
    <cellStyle name="Normal 2 25 23 2" xfId="11090" xr:uid="{00000000-0005-0000-0000-0000E5210000}"/>
    <cellStyle name="Normal 2 25 24" xfId="11091" xr:uid="{00000000-0005-0000-0000-0000E6210000}"/>
    <cellStyle name="Normal 2 25 3" xfId="990" xr:uid="{00000000-0005-0000-0000-000076030000}"/>
    <cellStyle name="Normal 2 25 3 2" xfId="11092" xr:uid="{00000000-0005-0000-0000-0000E8210000}"/>
    <cellStyle name="Normal 2 25 4" xfId="991" xr:uid="{00000000-0005-0000-0000-000077030000}"/>
    <cellStyle name="Normal 2 25 4 2" xfId="11093" xr:uid="{00000000-0005-0000-0000-0000EA210000}"/>
    <cellStyle name="Normal 2 25 5" xfId="992" xr:uid="{00000000-0005-0000-0000-000078030000}"/>
    <cellStyle name="Normal 2 25 5 2" xfId="11094" xr:uid="{00000000-0005-0000-0000-0000EC210000}"/>
    <cellStyle name="Normal 2 25 6" xfId="993" xr:uid="{00000000-0005-0000-0000-000079030000}"/>
    <cellStyle name="Normal 2 25 6 2" xfId="11095" xr:uid="{00000000-0005-0000-0000-0000EE210000}"/>
    <cellStyle name="Normal 2 25 7" xfId="994" xr:uid="{00000000-0005-0000-0000-00007A030000}"/>
    <cellStyle name="Normal 2 25 7 2" xfId="11096" xr:uid="{00000000-0005-0000-0000-0000F0210000}"/>
    <cellStyle name="Normal 2 25 8" xfId="995" xr:uid="{00000000-0005-0000-0000-00007B030000}"/>
    <cellStyle name="Normal 2 25 8 2" xfId="11097" xr:uid="{00000000-0005-0000-0000-0000F2210000}"/>
    <cellStyle name="Normal 2 25 9" xfId="996" xr:uid="{00000000-0005-0000-0000-00007C030000}"/>
    <cellStyle name="Normal 2 25 9 2" xfId="11098" xr:uid="{00000000-0005-0000-0000-0000F4210000}"/>
    <cellStyle name="Normal 2 26" xfId="997" xr:uid="{00000000-0005-0000-0000-00007D030000}"/>
    <cellStyle name="Normal 2 26 10" xfId="998" xr:uid="{00000000-0005-0000-0000-00007E030000}"/>
    <cellStyle name="Normal 2 26 10 2" xfId="11099" xr:uid="{00000000-0005-0000-0000-0000F7210000}"/>
    <cellStyle name="Normal 2 26 11" xfId="999" xr:uid="{00000000-0005-0000-0000-00007F030000}"/>
    <cellStyle name="Normal 2 26 11 2" xfId="11100" xr:uid="{00000000-0005-0000-0000-0000F9210000}"/>
    <cellStyle name="Normal 2 26 12" xfId="1000" xr:uid="{00000000-0005-0000-0000-000080030000}"/>
    <cellStyle name="Normal 2 26 12 2" xfId="11101" xr:uid="{00000000-0005-0000-0000-0000FB210000}"/>
    <cellStyle name="Normal 2 26 13" xfId="1001" xr:uid="{00000000-0005-0000-0000-000081030000}"/>
    <cellStyle name="Normal 2 26 13 2" xfId="11102" xr:uid="{00000000-0005-0000-0000-0000FD210000}"/>
    <cellStyle name="Normal 2 26 14" xfId="1002" xr:uid="{00000000-0005-0000-0000-000082030000}"/>
    <cellStyle name="Normal 2 26 14 2" xfId="11103" xr:uid="{00000000-0005-0000-0000-0000FF210000}"/>
    <cellStyle name="Normal 2 26 15" xfId="1003" xr:uid="{00000000-0005-0000-0000-000083030000}"/>
    <cellStyle name="Normal 2 26 15 2" xfId="11104" xr:uid="{00000000-0005-0000-0000-000001220000}"/>
    <cellStyle name="Normal 2 26 16" xfId="1004" xr:uid="{00000000-0005-0000-0000-000084030000}"/>
    <cellStyle name="Normal 2 26 16 2" xfId="11105" xr:uid="{00000000-0005-0000-0000-000003220000}"/>
    <cellStyle name="Normal 2 26 17" xfId="1005" xr:uid="{00000000-0005-0000-0000-000085030000}"/>
    <cellStyle name="Normal 2 26 17 2" xfId="11106" xr:uid="{00000000-0005-0000-0000-000005220000}"/>
    <cellStyle name="Normal 2 26 18" xfId="1006" xr:uid="{00000000-0005-0000-0000-000086030000}"/>
    <cellStyle name="Normal 2 26 18 2" xfId="11107" xr:uid="{00000000-0005-0000-0000-000007220000}"/>
    <cellStyle name="Normal 2 26 19" xfId="1007" xr:uid="{00000000-0005-0000-0000-000087030000}"/>
    <cellStyle name="Normal 2 26 19 2" xfId="11108" xr:uid="{00000000-0005-0000-0000-000009220000}"/>
    <cellStyle name="Normal 2 26 2" xfId="1008" xr:uid="{00000000-0005-0000-0000-000088030000}"/>
    <cellStyle name="Normal 2 26 2 2" xfId="11109" xr:uid="{00000000-0005-0000-0000-00000B220000}"/>
    <cellStyle name="Normal 2 26 20" xfId="1009" xr:uid="{00000000-0005-0000-0000-000089030000}"/>
    <cellStyle name="Normal 2 26 20 2" xfId="11110" xr:uid="{00000000-0005-0000-0000-00000D220000}"/>
    <cellStyle name="Normal 2 26 21" xfId="1010" xr:uid="{00000000-0005-0000-0000-00008A030000}"/>
    <cellStyle name="Normal 2 26 21 2" xfId="11111" xr:uid="{00000000-0005-0000-0000-00000F220000}"/>
    <cellStyle name="Normal 2 26 22" xfId="1011" xr:uid="{00000000-0005-0000-0000-00008B030000}"/>
    <cellStyle name="Normal 2 26 22 2" xfId="11112" xr:uid="{00000000-0005-0000-0000-000011220000}"/>
    <cellStyle name="Normal 2 26 23" xfId="1012" xr:uid="{00000000-0005-0000-0000-00008C030000}"/>
    <cellStyle name="Normal 2 26 23 2" xfId="11113" xr:uid="{00000000-0005-0000-0000-000013220000}"/>
    <cellStyle name="Normal 2 26 24" xfId="11114" xr:uid="{00000000-0005-0000-0000-000014220000}"/>
    <cellStyle name="Normal 2 26 3" xfId="1013" xr:uid="{00000000-0005-0000-0000-00008D030000}"/>
    <cellStyle name="Normal 2 26 3 2" xfId="11115" xr:uid="{00000000-0005-0000-0000-000016220000}"/>
    <cellStyle name="Normal 2 26 4" xfId="1014" xr:uid="{00000000-0005-0000-0000-00008E030000}"/>
    <cellStyle name="Normal 2 26 4 2" xfId="11116" xr:uid="{00000000-0005-0000-0000-000018220000}"/>
    <cellStyle name="Normal 2 26 5" xfId="1015" xr:uid="{00000000-0005-0000-0000-00008F030000}"/>
    <cellStyle name="Normal 2 26 5 2" xfId="11117" xr:uid="{00000000-0005-0000-0000-00001A220000}"/>
    <cellStyle name="Normal 2 26 6" xfId="1016" xr:uid="{00000000-0005-0000-0000-000090030000}"/>
    <cellStyle name="Normal 2 26 6 2" xfId="11118" xr:uid="{00000000-0005-0000-0000-00001C220000}"/>
    <cellStyle name="Normal 2 26 7" xfId="1017" xr:uid="{00000000-0005-0000-0000-000091030000}"/>
    <cellStyle name="Normal 2 26 7 2" xfId="11119" xr:uid="{00000000-0005-0000-0000-00001E220000}"/>
    <cellStyle name="Normal 2 26 8" xfId="1018" xr:uid="{00000000-0005-0000-0000-000092030000}"/>
    <cellStyle name="Normal 2 26 8 2" xfId="11120" xr:uid="{00000000-0005-0000-0000-000020220000}"/>
    <cellStyle name="Normal 2 26 9" xfId="1019" xr:uid="{00000000-0005-0000-0000-000093030000}"/>
    <cellStyle name="Normal 2 26 9 2" xfId="11121" xr:uid="{00000000-0005-0000-0000-000022220000}"/>
    <cellStyle name="Normal 2 27" xfId="1020" xr:uid="{00000000-0005-0000-0000-000094030000}"/>
    <cellStyle name="Normal 2 27 10" xfId="1021" xr:uid="{00000000-0005-0000-0000-000095030000}"/>
    <cellStyle name="Normal 2 27 10 2" xfId="11122" xr:uid="{00000000-0005-0000-0000-000025220000}"/>
    <cellStyle name="Normal 2 27 11" xfId="1022" xr:uid="{00000000-0005-0000-0000-000096030000}"/>
    <cellStyle name="Normal 2 27 11 2" xfId="11123" xr:uid="{00000000-0005-0000-0000-000027220000}"/>
    <cellStyle name="Normal 2 27 12" xfId="1023" xr:uid="{00000000-0005-0000-0000-000097030000}"/>
    <cellStyle name="Normal 2 27 12 2" xfId="11124" xr:uid="{00000000-0005-0000-0000-000029220000}"/>
    <cellStyle name="Normal 2 27 13" xfId="1024" xr:uid="{00000000-0005-0000-0000-000098030000}"/>
    <cellStyle name="Normal 2 27 13 2" xfId="11125" xr:uid="{00000000-0005-0000-0000-00002B220000}"/>
    <cellStyle name="Normal 2 27 14" xfId="1025" xr:uid="{00000000-0005-0000-0000-000099030000}"/>
    <cellStyle name="Normal 2 27 14 2" xfId="11126" xr:uid="{00000000-0005-0000-0000-00002D220000}"/>
    <cellStyle name="Normal 2 27 15" xfId="1026" xr:uid="{00000000-0005-0000-0000-00009A030000}"/>
    <cellStyle name="Normal 2 27 15 2" xfId="11127" xr:uid="{00000000-0005-0000-0000-00002F220000}"/>
    <cellStyle name="Normal 2 27 16" xfId="1027" xr:uid="{00000000-0005-0000-0000-00009B030000}"/>
    <cellStyle name="Normal 2 27 16 2" xfId="11128" xr:uid="{00000000-0005-0000-0000-000031220000}"/>
    <cellStyle name="Normal 2 27 17" xfId="1028" xr:uid="{00000000-0005-0000-0000-00009C030000}"/>
    <cellStyle name="Normal 2 27 17 2" xfId="11129" xr:uid="{00000000-0005-0000-0000-000033220000}"/>
    <cellStyle name="Normal 2 27 18" xfId="1029" xr:uid="{00000000-0005-0000-0000-00009D030000}"/>
    <cellStyle name="Normal 2 27 18 2" xfId="11130" xr:uid="{00000000-0005-0000-0000-000035220000}"/>
    <cellStyle name="Normal 2 27 19" xfId="1030" xr:uid="{00000000-0005-0000-0000-00009E030000}"/>
    <cellStyle name="Normal 2 27 19 2" xfId="11131" xr:uid="{00000000-0005-0000-0000-000037220000}"/>
    <cellStyle name="Normal 2 27 2" xfId="1031" xr:uid="{00000000-0005-0000-0000-00009F030000}"/>
    <cellStyle name="Normal 2 27 2 2" xfId="11132" xr:uid="{00000000-0005-0000-0000-000039220000}"/>
    <cellStyle name="Normal 2 27 20" xfId="1032" xr:uid="{00000000-0005-0000-0000-0000A0030000}"/>
    <cellStyle name="Normal 2 27 20 2" xfId="11133" xr:uid="{00000000-0005-0000-0000-00003B220000}"/>
    <cellStyle name="Normal 2 27 21" xfId="1033" xr:uid="{00000000-0005-0000-0000-0000A1030000}"/>
    <cellStyle name="Normal 2 27 21 2" xfId="11134" xr:uid="{00000000-0005-0000-0000-00003D220000}"/>
    <cellStyle name="Normal 2 27 22" xfId="1034" xr:uid="{00000000-0005-0000-0000-0000A2030000}"/>
    <cellStyle name="Normal 2 27 22 2" xfId="11135" xr:uid="{00000000-0005-0000-0000-00003F220000}"/>
    <cellStyle name="Normal 2 27 23" xfId="1035" xr:uid="{00000000-0005-0000-0000-0000A3030000}"/>
    <cellStyle name="Normal 2 27 23 2" xfId="11136" xr:uid="{00000000-0005-0000-0000-000041220000}"/>
    <cellStyle name="Normal 2 27 24" xfId="11137" xr:uid="{00000000-0005-0000-0000-000042220000}"/>
    <cellStyle name="Normal 2 27 3" xfId="1036" xr:uid="{00000000-0005-0000-0000-0000A4030000}"/>
    <cellStyle name="Normal 2 27 3 2" xfId="11138" xr:uid="{00000000-0005-0000-0000-000044220000}"/>
    <cellStyle name="Normal 2 27 4" xfId="1037" xr:uid="{00000000-0005-0000-0000-0000A5030000}"/>
    <cellStyle name="Normal 2 27 4 2" xfId="11139" xr:uid="{00000000-0005-0000-0000-000046220000}"/>
    <cellStyle name="Normal 2 27 5" xfId="1038" xr:uid="{00000000-0005-0000-0000-0000A6030000}"/>
    <cellStyle name="Normal 2 27 5 2" xfId="11140" xr:uid="{00000000-0005-0000-0000-000048220000}"/>
    <cellStyle name="Normal 2 27 6" xfId="1039" xr:uid="{00000000-0005-0000-0000-0000A7030000}"/>
    <cellStyle name="Normal 2 27 6 2" xfId="11141" xr:uid="{00000000-0005-0000-0000-00004A220000}"/>
    <cellStyle name="Normal 2 27 7" xfId="1040" xr:uid="{00000000-0005-0000-0000-0000A8030000}"/>
    <cellStyle name="Normal 2 27 7 2" xfId="11142" xr:uid="{00000000-0005-0000-0000-00004C220000}"/>
    <cellStyle name="Normal 2 27 8" xfId="1041" xr:uid="{00000000-0005-0000-0000-0000A9030000}"/>
    <cellStyle name="Normal 2 27 8 2" xfId="11143" xr:uid="{00000000-0005-0000-0000-00004E220000}"/>
    <cellStyle name="Normal 2 27 9" xfId="1042" xr:uid="{00000000-0005-0000-0000-0000AA030000}"/>
    <cellStyle name="Normal 2 27 9 2" xfId="11144" xr:uid="{00000000-0005-0000-0000-000050220000}"/>
    <cellStyle name="Normal 2 28" xfId="1043" xr:uid="{00000000-0005-0000-0000-0000AB030000}"/>
    <cellStyle name="Normal 2 28 10" xfId="1044" xr:uid="{00000000-0005-0000-0000-0000AC030000}"/>
    <cellStyle name="Normal 2 28 10 2" xfId="11145" xr:uid="{00000000-0005-0000-0000-000053220000}"/>
    <cellStyle name="Normal 2 28 11" xfId="1045" xr:uid="{00000000-0005-0000-0000-0000AD030000}"/>
    <cellStyle name="Normal 2 28 11 2" xfId="11146" xr:uid="{00000000-0005-0000-0000-000055220000}"/>
    <cellStyle name="Normal 2 28 12" xfId="1046" xr:uid="{00000000-0005-0000-0000-0000AE030000}"/>
    <cellStyle name="Normal 2 28 12 2" xfId="11147" xr:uid="{00000000-0005-0000-0000-000057220000}"/>
    <cellStyle name="Normal 2 28 13" xfId="1047" xr:uid="{00000000-0005-0000-0000-0000AF030000}"/>
    <cellStyle name="Normal 2 28 13 2" xfId="11148" xr:uid="{00000000-0005-0000-0000-000059220000}"/>
    <cellStyle name="Normal 2 28 14" xfId="1048" xr:uid="{00000000-0005-0000-0000-0000B0030000}"/>
    <cellStyle name="Normal 2 28 14 2" xfId="11149" xr:uid="{00000000-0005-0000-0000-00005B220000}"/>
    <cellStyle name="Normal 2 28 15" xfId="1049" xr:uid="{00000000-0005-0000-0000-0000B1030000}"/>
    <cellStyle name="Normal 2 28 15 2" xfId="11150" xr:uid="{00000000-0005-0000-0000-00005D220000}"/>
    <cellStyle name="Normal 2 28 16" xfId="1050" xr:uid="{00000000-0005-0000-0000-0000B2030000}"/>
    <cellStyle name="Normal 2 28 16 2" xfId="11151" xr:uid="{00000000-0005-0000-0000-00005F220000}"/>
    <cellStyle name="Normal 2 28 17" xfId="1051" xr:uid="{00000000-0005-0000-0000-0000B3030000}"/>
    <cellStyle name="Normal 2 28 17 2" xfId="11152" xr:uid="{00000000-0005-0000-0000-000061220000}"/>
    <cellStyle name="Normal 2 28 18" xfId="1052" xr:uid="{00000000-0005-0000-0000-0000B4030000}"/>
    <cellStyle name="Normal 2 28 18 2" xfId="11153" xr:uid="{00000000-0005-0000-0000-000063220000}"/>
    <cellStyle name="Normal 2 28 19" xfId="1053" xr:uid="{00000000-0005-0000-0000-0000B5030000}"/>
    <cellStyle name="Normal 2 28 19 2" xfId="11154" xr:uid="{00000000-0005-0000-0000-000065220000}"/>
    <cellStyle name="Normal 2 28 2" xfId="1054" xr:uid="{00000000-0005-0000-0000-0000B6030000}"/>
    <cellStyle name="Normal 2 28 2 2" xfId="11155" xr:uid="{00000000-0005-0000-0000-000067220000}"/>
    <cellStyle name="Normal 2 28 20" xfId="1055" xr:uid="{00000000-0005-0000-0000-0000B7030000}"/>
    <cellStyle name="Normal 2 28 20 2" xfId="11156" xr:uid="{00000000-0005-0000-0000-000069220000}"/>
    <cellStyle name="Normal 2 28 21" xfId="1056" xr:uid="{00000000-0005-0000-0000-0000B8030000}"/>
    <cellStyle name="Normal 2 28 21 2" xfId="11157" xr:uid="{00000000-0005-0000-0000-00006B220000}"/>
    <cellStyle name="Normal 2 28 22" xfId="1057" xr:uid="{00000000-0005-0000-0000-0000B9030000}"/>
    <cellStyle name="Normal 2 28 22 2" xfId="11158" xr:uid="{00000000-0005-0000-0000-00006D220000}"/>
    <cellStyle name="Normal 2 28 23" xfId="1058" xr:uid="{00000000-0005-0000-0000-0000BA030000}"/>
    <cellStyle name="Normal 2 28 23 2" xfId="11159" xr:uid="{00000000-0005-0000-0000-00006F220000}"/>
    <cellStyle name="Normal 2 28 24" xfId="11160" xr:uid="{00000000-0005-0000-0000-000070220000}"/>
    <cellStyle name="Normal 2 28 3" xfId="1059" xr:uid="{00000000-0005-0000-0000-0000BB030000}"/>
    <cellStyle name="Normal 2 28 3 2" xfId="11161" xr:uid="{00000000-0005-0000-0000-000072220000}"/>
    <cellStyle name="Normal 2 28 4" xfId="1060" xr:uid="{00000000-0005-0000-0000-0000BC030000}"/>
    <cellStyle name="Normal 2 28 4 2" xfId="11162" xr:uid="{00000000-0005-0000-0000-000074220000}"/>
    <cellStyle name="Normal 2 28 5" xfId="1061" xr:uid="{00000000-0005-0000-0000-0000BD030000}"/>
    <cellStyle name="Normal 2 28 5 2" xfId="11163" xr:uid="{00000000-0005-0000-0000-000076220000}"/>
    <cellStyle name="Normal 2 28 6" xfId="1062" xr:uid="{00000000-0005-0000-0000-0000BE030000}"/>
    <cellStyle name="Normal 2 28 6 2" xfId="11164" xr:uid="{00000000-0005-0000-0000-000078220000}"/>
    <cellStyle name="Normal 2 28 7" xfId="1063" xr:uid="{00000000-0005-0000-0000-0000BF030000}"/>
    <cellStyle name="Normal 2 28 7 2" xfId="11165" xr:uid="{00000000-0005-0000-0000-00007A220000}"/>
    <cellStyle name="Normal 2 28 8" xfId="1064" xr:uid="{00000000-0005-0000-0000-0000C0030000}"/>
    <cellStyle name="Normal 2 28 8 2" xfId="11166" xr:uid="{00000000-0005-0000-0000-00007C220000}"/>
    <cellStyle name="Normal 2 28 9" xfId="1065" xr:uid="{00000000-0005-0000-0000-0000C1030000}"/>
    <cellStyle name="Normal 2 28 9 2" xfId="11167" xr:uid="{00000000-0005-0000-0000-00007E220000}"/>
    <cellStyle name="Normal 2 29" xfId="1066" xr:uid="{00000000-0005-0000-0000-0000C2030000}"/>
    <cellStyle name="Normal 2 29 10" xfId="1067" xr:uid="{00000000-0005-0000-0000-0000C3030000}"/>
    <cellStyle name="Normal 2 29 10 2" xfId="11168" xr:uid="{00000000-0005-0000-0000-000081220000}"/>
    <cellStyle name="Normal 2 29 11" xfId="1068" xr:uid="{00000000-0005-0000-0000-0000C4030000}"/>
    <cellStyle name="Normal 2 29 11 2" xfId="11169" xr:uid="{00000000-0005-0000-0000-000083220000}"/>
    <cellStyle name="Normal 2 29 12" xfId="1069" xr:uid="{00000000-0005-0000-0000-0000C5030000}"/>
    <cellStyle name="Normal 2 29 12 2" xfId="11170" xr:uid="{00000000-0005-0000-0000-000085220000}"/>
    <cellStyle name="Normal 2 29 13" xfId="1070" xr:uid="{00000000-0005-0000-0000-0000C6030000}"/>
    <cellStyle name="Normal 2 29 13 2" xfId="11171" xr:uid="{00000000-0005-0000-0000-000087220000}"/>
    <cellStyle name="Normal 2 29 14" xfId="1071" xr:uid="{00000000-0005-0000-0000-0000C7030000}"/>
    <cellStyle name="Normal 2 29 14 2" xfId="11172" xr:uid="{00000000-0005-0000-0000-000089220000}"/>
    <cellStyle name="Normal 2 29 15" xfId="1072" xr:uid="{00000000-0005-0000-0000-0000C8030000}"/>
    <cellStyle name="Normal 2 29 15 2" xfId="11173" xr:uid="{00000000-0005-0000-0000-00008B220000}"/>
    <cellStyle name="Normal 2 29 16" xfId="1073" xr:uid="{00000000-0005-0000-0000-0000C9030000}"/>
    <cellStyle name="Normal 2 29 16 2" xfId="11174" xr:uid="{00000000-0005-0000-0000-00008D220000}"/>
    <cellStyle name="Normal 2 29 17" xfId="1074" xr:uid="{00000000-0005-0000-0000-0000CA030000}"/>
    <cellStyle name="Normal 2 29 17 2" xfId="11175" xr:uid="{00000000-0005-0000-0000-00008F220000}"/>
    <cellStyle name="Normal 2 29 18" xfId="1075" xr:uid="{00000000-0005-0000-0000-0000CB030000}"/>
    <cellStyle name="Normal 2 29 18 2" xfId="11176" xr:uid="{00000000-0005-0000-0000-000091220000}"/>
    <cellStyle name="Normal 2 29 19" xfId="1076" xr:uid="{00000000-0005-0000-0000-0000CC030000}"/>
    <cellStyle name="Normal 2 29 19 2" xfId="11177" xr:uid="{00000000-0005-0000-0000-000093220000}"/>
    <cellStyle name="Normal 2 29 2" xfId="1077" xr:uid="{00000000-0005-0000-0000-0000CD030000}"/>
    <cellStyle name="Normal 2 29 2 2" xfId="11178" xr:uid="{00000000-0005-0000-0000-000095220000}"/>
    <cellStyle name="Normal 2 29 20" xfId="1078" xr:uid="{00000000-0005-0000-0000-0000CE030000}"/>
    <cellStyle name="Normal 2 29 20 2" xfId="11179" xr:uid="{00000000-0005-0000-0000-000097220000}"/>
    <cellStyle name="Normal 2 29 21" xfId="1079" xr:uid="{00000000-0005-0000-0000-0000CF030000}"/>
    <cellStyle name="Normal 2 29 21 2" xfId="11180" xr:uid="{00000000-0005-0000-0000-000099220000}"/>
    <cellStyle name="Normal 2 29 22" xfId="1080" xr:uid="{00000000-0005-0000-0000-0000D0030000}"/>
    <cellStyle name="Normal 2 29 22 2" xfId="11181" xr:uid="{00000000-0005-0000-0000-00009B220000}"/>
    <cellStyle name="Normal 2 29 23" xfId="1081" xr:uid="{00000000-0005-0000-0000-0000D1030000}"/>
    <cellStyle name="Normal 2 29 23 2" xfId="11182" xr:uid="{00000000-0005-0000-0000-00009D220000}"/>
    <cellStyle name="Normal 2 29 24" xfId="11183" xr:uid="{00000000-0005-0000-0000-00009E220000}"/>
    <cellStyle name="Normal 2 29 3" xfId="1082" xr:uid="{00000000-0005-0000-0000-0000D2030000}"/>
    <cellStyle name="Normal 2 29 3 2" xfId="11184" xr:uid="{00000000-0005-0000-0000-0000A0220000}"/>
    <cellStyle name="Normal 2 29 4" xfId="1083" xr:uid="{00000000-0005-0000-0000-0000D3030000}"/>
    <cellStyle name="Normal 2 29 4 2" xfId="11185" xr:uid="{00000000-0005-0000-0000-0000A2220000}"/>
    <cellStyle name="Normal 2 29 5" xfId="1084" xr:uid="{00000000-0005-0000-0000-0000D4030000}"/>
    <cellStyle name="Normal 2 29 5 2" xfId="11186" xr:uid="{00000000-0005-0000-0000-0000A4220000}"/>
    <cellStyle name="Normal 2 29 6" xfId="1085" xr:uid="{00000000-0005-0000-0000-0000D5030000}"/>
    <cellStyle name="Normal 2 29 6 2" xfId="11187" xr:uid="{00000000-0005-0000-0000-0000A6220000}"/>
    <cellStyle name="Normal 2 29 7" xfId="1086" xr:uid="{00000000-0005-0000-0000-0000D6030000}"/>
    <cellStyle name="Normal 2 29 7 2" xfId="11188" xr:uid="{00000000-0005-0000-0000-0000A8220000}"/>
    <cellStyle name="Normal 2 29 8" xfId="1087" xr:uid="{00000000-0005-0000-0000-0000D7030000}"/>
    <cellStyle name="Normal 2 29 8 2" xfId="11189" xr:uid="{00000000-0005-0000-0000-0000AA220000}"/>
    <cellStyle name="Normal 2 29 9" xfId="1088" xr:uid="{00000000-0005-0000-0000-0000D8030000}"/>
    <cellStyle name="Normal 2 29 9 2" xfId="11190" xr:uid="{00000000-0005-0000-0000-0000AC220000}"/>
    <cellStyle name="Normal 2 3" xfId="59" xr:uid="{00000000-0005-0000-0000-000011000000}"/>
    <cellStyle name="Normal 2 3 10" xfId="27893" xr:uid="{65D2E25C-4F9A-45B0-B61D-ABF894BC6B59}"/>
    <cellStyle name="Normal 2 3 10 2" xfId="42830" xr:uid="{9F768FC3-F0B6-4CE3-B306-3FDEFFFAF5F8}"/>
    <cellStyle name="Normal 2 3 11" xfId="27941" xr:uid="{AF0562F6-8B86-4970-B0F6-88FF373F2D7D}"/>
    <cellStyle name="Normal 2 3 2" xfId="161" xr:uid="{00000000-0005-0000-0000-000011000000}"/>
    <cellStyle name="Normal 2 3 2 2" xfId="11191" xr:uid="{00000000-0005-0000-0000-0000AF220000}"/>
    <cellStyle name="Normal 2 3 2 3" xfId="5519" xr:uid="{00000000-0005-0000-0000-0000AE220000}"/>
    <cellStyle name="Normal 2 3 2 4" xfId="20707" xr:uid="{A1538BAF-EAA3-4227-A023-D3CFE297DDEE}"/>
    <cellStyle name="Normal 2 3 2 4 2" xfId="35708" xr:uid="{8FA084F1-5589-40C9-AD10-CEF3A84608C7}"/>
    <cellStyle name="Normal 2 3 2 5" xfId="28011" xr:uid="{449447B1-73BB-42CF-8BCC-662E4BF22826}"/>
    <cellStyle name="Normal 2 3 3" xfId="1089" xr:uid="{00000000-0005-0000-0000-0000D9030000}"/>
    <cellStyle name="Normal 2 3 3 2" xfId="11192" xr:uid="{00000000-0005-0000-0000-0000B1220000}"/>
    <cellStyle name="Normal 2 3 3 2 2" xfId="26185" xr:uid="{F1205212-A64B-47CF-9DE5-F77F335CFD4B}"/>
    <cellStyle name="Normal 2 3 3 2 2 2" xfId="41148" xr:uid="{78FAB9D4-2DE2-42A0-A63A-C2190E0447B6}"/>
    <cellStyle name="Normal 2 3 3 2 3" xfId="33553" xr:uid="{73FBCD9D-AF75-4AA6-8219-D4C07D1FB8B7}"/>
    <cellStyle name="Normal 2 3 3 3" xfId="11193" xr:uid="{00000000-0005-0000-0000-0000B2220000}"/>
    <cellStyle name="Normal 2 3 3 3 2" xfId="26186" xr:uid="{25068800-3463-475C-9CB9-44E41345D2C5}"/>
    <cellStyle name="Normal 2 3 3 3 2 2" xfId="41149" xr:uid="{38A145E1-3D7A-4666-88D0-BD90E6912969}"/>
    <cellStyle name="Normal 2 3 3 3 3" xfId="33554" xr:uid="{2D466A2F-942F-45D1-805A-B3504ECF1509}"/>
    <cellStyle name="Normal 2 3 4" xfId="11194" xr:uid="{00000000-0005-0000-0000-0000B3220000}"/>
    <cellStyle name="Normal 2 3 4 2" xfId="11195" xr:uid="{00000000-0005-0000-0000-0000B4220000}"/>
    <cellStyle name="Normal 2 3 5" xfId="5569" xr:uid="{00000000-0005-0000-0000-0000AD220000}"/>
    <cellStyle name="Normal 2 3 6" xfId="20542" xr:uid="{2938983F-EB37-4F25-8BF9-5A21D68D9524}"/>
    <cellStyle name="Normal 2 3 6 2" xfId="27849" xr:uid="{7947A803-77E8-4A2A-9201-3B2CF4C6F01A}"/>
    <cellStyle name="Normal 2 3 6 2 2" xfId="42786" xr:uid="{DA8A94D5-C3C1-4A48-B294-B0D62FFD60D5}"/>
    <cellStyle name="Normal 2 3 6 3" xfId="35558" xr:uid="{17E3403A-F436-4310-9423-BB1C9A76CE94}"/>
    <cellStyle name="Normal 2 3 7" xfId="20578" xr:uid="{BC0BF457-3AD3-4288-959A-C6E73C035C92}"/>
    <cellStyle name="Normal 2 3 7 2" xfId="27871" xr:uid="{8624DBFB-5863-4605-ADF9-86EB281AF92C}"/>
    <cellStyle name="Normal 2 3 7 2 2" xfId="42808" xr:uid="{2D5B8E5A-DFB5-4D80-935C-FF5EBE66290B}"/>
    <cellStyle name="Normal 2 3 7 3" xfId="35580" xr:uid="{506B8AFE-FCBE-41D9-8358-6B93860E76BA}"/>
    <cellStyle name="Normal 2 3 8" xfId="20637" xr:uid="{F71B56DD-48AB-4B78-A6D6-DE221EFD9D26}"/>
    <cellStyle name="Normal 2 3 8 2" xfId="35638" xr:uid="{25F7F05D-F524-4DE9-9D4D-DBF09AA86EE7}"/>
    <cellStyle name="Normal 2 3 9" xfId="27884" xr:uid="{57B5548B-826A-49A9-98A5-E8EB318BF60F}"/>
    <cellStyle name="Normal 2 3 9 2" xfId="42821" xr:uid="{182AB15F-4843-4C88-8F98-609AE7CC24A2}"/>
    <cellStyle name="Normal 2 30" xfId="1090" xr:uid="{00000000-0005-0000-0000-0000DA030000}"/>
    <cellStyle name="Normal 2 30 10" xfId="1091" xr:uid="{00000000-0005-0000-0000-0000DB030000}"/>
    <cellStyle name="Normal 2 30 10 2" xfId="11196" xr:uid="{00000000-0005-0000-0000-0000B7220000}"/>
    <cellStyle name="Normal 2 30 11" xfId="1092" xr:uid="{00000000-0005-0000-0000-0000DC030000}"/>
    <cellStyle name="Normal 2 30 11 2" xfId="11197" xr:uid="{00000000-0005-0000-0000-0000B9220000}"/>
    <cellStyle name="Normal 2 30 12" xfId="1093" xr:uid="{00000000-0005-0000-0000-0000DD030000}"/>
    <cellStyle name="Normal 2 30 12 2" xfId="11198" xr:uid="{00000000-0005-0000-0000-0000BB220000}"/>
    <cellStyle name="Normal 2 30 13" xfId="1094" xr:uid="{00000000-0005-0000-0000-0000DE030000}"/>
    <cellStyle name="Normal 2 30 13 2" xfId="11199" xr:uid="{00000000-0005-0000-0000-0000BD220000}"/>
    <cellStyle name="Normal 2 30 14" xfId="1095" xr:uid="{00000000-0005-0000-0000-0000DF030000}"/>
    <cellStyle name="Normal 2 30 14 2" xfId="11200" xr:uid="{00000000-0005-0000-0000-0000BF220000}"/>
    <cellStyle name="Normal 2 30 15" xfId="1096" xr:uid="{00000000-0005-0000-0000-0000E0030000}"/>
    <cellStyle name="Normal 2 30 15 2" xfId="11201" xr:uid="{00000000-0005-0000-0000-0000C1220000}"/>
    <cellStyle name="Normal 2 30 16" xfId="1097" xr:uid="{00000000-0005-0000-0000-0000E1030000}"/>
    <cellStyle name="Normal 2 30 16 2" xfId="11202" xr:uid="{00000000-0005-0000-0000-0000C3220000}"/>
    <cellStyle name="Normal 2 30 17" xfId="1098" xr:uid="{00000000-0005-0000-0000-0000E2030000}"/>
    <cellStyle name="Normal 2 30 17 2" xfId="11203" xr:uid="{00000000-0005-0000-0000-0000C5220000}"/>
    <cellStyle name="Normal 2 30 18" xfId="1099" xr:uid="{00000000-0005-0000-0000-0000E3030000}"/>
    <cellStyle name="Normal 2 30 18 2" xfId="11204" xr:uid="{00000000-0005-0000-0000-0000C7220000}"/>
    <cellStyle name="Normal 2 30 19" xfId="1100" xr:uid="{00000000-0005-0000-0000-0000E4030000}"/>
    <cellStyle name="Normal 2 30 19 2" xfId="11205" xr:uid="{00000000-0005-0000-0000-0000C9220000}"/>
    <cellStyle name="Normal 2 30 2" xfId="1101" xr:uid="{00000000-0005-0000-0000-0000E5030000}"/>
    <cellStyle name="Normal 2 30 2 2" xfId="11206" xr:uid="{00000000-0005-0000-0000-0000CB220000}"/>
    <cellStyle name="Normal 2 30 20" xfId="1102" xr:uid="{00000000-0005-0000-0000-0000E6030000}"/>
    <cellStyle name="Normal 2 30 20 2" xfId="11207" xr:uid="{00000000-0005-0000-0000-0000CD220000}"/>
    <cellStyle name="Normal 2 30 21" xfId="1103" xr:uid="{00000000-0005-0000-0000-0000E7030000}"/>
    <cellStyle name="Normal 2 30 21 2" xfId="11208" xr:uid="{00000000-0005-0000-0000-0000CF220000}"/>
    <cellStyle name="Normal 2 30 22" xfId="1104" xr:uid="{00000000-0005-0000-0000-0000E8030000}"/>
    <cellStyle name="Normal 2 30 22 2" xfId="11209" xr:uid="{00000000-0005-0000-0000-0000D1220000}"/>
    <cellStyle name="Normal 2 30 23" xfId="1105" xr:uid="{00000000-0005-0000-0000-0000E9030000}"/>
    <cellStyle name="Normal 2 30 23 2" xfId="11210" xr:uid="{00000000-0005-0000-0000-0000D3220000}"/>
    <cellStyle name="Normal 2 30 24" xfId="11211" xr:uid="{00000000-0005-0000-0000-0000D4220000}"/>
    <cellStyle name="Normal 2 30 3" xfId="1106" xr:uid="{00000000-0005-0000-0000-0000EA030000}"/>
    <cellStyle name="Normal 2 30 3 2" xfId="11212" xr:uid="{00000000-0005-0000-0000-0000D6220000}"/>
    <cellStyle name="Normal 2 30 4" xfId="1107" xr:uid="{00000000-0005-0000-0000-0000EB030000}"/>
    <cellStyle name="Normal 2 30 4 2" xfId="11213" xr:uid="{00000000-0005-0000-0000-0000D8220000}"/>
    <cellStyle name="Normal 2 30 5" xfId="1108" xr:uid="{00000000-0005-0000-0000-0000EC030000}"/>
    <cellStyle name="Normal 2 30 5 2" xfId="11214" xr:uid="{00000000-0005-0000-0000-0000DA220000}"/>
    <cellStyle name="Normal 2 30 6" xfId="1109" xr:uid="{00000000-0005-0000-0000-0000ED030000}"/>
    <cellStyle name="Normal 2 30 6 2" xfId="11215" xr:uid="{00000000-0005-0000-0000-0000DC220000}"/>
    <cellStyle name="Normal 2 30 7" xfId="1110" xr:uid="{00000000-0005-0000-0000-0000EE030000}"/>
    <cellStyle name="Normal 2 30 7 2" xfId="11216" xr:uid="{00000000-0005-0000-0000-0000DE220000}"/>
    <cellStyle name="Normal 2 30 8" xfId="1111" xr:uid="{00000000-0005-0000-0000-0000EF030000}"/>
    <cellStyle name="Normal 2 30 8 2" xfId="11217" xr:uid="{00000000-0005-0000-0000-0000E0220000}"/>
    <cellStyle name="Normal 2 30 9" xfId="1112" xr:uid="{00000000-0005-0000-0000-0000F0030000}"/>
    <cellStyle name="Normal 2 30 9 2" xfId="11218" xr:uid="{00000000-0005-0000-0000-0000E2220000}"/>
    <cellStyle name="Normal 2 31" xfId="1113" xr:uid="{00000000-0005-0000-0000-0000F1030000}"/>
    <cellStyle name="Normal 2 31 10" xfId="1114" xr:uid="{00000000-0005-0000-0000-0000F2030000}"/>
    <cellStyle name="Normal 2 31 10 2" xfId="11219" xr:uid="{00000000-0005-0000-0000-0000E5220000}"/>
    <cellStyle name="Normal 2 31 11" xfId="1115" xr:uid="{00000000-0005-0000-0000-0000F3030000}"/>
    <cellStyle name="Normal 2 31 11 2" xfId="11220" xr:uid="{00000000-0005-0000-0000-0000E7220000}"/>
    <cellStyle name="Normal 2 31 12" xfId="1116" xr:uid="{00000000-0005-0000-0000-0000F4030000}"/>
    <cellStyle name="Normal 2 31 12 2" xfId="11221" xr:uid="{00000000-0005-0000-0000-0000E9220000}"/>
    <cellStyle name="Normal 2 31 13" xfId="1117" xr:uid="{00000000-0005-0000-0000-0000F5030000}"/>
    <cellStyle name="Normal 2 31 13 2" xfId="11222" xr:uid="{00000000-0005-0000-0000-0000EB220000}"/>
    <cellStyle name="Normal 2 31 14" xfId="1118" xr:uid="{00000000-0005-0000-0000-0000F6030000}"/>
    <cellStyle name="Normal 2 31 14 2" xfId="11223" xr:uid="{00000000-0005-0000-0000-0000ED220000}"/>
    <cellStyle name="Normal 2 31 15" xfId="1119" xr:uid="{00000000-0005-0000-0000-0000F7030000}"/>
    <cellStyle name="Normal 2 31 15 2" xfId="11224" xr:uid="{00000000-0005-0000-0000-0000EF220000}"/>
    <cellStyle name="Normal 2 31 16" xfId="1120" xr:uid="{00000000-0005-0000-0000-0000F8030000}"/>
    <cellStyle name="Normal 2 31 16 2" xfId="11225" xr:uid="{00000000-0005-0000-0000-0000F1220000}"/>
    <cellStyle name="Normal 2 31 17" xfId="1121" xr:uid="{00000000-0005-0000-0000-0000F9030000}"/>
    <cellStyle name="Normal 2 31 17 2" xfId="11226" xr:uid="{00000000-0005-0000-0000-0000F3220000}"/>
    <cellStyle name="Normal 2 31 18" xfId="1122" xr:uid="{00000000-0005-0000-0000-0000FA030000}"/>
    <cellStyle name="Normal 2 31 18 2" xfId="11227" xr:uid="{00000000-0005-0000-0000-0000F5220000}"/>
    <cellStyle name="Normal 2 31 19" xfId="1123" xr:uid="{00000000-0005-0000-0000-0000FB030000}"/>
    <cellStyle name="Normal 2 31 19 2" xfId="11228" xr:uid="{00000000-0005-0000-0000-0000F7220000}"/>
    <cellStyle name="Normal 2 31 2" xfId="1124" xr:uid="{00000000-0005-0000-0000-0000FC030000}"/>
    <cellStyle name="Normal 2 31 2 2" xfId="11229" xr:uid="{00000000-0005-0000-0000-0000F9220000}"/>
    <cellStyle name="Normal 2 31 20" xfId="1125" xr:uid="{00000000-0005-0000-0000-0000FD030000}"/>
    <cellStyle name="Normal 2 31 20 2" xfId="11230" xr:uid="{00000000-0005-0000-0000-0000FB220000}"/>
    <cellStyle name="Normal 2 31 21" xfId="1126" xr:uid="{00000000-0005-0000-0000-0000FE030000}"/>
    <cellStyle name="Normal 2 31 21 2" xfId="11231" xr:uid="{00000000-0005-0000-0000-0000FD220000}"/>
    <cellStyle name="Normal 2 31 22" xfId="1127" xr:uid="{00000000-0005-0000-0000-0000FF030000}"/>
    <cellStyle name="Normal 2 31 22 2" xfId="11232" xr:uid="{00000000-0005-0000-0000-0000FF220000}"/>
    <cellStyle name="Normal 2 31 23" xfId="1128" xr:uid="{00000000-0005-0000-0000-000000040000}"/>
    <cellStyle name="Normal 2 31 23 2" xfId="11233" xr:uid="{00000000-0005-0000-0000-000001230000}"/>
    <cellStyle name="Normal 2 31 24" xfId="11234" xr:uid="{00000000-0005-0000-0000-000002230000}"/>
    <cellStyle name="Normal 2 31 3" xfId="1129" xr:uid="{00000000-0005-0000-0000-000001040000}"/>
    <cellStyle name="Normal 2 31 3 2" xfId="11235" xr:uid="{00000000-0005-0000-0000-000004230000}"/>
    <cellStyle name="Normal 2 31 4" xfId="1130" xr:uid="{00000000-0005-0000-0000-000002040000}"/>
    <cellStyle name="Normal 2 31 4 2" xfId="11236" xr:uid="{00000000-0005-0000-0000-000006230000}"/>
    <cellStyle name="Normal 2 31 5" xfId="1131" xr:uid="{00000000-0005-0000-0000-000003040000}"/>
    <cellStyle name="Normal 2 31 5 2" xfId="11237" xr:uid="{00000000-0005-0000-0000-000008230000}"/>
    <cellStyle name="Normal 2 31 6" xfId="1132" xr:uid="{00000000-0005-0000-0000-000004040000}"/>
    <cellStyle name="Normal 2 31 6 2" xfId="11238" xr:uid="{00000000-0005-0000-0000-00000A230000}"/>
    <cellStyle name="Normal 2 31 7" xfId="1133" xr:uid="{00000000-0005-0000-0000-000005040000}"/>
    <cellStyle name="Normal 2 31 7 2" xfId="11239" xr:uid="{00000000-0005-0000-0000-00000C230000}"/>
    <cellStyle name="Normal 2 31 8" xfId="1134" xr:uid="{00000000-0005-0000-0000-000006040000}"/>
    <cellStyle name="Normal 2 31 8 2" xfId="11240" xr:uid="{00000000-0005-0000-0000-00000E230000}"/>
    <cellStyle name="Normal 2 31 9" xfId="1135" xr:uid="{00000000-0005-0000-0000-000007040000}"/>
    <cellStyle name="Normal 2 31 9 2" xfId="11241" xr:uid="{00000000-0005-0000-0000-000010230000}"/>
    <cellStyle name="Normal 2 32" xfId="1136" xr:uid="{00000000-0005-0000-0000-000008040000}"/>
    <cellStyle name="Normal 2 32 10" xfId="1137" xr:uid="{00000000-0005-0000-0000-000009040000}"/>
    <cellStyle name="Normal 2 32 10 2" xfId="11242" xr:uid="{00000000-0005-0000-0000-000013230000}"/>
    <cellStyle name="Normal 2 32 11" xfId="1138" xr:uid="{00000000-0005-0000-0000-00000A040000}"/>
    <cellStyle name="Normal 2 32 11 2" xfId="11243" xr:uid="{00000000-0005-0000-0000-000015230000}"/>
    <cellStyle name="Normal 2 32 12" xfId="1139" xr:uid="{00000000-0005-0000-0000-00000B040000}"/>
    <cellStyle name="Normal 2 32 12 2" xfId="11244" xr:uid="{00000000-0005-0000-0000-000017230000}"/>
    <cellStyle name="Normal 2 32 13" xfId="1140" xr:uid="{00000000-0005-0000-0000-00000C040000}"/>
    <cellStyle name="Normal 2 32 13 2" xfId="11245" xr:uid="{00000000-0005-0000-0000-000019230000}"/>
    <cellStyle name="Normal 2 32 14" xfId="1141" xr:uid="{00000000-0005-0000-0000-00000D040000}"/>
    <cellStyle name="Normal 2 32 14 2" xfId="11246" xr:uid="{00000000-0005-0000-0000-00001B230000}"/>
    <cellStyle name="Normal 2 32 15" xfId="1142" xr:uid="{00000000-0005-0000-0000-00000E040000}"/>
    <cellStyle name="Normal 2 32 15 2" xfId="11247" xr:uid="{00000000-0005-0000-0000-00001D230000}"/>
    <cellStyle name="Normal 2 32 16" xfId="1143" xr:uid="{00000000-0005-0000-0000-00000F040000}"/>
    <cellStyle name="Normal 2 32 16 2" xfId="11248" xr:uid="{00000000-0005-0000-0000-00001F230000}"/>
    <cellStyle name="Normal 2 32 17" xfId="1144" xr:uid="{00000000-0005-0000-0000-000010040000}"/>
    <cellStyle name="Normal 2 32 17 2" xfId="11249" xr:uid="{00000000-0005-0000-0000-000021230000}"/>
    <cellStyle name="Normal 2 32 18" xfId="1145" xr:uid="{00000000-0005-0000-0000-000011040000}"/>
    <cellStyle name="Normal 2 32 18 2" xfId="11250" xr:uid="{00000000-0005-0000-0000-000023230000}"/>
    <cellStyle name="Normal 2 32 19" xfId="1146" xr:uid="{00000000-0005-0000-0000-000012040000}"/>
    <cellStyle name="Normal 2 32 19 2" xfId="11251" xr:uid="{00000000-0005-0000-0000-000025230000}"/>
    <cellStyle name="Normal 2 32 2" xfId="1147" xr:uid="{00000000-0005-0000-0000-000013040000}"/>
    <cellStyle name="Normal 2 32 2 2" xfId="11252" xr:uid="{00000000-0005-0000-0000-000027230000}"/>
    <cellStyle name="Normal 2 32 20" xfId="1148" xr:uid="{00000000-0005-0000-0000-000014040000}"/>
    <cellStyle name="Normal 2 32 20 2" xfId="11253" xr:uid="{00000000-0005-0000-0000-000029230000}"/>
    <cellStyle name="Normal 2 32 21" xfId="1149" xr:uid="{00000000-0005-0000-0000-000015040000}"/>
    <cellStyle name="Normal 2 32 21 2" xfId="11254" xr:uid="{00000000-0005-0000-0000-00002B230000}"/>
    <cellStyle name="Normal 2 32 22" xfId="1150" xr:uid="{00000000-0005-0000-0000-000016040000}"/>
    <cellStyle name="Normal 2 32 22 2" xfId="11255" xr:uid="{00000000-0005-0000-0000-00002D230000}"/>
    <cellStyle name="Normal 2 32 23" xfId="1151" xr:uid="{00000000-0005-0000-0000-000017040000}"/>
    <cellStyle name="Normal 2 32 23 2" xfId="11256" xr:uid="{00000000-0005-0000-0000-00002F230000}"/>
    <cellStyle name="Normal 2 32 24" xfId="11257" xr:uid="{00000000-0005-0000-0000-000030230000}"/>
    <cellStyle name="Normal 2 32 3" xfId="1152" xr:uid="{00000000-0005-0000-0000-000018040000}"/>
    <cellStyle name="Normal 2 32 3 2" xfId="11258" xr:uid="{00000000-0005-0000-0000-000032230000}"/>
    <cellStyle name="Normal 2 32 4" xfId="1153" xr:uid="{00000000-0005-0000-0000-000019040000}"/>
    <cellStyle name="Normal 2 32 4 2" xfId="11259" xr:uid="{00000000-0005-0000-0000-000034230000}"/>
    <cellStyle name="Normal 2 32 5" xfId="1154" xr:uid="{00000000-0005-0000-0000-00001A040000}"/>
    <cellStyle name="Normal 2 32 5 2" xfId="11260" xr:uid="{00000000-0005-0000-0000-000036230000}"/>
    <cellStyle name="Normal 2 32 6" xfId="1155" xr:uid="{00000000-0005-0000-0000-00001B040000}"/>
    <cellStyle name="Normal 2 32 6 2" xfId="11261" xr:uid="{00000000-0005-0000-0000-000038230000}"/>
    <cellStyle name="Normal 2 32 7" xfId="1156" xr:uid="{00000000-0005-0000-0000-00001C040000}"/>
    <cellStyle name="Normal 2 32 7 2" xfId="11262" xr:uid="{00000000-0005-0000-0000-00003A230000}"/>
    <cellStyle name="Normal 2 32 8" xfId="1157" xr:uid="{00000000-0005-0000-0000-00001D040000}"/>
    <cellStyle name="Normal 2 32 8 2" xfId="11263" xr:uid="{00000000-0005-0000-0000-00003C230000}"/>
    <cellStyle name="Normal 2 32 9" xfId="1158" xr:uid="{00000000-0005-0000-0000-00001E040000}"/>
    <cellStyle name="Normal 2 32 9 2" xfId="11264" xr:uid="{00000000-0005-0000-0000-00003E230000}"/>
    <cellStyle name="Normal 2 33" xfId="1159" xr:uid="{00000000-0005-0000-0000-00001F040000}"/>
    <cellStyle name="Normal 2 33 10" xfId="1160" xr:uid="{00000000-0005-0000-0000-000020040000}"/>
    <cellStyle name="Normal 2 33 10 2" xfId="11265" xr:uid="{00000000-0005-0000-0000-000041230000}"/>
    <cellStyle name="Normal 2 33 11" xfId="1161" xr:uid="{00000000-0005-0000-0000-000021040000}"/>
    <cellStyle name="Normal 2 33 11 2" xfId="11266" xr:uid="{00000000-0005-0000-0000-000043230000}"/>
    <cellStyle name="Normal 2 33 12" xfId="1162" xr:uid="{00000000-0005-0000-0000-000022040000}"/>
    <cellStyle name="Normal 2 33 12 2" xfId="11267" xr:uid="{00000000-0005-0000-0000-000045230000}"/>
    <cellStyle name="Normal 2 33 13" xfId="1163" xr:uid="{00000000-0005-0000-0000-000023040000}"/>
    <cellStyle name="Normal 2 33 13 2" xfId="11268" xr:uid="{00000000-0005-0000-0000-000047230000}"/>
    <cellStyle name="Normal 2 33 14" xfId="1164" xr:uid="{00000000-0005-0000-0000-000024040000}"/>
    <cellStyle name="Normal 2 33 14 2" xfId="11269" xr:uid="{00000000-0005-0000-0000-000049230000}"/>
    <cellStyle name="Normal 2 33 15" xfId="1165" xr:uid="{00000000-0005-0000-0000-000025040000}"/>
    <cellStyle name="Normal 2 33 15 2" xfId="11270" xr:uid="{00000000-0005-0000-0000-00004B230000}"/>
    <cellStyle name="Normal 2 33 16" xfId="1166" xr:uid="{00000000-0005-0000-0000-000026040000}"/>
    <cellStyle name="Normal 2 33 16 2" xfId="11271" xr:uid="{00000000-0005-0000-0000-00004D230000}"/>
    <cellStyle name="Normal 2 33 17" xfId="1167" xr:uid="{00000000-0005-0000-0000-000027040000}"/>
    <cellStyle name="Normal 2 33 17 2" xfId="11272" xr:uid="{00000000-0005-0000-0000-00004F230000}"/>
    <cellStyle name="Normal 2 33 18" xfId="1168" xr:uid="{00000000-0005-0000-0000-000028040000}"/>
    <cellStyle name="Normal 2 33 18 2" xfId="11273" xr:uid="{00000000-0005-0000-0000-000051230000}"/>
    <cellStyle name="Normal 2 33 19" xfId="1169" xr:uid="{00000000-0005-0000-0000-000029040000}"/>
    <cellStyle name="Normal 2 33 19 2" xfId="11274" xr:uid="{00000000-0005-0000-0000-000053230000}"/>
    <cellStyle name="Normal 2 33 2" xfId="1170" xr:uid="{00000000-0005-0000-0000-00002A040000}"/>
    <cellStyle name="Normal 2 33 2 2" xfId="11275" xr:uid="{00000000-0005-0000-0000-000055230000}"/>
    <cellStyle name="Normal 2 33 20" xfId="1171" xr:uid="{00000000-0005-0000-0000-00002B040000}"/>
    <cellStyle name="Normal 2 33 20 2" xfId="11276" xr:uid="{00000000-0005-0000-0000-000057230000}"/>
    <cellStyle name="Normal 2 33 21" xfId="1172" xr:uid="{00000000-0005-0000-0000-00002C040000}"/>
    <cellStyle name="Normal 2 33 21 2" xfId="11277" xr:uid="{00000000-0005-0000-0000-000059230000}"/>
    <cellStyle name="Normal 2 33 22" xfId="1173" xr:uid="{00000000-0005-0000-0000-00002D040000}"/>
    <cellStyle name="Normal 2 33 22 2" xfId="11278" xr:uid="{00000000-0005-0000-0000-00005B230000}"/>
    <cellStyle name="Normal 2 33 23" xfId="1174" xr:uid="{00000000-0005-0000-0000-00002E040000}"/>
    <cellStyle name="Normal 2 33 23 2" xfId="11279" xr:uid="{00000000-0005-0000-0000-00005D230000}"/>
    <cellStyle name="Normal 2 33 24" xfId="11280" xr:uid="{00000000-0005-0000-0000-00005E230000}"/>
    <cellStyle name="Normal 2 33 3" xfId="1175" xr:uid="{00000000-0005-0000-0000-00002F040000}"/>
    <cellStyle name="Normal 2 33 3 2" xfId="11281" xr:uid="{00000000-0005-0000-0000-000060230000}"/>
    <cellStyle name="Normal 2 33 4" xfId="1176" xr:uid="{00000000-0005-0000-0000-000030040000}"/>
    <cellStyle name="Normal 2 33 4 2" xfId="11282" xr:uid="{00000000-0005-0000-0000-000062230000}"/>
    <cellStyle name="Normal 2 33 5" xfId="1177" xr:uid="{00000000-0005-0000-0000-000031040000}"/>
    <cellStyle name="Normal 2 33 5 2" xfId="11283" xr:uid="{00000000-0005-0000-0000-000064230000}"/>
    <cellStyle name="Normal 2 33 6" xfId="1178" xr:uid="{00000000-0005-0000-0000-000032040000}"/>
    <cellStyle name="Normal 2 33 6 2" xfId="11284" xr:uid="{00000000-0005-0000-0000-000066230000}"/>
    <cellStyle name="Normal 2 33 7" xfId="1179" xr:uid="{00000000-0005-0000-0000-000033040000}"/>
    <cellStyle name="Normal 2 33 7 2" xfId="11285" xr:uid="{00000000-0005-0000-0000-000068230000}"/>
    <cellStyle name="Normal 2 33 8" xfId="1180" xr:uid="{00000000-0005-0000-0000-000034040000}"/>
    <cellStyle name="Normal 2 33 8 2" xfId="11286" xr:uid="{00000000-0005-0000-0000-00006A230000}"/>
    <cellStyle name="Normal 2 33 9" xfId="1181" xr:uid="{00000000-0005-0000-0000-000035040000}"/>
    <cellStyle name="Normal 2 33 9 2" xfId="11287" xr:uid="{00000000-0005-0000-0000-00006C230000}"/>
    <cellStyle name="Normal 2 34" xfId="1182" xr:uid="{00000000-0005-0000-0000-000036040000}"/>
    <cellStyle name="Normal 2 34 10" xfId="1183" xr:uid="{00000000-0005-0000-0000-000037040000}"/>
    <cellStyle name="Normal 2 34 10 2" xfId="11288" xr:uid="{00000000-0005-0000-0000-00006F230000}"/>
    <cellStyle name="Normal 2 34 11" xfId="1184" xr:uid="{00000000-0005-0000-0000-000038040000}"/>
    <cellStyle name="Normal 2 34 11 2" xfId="11289" xr:uid="{00000000-0005-0000-0000-000071230000}"/>
    <cellStyle name="Normal 2 34 12" xfId="1185" xr:uid="{00000000-0005-0000-0000-000039040000}"/>
    <cellStyle name="Normal 2 34 12 2" xfId="11290" xr:uid="{00000000-0005-0000-0000-000073230000}"/>
    <cellStyle name="Normal 2 34 13" xfId="1186" xr:uid="{00000000-0005-0000-0000-00003A040000}"/>
    <cellStyle name="Normal 2 34 13 2" xfId="11291" xr:uid="{00000000-0005-0000-0000-000075230000}"/>
    <cellStyle name="Normal 2 34 14" xfId="1187" xr:uid="{00000000-0005-0000-0000-00003B040000}"/>
    <cellStyle name="Normal 2 34 14 2" xfId="11292" xr:uid="{00000000-0005-0000-0000-000077230000}"/>
    <cellStyle name="Normal 2 34 15" xfId="1188" xr:uid="{00000000-0005-0000-0000-00003C040000}"/>
    <cellStyle name="Normal 2 34 15 2" xfId="11293" xr:uid="{00000000-0005-0000-0000-000079230000}"/>
    <cellStyle name="Normal 2 34 16" xfId="1189" xr:uid="{00000000-0005-0000-0000-00003D040000}"/>
    <cellStyle name="Normal 2 34 16 2" xfId="11294" xr:uid="{00000000-0005-0000-0000-00007B230000}"/>
    <cellStyle name="Normal 2 34 17" xfId="1190" xr:uid="{00000000-0005-0000-0000-00003E040000}"/>
    <cellStyle name="Normal 2 34 17 2" xfId="11295" xr:uid="{00000000-0005-0000-0000-00007D230000}"/>
    <cellStyle name="Normal 2 34 18" xfId="1191" xr:uid="{00000000-0005-0000-0000-00003F040000}"/>
    <cellStyle name="Normal 2 34 18 2" xfId="11296" xr:uid="{00000000-0005-0000-0000-00007F230000}"/>
    <cellStyle name="Normal 2 34 19" xfId="1192" xr:uid="{00000000-0005-0000-0000-000040040000}"/>
    <cellStyle name="Normal 2 34 19 2" xfId="11297" xr:uid="{00000000-0005-0000-0000-000081230000}"/>
    <cellStyle name="Normal 2 34 2" xfId="1193" xr:uid="{00000000-0005-0000-0000-000041040000}"/>
    <cellStyle name="Normal 2 34 2 2" xfId="11298" xr:uid="{00000000-0005-0000-0000-000083230000}"/>
    <cellStyle name="Normal 2 34 20" xfId="1194" xr:uid="{00000000-0005-0000-0000-000042040000}"/>
    <cellStyle name="Normal 2 34 20 2" xfId="11299" xr:uid="{00000000-0005-0000-0000-000085230000}"/>
    <cellStyle name="Normal 2 34 21" xfId="1195" xr:uid="{00000000-0005-0000-0000-000043040000}"/>
    <cellStyle name="Normal 2 34 21 2" xfId="11300" xr:uid="{00000000-0005-0000-0000-000087230000}"/>
    <cellStyle name="Normal 2 34 22" xfId="1196" xr:uid="{00000000-0005-0000-0000-000044040000}"/>
    <cellStyle name="Normal 2 34 22 2" xfId="11301" xr:uid="{00000000-0005-0000-0000-000089230000}"/>
    <cellStyle name="Normal 2 34 23" xfId="1197" xr:uid="{00000000-0005-0000-0000-000045040000}"/>
    <cellStyle name="Normal 2 34 23 2" xfId="11302" xr:uid="{00000000-0005-0000-0000-00008B230000}"/>
    <cellStyle name="Normal 2 34 24" xfId="11303" xr:uid="{00000000-0005-0000-0000-00008C230000}"/>
    <cellStyle name="Normal 2 34 3" xfId="1198" xr:uid="{00000000-0005-0000-0000-000046040000}"/>
    <cellStyle name="Normal 2 34 3 2" xfId="11304" xr:uid="{00000000-0005-0000-0000-00008E230000}"/>
    <cellStyle name="Normal 2 34 4" xfId="1199" xr:uid="{00000000-0005-0000-0000-000047040000}"/>
    <cellStyle name="Normal 2 34 4 2" xfId="11305" xr:uid="{00000000-0005-0000-0000-000090230000}"/>
    <cellStyle name="Normal 2 34 5" xfId="1200" xr:uid="{00000000-0005-0000-0000-000048040000}"/>
    <cellStyle name="Normal 2 34 5 2" xfId="11306" xr:uid="{00000000-0005-0000-0000-000092230000}"/>
    <cellStyle name="Normal 2 34 6" xfId="1201" xr:uid="{00000000-0005-0000-0000-000049040000}"/>
    <cellStyle name="Normal 2 34 6 2" xfId="11307" xr:uid="{00000000-0005-0000-0000-000094230000}"/>
    <cellStyle name="Normal 2 34 7" xfId="1202" xr:uid="{00000000-0005-0000-0000-00004A040000}"/>
    <cellStyle name="Normal 2 34 7 2" xfId="11308" xr:uid="{00000000-0005-0000-0000-000096230000}"/>
    <cellStyle name="Normal 2 34 8" xfId="1203" xr:uid="{00000000-0005-0000-0000-00004B040000}"/>
    <cellStyle name="Normal 2 34 8 2" xfId="11309" xr:uid="{00000000-0005-0000-0000-000098230000}"/>
    <cellStyle name="Normal 2 34 9" xfId="1204" xr:uid="{00000000-0005-0000-0000-00004C040000}"/>
    <cellStyle name="Normal 2 34 9 2" xfId="11310" xr:uid="{00000000-0005-0000-0000-00009A230000}"/>
    <cellStyle name="Normal 2 35" xfId="1205" xr:uid="{00000000-0005-0000-0000-00004D040000}"/>
    <cellStyle name="Normal 2 35 10" xfId="1206" xr:uid="{00000000-0005-0000-0000-00004E040000}"/>
    <cellStyle name="Normal 2 35 10 2" xfId="11311" xr:uid="{00000000-0005-0000-0000-00009D230000}"/>
    <cellStyle name="Normal 2 35 11" xfId="1207" xr:uid="{00000000-0005-0000-0000-00004F040000}"/>
    <cellStyle name="Normal 2 35 11 2" xfId="11312" xr:uid="{00000000-0005-0000-0000-00009F230000}"/>
    <cellStyle name="Normal 2 35 12" xfId="1208" xr:uid="{00000000-0005-0000-0000-000050040000}"/>
    <cellStyle name="Normal 2 35 12 2" xfId="11313" xr:uid="{00000000-0005-0000-0000-0000A1230000}"/>
    <cellStyle name="Normal 2 35 13" xfId="1209" xr:uid="{00000000-0005-0000-0000-000051040000}"/>
    <cellStyle name="Normal 2 35 13 2" xfId="11314" xr:uid="{00000000-0005-0000-0000-0000A3230000}"/>
    <cellStyle name="Normal 2 35 14" xfId="1210" xr:uid="{00000000-0005-0000-0000-000052040000}"/>
    <cellStyle name="Normal 2 35 14 2" xfId="11315" xr:uid="{00000000-0005-0000-0000-0000A5230000}"/>
    <cellStyle name="Normal 2 35 15" xfId="1211" xr:uid="{00000000-0005-0000-0000-000053040000}"/>
    <cellStyle name="Normal 2 35 15 2" xfId="11316" xr:uid="{00000000-0005-0000-0000-0000A7230000}"/>
    <cellStyle name="Normal 2 35 16" xfId="1212" xr:uid="{00000000-0005-0000-0000-000054040000}"/>
    <cellStyle name="Normal 2 35 16 2" xfId="11317" xr:uid="{00000000-0005-0000-0000-0000A9230000}"/>
    <cellStyle name="Normal 2 35 17" xfId="1213" xr:uid="{00000000-0005-0000-0000-000055040000}"/>
    <cellStyle name="Normal 2 35 17 2" xfId="11318" xr:uid="{00000000-0005-0000-0000-0000AB230000}"/>
    <cellStyle name="Normal 2 35 18" xfId="1214" xr:uid="{00000000-0005-0000-0000-000056040000}"/>
    <cellStyle name="Normal 2 35 18 2" xfId="11319" xr:uid="{00000000-0005-0000-0000-0000AD230000}"/>
    <cellStyle name="Normal 2 35 19" xfId="1215" xr:uid="{00000000-0005-0000-0000-000057040000}"/>
    <cellStyle name="Normal 2 35 19 2" xfId="11320" xr:uid="{00000000-0005-0000-0000-0000AF230000}"/>
    <cellStyle name="Normal 2 35 2" xfId="1216" xr:uid="{00000000-0005-0000-0000-000058040000}"/>
    <cellStyle name="Normal 2 35 2 2" xfId="11321" xr:uid="{00000000-0005-0000-0000-0000B1230000}"/>
    <cellStyle name="Normal 2 35 20" xfId="1217" xr:uid="{00000000-0005-0000-0000-000059040000}"/>
    <cellStyle name="Normal 2 35 20 2" xfId="11322" xr:uid="{00000000-0005-0000-0000-0000B3230000}"/>
    <cellStyle name="Normal 2 35 21" xfId="1218" xr:uid="{00000000-0005-0000-0000-00005A040000}"/>
    <cellStyle name="Normal 2 35 21 2" xfId="11323" xr:uid="{00000000-0005-0000-0000-0000B5230000}"/>
    <cellStyle name="Normal 2 35 22" xfId="1219" xr:uid="{00000000-0005-0000-0000-00005B040000}"/>
    <cellStyle name="Normal 2 35 22 2" xfId="11324" xr:uid="{00000000-0005-0000-0000-0000B7230000}"/>
    <cellStyle name="Normal 2 35 23" xfId="1220" xr:uid="{00000000-0005-0000-0000-00005C040000}"/>
    <cellStyle name="Normal 2 35 23 2" xfId="11325" xr:uid="{00000000-0005-0000-0000-0000B9230000}"/>
    <cellStyle name="Normal 2 35 24" xfId="11326" xr:uid="{00000000-0005-0000-0000-0000BA230000}"/>
    <cellStyle name="Normal 2 35 3" xfId="1221" xr:uid="{00000000-0005-0000-0000-00005D040000}"/>
    <cellStyle name="Normal 2 35 3 2" xfId="11327" xr:uid="{00000000-0005-0000-0000-0000BC230000}"/>
    <cellStyle name="Normal 2 35 4" xfId="1222" xr:uid="{00000000-0005-0000-0000-00005E040000}"/>
    <cellStyle name="Normal 2 35 4 2" xfId="11328" xr:uid="{00000000-0005-0000-0000-0000BE230000}"/>
    <cellStyle name="Normal 2 35 5" xfId="1223" xr:uid="{00000000-0005-0000-0000-00005F040000}"/>
    <cellStyle name="Normal 2 35 5 2" xfId="11329" xr:uid="{00000000-0005-0000-0000-0000C0230000}"/>
    <cellStyle name="Normal 2 35 6" xfId="1224" xr:uid="{00000000-0005-0000-0000-000060040000}"/>
    <cellStyle name="Normal 2 35 6 2" xfId="11330" xr:uid="{00000000-0005-0000-0000-0000C2230000}"/>
    <cellStyle name="Normal 2 35 7" xfId="1225" xr:uid="{00000000-0005-0000-0000-000061040000}"/>
    <cellStyle name="Normal 2 35 7 2" xfId="11331" xr:uid="{00000000-0005-0000-0000-0000C4230000}"/>
    <cellStyle name="Normal 2 35 8" xfId="1226" xr:uid="{00000000-0005-0000-0000-000062040000}"/>
    <cellStyle name="Normal 2 35 8 2" xfId="11332" xr:uid="{00000000-0005-0000-0000-0000C6230000}"/>
    <cellStyle name="Normal 2 35 9" xfId="1227" xr:uid="{00000000-0005-0000-0000-000063040000}"/>
    <cellStyle name="Normal 2 35 9 2" xfId="11333" xr:uid="{00000000-0005-0000-0000-0000C8230000}"/>
    <cellStyle name="Normal 2 36" xfId="1228" xr:uid="{00000000-0005-0000-0000-000064040000}"/>
    <cellStyle name="Normal 2 36 10" xfId="1229" xr:uid="{00000000-0005-0000-0000-000065040000}"/>
    <cellStyle name="Normal 2 36 10 2" xfId="11334" xr:uid="{00000000-0005-0000-0000-0000CB230000}"/>
    <cellStyle name="Normal 2 36 11" xfId="1230" xr:uid="{00000000-0005-0000-0000-000066040000}"/>
    <cellStyle name="Normal 2 36 11 2" xfId="11335" xr:uid="{00000000-0005-0000-0000-0000CD230000}"/>
    <cellStyle name="Normal 2 36 12" xfId="1231" xr:uid="{00000000-0005-0000-0000-000067040000}"/>
    <cellStyle name="Normal 2 36 12 2" xfId="11336" xr:uid="{00000000-0005-0000-0000-0000CF230000}"/>
    <cellStyle name="Normal 2 36 13" xfId="1232" xr:uid="{00000000-0005-0000-0000-000068040000}"/>
    <cellStyle name="Normal 2 36 13 2" xfId="11337" xr:uid="{00000000-0005-0000-0000-0000D1230000}"/>
    <cellStyle name="Normal 2 36 14" xfId="1233" xr:uid="{00000000-0005-0000-0000-000069040000}"/>
    <cellStyle name="Normal 2 36 14 2" xfId="11338" xr:uid="{00000000-0005-0000-0000-0000D3230000}"/>
    <cellStyle name="Normal 2 36 15" xfId="1234" xr:uid="{00000000-0005-0000-0000-00006A040000}"/>
    <cellStyle name="Normal 2 36 15 2" xfId="11339" xr:uid="{00000000-0005-0000-0000-0000D5230000}"/>
    <cellStyle name="Normal 2 36 16" xfId="1235" xr:uid="{00000000-0005-0000-0000-00006B040000}"/>
    <cellStyle name="Normal 2 36 16 2" xfId="11340" xr:uid="{00000000-0005-0000-0000-0000D7230000}"/>
    <cellStyle name="Normal 2 36 17" xfId="1236" xr:uid="{00000000-0005-0000-0000-00006C040000}"/>
    <cellStyle name="Normal 2 36 17 2" xfId="11341" xr:uid="{00000000-0005-0000-0000-0000D9230000}"/>
    <cellStyle name="Normal 2 36 18" xfId="1237" xr:uid="{00000000-0005-0000-0000-00006D040000}"/>
    <cellStyle name="Normal 2 36 18 2" xfId="11342" xr:uid="{00000000-0005-0000-0000-0000DB230000}"/>
    <cellStyle name="Normal 2 36 19" xfId="1238" xr:uid="{00000000-0005-0000-0000-00006E040000}"/>
    <cellStyle name="Normal 2 36 19 2" xfId="11343" xr:uid="{00000000-0005-0000-0000-0000DD230000}"/>
    <cellStyle name="Normal 2 36 2" xfId="1239" xr:uid="{00000000-0005-0000-0000-00006F040000}"/>
    <cellStyle name="Normal 2 36 2 2" xfId="11344" xr:uid="{00000000-0005-0000-0000-0000DF230000}"/>
    <cellStyle name="Normal 2 36 20" xfId="1240" xr:uid="{00000000-0005-0000-0000-000070040000}"/>
    <cellStyle name="Normal 2 36 20 2" xfId="11345" xr:uid="{00000000-0005-0000-0000-0000E1230000}"/>
    <cellStyle name="Normal 2 36 21" xfId="1241" xr:uid="{00000000-0005-0000-0000-000071040000}"/>
    <cellStyle name="Normal 2 36 21 2" xfId="11346" xr:uid="{00000000-0005-0000-0000-0000E3230000}"/>
    <cellStyle name="Normal 2 36 22" xfId="1242" xr:uid="{00000000-0005-0000-0000-000072040000}"/>
    <cellStyle name="Normal 2 36 22 2" xfId="11347" xr:uid="{00000000-0005-0000-0000-0000E5230000}"/>
    <cellStyle name="Normal 2 36 23" xfId="1243" xr:uid="{00000000-0005-0000-0000-000073040000}"/>
    <cellStyle name="Normal 2 36 23 2" xfId="11348" xr:uid="{00000000-0005-0000-0000-0000E7230000}"/>
    <cellStyle name="Normal 2 36 24" xfId="11349" xr:uid="{00000000-0005-0000-0000-0000E8230000}"/>
    <cellStyle name="Normal 2 36 3" xfId="1244" xr:uid="{00000000-0005-0000-0000-000074040000}"/>
    <cellStyle name="Normal 2 36 3 2" xfId="11350" xr:uid="{00000000-0005-0000-0000-0000EA230000}"/>
    <cellStyle name="Normal 2 36 4" xfId="1245" xr:uid="{00000000-0005-0000-0000-000075040000}"/>
    <cellStyle name="Normal 2 36 4 2" xfId="11351" xr:uid="{00000000-0005-0000-0000-0000EC230000}"/>
    <cellStyle name="Normal 2 36 5" xfId="1246" xr:uid="{00000000-0005-0000-0000-000076040000}"/>
    <cellStyle name="Normal 2 36 5 2" xfId="11352" xr:uid="{00000000-0005-0000-0000-0000EE230000}"/>
    <cellStyle name="Normal 2 36 6" xfId="1247" xr:uid="{00000000-0005-0000-0000-000077040000}"/>
    <cellStyle name="Normal 2 36 6 2" xfId="11353" xr:uid="{00000000-0005-0000-0000-0000F0230000}"/>
    <cellStyle name="Normal 2 36 7" xfId="1248" xr:uid="{00000000-0005-0000-0000-000078040000}"/>
    <cellStyle name="Normal 2 36 7 2" xfId="11354" xr:uid="{00000000-0005-0000-0000-0000F2230000}"/>
    <cellStyle name="Normal 2 36 8" xfId="1249" xr:uid="{00000000-0005-0000-0000-000079040000}"/>
    <cellStyle name="Normal 2 36 8 2" xfId="11355" xr:uid="{00000000-0005-0000-0000-0000F4230000}"/>
    <cellStyle name="Normal 2 36 9" xfId="1250" xr:uid="{00000000-0005-0000-0000-00007A040000}"/>
    <cellStyle name="Normal 2 36 9 2" xfId="11356" xr:uid="{00000000-0005-0000-0000-0000F6230000}"/>
    <cellStyle name="Normal 2 37" xfId="1251" xr:uid="{00000000-0005-0000-0000-00007B040000}"/>
    <cellStyle name="Normal 2 37 10" xfId="1252" xr:uid="{00000000-0005-0000-0000-00007C040000}"/>
    <cellStyle name="Normal 2 37 10 2" xfId="11357" xr:uid="{00000000-0005-0000-0000-0000F9230000}"/>
    <cellStyle name="Normal 2 37 11" xfId="1253" xr:uid="{00000000-0005-0000-0000-00007D040000}"/>
    <cellStyle name="Normal 2 37 11 2" xfId="11358" xr:uid="{00000000-0005-0000-0000-0000FB230000}"/>
    <cellStyle name="Normal 2 37 12" xfId="1254" xr:uid="{00000000-0005-0000-0000-00007E040000}"/>
    <cellStyle name="Normal 2 37 12 2" xfId="11359" xr:uid="{00000000-0005-0000-0000-0000FD230000}"/>
    <cellStyle name="Normal 2 37 13" xfId="1255" xr:uid="{00000000-0005-0000-0000-00007F040000}"/>
    <cellStyle name="Normal 2 37 13 2" xfId="11360" xr:uid="{00000000-0005-0000-0000-0000FF230000}"/>
    <cellStyle name="Normal 2 37 14" xfId="1256" xr:uid="{00000000-0005-0000-0000-000080040000}"/>
    <cellStyle name="Normal 2 37 14 2" xfId="11361" xr:uid="{00000000-0005-0000-0000-000001240000}"/>
    <cellStyle name="Normal 2 37 15" xfId="1257" xr:uid="{00000000-0005-0000-0000-000081040000}"/>
    <cellStyle name="Normal 2 37 15 2" xfId="11362" xr:uid="{00000000-0005-0000-0000-000003240000}"/>
    <cellStyle name="Normal 2 37 16" xfId="1258" xr:uid="{00000000-0005-0000-0000-000082040000}"/>
    <cellStyle name="Normal 2 37 16 2" xfId="11363" xr:uid="{00000000-0005-0000-0000-000005240000}"/>
    <cellStyle name="Normal 2 37 17" xfId="1259" xr:uid="{00000000-0005-0000-0000-000083040000}"/>
    <cellStyle name="Normal 2 37 17 2" xfId="11364" xr:uid="{00000000-0005-0000-0000-000007240000}"/>
    <cellStyle name="Normal 2 37 18" xfId="1260" xr:uid="{00000000-0005-0000-0000-000084040000}"/>
    <cellStyle name="Normal 2 37 18 2" xfId="11365" xr:uid="{00000000-0005-0000-0000-000009240000}"/>
    <cellStyle name="Normal 2 37 19" xfId="1261" xr:uid="{00000000-0005-0000-0000-000085040000}"/>
    <cellStyle name="Normal 2 37 19 2" xfId="11366" xr:uid="{00000000-0005-0000-0000-00000B240000}"/>
    <cellStyle name="Normal 2 37 2" xfId="1262" xr:uid="{00000000-0005-0000-0000-000086040000}"/>
    <cellStyle name="Normal 2 37 2 2" xfId="11367" xr:uid="{00000000-0005-0000-0000-00000D240000}"/>
    <cellStyle name="Normal 2 37 20" xfId="1263" xr:uid="{00000000-0005-0000-0000-000087040000}"/>
    <cellStyle name="Normal 2 37 20 2" xfId="11368" xr:uid="{00000000-0005-0000-0000-00000F240000}"/>
    <cellStyle name="Normal 2 37 21" xfId="1264" xr:uid="{00000000-0005-0000-0000-000088040000}"/>
    <cellStyle name="Normal 2 37 21 2" xfId="11369" xr:uid="{00000000-0005-0000-0000-000011240000}"/>
    <cellStyle name="Normal 2 37 22" xfId="1265" xr:uid="{00000000-0005-0000-0000-000089040000}"/>
    <cellStyle name="Normal 2 37 22 2" xfId="11370" xr:uid="{00000000-0005-0000-0000-000013240000}"/>
    <cellStyle name="Normal 2 37 23" xfId="1266" xr:uid="{00000000-0005-0000-0000-00008A040000}"/>
    <cellStyle name="Normal 2 37 23 2" xfId="11371" xr:uid="{00000000-0005-0000-0000-000015240000}"/>
    <cellStyle name="Normal 2 37 24" xfId="11372" xr:uid="{00000000-0005-0000-0000-000016240000}"/>
    <cellStyle name="Normal 2 37 3" xfId="1267" xr:uid="{00000000-0005-0000-0000-00008B040000}"/>
    <cellStyle name="Normal 2 37 3 2" xfId="11373" xr:uid="{00000000-0005-0000-0000-000018240000}"/>
    <cellStyle name="Normal 2 37 4" xfId="1268" xr:uid="{00000000-0005-0000-0000-00008C040000}"/>
    <cellStyle name="Normal 2 37 4 2" xfId="11374" xr:uid="{00000000-0005-0000-0000-00001A240000}"/>
    <cellStyle name="Normal 2 37 5" xfId="1269" xr:uid="{00000000-0005-0000-0000-00008D040000}"/>
    <cellStyle name="Normal 2 37 5 2" xfId="11375" xr:uid="{00000000-0005-0000-0000-00001C240000}"/>
    <cellStyle name="Normal 2 37 6" xfId="1270" xr:uid="{00000000-0005-0000-0000-00008E040000}"/>
    <cellStyle name="Normal 2 37 6 2" xfId="11376" xr:uid="{00000000-0005-0000-0000-00001E240000}"/>
    <cellStyle name="Normal 2 37 7" xfId="1271" xr:uid="{00000000-0005-0000-0000-00008F040000}"/>
    <cellStyle name="Normal 2 37 7 2" xfId="11377" xr:uid="{00000000-0005-0000-0000-000020240000}"/>
    <cellStyle name="Normal 2 37 8" xfId="1272" xr:uid="{00000000-0005-0000-0000-000090040000}"/>
    <cellStyle name="Normal 2 37 8 2" xfId="11378" xr:uid="{00000000-0005-0000-0000-000022240000}"/>
    <cellStyle name="Normal 2 37 9" xfId="1273" xr:uid="{00000000-0005-0000-0000-000091040000}"/>
    <cellStyle name="Normal 2 37 9 2" xfId="11379" xr:uid="{00000000-0005-0000-0000-000024240000}"/>
    <cellStyle name="Normal 2 38" xfId="1274" xr:uid="{00000000-0005-0000-0000-000092040000}"/>
    <cellStyle name="Normal 2 38 10" xfId="1275" xr:uid="{00000000-0005-0000-0000-000093040000}"/>
    <cellStyle name="Normal 2 38 10 2" xfId="11380" xr:uid="{00000000-0005-0000-0000-000027240000}"/>
    <cellStyle name="Normal 2 38 11" xfId="1276" xr:uid="{00000000-0005-0000-0000-000094040000}"/>
    <cellStyle name="Normal 2 38 11 2" xfId="11381" xr:uid="{00000000-0005-0000-0000-000029240000}"/>
    <cellStyle name="Normal 2 38 12" xfId="1277" xr:uid="{00000000-0005-0000-0000-000095040000}"/>
    <cellStyle name="Normal 2 38 12 2" xfId="11382" xr:uid="{00000000-0005-0000-0000-00002B240000}"/>
    <cellStyle name="Normal 2 38 13" xfId="1278" xr:uid="{00000000-0005-0000-0000-000096040000}"/>
    <cellStyle name="Normal 2 38 13 2" xfId="11383" xr:uid="{00000000-0005-0000-0000-00002D240000}"/>
    <cellStyle name="Normal 2 38 14" xfId="1279" xr:uid="{00000000-0005-0000-0000-000097040000}"/>
    <cellStyle name="Normal 2 38 14 2" xfId="11384" xr:uid="{00000000-0005-0000-0000-00002F240000}"/>
    <cellStyle name="Normal 2 38 15" xfId="1280" xr:uid="{00000000-0005-0000-0000-000098040000}"/>
    <cellStyle name="Normal 2 38 15 2" xfId="11385" xr:uid="{00000000-0005-0000-0000-000031240000}"/>
    <cellStyle name="Normal 2 38 16" xfId="1281" xr:uid="{00000000-0005-0000-0000-000099040000}"/>
    <cellStyle name="Normal 2 38 16 2" xfId="11386" xr:uid="{00000000-0005-0000-0000-000033240000}"/>
    <cellStyle name="Normal 2 38 17" xfId="1282" xr:uid="{00000000-0005-0000-0000-00009A040000}"/>
    <cellStyle name="Normal 2 38 17 2" xfId="11387" xr:uid="{00000000-0005-0000-0000-000035240000}"/>
    <cellStyle name="Normal 2 38 18" xfId="1283" xr:uid="{00000000-0005-0000-0000-00009B040000}"/>
    <cellStyle name="Normal 2 38 18 2" xfId="11388" xr:uid="{00000000-0005-0000-0000-000037240000}"/>
    <cellStyle name="Normal 2 38 19" xfId="1284" xr:uid="{00000000-0005-0000-0000-00009C040000}"/>
    <cellStyle name="Normal 2 38 19 2" xfId="11389" xr:uid="{00000000-0005-0000-0000-000039240000}"/>
    <cellStyle name="Normal 2 38 2" xfId="1285" xr:uid="{00000000-0005-0000-0000-00009D040000}"/>
    <cellStyle name="Normal 2 38 2 2" xfId="11390" xr:uid="{00000000-0005-0000-0000-00003B240000}"/>
    <cellStyle name="Normal 2 38 20" xfId="1286" xr:uid="{00000000-0005-0000-0000-00009E040000}"/>
    <cellStyle name="Normal 2 38 20 2" xfId="11391" xr:uid="{00000000-0005-0000-0000-00003D240000}"/>
    <cellStyle name="Normal 2 38 21" xfId="1287" xr:uid="{00000000-0005-0000-0000-00009F040000}"/>
    <cellStyle name="Normal 2 38 21 2" xfId="11392" xr:uid="{00000000-0005-0000-0000-00003F240000}"/>
    <cellStyle name="Normal 2 38 22" xfId="1288" xr:uid="{00000000-0005-0000-0000-0000A0040000}"/>
    <cellStyle name="Normal 2 38 22 2" xfId="11393" xr:uid="{00000000-0005-0000-0000-000041240000}"/>
    <cellStyle name="Normal 2 38 23" xfId="1289" xr:uid="{00000000-0005-0000-0000-0000A1040000}"/>
    <cellStyle name="Normal 2 38 23 2" xfId="11394" xr:uid="{00000000-0005-0000-0000-000043240000}"/>
    <cellStyle name="Normal 2 38 24" xfId="11395" xr:uid="{00000000-0005-0000-0000-000044240000}"/>
    <cellStyle name="Normal 2 38 3" xfId="1290" xr:uid="{00000000-0005-0000-0000-0000A2040000}"/>
    <cellStyle name="Normal 2 38 3 2" xfId="11396" xr:uid="{00000000-0005-0000-0000-000046240000}"/>
    <cellStyle name="Normal 2 38 4" xfId="1291" xr:uid="{00000000-0005-0000-0000-0000A3040000}"/>
    <cellStyle name="Normal 2 38 4 2" xfId="11397" xr:uid="{00000000-0005-0000-0000-000048240000}"/>
    <cellStyle name="Normal 2 38 5" xfId="1292" xr:uid="{00000000-0005-0000-0000-0000A4040000}"/>
    <cellStyle name="Normal 2 38 5 2" xfId="11398" xr:uid="{00000000-0005-0000-0000-00004A240000}"/>
    <cellStyle name="Normal 2 38 6" xfId="1293" xr:uid="{00000000-0005-0000-0000-0000A5040000}"/>
    <cellStyle name="Normal 2 38 6 2" xfId="11399" xr:uid="{00000000-0005-0000-0000-00004C240000}"/>
    <cellStyle name="Normal 2 38 7" xfId="1294" xr:uid="{00000000-0005-0000-0000-0000A6040000}"/>
    <cellStyle name="Normal 2 38 7 2" xfId="11400" xr:uid="{00000000-0005-0000-0000-00004E240000}"/>
    <cellStyle name="Normal 2 38 8" xfId="1295" xr:uid="{00000000-0005-0000-0000-0000A7040000}"/>
    <cellStyle name="Normal 2 38 8 2" xfId="11401" xr:uid="{00000000-0005-0000-0000-000050240000}"/>
    <cellStyle name="Normal 2 38 9" xfId="1296" xr:uid="{00000000-0005-0000-0000-0000A8040000}"/>
    <cellStyle name="Normal 2 38 9 2" xfId="11402" xr:uid="{00000000-0005-0000-0000-000052240000}"/>
    <cellStyle name="Normal 2 39" xfId="1297" xr:uid="{00000000-0005-0000-0000-0000A9040000}"/>
    <cellStyle name="Normal 2 39 10" xfId="1298" xr:uid="{00000000-0005-0000-0000-0000AA040000}"/>
    <cellStyle name="Normal 2 39 10 2" xfId="11403" xr:uid="{00000000-0005-0000-0000-000055240000}"/>
    <cellStyle name="Normal 2 39 11" xfId="1299" xr:uid="{00000000-0005-0000-0000-0000AB040000}"/>
    <cellStyle name="Normal 2 39 11 2" xfId="11404" xr:uid="{00000000-0005-0000-0000-000057240000}"/>
    <cellStyle name="Normal 2 39 12" xfId="1300" xr:uid="{00000000-0005-0000-0000-0000AC040000}"/>
    <cellStyle name="Normal 2 39 12 2" xfId="11405" xr:uid="{00000000-0005-0000-0000-000059240000}"/>
    <cellStyle name="Normal 2 39 13" xfId="1301" xr:uid="{00000000-0005-0000-0000-0000AD040000}"/>
    <cellStyle name="Normal 2 39 13 2" xfId="11406" xr:uid="{00000000-0005-0000-0000-00005B240000}"/>
    <cellStyle name="Normal 2 39 14" xfId="1302" xr:uid="{00000000-0005-0000-0000-0000AE040000}"/>
    <cellStyle name="Normal 2 39 14 2" xfId="11407" xr:uid="{00000000-0005-0000-0000-00005D240000}"/>
    <cellStyle name="Normal 2 39 15" xfId="1303" xr:uid="{00000000-0005-0000-0000-0000AF040000}"/>
    <cellStyle name="Normal 2 39 15 2" xfId="11408" xr:uid="{00000000-0005-0000-0000-00005F240000}"/>
    <cellStyle name="Normal 2 39 16" xfId="1304" xr:uid="{00000000-0005-0000-0000-0000B0040000}"/>
    <cellStyle name="Normal 2 39 16 2" xfId="11409" xr:uid="{00000000-0005-0000-0000-000061240000}"/>
    <cellStyle name="Normal 2 39 17" xfId="1305" xr:uid="{00000000-0005-0000-0000-0000B1040000}"/>
    <cellStyle name="Normal 2 39 17 2" xfId="11410" xr:uid="{00000000-0005-0000-0000-000063240000}"/>
    <cellStyle name="Normal 2 39 18" xfId="1306" xr:uid="{00000000-0005-0000-0000-0000B2040000}"/>
    <cellStyle name="Normal 2 39 18 2" xfId="11411" xr:uid="{00000000-0005-0000-0000-000065240000}"/>
    <cellStyle name="Normal 2 39 19" xfId="1307" xr:uid="{00000000-0005-0000-0000-0000B3040000}"/>
    <cellStyle name="Normal 2 39 19 2" xfId="11412" xr:uid="{00000000-0005-0000-0000-000067240000}"/>
    <cellStyle name="Normal 2 39 2" xfId="1308" xr:uid="{00000000-0005-0000-0000-0000B4040000}"/>
    <cellStyle name="Normal 2 39 2 2" xfId="11413" xr:uid="{00000000-0005-0000-0000-000069240000}"/>
    <cellStyle name="Normal 2 39 20" xfId="1309" xr:uid="{00000000-0005-0000-0000-0000B5040000}"/>
    <cellStyle name="Normal 2 39 20 2" xfId="11414" xr:uid="{00000000-0005-0000-0000-00006B240000}"/>
    <cellStyle name="Normal 2 39 21" xfId="1310" xr:uid="{00000000-0005-0000-0000-0000B6040000}"/>
    <cellStyle name="Normal 2 39 21 2" xfId="11415" xr:uid="{00000000-0005-0000-0000-00006D240000}"/>
    <cellStyle name="Normal 2 39 22" xfId="1311" xr:uid="{00000000-0005-0000-0000-0000B7040000}"/>
    <cellStyle name="Normal 2 39 22 2" xfId="11416" xr:uid="{00000000-0005-0000-0000-00006F240000}"/>
    <cellStyle name="Normal 2 39 23" xfId="1312" xr:uid="{00000000-0005-0000-0000-0000B8040000}"/>
    <cellStyle name="Normal 2 39 23 2" xfId="11417" xr:uid="{00000000-0005-0000-0000-000071240000}"/>
    <cellStyle name="Normal 2 39 24" xfId="11418" xr:uid="{00000000-0005-0000-0000-000072240000}"/>
    <cellStyle name="Normal 2 39 3" xfId="1313" xr:uid="{00000000-0005-0000-0000-0000B9040000}"/>
    <cellStyle name="Normal 2 39 3 2" xfId="11419" xr:uid="{00000000-0005-0000-0000-000074240000}"/>
    <cellStyle name="Normal 2 39 4" xfId="1314" xr:uid="{00000000-0005-0000-0000-0000BA040000}"/>
    <cellStyle name="Normal 2 39 4 2" xfId="11420" xr:uid="{00000000-0005-0000-0000-000076240000}"/>
    <cellStyle name="Normal 2 39 5" xfId="1315" xr:uid="{00000000-0005-0000-0000-0000BB040000}"/>
    <cellStyle name="Normal 2 39 5 2" xfId="11421" xr:uid="{00000000-0005-0000-0000-000078240000}"/>
    <cellStyle name="Normal 2 39 6" xfId="1316" xr:uid="{00000000-0005-0000-0000-0000BC040000}"/>
    <cellStyle name="Normal 2 39 6 2" xfId="11422" xr:uid="{00000000-0005-0000-0000-00007A240000}"/>
    <cellStyle name="Normal 2 39 7" xfId="1317" xr:uid="{00000000-0005-0000-0000-0000BD040000}"/>
    <cellStyle name="Normal 2 39 7 2" xfId="11423" xr:uid="{00000000-0005-0000-0000-00007C240000}"/>
    <cellStyle name="Normal 2 39 8" xfId="1318" xr:uid="{00000000-0005-0000-0000-0000BE040000}"/>
    <cellStyle name="Normal 2 39 8 2" xfId="11424" xr:uid="{00000000-0005-0000-0000-00007E240000}"/>
    <cellStyle name="Normal 2 39 9" xfId="1319" xr:uid="{00000000-0005-0000-0000-0000BF040000}"/>
    <cellStyle name="Normal 2 39 9 2" xfId="11425" xr:uid="{00000000-0005-0000-0000-000080240000}"/>
    <cellStyle name="Normal 2 4" xfId="62" xr:uid="{00000000-0005-0000-0000-000012000000}"/>
    <cellStyle name="Normal 2 4 2" xfId="63" xr:uid="{00000000-0005-0000-0000-000013000000}"/>
    <cellStyle name="Normal 2 4 2 2" xfId="165" xr:uid="{00000000-0005-0000-0000-000013000000}"/>
    <cellStyle name="Normal 2 4 2 2 2" xfId="11427" xr:uid="{00000000-0005-0000-0000-000083240000}"/>
    <cellStyle name="Normal 2 4 2 2 3" xfId="20711" xr:uid="{33F31A54-2D12-459A-929A-5366F566A5B6}"/>
    <cellStyle name="Normal 2 4 2 2 3 2" xfId="35712" xr:uid="{A990223C-094D-4053-B6D3-7F800554D87F}"/>
    <cellStyle name="Normal 2 4 2 2 4" xfId="28015" xr:uid="{E1E321D5-E8BF-49CB-B8B2-B9BB686852C0}"/>
    <cellStyle name="Normal 2 4 2 3" xfId="1321" xr:uid="{00000000-0005-0000-0000-0000C1040000}"/>
    <cellStyle name="Normal 2 4 2 3 2" xfId="11428" xr:uid="{00000000-0005-0000-0000-000084240000}"/>
    <cellStyle name="Normal 2 4 2 4" xfId="11429" xr:uid="{00000000-0005-0000-0000-000085240000}"/>
    <cellStyle name="Normal 2 4 2 5" xfId="11426" xr:uid="{00000000-0005-0000-0000-000082240000}"/>
    <cellStyle name="Normal 2 4 2 6" xfId="20533" xr:uid="{C16F2C5B-6C4A-4FCE-A340-F17ACF8FA96A}"/>
    <cellStyle name="Normal 2 4 2 6 2" xfId="20547" xr:uid="{83259507-3601-475B-BB8F-EC60EDC1F13A}"/>
    <cellStyle name="Normal 2 4 2 6 2 2" xfId="20579" xr:uid="{0821EB82-6A7C-41AE-8656-613C89FAE5EE}"/>
    <cellStyle name="Normal 2 4 2 6 2 2 2" xfId="27872" xr:uid="{6255C283-E6CA-492A-8B3A-51FE68466838}"/>
    <cellStyle name="Normal 2 4 2 6 2 2 2 2" xfId="42809" xr:uid="{16132AAD-12EA-48F3-8DDF-DC0E7684F1A1}"/>
    <cellStyle name="Normal 2 4 2 6 2 2 3" xfId="35581" xr:uid="{27E479F3-4884-41EA-A944-85BDFD98AAC7}"/>
    <cellStyle name="Normal 2 4 2 6 2 3" xfId="27852" xr:uid="{61DE283A-CBAA-456F-A4F7-F1AAA668F3C1}"/>
    <cellStyle name="Normal 2 4 2 6 2 3 2" xfId="42789" xr:uid="{3EE4C61A-0F26-4112-AFE4-C9952A92C43A}"/>
    <cellStyle name="Normal 2 4 2 6 2 4" xfId="35561" xr:uid="{2193E422-85F7-4B7F-98A9-86FEC54B6618}"/>
    <cellStyle name="Normal 2 4 2 6 3" xfId="27840" xr:uid="{D0511784-BA0C-497B-ADB4-E5BEE955CD94}"/>
    <cellStyle name="Normal 2 4 2 6 3 2" xfId="42777" xr:uid="{0C6C7336-8632-4E62-8BD6-389CA842025F}"/>
    <cellStyle name="Normal 2 4 2 6 4" xfId="35549" xr:uid="{0078E6F9-6CEC-49C5-A4A5-D1D5D0754729}"/>
    <cellStyle name="Normal 2 4 2 7" xfId="20641" xr:uid="{C881A836-9647-408D-9ED8-B94A9D25CB60}"/>
    <cellStyle name="Normal 2 4 2 7 2" xfId="35642" xr:uid="{813F5E79-4B2C-4BA3-BEAA-93879934B232}"/>
    <cellStyle name="Normal 2 4 2 8" xfId="27945" xr:uid="{FEF9CBF3-E8F0-4283-88C3-D696395CF5CB}"/>
    <cellStyle name="Normal 2 4 3" xfId="164" xr:uid="{00000000-0005-0000-0000-000012000000}"/>
    <cellStyle name="Normal 2 4 3 2" xfId="11430" xr:uid="{00000000-0005-0000-0000-000086240000}"/>
    <cellStyle name="Normal 2 4 3 3" xfId="20710" xr:uid="{1BFC4D05-55B4-4A02-9B6A-3DE5F559F46A}"/>
    <cellStyle name="Normal 2 4 3 3 2" xfId="35711" xr:uid="{2B02D37E-DCA9-4A7F-A0B1-55423744C544}"/>
    <cellStyle name="Normal 2 4 3 4" xfId="28014" xr:uid="{F5174B9A-5341-4E4E-B29D-19B5CB9B54D8}"/>
    <cellStyle name="Normal 2 4 4" xfId="1320" xr:uid="{00000000-0005-0000-0000-0000C0040000}"/>
    <cellStyle name="Normal 2 4 4 2" xfId="11432" xr:uid="{00000000-0005-0000-0000-000088240000}"/>
    <cellStyle name="Normal 2 4 4 3" xfId="11433" xr:uid="{00000000-0005-0000-0000-000089240000}"/>
    <cellStyle name="Normal 2 4 4 4" xfId="11431" xr:uid="{00000000-0005-0000-0000-000087240000}"/>
    <cellStyle name="Normal 2 4 5" xfId="20640" xr:uid="{D00EE245-4442-4564-BB8A-04508C93C522}"/>
    <cellStyle name="Normal 2 4 5 2" xfId="35641" xr:uid="{04F41DFB-2208-463B-96B5-B57E3340950C}"/>
    <cellStyle name="Normal 2 4 6" xfId="27944" xr:uid="{E4C1B404-5426-4107-9839-0FCF93235D48}"/>
    <cellStyle name="Normal 2 4_App b.3 Unspent_" xfId="1322" xr:uid="{00000000-0005-0000-0000-0000C2040000}"/>
    <cellStyle name="Normal 2 40" xfId="1323" xr:uid="{00000000-0005-0000-0000-0000C3040000}"/>
    <cellStyle name="Normal 2 40 2" xfId="11434" xr:uid="{00000000-0005-0000-0000-00008B240000}"/>
    <cellStyle name="Normal 2 41" xfId="1324" xr:uid="{00000000-0005-0000-0000-0000C4040000}"/>
    <cellStyle name="Normal 2 41 2" xfId="11435" xr:uid="{00000000-0005-0000-0000-00008D240000}"/>
    <cellStyle name="Normal 2 42" xfId="1325" xr:uid="{00000000-0005-0000-0000-0000C5040000}"/>
    <cellStyle name="Normal 2 42 2" xfId="11436" xr:uid="{00000000-0005-0000-0000-00008F240000}"/>
    <cellStyle name="Normal 2 43" xfId="1326" xr:uid="{00000000-0005-0000-0000-0000C6040000}"/>
    <cellStyle name="Normal 2 43 2" xfId="11437" xr:uid="{00000000-0005-0000-0000-000091240000}"/>
    <cellStyle name="Normal 2 44" xfId="1327" xr:uid="{00000000-0005-0000-0000-0000C7040000}"/>
    <cellStyle name="Normal 2 44 2" xfId="11438" xr:uid="{00000000-0005-0000-0000-000093240000}"/>
    <cellStyle name="Normal 2 45" xfId="1328" xr:uid="{00000000-0005-0000-0000-0000C8040000}"/>
    <cellStyle name="Normal 2 45 2" xfId="11439" xr:uid="{00000000-0005-0000-0000-000095240000}"/>
    <cellStyle name="Normal 2 46" xfId="1329" xr:uid="{00000000-0005-0000-0000-0000C9040000}"/>
    <cellStyle name="Normal 2 46 2" xfId="11440" xr:uid="{00000000-0005-0000-0000-000097240000}"/>
    <cellStyle name="Normal 2 47" xfId="1330" xr:uid="{00000000-0005-0000-0000-0000CA040000}"/>
    <cellStyle name="Normal 2 47 2" xfId="11441" xr:uid="{00000000-0005-0000-0000-000099240000}"/>
    <cellStyle name="Normal 2 48" xfId="1331" xr:uid="{00000000-0005-0000-0000-0000CB040000}"/>
    <cellStyle name="Normal 2 48 2" xfId="11442" xr:uid="{00000000-0005-0000-0000-00009B240000}"/>
    <cellStyle name="Normal 2 49" xfId="1332" xr:uid="{00000000-0005-0000-0000-0000CC040000}"/>
    <cellStyle name="Normal 2 49 2" xfId="11443" xr:uid="{00000000-0005-0000-0000-00009D240000}"/>
    <cellStyle name="Normal 2 5" xfId="106" xr:uid="{00000000-0005-0000-0000-00000E000000}"/>
    <cellStyle name="Normal 2 5 10" xfId="1334" xr:uid="{00000000-0005-0000-0000-0000CE040000}"/>
    <cellStyle name="Normal 2 5 10 2" xfId="11444" xr:uid="{00000000-0005-0000-0000-0000A0240000}"/>
    <cellStyle name="Normal 2 5 11" xfId="1335" xr:uid="{00000000-0005-0000-0000-0000CF040000}"/>
    <cellStyle name="Normal 2 5 11 2" xfId="11445" xr:uid="{00000000-0005-0000-0000-0000A2240000}"/>
    <cellStyle name="Normal 2 5 12" xfId="1336" xr:uid="{00000000-0005-0000-0000-0000D0040000}"/>
    <cellStyle name="Normal 2 5 12 2" xfId="11446" xr:uid="{00000000-0005-0000-0000-0000A4240000}"/>
    <cellStyle name="Normal 2 5 13" xfId="1337" xr:uid="{00000000-0005-0000-0000-0000D1040000}"/>
    <cellStyle name="Normal 2 5 13 2" xfId="11447" xr:uid="{00000000-0005-0000-0000-0000A6240000}"/>
    <cellStyle name="Normal 2 5 14" xfId="1338" xr:uid="{00000000-0005-0000-0000-0000D2040000}"/>
    <cellStyle name="Normal 2 5 14 2" xfId="11448" xr:uid="{00000000-0005-0000-0000-0000A8240000}"/>
    <cellStyle name="Normal 2 5 15" xfId="1339" xr:uid="{00000000-0005-0000-0000-0000D3040000}"/>
    <cellStyle name="Normal 2 5 15 2" xfId="11449" xr:uid="{00000000-0005-0000-0000-0000AA240000}"/>
    <cellStyle name="Normal 2 5 16" xfId="1340" xr:uid="{00000000-0005-0000-0000-0000D4040000}"/>
    <cellStyle name="Normal 2 5 16 2" xfId="11450" xr:uid="{00000000-0005-0000-0000-0000AC240000}"/>
    <cellStyle name="Normal 2 5 17" xfId="1341" xr:uid="{00000000-0005-0000-0000-0000D5040000}"/>
    <cellStyle name="Normal 2 5 17 2" xfId="11451" xr:uid="{00000000-0005-0000-0000-0000AE240000}"/>
    <cellStyle name="Normal 2 5 18" xfId="1342" xr:uid="{00000000-0005-0000-0000-0000D6040000}"/>
    <cellStyle name="Normal 2 5 18 2" xfId="11452" xr:uid="{00000000-0005-0000-0000-0000B0240000}"/>
    <cellStyle name="Normal 2 5 19" xfId="1343" xr:uid="{00000000-0005-0000-0000-0000D7040000}"/>
    <cellStyle name="Normal 2 5 19 2" xfId="11453" xr:uid="{00000000-0005-0000-0000-0000B2240000}"/>
    <cellStyle name="Normal 2 5 2" xfId="1344" xr:uid="{00000000-0005-0000-0000-0000D8040000}"/>
    <cellStyle name="Normal 2 5 2 10" xfId="1345" xr:uid="{00000000-0005-0000-0000-0000D9040000}"/>
    <cellStyle name="Normal 2 5 2 10 2" xfId="11454" xr:uid="{00000000-0005-0000-0000-0000B5240000}"/>
    <cellStyle name="Normal 2 5 2 11" xfId="1346" xr:uid="{00000000-0005-0000-0000-0000DA040000}"/>
    <cellStyle name="Normal 2 5 2 11 2" xfId="11455" xr:uid="{00000000-0005-0000-0000-0000B7240000}"/>
    <cellStyle name="Normal 2 5 2 12" xfId="1347" xr:uid="{00000000-0005-0000-0000-0000DB040000}"/>
    <cellStyle name="Normal 2 5 2 12 2" xfId="11456" xr:uid="{00000000-0005-0000-0000-0000B9240000}"/>
    <cellStyle name="Normal 2 5 2 13" xfId="1348" xr:uid="{00000000-0005-0000-0000-0000DC040000}"/>
    <cellStyle name="Normal 2 5 2 13 2" xfId="11457" xr:uid="{00000000-0005-0000-0000-0000BB240000}"/>
    <cellStyle name="Normal 2 5 2 14" xfId="1349" xr:uid="{00000000-0005-0000-0000-0000DD040000}"/>
    <cellStyle name="Normal 2 5 2 14 2" xfId="11458" xr:uid="{00000000-0005-0000-0000-0000BD240000}"/>
    <cellStyle name="Normal 2 5 2 15" xfId="1350" xr:uid="{00000000-0005-0000-0000-0000DE040000}"/>
    <cellStyle name="Normal 2 5 2 15 2" xfId="11459" xr:uid="{00000000-0005-0000-0000-0000BF240000}"/>
    <cellStyle name="Normal 2 5 2 16" xfId="1351" xr:uid="{00000000-0005-0000-0000-0000DF040000}"/>
    <cellStyle name="Normal 2 5 2 16 2" xfId="11460" xr:uid="{00000000-0005-0000-0000-0000C1240000}"/>
    <cellStyle name="Normal 2 5 2 17" xfId="1352" xr:uid="{00000000-0005-0000-0000-0000E0040000}"/>
    <cellStyle name="Normal 2 5 2 17 2" xfId="11461" xr:uid="{00000000-0005-0000-0000-0000C3240000}"/>
    <cellStyle name="Normal 2 5 2 18" xfId="1353" xr:uid="{00000000-0005-0000-0000-0000E1040000}"/>
    <cellStyle name="Normal 2 5 2 18 2" xfId="11462" xr:uid="{00000000-0005-0000-0000-0000C5240000}"/>
    <cellStyle name="Normal 2 5 2 19" xfId="1354" xr:uid="{00000000-0005-0000-0000-0000E2040000}"/>
    <cellStyle name="Normal 2 5 2 19 2" xfId="11463" xr:uid="{00000000-0005-0000-0000-0000C7240000}"/>
    <cellStyle name="Normal 2 5 2 2" xfId="1355" xr:uid="{00000000-0005-0000-0000-0000E3040000}"/>
    <cellStyle name="Normal 2 5 2 2 10" xfId="1356" xr:uid="{00000000-0005-0000-0000-0000E4040000}"/>
    <cellStyle name="Normal 2 5 2 2 10 2" xfId="11464" xr:uid="{00000000-0005-0000-0000-0000CA240000}"/>
    <cellStyle name="Normal 2 5 2 2 11" xfId="1357" xr:uid="{00000000-0005-0000-0000-0000E5040000}"/>
    <cellStyle name="Normal 2 5 2 2 11 2" xfId="11465" xr:uid="{00000000-0005-0000-0000-0000CC240000}"/>
    <cellStyle name="Normal 2 5 2 2 12" xfId="1358" xr:uid="{00000000-0005-0000-0000-0000E6040000}"/>
    <cellStyle name="Normal 2 5 2 2 12 2" xfId="11466" xr:uid="{00000000-0005-0000-0000-0000CE240000}"/>
    <cellStyle name="Normal 2 5 2 2 13" xfId="1359" xr:uid="{00000000-0005-0000-0000-0000E7040000}"/>
    <cellStyle name="Normal 2 5 2 2 13 2" xfId="11467" xr:uid="{00000000-0005-0000-0000-0000D0240000}"/>
    <cellStyle name="Normal 2 5 2 2 14" xfId="1360" xr:uid="{00000000-0005-0000-0000-0000E8040000}"/>
    <cellStyle name="Normal 2 5 2 2 14 2" xfId="11468" xr:uid="{00000000-0005-0000-0000-0000D2240000}"/>
    <cellStyle name="Normal 2 5 2 2 15" xfId="1361" xr:uid="{00000000-0005-0000-0000-0000E9040000}"/>
    <cellStyle name="Normal 2 5 2 2 15 2" xfId="11469" xr:uid="{00000000-0005-0000-0000-0000D4240000}"/>
    <cellStyle name="Normal 2 5 2 2 16" xfId="1362" xr:uid="{00000000-0005-0000-0000-0000EA040000}"/>
    <cellStyle name="Normal 2 5 2 2 16 2" xfId="11470" xr:uid="{00000000-0005-0000-0000-0000D6240000}"/>
    <cellStyle name="Normal 2 5 2 2 17" xfId="1363" xr:uid="{00000000-0005-0000-0000-0000EB040000}"/>
    <cellStyle name="Normal 2 5 2 2 17 2" xfId="11471" xr:uid="{00000000-0005-0000-0000-0000D8240000}"/>
    <cellStyle name="Normal 2 5 2 2 18" xfId="1364" xr:uid="{00000000-0005-0000-0000-0000EC040000}"/>
    <cellStyle name="Normal 2 5 2 2 18 2" xfId="11472" xr:uid="{00000000-0005-0000-0000-0000DA240000}"/>
    <cellStyle name="Normal 2 5 2 2 19" xfId="1365" xr:uid="{00000000-0005-0000-0000-0000ED040000}"/>
    <cellStyle name="Normal 2 5 2 2 19 2" xfId="11473" xr:uid="{00000000-0005-0000-0000-0000DC240000}"/>
    <cellStyle name="Normal 2 5 2 2 2" xfId="1366" xr:uid="{00000000-0005-0000-0000-0000EE040000}"/>
    <cellStyle name="Normal 2 5 2 2 2 2" xfId="11474" xr:uid="{00000000-0005-0000-0000-0000DE240000}"/>
    <cellStyle name="Normal 2 5 2 2 20" xfId="1367" xr:uid="{00000000-0005-0000-0000-0000EF040000}"/>
    <cellStyle name="Normal 2 5 2 2 20 2" xfId="11475" xr:uid="{00000000-0005-0000-0000-0000E0240000}"/>
    <cellStyle name="Normal 2 5 2 2 21" xfId="1368" xr:uid="{00000000-0005-0000-0000-0000F0040000}"/>
    <cellStyle name="Normal 2 5 2 2 21 2" xfId="11476" xr:uid="{00000000-0005-0000-0000-0000E2240000}"/>
    <cellStyle name="Normal 2 5 2 2 22" xfId="1369" xr:uid="{00000000-0005-0000-0000-0000F1040000}"/>
    <cellStyle name="Normal 2 5 2 2 22 2" xfId="11477" xr:uid="{00000000-0005-0000-0000-0000E4240000}"/>
    <cellStyle name="Normal 2 5 2 2 23" xfId="1370" xr:uid="{00000000-0005-0000-0000-0000F2040000}"/>
    <cellStyle name="Normal 2 5 2 2 23 2" xfId="11478" xr:uid="{00000000-0005-0000-0000-0000E6240000}"/>
    <cellStyle name="Normal 2 5 2 2 24" xfId="1371" xr:uid="{00000000-0005-0000-0000-0000F3040000}"/>
    <cellStyle name="Normal 2 5 2 2 24 2" xfId="11479" xr:uid="{00000000-0005-0000-0000-0000E8240000}"/>
    <cellStyle name="Normal 2 5 2 2 25" xfId="1372" xr:uid="{00000000-0005-0000-0000-0000F4040000}"/>
    <cellStyle name="Normal 2 5 2 2 25 2" xfId="11480" xr:uid="{00000000-0005-0000-0000-0000EA240000}"/>
    <cellStyle name="Normal 2 5 2 2 26" xfId="1373" xr:uid="{00000000-0005-0000-0000-0000F5040000}"/>
    <cellStyle name="Normal 2 5 2 2 26 2" xfId="11481" xr:uid="{00000000-0005-0000-0000-0000EC240000}"/>
    <cellStyle name="Normal 2 5 2 2 27" xfId="1374" xr:uid="{00000000-0005-0000-0000-0000F6040000}"/>
    <cellStyle name="Normal 2 5 2 2 27 2" xfId="11482" xr:uid="{00000000-0005-0000-0000-0000EE240000}"/>
    <cellStyle name="Normal 2 5 2 2 28" xfId="1375" xr:uid="{00000000-0005-0000-0000-0000F7040000}"/>
    <cellStyle name="Normal 2 5 2 2 28 2" xfId="11483" xr:uid="{00000000-0005-0000-0000-0000F0240000}"/>
    <cellStyle name="Normal 2 5 2 2 29" xfId="1376" xr:uid="{00000000-0005-0000-0000-0000F8040000}"/>
    <cellStyle name="Normal 2 5 2 2 29 2" xfId="11484" xr:uid="{00000000-0005-0000-0000-0000F2240000}"/>
    <cellStyle name="Normal 2 5 2 2 3" xfId="1377" xr:uid="{00000000-0005-0000-0000-0000F9040000}"/>
    <cellStyle name="Normal 2 5 2 2 3 2" xfId="11485" xr:uid="{00000000-0005-0000-0000-0000F4240000}"/>
    <cellStyle name="Normal 2 5 2 2 30" xfId="1378" xr:uid="{00000000-0005-0000-0000-0000FA040000}"/>
    <cellStyle name="Normal 2 5 2 2 30 2" xfId="11486" xr:uid="{00000000-0005-0000-0000-0000F6240000}"/>
    <cellStyle name="Normal 2 5 2 2 31" xfId="1379" xr:uid="{00000000-0005-0000-0000-0000FB040000}"/>
    <cellStyle name="Normal 2 5 2 2 31 2" xfId="11487" xr:uid="{00000000-0005-0000-0000-0000F8240000}"/>
    <cellStyle name="Normal 2 5 2 2 32" xfId="1380" xr:uid="{00000000-0005-0000-0000-0000FC040000}"/>
    <cellStyle name="Normal 2 5 2 2 32 2" xfId="11488" xr:uid="{00000000-0005-0000-0000-0000FA240000}"/>
    <cellStyle name="Normal 2 5 2 2 33" xfId="1381" xr:uid="{00000000-0005-0000-0000-0000FD040000}"/>
    <cellStyle name="Normal 2 5 2 2 33 2" xfId="11489" xr:uid="{00000000-0005-0000-0000-0000FC240000}"/>
    <cellStyle name="Normal 2 5 2 2 34" xfId="1382" xr:uid="{00000000-0005-0000-0000-0000FE040000}"/>
    <cellStyle name="Normal 2 5 2 2 34 2" xfId="11490" xr:uid="{00000000-0005-0000-0000-0000FE240000}"/>
    <cellStyle name="Normal 2 5 2 2 35" xfId="1383" xr:uid="{00000000-0005-0000-0000-0000FF040000}"/>
    <cellStyle name="Normal 2 5 2 2 35 2" xfId="11491" xr:uid="{00000000-0005-0000-0000-000000250000}"/>
    <cellStyle name="Normal 2 5 2 2 36" xfId="1384" xr:uid="{00000000-0005-0000-0000-000000050000}"/>
    <cellStyle name="Normal 2 5 2 2 36 2" xfId="11492" xr:uid="{00000000-0005-0000-0000-000002250000}"/>
    <cellStyle name="Normal 2 5 2 2 37" xfId="1385" xr:uid="{00000000-0005-0000-0000-000001050000}"/>
    <cellStyle name="Normal 2 5 2 2 37 2" xfId="11493" xr:uid="{00000000-0005-0000-0000-000004250000}"/>
    <cellStyle name="Normal 2 5 2 2 38" xfId="1386" xr:uid="{00000000-0005-0000-0000-000002050000}"/>
    <cellStyle name="Normal 2 5 2 2 38 2" xfId="11494" xr:uid="{00000000-0005-0000-0000-000006250000}"/>
    <cellStyle name="Normal 2 5 2 2 39" xfId="1387" xr:uid="{00000000-0005-0000-0000-000003050000}"/>
    <cellStyle name="Normal 2 5 2 2 39 2" xfId="11495" xr:uid="{00000000-0005-0000-0000-000008250000}"/>
    <cellStyle name="Normal 2 5 2 2 4" xfId="1388" xr:uid="{00000000-0005-0000-0000-000004050000}"/>
    <cellStyle name="Normal 2 5 2 2 4 2" xfId="11496" xr:uid="{00000000-0005-0000-0000-00000A250000}"/>
    <cellStyle name="Normal 2 5 2 2 40" xfId="1389" xr:uid="{00000000-0005-0000-0000-000005050000}"/>
    <cellStyle name="Normal 2 5 2 2 40 2" xfId="11497" xr:uid="{00000000-0005-0000-0000-00000C250000}"/>
    <cellStyle name="Normal 2 5 2 2 41" xfId="1390" xr:uid="{00000000-0005-0000-0000-000006050000}"/>
    <cellStyle name="Normal 2 5 2 2 41 2" xfId="11498" xr:uid="{00000000-0005-0000-0000-00000E250000}"/>
    <cellStyle name="Normal 2 5 2 2 42" xfId="1391" xr:uid="{00000000-0005-0000-0000-000007050000}"/>
    <cellStyle name="Normal 2 5 2 2 42 2" xfId="11499" xr:uid="{00000000-0005-0000-0000-000010250000}"/>
    <cellStyle name="Normal 2 5 2 2 43" xfId="1392" xr:uid="{00000000-0005-0000-0000-000008050000}"/>
    <cellStyle name="Normal 2 5 2 2 43 2" xfId="11500" xr:uid="{00000000-0005-0000-0000-000012250000}"/>
    <cellStyle name="Normal 2 5 2 2 44" xfId="1393" xr:uid="{00000000-0005-0000-0000-000009050000}"/>
    <cellStyle name="Normal 2 5 2 2 44 2" xfId="11501" xr:uid="{00000000-0005-0000-0000-000014250000}"/>
    <cellStyle name="Normal 2 5 2 2 45" xfId="1394" xr:uid="{00000000-0005-0000-0000-00000A050000}"/>
    <cellStyle name="Normal 2 5 2 2 45 2" xfId="11502" xr:uid="{00000000-0005-0000-0000-000016250000}"/>
    <cellStyle name="Normal 2 5 2 2 46" xfId="1395" xr:uid="{00000000-0005-0000-0000-00000B050000}"/>
    <cellStyle name="Normal 2 5 2 2 46 2" xfId="11503" xr:uid="{00000000-0005-0000-0000-000018250000}"/>
    <cellStyle name="Normal 2 5 2 2 47" xfId="1396" xr:uid="{00000000-0005-0000-0000-00000C050000}"/>
    <cellStyle name="Normal 2 5 2 2 47 2" xfId="11504" xr:uid="{00000000-0005-0000-0000-00001A250000}"/>
    <cellStyle name="Normal 2 5 2 2 48" xfId="1397" xr:uid="{00000000-0005-0000-0000-00000D050000}"/>
    <cellStyle name="Normal 2 5 2 2 48 2" xfId="11505" xr:uid="{00000000-0005-0000-0000-00001C250000}"/>
    <cellStyle name="Normal 2 5 2 2 49" xfId="1398" xr:uid="{00000000-0005-0000-0000-00000E050000}"/>
    <cellStyle name="Normal 2 5 2 2 49 2" xfId="11506" xr:uid="{00000000-0005-0000-0000-00001E250000}"/>
    <cellStyle name="Normal 2 5 2 2 5" xfId="1399" xr:uid="{00000000-0005-0000-0000-00000F050000}"/>
    <cellStyle name="Normal 2 5 2 2 5 2" xfId="11507" xr:uid="{00000000-0005-0000-0000-000020250000}"/>
    <cellStyle name="Normal 2 5 2 2 50" xfId="1400" xr:uid="{00000000-0005-0000-0000-000010050000}"/>
    <cellStyle name="Normal 2 5 2 2 50 2" xfId="11508" xr:uid="{00000000-0005-0000-0000-000022250000}"/>
    <cellStyle name="Normal 2 5 2 2 51" xfId="1401" xr:uid="{00000000-0005-0000-0000-000011050000}"/>
    <cellStyle name="Normal 2 5 2 2 51 2" xfId="11509" xr:uid="{00000000-0005-0000-0000-000024250000}"/>
    <cellStyle name="Normal 2 5 2 2 52" xfId="1402" xr:uid="{00000000-0005-0000-0000-000012050000}"/>
    <cellStyle name="Normal 2 5 2 2 52 2" xfId="11510" xr:uid="{00000000-0005-0000-0000-000026250000}"/>
    <cellStyle name="Normal 2 5 2 2 53" xfId="1403" xr:uid="{00000000-0005-0000-0000-000013050000}"/>
    <cellStyle name="Normal 2 5 2 2 53 2" xfId="11511" xr:uid="{00000000-0005-0000-0000-000028250000}"/>
    <cellStyle name="Normal 2 5 2 2 54" xfId="1404" xr:uid="{00000000-0005-0000-0000-000014050000}"/>
    <cellStyle name="Normal 2 5 2 2 54 2" xfId="11512" xr:uid="{00000000-0005-0000-0000-00002A250000}"/>
    <cellStyle name="Normal 2 5 2 2 55" xfId="1405" xr:uid="{00000000-0005-0000-0000-000015050000}"/>
    <cellStyle name="Normal 2 5 2 2 55 2" xfId="11513" xr:uid="{00000000-0005-0000-0000-00002C250000}"/>
    <cellStyle name="Normal 2 5 2 2 56" xfId="11514" xr:uid="{00000000-0005-0000-0000-00002D250000}"/>
    <cellStyle name="Normal 2 5 2 2 6" xfId="1406" xr:uid="{00000000-0005-0000-0000-000016050000}"/>
    <cellStyle name="Normal 2 5 2 2 6 2" xfId="11515" xr:uid="{00000000-0005-0000-0000-00002F250000}"/>
    <cellStyle name="Normal 2 5 2 2 7" xfId="1407" xr:uid="{00000000-0005-0000-0000-000017050000}"/>
    <cellStyle name="Normal 2 5 2 2 7 2" xfId="11516" xr:uid="{00000000-0005-0000-0000-000031250000}"/>
    <cellStyle name="Normal 2 5 2 2 8" xfId="1408" xr:uid="{00000000-0005-0000-0000-000018050000}"/>
    <cellStyle name="Normal 2 5 2 2 8 2" xfId="11517" xr:uid="{00000000-0005-0000-0000-000033250000}"/>
    <cellStyle name="Normal 2 5 2 2 9" xfId="1409" xr:uid="{00000000-0005-0000-0000-000019050000}"/>
    <cellStyle name="Normal 2 5 2 2 9 2" xfId="11518" xr:uid="{00000000-0005-0000-0000-000035250000}"/>
    <cellStyle name="Normal 2 5 2 20" xfId="1410" xr:uid="{00000000-0005-0000-0000-00001A050000}"/>
    <cellStyle name="Normal 2 5 2 20 2" xfId="11519" xr:uid="{00000000-0005-0000-0000-000037250000}"/>
    <cellStyle name="Normal 2 5 2 21" xfId="1411" xr:uid="{00000000-0005-0000-0000-00001B050000}"/>
    <cellStyle name="Normal 2 5 2 21 2" xfId="11520" xr:uid="{00000000-0005-0000-0000-000039250000}"/>
    <cellStyle name="Normal 2 5 2 22" xfId="1412" xr:uid="{00000000-0005-0000-0000-00001C050000}"/>
    <cellStyle name="Normal 2 5 2 22 2" xfId="11521" xr:uid="{00000000-0005-0000-0000-00003B250000}"/>
    <cellStyle name="Normal 2 5 2 23" xfId="1413" xr:uid="{00000000-0005-0000-0000-00001D050000}"/>
    <cellStyle name="Normal 2 5 2 23 2" xfId="11522" xr:uid="{00000000-0005-0000-0000-00003D250000}"/>
    <cellStyle name="Normal 2 5 2 24" xfId="1414" xr:uid="{00000000-0005-0000-0000-00001E050000}"/>
    <cellStyle name="Normal 2 5 2 24 2" xfId="11523" xr:uid="{00000000-0005-0000-0000-00003F250000}"/>
    <cellStyle name="Normal 2 5 2 25" xfId="1415" xr:uid="{00000000-0005-0000-0000-00001F050000}"/>
    <cellStyle name="Normal 2 5 2 25 2" xfId="11524" xr:uid="{00000000-0005-0000-0000-000041250000}"/>
    <cellStyle name="Normal 2 5 2 26" xfId="1416" xr:uid="{00000000-0005-0000-0000-000020050000}"/>
    <cellStyle name="Normal 2 5 2 26 2" xfId="11525" xr:uid="{00000000-0005-0000-0000-000043250000}"/>
    <cellStyle name="Normal 2 5 2 27" xfId="1417" xr:uid="{00000000-0005-0000-0000-000021050000}"/>
    <cellStyle name="Normal 2 5 2 27 2" xfId="11526" xr:uid="{00000000-0005-0000-0000-000045250000}"/>
    <cellStyle name="Normal 2 5 2 28" xfId="1418" xr:uid="{00000000-0005-0000-0000-000022050000}"/>
    <cellStyle name="Normal 2 5 2 28 2" xfId="11527" xr:uid="{00000000-0005-0000-0000-000047250000}"/>
    <cellStyle name="Normal 2 5 2 29" xfId="1419" xr:uid="{00000000-0005-0000-0000-000023050000}"/>
    <cellStyle name="Normal 2 5 2 29 2" xfId="11528" xr:uid="{00000000-0005-0000-0000-000049250000}"/>
    <cellStyle name="Normal 2 5 2 3" xfId="1420" xr:uid="{00000000-0005-0000-0000-000024050000}"/>
    <cellStyle name="Normal 2 5 2 3 2" xfId="11529" xr:uid="{00000000-0005-0000-0000-00004B250000}"/>
    <cellStyle name="Normal 2 5 2 30" xfId="1421" xr:uid="{00000000-0005-0000-0000-000025050000}"/>
    <cellStyle name="Normal 2 5 2 30 2" xfId="11530" xr:uid="{00000000-0005-0000-0000-00004D250000}"/>
    <cellStyle name="Normal 2 5 2 31" xfId="1422" xr:uid="{00000000-0005-0000-0000-000026050000}"/>
    <cellStyle name="Normal 2 5 2 31 2" xfId="11531" xr:uid="{00000000-0005-0000-0000-00004F250000}"/>
    <cellStyle name="Normal 2 5 2 32" xfId="1423" xr:uid="{00000000-0005-0000-0000-000027050000}"/>
    <cellStyle name="Normal 2 5 2 32 2" xfId="11532" xr:uid="{00000000-0005-0000-0000-000051250000}"/>
    <cellStyle name="Normal 2 5 2 33" xfId="1424" xr:uid="{00000000-0005-0000-0000-000028050000}"/>
    <cellStyle name="Normal 2 5 2 33 2" xfId="11533" xr:uid="{00000000-0005-0000-0000-000053250000}"/>
    <cellStyle name="Normal 2 5 2 34" xfId="11534" xr:uid="{00000000-0005-0000-0000-000054250000}"/>
    <cellStyle name="Normal 2 5 2 4" xfId="1425" xr:uid="{00000000-0005-0000-0000-000029050000}"/>
    <cellStyle name="Normal 2 5 2 4 2" xfId="11535" xr:uid="{00000000-0005-0000-0000-000056250000}"/>
    <cellStyle name="Normal 2 5 2 5" xfId="1426" xr:uid="{00000000-0005-0000-0000-00002A050000}"/>
    <cellStyle name="Normal 2 5 2 5 2" xfId="11536" xr:uid="{00000000-0005-0000-0000-000058250000}"/>
    <cellStyle name="Normal 2 5 2 6" xfId="1427" xr:uid="{00000000-0005-0000-0000-00002B050000}"/>
    <cellStyle name="Normal 2 5 2 6 2" xfId="11537" xr:uid="{00000000-0005-0000-0000-00005A250000}"/>
    <cellStyle name="Normal 2 5 2 7" xfId="1428" xr:uid="{00000000-0005-0000-0000-00002C050000}"/>
    <cellStyle name="Normal 2 5 2 7 2" xfId="11538" xr:uid="{00000000-0005-0000-0000-00005C250000}"/>
    <cellStyle name="Normal 2 5 2 8" xfId="1429" xr:uid="{00000000-0005-0000-0000-00002D050000}"/>
    <cellStyle name="Normal 2 5 2 8 2" xfId="11539" xr:uid="{00000000-0005-0000-0000-00005E250000}"/>
    <cellStyle name="Normal 2 5 2 9" xfId="1430" xr:uid="{00000000-0005-0000-0000-00002E050000}"/>
    <cellStyle name="Normal 2 5 2 9 2" xfId="11540" xr:uid="{00000000-0005-0000-0000-000060250000}"/>
    <cellStyle name="Normal 2 5 20" xfId="1431" xr:uid="{00000000-0005-0000-0000-00002F050000}"/>
    <cellStyle name="Normal 2 5 20 2" xfId="11541" xr:uid="{00000000-0005-0000-0000-000062250000}"/>
    <cellStyle name="Normal 2 5 21" xfId="1432" xr:uid="{00000000-0005-0000-0000-000030050000}"/>
    <cellStyle name="Normal 2 5 21 2" xfId="11542" xr:uid="{00000000-0005-0000-0000-000064250000}"/>
    <cellStyle name="Normal 2 5 22" xfId="1433" xr:uid="{00000000-0005-0000-0000-000031050000}"/>
    <cellStyle name="Normal 2 5 22 2" xfId="11543" xr:uid="{00000000-0005-0000-0000-000066250000}"/>
    <cellStyle name="Normal 2 5 23" xfId="1434" xr:uid="{00000000-0005-0000-0000-000032050000}"/>
    <cellStyle name="Normal 2 5 23 2" xfId="11544" xr:uid="{00000000-0005-0000-0000-000068250000}"/>
    <cellStyle name="Normal 2 5 24" xfId="1435" xr:uid="{00000000-0005-0000-0000-000033050000}"/>
    <cellStyle name="Normal 2 5 24 2" xfId="11545" xr:uid="{00000000-0005-0000-0000-00006A250000}"/>
    <cellStyle name="Normal 2 5 25" xfId="1436" xr:uid="{00000000-0005-0000-0000-000034050000}"/>
    <cellStyle name="Normal 2 5 25 2" xfId="11546" xr:uid="{00000000-0005-0000-0000-00006C250000}"/>
    <cellStyle name="Normal 2 5 26" xfId="1437" xr:uid="{00000000-0005-0000-0000-000035050000}"/>
    <cellStyle name="Normal 2 5 26 2" xfId="11547" xr:uid="{00000000-0005-0000-0000-00006E250000}"/>
    <cellStyle name="Normal 2 5 27" xfId="1438" xr:uid="{00000000-0005-0000-0000-000036050000}"/>
    <cellStyle name="Normal 2 5 27 2" xfId="11548" xr:uid="{00000000-0005-0000-0000-000070250000}"/>
    <cellStyle name="Normal 2 5 28" xfId="1439" xr:uid="{00000000-0005-0000-0000-000037050000}"/>
    <cellStyle name="Normal 2 5 28 2" xfId="11549" xr:uid="{00000000-0005-0000-0000-000072250000}"/>
    <cellStyle name="Normal 2 5 29" xfId="1440" xr:uid="{00000000-0005-0000-0000-000038050000}"/>
    <cellStyle name="Normal 2 5 29 2" xfId="11550" xr:uid="{00000000-0005-0000-0000-000074250000}"/>
    <cellStyle name="Normal 2 5 3" xfId="1441" xr:uid="{00000000-0005-0000-0000-000039050000}"/>
    <cellStyle name="Normal 2 5 3 2" xfId="11551" xr:uid="{00000000-0005-0000-0000-000076250000}"/>
    <cellStyle name="Normal 2 5 30" xfId="1442" xr:uid="{00000000-0005-0000-0000-00003A050000}"/>
    <cellStyle name="Normal 2 5 30 2" xfId="11552" xr:uid="{00000000-0005-0000-0000-000078250000}"/>
    <cellStyle name="Normal 2 5 31" xfId="1443" xr:uid="{00000000-0005-0000-0000-00003B050000}"/>
    <cellStyle name="Normal 2 5 31 2" xfId="11553" xr:uid="{00000000-0005-0000-0000-00007A250000}"/>
    <cellStyle name="Normal 2 5 32" xfId="1444" xr:uid="{00000000-0005-0000-0000-00003C050000}"/>
    <cellStyle name="Normal 2 5 32 2" xfId="11554" xr:uid="{00000000-0005-0000-0000-00007C250000}"/>
    <cellStyle name="Normal 2 5 33" xfId="1445" xr:uid="{00000000-0005-0000-0000-00003D050000}"/>
    <cellStyle name="Normal 2 5 33 2" xfId="11555" xr:uid="{00000000-0005-0000-0000-00007E250000}"/>
    <cellStyle name="Normal 2 5 34" xfId="1446" xr:uid="{00000000-0005-0000-0000-00003E050000}"/>
    <cellStyle name="Normal 2 5 34 2" xfId="11556" xr:uid="{00000000-0005-0000-0000-000080250000}"/>
    <cellStyle name="Normal 2 5 35" xfId="1447" xr:uid="{00000000-0005-0000-0000-00003F050000}"/>
    <cellStyle name="Normal 2 5 35 2" xfId="11557" xr:uid="{00000000-0005-0000-0000-000082250000}"/>
    <cellStyle name="Normal 2 5 36" xfId="1448" xr:uid="{00000000-0005-0000-0000-000040050000}"/>
    <cellStyle name="Normal 2 5 36 2" xfId="11558" xr:uid="{00000000-0005-0000-0000-000084250000}"/>
    <cellStyle name="Normal 2 5 37" xfId="1449" xr:uid="{00000000-0005-0000-0000-000041050000}"/>
    <cellStyle name="Normal 2 5 37 2" xfId="11559" xr:uid="{00000000-0005-0000-0000-000086250000}"/>
    <cellStyle name="Normal 2 5 38" xfId="1450" xr:uid="{00000000-0005-0000-0000-000042050000}"/>
    <cellStyle name="Normal 2 5 38 2" xfId="11560" xr:uid="{00000000-0005-0000-0000-000088250000}"/>
    <cellStyle name="Normal 2 5 39" xfId="1451" xr:uid="{00000000-0005-0000-0000-000043050000}"/>
    <cellStyle name="Normal 2 5 39 2" xfId="11561" xr:uid="{00000000-0005-0000-0000-00008A250000}"/>
    <cellStyle name="Normal 2 5 4" xfId="1452" xr:uid="{00000000-0005-0000-0000-000044050000}"/>
    <cellStyle name="Normal 2 5 4 2" xfId="11562" xr:uid="{00000000-0005-0000-0000-00008C250000}"/>
    <cellStyle name="Normal 2 5 40" xfId="1453" xr:uid="{00000000-0005-0000-0000-000045050000}"/>
    <cellStyle name="Normal 2 5 40 2" xfId="11563" xr:uid="{00000000-0005-0000-0000-00008E250000}"/>
    <cellStyle name="Normal 2 5 41" xfId="1454" xr:uid="{00000000-0005-0000-0000-000046050000}"/>
    <cellStyle name="Normal 2 5 41 2" xfId="11564" xr:uid="{00000000-0005-0000-0000-000090250000}"/>
    <cellStyle name="Normal 2 5 42" xfId="1455" xr:uid="{00000000-0005-0000-0000-000047050000}"/>
    <cellStyle name="Normal 2 5 42 2" xfId="11565" xr:uid="{00000000-0005-0000-0000-000092250000}"/>
    <cellStyle name="Normal 2 5 43" xfId="1456" xr:uid="{00000000-0005-0000-0000-000048050000}"/>
    <cellStyle name="Normal 2 5 43 2" xfId="11566" xr:uid="{00000000-0005-0000-0000-000094250000}"/>
    <cellStyle name="Normal 2 5 44" xfId="1457" xr:uid="{00000000-0005-0000-0000-000049050000}"/>
    <cellStyle name="Normal 2 5 44 2" xfId="11567" xr:uid="{00000000-0005-0000-0000-000096250000}"/>
    <cellStyle name="Normal 2 5 45" xfId="1458" xr:uid="{00000000-0005-0000-0000-00004A050000}"/>
    <cellStyle name="Normal 2 5 45 2" xfId="11568" xr:uid="{00000000-0005-0000-0000-000098250000}"/>
    <cellStyle name="Normal 2 5 46" xfId="1459" xr:uid="{00000000-0005-0000-0000-00004B050000}"/>
    <cellStyle name="Normal 2 5 46 2" xfId="11569" xr:uid="{00000000-0005-0000-0000-00009A250000}"/>
    <cellStyle name="Normal 2 5 47" xfId="1460" xr:uid="{00000000-0005-0000-0000-00004C050000}"/>
    <cellStyle name="Normal 2 5 47 2" xfId="11570" xr:uid="{00000000-0005-0000-0000-00009C250000}"/>
    <cellStyle name="Normal 2 5 48" xfId="1461" xr:uid="{00000000-0005-0000-0000-00004D050000}"/>
    <cellStyle name="Normal 2 5 48 2" xfId="11571" xr:uid="{00000000-0005-0000-0000-00009E250000}"/>
    <cellStyle name="Normal 2 5 49" xfId="1462" xr:uid="{00000000-0005-0000-0000-00004E050000}"/>
    <cellStyle name="Normal 2 5 49 2" xfId="11572" xr:uid="{00000000-0005-0000-0000-0000A0250000}"/>
    <cellStyle name="Normal 2 5 5" xfId="1463" xr:uid="{00000000-0005-0000-0000-00004F050000}"/>
    <cellStyle name="Normal 2 5 5 2" xfId="11573" xr:uid="{00000000-0005-0000-0000-0000A2250000}"/>
    <cellStyle name="Normal 2 5 50" xfId="1464" xr:uid="{00000000-0005-0000-0000-000050050000}"/>
    <cellStyle name="Normal 2 5 50 2" xfId="11574" xr:uid="{00000000-0005-0000-0000-0000A4250000}"/>
    <cellStyle name="Normal 2 5 51" xfId="1465" xr:uid="{00000000-0005-0000-0000-000051050000}"/>
    <cellStyle name="Normal 2 5 51 2" xfId="11575" xr:uid="{00000000-0005-0000-0000-0000A6250000}"/>
    <cellStyle name="Normal 2 5 52" xfId="1466" xr:uid="{00000000-0005-0000-0000-000052050000}"/>
    <cellStyle name="Normal 2 5 52 2" xfId="11576" xr:uid="{00000000-0005-0000-0000-0000A8250000}"/>
    <cellStyle name="Normal 2 5 53" xfId="1467" xr:uid="{00000000-0005-0000-0000-000053050000}"/>
    <cellStyle name="Normal 2 5 53 2" xfId="11577" xr:uid="{00000000-0005-0000-0000-0000AA250000}"/>
    <cellStyle name="Normal 2 5 54" xfId="1468" xr:uid="{00000000-0005-0000-0000-000054050000}"/>
    <cellStyle name="Normal 2 5 54 2" xfId="11578" xr:uid="{00000000-0005-0000-0000-0000AC250000}"/>
    <cellStyle name="Normal 2 5 55" xfId="1469" xr:uid="{00000000-0005-0000-0000-000055050000}"/>
    <cellStyle name="Normal 2 5 55 2" xfId="11579" xr:uid="{00000000-0005-0000-0000-0000AE250000}"/>
    <cellStyle name="Normal 2 5 56" xfId="1470" xr:uid="{00000000-0005-0000-0000-000056050000}"/>
    <cellStyle name="Normal 2 5 56 2" xfId="11580" xr:uid="{00000000-0005-0000-0000-0000B0250000}"/>
    <cellStyle name="Normal 2 5 57" xfId="1471" xr:uid="{00000000-0005-0000-0000-000057050000}"/>
    <cellStyle name="Normal 2 5 57 2" xfId="11581" xr:uid="{00000000-0005-0000-0000-0000B2250000}"/>
    <cellStyle name="Normal 2 5 58" xfId="1472" xr:uid="{00000000-0005-0000-0000-000058050000}"/>
    <cellStyle name="Normal 2 5 58 2" xfId="11582" xr:uid="{00000000-0005-0000-0000-0000B4250000}"/>
    <cellStyle name="Normal 2 5 59" xfId="1473" xr:uid="{00000000-0005-0000-0000-000059050000}"/>
    <cellStyle name="Normal 2 5 59 2" xfId="11583" xr:uid="{00000000-0005-0000-0000-0000B6250000}"/>
    <cellStyle name="Normal 2 5 6" xfId="1474" xr:uid="{00000000-0005-0000-0000-00005A050000}"/>
    <cellStyle name="Normal 2 5 6 2" xfId="11584" xr:uid="{00000000-0005-0000-0000-0000B8250000}"/>
    <cellStyle name="Normal 2 5 60" xfId="1475" xr:uid="{00000000-0005-0000-0000-00005B050000}"/>
    <cellStyle name="Normal 2 5 60 2" xfId="11585" xr:uid="{00000000-0005-0000-0000-0000BA250000}"/>
    <cellStyle name="Normal 2 5 61" xfId="1476" xr:uid="{00000000-0005-0000-0000-00005C050000}"/>
    <cellStyle name="Normal 2 5 61 2" xfId="11586" xr:uid="{00000000-0005-0000-0000-0000BC250000}"/>
    <cellStyle name="Normal 2 5 62" xfId="1477" xr:uid="{00000000-0005-0000-0000-00005D050000}"/>
    <cellStyle name="Normal 2 5 62 2" xfId="11587" xr:uid="{00000000-0005-0000-0000-0000BE250000}"/>
    <cellStyle name="Normal 2 5 63" xfId="1478" xr:uid="{00000000-0005-0000-0000-00005E050000}"/>
    <cellStyle name="Normal 2 5 63 2" xfId="11588" xr:uid="{00000000-0005-0000-0000-0000C0250000}"/>
    <cellStyle name="Normal 2 5 64" xfId="1479" xr:uid="{00000000-0005-0000-0000-00005F050000}"/>
    <cellStyle name="Normal 2 5 64 2" xfId="11589" xr:uid="{00000000-0005-0000-0000-0000C2250000}"/>
    <cellStyle name="Normal 2 5 65" xfId="1480" xr:uid="{00000000-0005-0000-0000-000060050000}"/>
    <cellStyle name="Normal 2 5 65 2" xfId="11590" xr:uid="{00000000-0005-0000-0000-0000C4250000}"/>
    <cellStyle name="Normal 2 5 66" xfId="1481" xr:uid="{00000000-0005-0000-0000-000061050000}"/>
    <cellStyle name="Normal 2 5 66 2" xfId="11591" xr:uid="{00000000-0005-0000-0000-0000C6250000}"/>
    <cellStyle name="Normal 2 5 67" xfId="1482" xr:uid="{00000000-0005-0000-0000-000062050000}"/>
    <cellStyle name="Normal 2 5 67 2" xfId="11592" xr:uid="{00000000-0005-0000-0000-0000C8250000}"/>
    <cellStyle name="Normal 2 5 68" xfId="1483" xr:uid="{00000000-0005-0000-0000-000063050000}"/>
    <cellStyle name="Normal 2 5 68 2" xfId="11593" xr:uid="{00000000-0005-0000-0000-0000CA250000}"/>
    <cellStyle name="Normal 2 5 69" xfId="1484" xr:uid="{00000000-0005-0000-0000-000064050000}"/>
    <cellStyle name="Normal 2 5 69 2" xfId="11594" xr:uid="{00000000-0005-0000-0000-0000CC250000}"/>
    <cellStyle name="Normal 2 5 7" xfId="1485" xr:uid="{00000000-0005-0000-0000-000065050000}"/>
    <cellStyle name="Normal 2 5 7 2" xfId="11595" xr:uid="{00000000-0005-0000-0000-0000CE250000}"/>
    <cellStyle name="Normal 2 5 70" xfId="1486" xr:uid="{00000000-0005-0000-0000-000066050000}"/>
    <cellStyle name="Normal 2 5 70 2" xfId="11596" xr:uid="{00000000-0005-0000-0000-0000D0250000}"/>
    <cellStyle name="Normal 2 5 71" xfId="1487" xr:uid="{00000000-0005-0000-0000-000067050000}"/>
    <cellStyle name="Normal 2 5 71 2" xfId="11597" xr:uid="{00000000-0005-0000-0000-0000D2250000}"/>
    <cellStyle name="Normal 2 5 72" xfId="1488" xr:uid="{00000000-0005-0000-0000-000068050000}"/>
    <cellStyle name="Normal 2 5 72 2" xfId="11598" xr:uid="{00000000-0005-0000-0000-0000D4250000}"/>
    <cellStyle name="Normal 2 5 73" xfId="1489" xr:uid="{00000000-0005-0000-0000-000069050000}"/>
    <cellStyle name="Normal 2 5 73 2" xfId="11599" xr:uid="{00000000-0005-0000-0000-0000D6250000}"/>
    <cellStyle name="Normal 2 5 74" xfId="1490" xr:uid="{00000000-0005-0000-0000-00006A050000}"/>
    <cellStyle name="Normal 2 5 74 2" xfId="11600" xr:uid="{00000000-0005-0000-0000-0000D8250000}"/>
    <cellStyle name="Normal 2 5 75" xfId="1491" xr:uid="{00000000-0005-0000-0000-00006B050000}"/>
    <cellStyle name="Normal 2 5 75 2" xfId="11601" xr:uid="{00000000-0005-0000-0000-0000DA250000}"/>
    <cellStyle name="Normal 2 5 76" xfId="1492" xr:uid="{00000000-0005-0000-0000-00006C050000}"/>
    <cellStyle name="Normal 2 5 76 2" xfId="11602" xr:uid="{00000000-0005-0000-0000-0000DC250000}"/>
    <cellStyle name="Normal 2 5 77" xfId="1493" xr:uid="{00000000-0005-0000-0000-00006D050000}"/>
    <cellStyle name="Normal 2 5 77 2" xfId="11603" xr:uid="{00000000-0005-0000-0000-0000DE250000}"/>
    <cellStyle name="Normal 2 5 78" xfId="1494" xr:uid="{00000000-0005-0000-0000-00006E050000}"/>
    <cellStyle name="Normal 2 5 78 2" xfId="11604" xr:uid="{00000000-0005-0000-0000-0000E0250000}"/>
    <cellStyle name="Normal 2 5 79" xfId="1495" xr:uid="{00000000-0005-0000-0000-00006F050000}"/>
    <cellStyle name="Normal 2 5 79 2" xfId="11605" xr:uid="{00000000-0005-0000-0000-0000E2250000}"/>
    <cellStyle name="Normal 2 5 8" xfId="1496" xr:uid="{00000000-0005-0000-0000-000070050000}"/>
    <cellStyle name="Normal 2 5 8 2" xfId="11606" xr:uid="{00000000-0005-0000-0000-0000E4250000}"/>
    <cellStyle name="Normal 2 5 80" xfId="1497" xr:uid="{00000000-0005-0000-0000-000071050000}"/>
    <cellStyle name="Normal 2 5 80 2" xfId="11607" xr:uid="{00000000-0005-0000-0000-0000E6250000}"/>
    <cellStyle name="Normal 2 5 81" xfId="1498" xr:uid="{00000000-0005-0000-0000-000072050000}"/>
    <cellStyle name="Normal 2 5 81 2" xfId="11608" xr:uid="{00000000-0005-0000-0000-0000E8250000}"/>
    <cellStyle name="Normal 2 5 82" xfId="1499" xr:uid="{00000000-0005-0000-0000-000073050000}"/>
    <cellStyle name="Normal 2 5 82 2" xfId="11609" xr:uid="{00000000-0005-0000-0000-0000EA250000}"/>
    <cellStyle name="Normal 2 5 83" xfId="1500" xr:uid="{00000000-0005-0000-0000-000074050000}"/>
    <cellStyle name="Normal 2 5 83 2" xfId="11610" xr:uid="{00000000-0005-0000-0000-0000EC250000}"/>
    <cellStyle name="Normal 2 5 84" xfId="1501" xr:uid="{00000000-0005-0000-0000-000075050000}"/>
    <cellStyle name="Normal 2 5 84 2" xfId="11611" xr:uid="{00000000-0005-0000-0000-0000EE250000}"/>
    <cellStyle name="Normal 2 5 85" xfId="1502" xr:uid="{00000000-0005-0000-0000-000076050000}"/>
    <cellStyle name="Normal 2 5 85 2" xfId="11612" xr:uid="{00000000-0005-0000-0000-0000F0250000}"/>
    <cellStyle name="Normal 2 5 86" xfId="1503" xr:uid="{00000000-0005-0000-0000-000077050000}"/>
    <cellStyle name="Normal 2 5 86 2" xfId="11613" xr:uid="{00000000-0005-0000-0000-0000F2250000}"/>
    <cellStyle name="Normal 2 5 87" xfId="1504" xr:uid="{00000000-0005-0000-0000-000078050000}"/>
    <cellStyle name="Normal 2 5 87 2" xfId="11614" xr:uid="{00000000-0005-0000-0000-0000F4250000}"/>
    <cellStyle name="Normal 2 5 88" xfId="1333" xr:uid="{00000000-0005-0000-0000-0000CD040000}"/>
    <cellStyle name="Normal 2 5 89" xfId="20660" xr:uid="{227925A9-D95B-4D3E-84FC-CC5E99ED6C6E}"/>
    <cellStyle name="Normal 2 5 89 2" xfId="35661" xr:uid="{F557775B-FC7F-499D-9B36-AAD5AB6739F7}"/>
    <cellStyle name="Normal 2 5 9" xfId="1505" xr:uid="{00000000-0005-0000-0000-000079050000}"/>
    <cellStyle name="Normal 2 5 9 2" xfId="11615" xr:uid="{00000000-0005-0000-0000-0000F7250000}"/>
    <cellStyle name="Normal 2 5 90" xfId="27964" xr:uid="{2B84902B-83EA-45EA-AA5B-AC4BE77350FA}"/>
    <cellStyle name="Normal 2 5_App b.3 Unspent_" xfId="1506" xr:uid="{00000000-0005-0000-0000-00007A050000}"/>
    <cellStyle name="Normal 2 50" xfId="1507" xr:uid="{00000000-0005-0000-0000-00007B050000}"/>
    <cellStyle name="Normal 2 50 2" xfId="11616" xr:uid="{00000000-0005-0000-0000-0000FA250000}"/>
    <cellStyle name="Normal 2 51" xfId="1508" xr:uid="{00000000-0005-0000-0000-00007C050000}"/>
    <cellStyle name="Normal 2 51 2" xfId="11617" xr:uid="{00000000-0005-0000-0000-0000FC250000}"/>
    <cellStyle name="Normal 2 52" xfId="1509" xr:uid="{00000000-0005-0000-0000-00007D050000}"/>
    <cellStyle name="Normal 2 52 2" xfId="11618" xr:uid="{00000000-0005-0000-0000-0000FE250000}"/>
    <cellStyle name="Normal 2 53" xfId="1510" xr:uid="{00000000-0005-0000-0000-00007E050000}"/>
    <cellStyle name="Normal 2 53 2" xfId="11619" xr:uid="{00000000-0005-0000-0000-000000260000}"/>
    <cellStyle name="Normal 2 54" xfId="1511" xr:uid="{00000000-0005-0000-0000-00007F050000}"/>
    <cellStyle name="Normal 2 54 2" xfId="11620" xr:uid="{00000000-0005-0000-0000-000002260000}"/>
    <cellStyle name="Normal 2 55" xfId="1512" xr:uid="{00000000-0005-0000-0000-000080050000}"/>
    <cellStyle name="Normal 2 55 2" xfId="11621" xr:uid="{00000000-0005-0000-0000-000004260000}"/>
    <cellStyle name="Normal 2 56" xfId="1513" xr:uid="{00000000-0005-0000-0000-000081050000}"/>
    <cellStyle name="Normal 2 56 2" xfId="11622" xr:uid="{00000000-0005-0000-0000-000006260000}"/>
    <cellStyle name="Normal 2 57" xfId="1514" xr:uid="{00000000-0005-0000-0000-000082050000}"/>
    <cellStyle name="Normal 2 57 2" xfId="11623" xr:uid="{00000000-0005-0000-0000-000008260000}"/>
    <cellStyle name="Normal 2 58" xfId="1515" xr:uid="{00000000-0005-0000-0000-000083050000}"/>
    <cellStyle name="Normal 2 58 2" xfId="11624" xr:uid="{00000000-0005-0000-0000-00000A260000}"/>
    <cellStyle name="Normal 2 59" xfId="1516" xr:uid="{00000000-0005-0000-0000-000084050000}"/>
    <cellStyle name="Normal 2 59 2" xfId="11625" xr:uid="{00000000-0005-0000-0000-00000C260000}"/>
    <cellStyle name="Normal 2 6" xfId="1517" xr:uid="{00000000-0005-0000-0000-000085050000}"/>
    <cellStyle name="Normal 2 6 2" xfId="1518" xr:uid="{00000000-0005-0000-0000-000086050000}"/>
    <cellStyle name="Normal 2 6 2 2" xfId="11626" xr:uid="{00000000-0005-0000-0000-00000E260000}"/>
    <cellStyle name="Normal 2 6 3" xfId="11627" xr:uid="{00000000-0005-0000-0000-00000F260000}"/>
    <cellStyle name="Normal 2 6 3 2" xfId="11628" xr:uid="{00000000-0005-0000-0000-000010260000}"/>
    <cellStyle name="Normal 2 6 3 3" xfId="11629" xr:uid="{00000000-0005-0000-0000-000011260000}"/>
    <cellStyle name="Normal 2 6_App b.3 Unspent_" xfId="1519" xr:uid="{00000000-0005-0000-0000-000087050000}"/>
    <cellStyle name="Normal 2 60" xfId="1520" xr:uid="{00000000-0005-0000-0000-000088050000}"/>
    <cellStyle name="Normal 2 60 2" xfId="11630" xr:uid="{00000000-0005-0000-0000-000013260000}"/>
    <cellStyle name="Normal 2 61" xfId="1521" xr:uid="{00000000-0005-0000-0000-000089050000}"/>
    <cellStyle name="Normal 2 61 2" xfId="11631" xr:uid="{00000000-0005-0000-0000-000015260000}"/>
    <cellStyle name="Normal 2 62" xfId="1522" xr:uid="{00000000-0005-0000-0000-00008A050000}"/>
    <cellStyle name="Normal 2 62 2" xfId="11632" xr:uid="{00000000-0005-0000-0000-000017260000}"/>
    <cellStyle name="Normal 2 63" xfId="1523" xr:uid="{00000000-0005-0000-0000-00008B050000}"/>
    <cellStyle name="Normal 2 63 2" xfId="11633" xr:uid="{00000000-0005-0000-0000-000019260000}"/>
    <cellStyle name="Normal 2 64" xfId="1524" xr:uid="{00000000-0005-0000-0000-00008C050000}"/>
    <cellStyle name="Normal 2 64 2" xfId="11634" xr:uid="{00000000-0005-0000-0000-00001B260000}"/>
    <cellStyle name="Normal 2 65" xfId="1525" xr:uid="{00000000-0005-0000-0000-00008D050000}"/>
    <cellStyle name="Normal 2 65 2" xfId="11635" xr:uid="{00000000-0005-0000-0000-00001D260000}"/>
    <cellStyle name="Normal 2 66" xfId="1526" xr:uid="{00000000-0005-0000-0000-00008E050000}"/>
    <cellStyle name="Normal 2 66 2" xfId="11636" xr:uid="{00000000-0005-0000-0000-00001F260000}"/>
    <cellStyle name="Normal 2 67" xfId="1527" xr:uid="{00000000-0005-0000-0000-00008F050000}"/>
    <cellStyle name="Normal 2 67 2" xfId="11637" xr:uid="{00000000-0005-0000-0000-000021260000}"/>
    <cellStyle name="Normal 2 68" xfId="1528" xr:uid="{00000000-0005-0000-0000-000090050000}"/>
    <cellStyle name="Normal 2 68 2" xfId="11638" xr:uid="{00000000-0005-0000-0000-000023260000}"/>
    <cellStyle name="Normal 2 69" xfId="1529" xr:uid="{00000000-0005-0000-0000-000091050000}"/>
    <cellStyle name="Normal 2 69 2" xfId="11639" xr:uid="{00000000-0005-0000-0000-000025260000}"/>
    <cellStyle name="Normal 2 7" xfId="1530" xr:uid="{00000000-0005-0000-0000-000092050000}"/>
    <cellStyle name="Normal 2 7 2" xfId="1531" xr:uid="{00000000-0005-0000-0000-000093050000}"/>
    <cellStyle name="Normal 2 7 2 2" xfId="11640" xr:uid="{00000000-0005-0000-0000-000027260000}"/>
    <cellStyle name="Normal 2 7 3" xfId="11641" xr:uid="{00000000-0005-0000-0000-000028260000}"/>
    <cellStyle name="Normal 2 7 3 2" xfId="11642" xr:uid="{00000000-0005-0000-0000-000029260000}"/>
    <cellStyle name="Normal 2 7 3 3" xfId="11643" xr:uid="{00000000-0005-0000-0000-00002A260000}"/>
    <cellStyle name="Normal 2 7_App b.3 Unspent_" xfId="1532" xr:uid="{00000000-0005-0000-0000-000094050000}"/>
    <cellStyle name="Normal 2 70" xfId="1533" xr:uid="{00000000-0005-0000-0000-000095050000}"/>
    <cellStyle name="Normal 2 70 2" xfId="11644" xr:uid="{00000000-0005-0000-0000-00002C260000}"/>
    <cellStyle name="Normal 2 71" xfId="1534" xr:uid="{00000000-0005-0000-0000-000096050000}"/>
    <cellStyle name="Normal 2 71 2" xfId="11645" xr:uid="{00000000-0005-0000-0000-00002E260000}"/>
    <cellStyle name="Normal 2 72" xfId="1535" xr:uid="{00000000-0005-0000-0000-000097050000}"/>
    <cellStyle name="Normal 2 72 2" xfId="11646" xr:uid="{00000000-0005-0000-0000-000030260000}"/>
    <cellStyle name="Normal 2 73" xfId="1536" xr:uid="{00000000-0005-0000-0000-000098050000}"/>
    <cellStyle name="Normal 2 73 2" xfId="11647" xr:uid="{00000000-0005-0000-0000-000032260000}"/>
    <cellStyle name="Normal 2 74" xfId="1537" xr:uid="{00000000-0005-0000-0000-000099050000}"/>
    <cellStyle name="Normal 2 74 2" xfId="11648" xr:uid="{00000000-0005-0000-0000-000034260000}"/>
    <cellStyle name="Normal 2 75" xfId="1538" xr:uid="{00000000-0005-0000-0000-00009A050000}"/>
    <cellStyle name="Normal 2 75 2" xfId="11649" xr:uid="{00000000-0005-0000-0000-000036260000}"/>
    <cellStyle name="Normal 2 76" xfId="1539" xr:uid="{00000000-0005-0000-0000-00009B050000}"/>
    <cellStyle name="Normal 2 76 2" xfId="11650" xr:uid="{00000000-0005-0000-0000-000038260000}"/>
    <cellStyle name="Normal 2 77" xfId="1540" xr:uid="{00000000-0005-0000-0000-00009C050000}"/>
    <cellStyle name="Normal 2 77 2" xfId="11651" xr:uid="{00000000-0005-0000-0000-00003A260000}"/>
    <cellStyle name="Normal 2 78" xfId="1541" xr:uid="{00000000-0005-0000-0000-00009D050000}"/>
    <cellStyle name="Normal 2 78 2" xfId="11652" xr:uid="{00000000-0005-0000-0000-00003C260000}"/>
    <cellStyle name="Normal 2 79" xfId="1542" xr:uid="{00000000-0005-0000-0000-00009E050000}"/>
    <cellStyle name="Normal 2 79 2" xfId="11653" xr:uid="{00000000-0005-0000-0000-00003E260000}"/>
    <cellStyle name="Normal 2 8" xfId="1543" xr:uid="{00000000-0005-0000-0000-00009F050000}"/>
    <cellStyle name="Normal 2 8 10" xfId="1544" xr:uid="{00000000-0005-0000-0000-0000A0050000}"/>
    <cellStyle name="Normal 2 8 10 2" xfId="11654" xr:uid="{00000000-0005-0000-0000-000041260000}"/>
    <cellStyle name="Normal 2 8 11" xfId="1545" xr:uid="{00000000-0005-0000-0000-0000A1050000}"/>
    <cellStyle name="Normal 2 8 11 2" xfId="11655" xr:uid="{00000000-0005-0000-0000-000043260000}"/>
    <cellStyle name="Normal 2 8 12" xfId="1546" xr:uid="{00000000-0005-0000-0000-0000A2050000}"/>
    <cellStyle name="Normal 2 8 12 2" xfId="11656" xr:uid="{00000000-0005-0000-0000-000045260000}"/>
    <cellStyle name="Normal 2 8 13" xfId="1547" xr:uid="{00000000-0005-0000-0000-0000A3050000}"/>
    <cellStyle name="Normal 2 8 13 2" xfId="11657" xr:uid="{00000000-0005-0000-0000-000047260000}"/>
    <cellStyle name="Normal 2 8 14" xfId="1548" xr:uid="{00000000-0005-0000-0000-0000A4050000}"/>
    <cellStyle name="Normal 2 8 14 2" xfId="11658" xr:uid="{00000000-0005-0000-0000-000049260000}"/>
    <cellStyle name="Normal 2 8 15" xfId="1549" xr:uid="{00000000-0005-0000-0000-0000A5050000}"/>
    <cellStyle name="Normal 2 8 15 2" xfId="11659" xr:uid="{00000000-0005-0000-0000-00004B260000}"/>
    <cellStyle name="Normal 2 8 16" xfId="1550" xr:uid="{00000000-0005-0000-0000-0000A6050000}"/>
    <cellStyle name="Normal 2 8 16 2" xfId="11660" xr:uid="{00000000-0005-0000-0000-00004D260000}"/>
    <cellStyle name="Normal 2 8 17" xfId="1551" xr:uid="{00000000-0005-0000-0000-0000A7050000}"/>
    <cellStyle name="Normal 2 8 17 2" xfId="11661" xr:uid="{00000000-0005-0000-0000-00004F260000}"/>
    <cellStyle name="Normal 2 8 18" xfId="1552" xr:uid="{00000000-0005-0000-0000-0000A8050000}"/>
    <cellStyle name="Normal 2 8 18 2" xfId="11662" xr:uid="{00000000-0005-0000-0000-000051260000}"/>
    <cellStyle name="Normal 2 8 19" xfId="1553" xr:uid="{00000000-0005-0000-0000-0000A9050000}"/>
    <cellStyle name="Normal 2 8 19 2" xfId="11663" xr:uid="{00000000-0005-0000-0000-000053260000}"/>
    <cellStyle name="Normal 2 8 2" xfId="1554" xr:uid="{00000000-0005-0000-0000-0000AA050000}"/>
    <cellStyle name="Normal 2 8 2 2" xfId="11665" xr:uid="{00000000-0005-0000-0000-000055260000}"/>
    <cellStyle name="Normal 2 8 2 2 2" xfId="11666" xr:uid="{00000000-0005-0000-0000-000056260000}"/>
    <cellStyle name="Normal 2 8 2 2 3" xfId="11667" xr:uid="{00000000-0005-0000-0000-000057260000}"/>
    <cellStyle name="Normal 2 8 2 3" xfId="11664" xr:uid="{00000000-0005-0000-0000-000054260000}"/>
    <cellStyle name="Normal 2 8 20" xfId="1555" xr:uid="{00000000-0005-0000-0000-0000AB050000}"/>
    <cellStyle name="Normal 2 8 20 2" xfId="11668" xr:uid="{00000000-0005-0000-0000-000059260000}"/>
    <cellStyle name="Normal 2 8 21" xfId="1556" xr:uid="{00000000-0005-0000-0000-0000AC050000}"/>
    <cellStyle name="Normal 2 8 21 2" xfId="11669" xr:uid="{00000000-0005-0000-0000-00005B260000}"/>
    <cellStyle name="Normal 2 8 22" xfId="1557" xr:uid="{00000000-0005-0000-0000-0000AD050000}"/>
    <cellStyle name="Normal 2 8 22 2" xfId="11670" xr:uid="{00000000-0005-0000-0000-00005D260000}"/>
    <cellStyle name="Normal 2 8 23" xfId="1558" xr:uid="{00000000-0005-0000-0000-0000AE050000}"/>
    <cellStyle name="Normal 2 8 23 2" xfId="11671" xr:uid="{00000000-0005-0000-0000-00005F260000}"/>
    <cellStyle name="Normal 2 8 24" xfId="11672" xr:uid="{00000000-0005-0000-0000-000060260000}"/>
    <cellStyle name="Normal 2 8 24 2" xfId="11673" xr:uid="{00000000-0005-0000-0000-000061260000}"/>
    <cellStyle name="Normal 2 8 24 3" xfId="11674" xr:uid="{00000000-0005-0000-0000-000062260000}"/>
    <cellStyle name="Normal 2 8 3" xfId="1559" xr:uid="{00000000-0005-0000-0000-0000AF050000}"/>
    <cellStyle name="Normal 2 8 3 2" xfId="11675" xr:uid="{00000000-0005-0000-0000-000064260000}"/>
    <cellStyle name="Normal 2 8 4" xfId="1560" xr:uid="{00000000-0005-0000-0000-0000B0050000}"/>
    <cellStyle name="Normal 2 8 4 2" xfId="11676" xr:uid="{00000000-0005-0000-0000-000066260000}"/>
    <cellStyle name="Normal 2 8 5" xfId="1561" xr:uid="{00000000-0005-0000-0000-0000B1050000}"/>
    <cellStyle name="Normal 2 8 5 2" xfId="11677" xr:uid="{00000000-0005-0000-0000-000068260000}"/>
    <cellStyle name="Normal 2 8 6" xfId="1562" xr:uid="{00000000-0005-0000-0000-0000B2050000}"/>
    <cellStyle name="Normal 2 8 6 2" xfId="11678" xr:uid="{00000000-0005-0000-0000-00006A260000}"/>
    <cellStyle name="Normal 2 8 7" xfId="1563" xr:uid="{00000000-0005-0000-0000-0000B3050000}"/>
    <cellStyle name="Normal 2 8 7 2" xfId="11679" xr:uid="{00000000-0005-0000-0000-00006C260000}"/>
    <cellStyle name="Normal 2 8 8" xfId="1564" xr:uid="{00000000-0005-0000-0000-0000B4050000}"/>
    <cellStyle name="Normal 2 8 8 2" xfId="11680" xr:uid="{00000000-0005-0000-0000-00006E260000}"/>
    <cellStyle name="Normal 2 8 9" xfId="1565" xr:uid="{00000000-0005-0000-0000-0000B5050000}"/>
    <cellStyle name="Normal 2 8 9 2" xfId="11681" xr:uid="{00000000-0005-0000-0000-000070260000}"/>
    <cellStyle name="Normal 2 8_App b.3 Unspent_" xfId="1566" xr:uid="{00000000-0005-0000-0000-0000B6050000}"/>
    <cellStyle name="Normal 2 80" xfId="1567" xr:uid="{00000000-0005-0000-0000-0000B7050000}"/>
    <cellStyle name="Normal 2 80 2" xfId="11682" xr:uid="{00000000-0005-0000-0000-000072260000}"/>
    <cellStyle name="Normal 2 81" xfId="1568" xr:uid="{00000000-0005-0000-0000-0000B8050000}"/>
    <cellStyle name="Normal 2 81 2" xfId="11683" xr:uid="{00000000-0005-0000-0000-000074260000}"/>
    <cellStyle name="Normal 2 82" xfId="1569" xr:uid="{00000000-0005-0000-0000-0000B9050000}"/>
    <cellStyle name="Normal 2 82 2" xfId="11684" xr:uid="{00000000-0005-0000-0000-000076260000}"/>
    <cellStyle name="Normal 2 83" xfId="1570" xr:uid="{00000000-0005-0000-0000-0000BA050000}"/>
    <cellStyle name="Normal 2 83 2" xfId="11685" xr:uid="{00000000-0005-0000-0000-000078260000}"/>
    <cellStyle name="Normal 2 84" xfId="1571" xr:uid="{00000000-0005-0000-0000-0000BB050000}"/>
    <cellStyle name="Normal 2 84 2" xfId="11686" xr:uid="{00000000-0005-0000-0000-00007A260000}"/>
    <cellStyle name="Normal 2 85" xfId="1572" xr:uid="{00000000-0005-0000-0000-0000BC050000}"/>
    <cellStyle name="Normal 2 85 2" xfId="11687" xr:uid="{00000000-0005-0000-0000-00007C260000}"/>
    <cellStyle name="Normal 2 86" xfId="1573" xr:uid="{00000000-0005-0000-0000-0000BD050000}"/>
    <cellStyle name="Normal 2 86 2" xfId="11688" xr:uid="{00000000-0005-0000-0000-00007E260000}"/>
    <cellStyle name="Normal 2 87" xfId="1574" xr:uid="{00000000-0005-0000-0000-0000BE050000}"/>
    <cellStyle name="Normal 2 87 2" xfId="11689" xr:uid="{00000000-0005-0000-0000-000080260000}"/>
    <cellStyle name="Normal 2 88" xfId="1575" xr:uid="{00000000-0005-0000-0000-0000BF050000}"/>
    <cellStyle name="Normal 2 88 2" xfId="11690" xr:uid="{00000000-0005-0000-0000-000082260000}"/>
    <cellStyle name="Normal 2 89" xfId="1576" xr:uid="{00000000-0005-0000-0000-0000C0050000}"/>
    <cellStyle name="Normal 2 89 2" xfId="11691" xr:uid="{00000000-0005-0000-0000-000084260000}"/>
    <cellStyle name="Normal 2 9" xfId="1577" xr:uid="{00000000-0005-0000-0000-0000C1050000}"/>
    <cellStyle name="Normal 2 9 10" xfId="1578" xr:uid="{00000000-0005-0000-0000-0000C2050000}"/>
    <cellStyle name="Normal 2 9 10 2" xfId="11692" xr:uid="{00000000-0005-0000-0000-000087260000}"/>
    <cellStyle name="Normal 2 9 11" xfId="1579" xr:uid="{00000000-0005-0000-0000-0000C3050000}"/>
    <cellStyle name="Normal 2 9 11 2" xfId="11693" xr:uid="{00000000-0005-0000-0000-000089260000}"/>
    <cellStyle name="Normal 2 9 12" xfId="1580" xr:uid="{00000000-0005-0000-0000-0000C4050000}"/>
    <cellStyle name="Normal 2 9 12 2" xfId="11694" xr:uid="{00000000-0005-0000-0000-00008B260000}"/>
    <cellStyle name="Normal 2 9 13" xfId="1581" xr:uid="{00000000-0005-0000-0000-0000C5050000}"/>
    <cellStyle name="Normal 2 9 13 2" xfId="11695" xr:uid="{00000000-0005-0000-0000-00008D260000}"/>
    <cellStyle name="Normal 2 9 14" xfId="1582" xr:uid="{00000000-0005-0000-0000-0000C6050000}"/>
    <cellStyle name="Normal 2 9 14 2" xfId="11696" xr:uid="{00000000-0005-0000-0000-00008F260000}"/>
    <cellStyle name="Normal 2 9 15" xfId="1583" xr:uid="{00000000-0005-0000-0000-0000C7050000}"/>
    <cellStyle name="Normal 2 9 15 2" xfId="11697" xr:uid="{00000000-0005-0000-0000-000091260000}"/>
    <cellStyle name="Normal 2 9 16" xfId="1584" xr:uid="{00000000-0005-0000-0000-0000C8050000}"/>
    <cellStyle name="Normal 2 9 16 2" xfId="11698" xr:uid="{00000000-0005-0000-0000-000093260000}"/>
    <cellStyle name="Normal 2 9 17" xfId="1585" xr:uid="{00000000-0005-0000-0000-0000C9050000}"/>
    <cellStyle name="Normal 2 9 17 2" xfId="11699" xr:uid="{00000000-0005-0000-0000-000095260000}"/>
    <cellStyle name="Normal 2 9 18" xfId="1586" xr:uid="{00000000-0005-0000-0000-0000CA050000}"/>
    <cellStyle name="Normal 2 9 18 2" xfId="11700" xr:uid="{00000000-0005-0000-0000-000097260000}"/>
    <cellStyle name="Normal 2 9 19" xfId="1587" xr:uid="{00000000-0005-0000-0000-0000CB050000}"/>
    <cellStyle name="Normal 2 9 19 2" xfId="11701" xr:uid="{00000000-0005-0000-0000-000099260000}"/>
    <cellStyle name="Normal 2 9 2" xfId="1588" xr:uid="{00000000-0005-0000-0000-0000CC050000}"/>
    <cellStyle name="Normal 2 9 2 2" xfId="11702" xr:uid="{00000000-0005-0000-0000-00009B260000}"/>
    <cellStyle name="Normal 2 9 20" xfId="1589" xr:uid="{00000000-0005-0000-0000-0000CD050000}"/>
    <cellStyle name="Normal 2 9 20 2" xfId="11703" xr:uid="{00000000-0005-0000-0000-00009D260000}"/>
    <cellStyle name="Normal 2 9 21" xfId="1590" xr:uid="{00000000-0005-0000-0000-0000CE050000}"/>
    <cellStyle name="Normal 2 9 21 2" xfId="11704" xr:uid="{00000000-0005-0000-0000-00009F260000}"/>
    <cellStyle name="Normal 2 9 22" xfId="1591" xr:uid="{00000000-0005-0000-0000-0000CF050000}"/>
    <cellStyle name="Normal 2 9 22 2" xfId="11705" xr:uid="{00000000-0005-0000-0000-0000A1260000}"/>
    <cellStyle name="Normal 2 9 23" xfId="1592" xr:uid="{00000000-0005-0000-0000-0000D0050000}"/>
    <cellStyle name="Normal 2 9 23 2" xfId="11706" xr:uid="{00000000-0005-0000-0000-0000A3260000}"/>
    <cellStyle name="Normal 2 9 24" xfId="11707" xr:uid="{00000000-0005-0000-0000-0000A4260000}"/>
    <cellStyle name="Normal 2 9 24 2" xfId="11708" xr:uid="{00000000-0005-0000-0000-0000A5260000}"/>
    <cellStyle name="Normal 2 9 3" xfId="1593" xr:uid="{00000000-0005-0000-0000-0000D1050000}"/>
    <cellStyle name="Normal 2 9 3 2" xfId="11709" xr:uid="{00000000-0005-0000-0000-0000A7260000}"/>
    <cellStyle name="Normal 2 9 4" xfId="1594" xr:uid="{00000000-0005-0000-0000-0000D2050000}"/>
    <cellStyle name="Normal 2 9 4 2" xfId="11710" xr:uid="{00000000-0005-0000-0000-0000A9260000}"/>
    <cellStyle name="Normal 2 9 5" xfId="1595" xr:uid="{00000000-0005-0000-0000-0000D3050000}"/>
    <cellStyle name="Normal 2 9 5 2" xfId="11711" xr:uid="{00000000-0005-0000-0000-0000AB260000}"/>
    <cellStyle name="Normal 2 9 6" xfId="1596" xr:uid="{00000000-0005-0000-0000-0000D4050000}"/>
    <cellStyle name="Normal 2 9 6 2" xfId="11712" xr:uid="{00000000-0005-0000-0000-0000AD260000}"/>
    <cellStyle name="Normal 2 9 7" xfId="1597" xr:uid="{00000000-0005-0000-0000-0000D5050000}"/>
    <cellStyle name="Normal 2 9 7 2" xfId="11713" xr:uid="{00000000-0005-0000-0000-0000AF260000}"/>
    <cellStyle name="Normal 2 9 8" xfId="1598" xr:uid="{00000000-0005-0000-0000-0000D6050000}"/>
    <cellStyle name="Normal 2 9 8 2" xfId="11714" xr:uid="{00000000-0005-0000-0000-0000B1260000}"/>
    <cellStyle name="Normal 2 9 9" xfId="1599" xr:uid="{00000000-0005-0000-0000-0000D7050000}"/>
    <cellStyle name="Normal 2 9 9 2" xfId="11715" xr:uid="{00000000-0005-0000-0000-0000B3260000}"/>
    <cellStyle name="Normal 2 9_App b.3 Unspent_" xfId="1600" xr:uid="{00000000-0005-0000-0000-0000D8050000}"/>
    <cellStyle name="Normal 2 90" xfId="1601" xr:uid="{00000000-0005-0000-0000-0000D9050000}"/>
    <cellStyle name="Normal 2 90 2" xfId="11716" xr:uid="{00000000-0005-0000-0000-0000B5260000}"/>
    <cellStyle name="Normal 2 91" xfId="1602" xr:uid="{00000000-0005-0000-0000-0000DA050000}"/>
    <cellStyle name="Normal 2 91 2" xfId="11717" xr:uid="{00000000-0005-0000-0000-0000B7260000}"/>
    <cellStyle name="Normal 2 92" xfId="1603" xr:uid="{00000000-0005-0000-0000-0000DB050000}"/>
    <cellStyle name="Normal 2 92 2" xfId="11718" xr:uid="{00000000-0005-0000-0000-0000B9260000}"/>
    <cellStyle name="Normal 2 93" xfId="1604" xr:uid="{00000000-0005-0000-0000-0000DC050000}"/>
    <cellStyle name="Normal 2 93 2" xfId="11719" xr:uid="{00000000-0005-0000-0000-0000BB260000}"/>
    <cellStyle name="Normal 2 94" xfId="1605" xr:uid="{00000000-0005-0000-0000-0000DD050000}"/>
    <cellStyle name="Normal 2 94 2" xfId="11720" xr:uid="{00000000-0005-0000-0000-0000BD260000}"/>
    <cellStyle name="Normal 2 94 3" xfId="11721" xr:uid="{00000000-0005-0000-0000-0000BE260000}"/>
    <cellStyle name="Normal 2 95" xfId="1606" xr:uid="{00000000-0005-0000-0000-0000DE050000}"/>
    <cellStyle name="Normal 2 95 2" xfId="2880" xr:uid="{00000000-0005-0000-0000-0000DF050000}"/>
    <cellStyle name="Normal 2 95 2 2" xfId="11722" xr:uid="{00000000-0005-0000-0000-0000C1260000}"/>
    <cellStyle name="Normal 2 95 2 2 2" xfId="11723" xr:uid="{00000000-0005-0000-0000-0000C2260000}"/>
    <cellStyle name="Normal 2 95 2 2 2 2" xfId="26188" xr:uid="{0FC3565D-F328-443F-88CA-952E8C2B45C9}"/>
    <cellStyle name="Normal 2 95 2 2 2 2 2" xfId="41151" xr:uid="{71BEB6A5-6DF2-4708-B969-82968A0A943B}"/>
    <cellStyle name="Normal 2 95 2 2 2 3" xfId="33556" xr:uid="{59E3DB78-AF22-486B-8FFA-0E8339C6B278}"/>
    <cellStyle name="Normal 2 95 2 2 3" xfId="11724" xr:uid="{00000000-0005-0000-0000-0000C3260000}"/>
    <cellStyle name="Normal 2 95 2 2 3 2" xfId="26189" xr:uid="{067146B0-DD42-4E33-A317-9CB2DB850F52}"/>
    <cellStyle name="Normal 2 95 2 2 3 2 2" xfId="41152" xr:uid="{0BFF0259-80B4-435C-88FF-716444D89705}"/>
    <cellStyle name="Normal 2 95 2 2 3 3" xfId="33557" xr:uid="{BB032FB8-AC7E-4925-BFC3-5521B1B8BCE1}"/>
    <cellStyle name="Normal 2 95 2 2 4" xfId="26187" xr:uid="{66EED939-24CF-4A3B-ABB3-2AA1D1244BE7}"/>
    <cellStyle name="Normal 2 95 2 2 4 2" xfId="41150" xr:uid="{89310176-D85C-4221-AC05-9588D956121C}"/>
    <cellStyle name="Normal 2 95 2 2 5" xfId="33555" xr:uid="{7F7F6BC5-3F8B-41D0-9975-4E42D8BD0CC2}"/>
    <cellStyle name="Normal 2 95 2 3" xfId="11725" xr:uid="{00000000-0005-0000-0000-0000C4260000}"/>
    <cellStyle name="Normal 2 95 2 3 2" xfId="26190" xr:uid="{D5C4D789-4654-47DB-A996-59FE3C9777C8}"/>
    <cellStyle name="Normal 2 95 2 3 2 2" xfId="41153" xr:uid="{A6B95CF6-34E9-4D0C-B12A-A68110834A5C}"/>
    <cellStyle name="Normal 2 95 2 3 3" xfId="33558" xr:uid="{FDE52F3B-149E-476A-9692-1CBA18B24DA0}"/>
    <cellStyle name="Normal 2 95 2 4" xfId="11726" xr:uid="{00000000-0005-0000-0000-0000C5260000}"/>
    <cellStyle name="Normal 2 95 2 4 2" xfId="26191" xr:uid="{02874463-46FE-468C-86E8-9D67EFE8A096}"/>
    <cellStyle name="Normal 2 95 2 4 2 2" xfId="41154" xr:uid="{C78DFCEC-24B3-4216-9F82-23DD87A8A37D}"/>
    <cellStyle name="Normal 2 95 2 4 3" xfId="33559" xr:uid="{C93976C3-0A16-4B9E-8953-A5B51B8A85AB}"/>
    <cellStyle name="Normal 2 95 2 5" xfId="20836" xr:uid="{DC63487A-B41F-49FB-8905-73AB8745086C}"/>
    <cellStyle name="Normal 2 95 2 5 2" xfId="35812" xr:uid="{744E8C6D-63A0-4816-B683-AF06C3DC0D11}"/>
    <cellStyle name="Normal 2 95 2 6" xfId="28208" xr:uid="{32C44B47-E851-47FF-889C-853A5E50033E}"/>
    <cellStyle name="Normal 2 95 3" xfId="2936" xr:uid="{00000000-0005-0000-0000-0000E0050000}"/>
    <cellStyle name="Normal 2 95 3 2" xfId="11727" xr:uid="{00000000-0005-0000-0000-0000C7260000}"/>
    <cellStyle name="Normal 2 95 3 2 2" xfId="26192" xr:uid="{FF3AEC02-C97D-4499-ACCC-83CD7E0ED5E8}"/>
    <cellStyle name="Normal 2 95 3 2 2 2" xfId="41155" xr:uid="{6F9BDFFB-F546-4987-83BC-3FA66C6AD147}"/>
    <cellStyle name="Normal 2 95 3 2 3" xfId="33560" xr:uid="{16780F68-EBA6-4C94-A8C0-FD0E36F60F0B}"/>
    <cellStyle name="Normal 2 95 3 3" xfId="11728" xr:uid="{00000000-0005-0000-0000-0000C8260000}"/>
    <cellStyle name="Normal 2 95 3 3 2" xfId="26193" xr:uid="{897CFF61-4242-4DFB-B6CE-1F26AA9E9D95}"/>
    <cellStyle name="Normal 2 95 3 3 2 2" xfId="41156" xr:uid="{8F807612-0EB5-4341-8097-94F24C1E4648}"/>
    <cellStyle name="Normal 2 95 3 3 3" xfId="33561" xr:uid="{5CC7EEA9-BF4C-4B3D-97E8-15A1C75218D3}"/>
    <cellStyle name="Normal 2 95 3 4" xfId="20892" xr:uid="{BF4A1F4B-B768-442C-A913-BEC252324F8C}"/>
    <cellStyle name="Normal 2 95 3 4 2" xfId="35868" xr:uid="{A4D3C2BD-0D5A-4E17-BCF7-090AAB0DB747}"/>
    <cellStyle name="Normal 2 95 3 5" xfId="28264" xr:uid="{19F49E8D-36ED-4224-B0D4-9A48FCCA909C}"/>
    <cellStyle name="Normal 2 95 4" xfId="11729" xr:uid="{00000000-0005-0000-0000-0000C9260000}"/>
    <cellStyle name="Normal 2 95 4 2" xfId="26194" xr:uid="{D8B4D621-C8C0-47BC-B107-C9500D8EF23C}"/>
    <cellStyle name="Normal 2 95 4 2 2" xfId="41157" xr:uid="{118EAC51-C4E0-417B-94A0-9637A8646EB5}"/>
    <cellStyle name="Normal 2 95 4 3" xfId="33562" xr:uid="{8DA26D1C-1A26-4D16-A2E8-C509677B8B5A}"/>
    <cellStyle name="Normal 2 95 5" xfId="11730" xr:uid="{00000000-0005-0000-0000-0000CA260000}"/>
    <cellStyle name="Normal 2 95 5 2" xfId="26195" xr:uid="{95FD4811-21CF-483B-A8DE-4DA7BCBCE5CE}"/>
    <cellStyle name="Normal 2 95 5 2 2" xfId="41158" xr:uid="{34BCF589-41DA-4A33-BC2E-46CD8B19D8B1}"/>
    <cellStyle name="Normal 2 95 5 3" xfId="33563" xr:uid="{55A12C04-CFD2-4842-A05B-5A595A9829C1}"/>
    <cellStyle name="Normal 2 95 6" xfId="20736" xr:uid="{C2435470-37CB-4BFA-BFC2-4298D19677F8}"/>
    <cellStyle name="Normal 2 95 6 2" xfId="35729" xr:uid="{F74C1EDB-76EB-4615-ACB6-9A122FFEEEEB}"/>
    <cellStyle name="Normal 2 95 7" xfId="28053" xr:uid="{E3F1D758-CD97-4E2F-944C-67F6B627A508}"/>
    <cellStyle name="Normal 2 96" xfId="1607" xr:uid="{00000000-0005-0000-0000-0000E1050000}"/>
    <cellStyle name="Normal 2 96 2" xfId="2881" xr:uid="{00000000-0005-0000-0000-0000E2050000}"/>
    <cellStyle name="Normal 2 96 2 2" xfId="11731" xr:uid="{00000000-0005-0000-0000-0000CD260000}"/>
    <cellStyle name="Normal 2 96 2 2 2" xfId="11732" xr:uid="{00000000-0005-0000-0000-0000CE260000}"/>
    <cellStyle name="Normal 2 96 2 2 2 2" xfId="26197" xr:uid="{2B84DCF7-A0F2-4E71-B2B1-8B99E977FE2B}"/>
    <cellStyle name="Normal 2 96 2 2 2 2 2" xfId="41160" xr:uid="{7C1A54A4-CBBE-4C23-ACEA-48FEBED660B0}"/>
    <cellStyle name="Normal 2 96 2 2 2 3" xfId="33565" xr:uid="{64EAF5C6-4465-4C73-9D62-55EBA720D9A4}"/>
    <cellStyle name="Normal 2 96 2 2 3" xfId="11733" xr:uid="{00000000-0005-0000-0000-0000CF260000}"/>
    <cellStyle name="Normal 2 96 2 2 3 2" xfId="26198" xr:uid="{2C43AEA2-E7B6-466F-A60A-63C013437641}"/>
    <cellStyle name="Normal 2 96 2 2 3 2 2" xfId="41161" xr:uid="{4CE6488D-C3C3-4542-96F7-BD25AD6499A5}"/>
    <cellStyle name="Normal 2 96 2 2 3 3" xfId="33566" xr:uid="{981404AB-9F74-44FF-A52E-EA69F8558EEC}"/>
    <cellStyle name="Normal 2 96 2 2 4" xfId="26196" xr:uid="{C6E84903-64D2-4EEF-AD9A-C5AC44D91733}"/>
    <cellStyle name="Normal 2 96 2 2 4 2" xfId="41159" xr:uid="{BBBCE582-97C6-4DDB-AF00-2A93A7FDCCD9}"/>
    <cellStyle name="Normal 2 96 2 2 5" xfId="33564" xr:uid="{FE6898D5-6506-4967-B9CC-DCA75ADB460A}"/>
    <cellStyle name="Normal 2 96 2 3" xfId="11734" xr:uid="{00000000-0005-0000-0000-0000D0260000}"/>
    <cellStyle name="Normal 2 96 2 3 2" xfId="26199" xr:uid="{FE1098E9-560E-4DA3-846F-F0960242CEBB}"/>
    <cellStyle name="Normal 2 96 2 3 2 2" xfId="41162" xr:uid="{DE531C0A-42FF-442C-B188-9FE26733FEE0}"/>
    <cellStyle name="Normal 2 96 2 3 3" xfId="33567" xr:uid="{0C4093F3-F1F9-48F6-8758-8B5104543C16}"/>
    <cellStyle name="Normal 2 96 2 4" xfId="11735" xr:uid="{00000000-0005-0000-0000-0000D1260000}"/>
    <cellStyle name="Normal 2 96 2 4 2" xfId="26200" xr:uid="{CE02FCA7-4EEE-4846-A750-4540D19D1A74}"/>
    <cellStyle name="Normal 2 96 2 4 2 2" xfId="41163" xr:uid="{E764FBFA-1454-44CB-AA4E-735BD3DD8B62}"/>
    <cellStyle name="Normal 2 96 2 4 3" xfId="33568" xr:uid="{5172864A-CE61-4A28-BD37-47C1DD876AD1}"/>
    <cellStyle name="Normal 2 96 2 5" xfId="20837" xr:uid="{C3769E2A-48F2-49AE-BC07-D6007DBF0461}"/>
    <cellStyle name="Normal 2 96 2 5 2" xfId="35813" xr:uid="{EAEF31D5-7230-49BE-B2DB-AFDAEBDF1C13}"/>
    <cellStyle name="Normal 2 96 2 6" xfId="28209" xr:uid="{309993A8-AECA-4FA9-996F-A0214C3F72BA}"/>
    <cellStyle name="Normal 2 96 3" xfId="2937" xr:uid="{00000000-0005-0000-0000-0000E3050000}"/>
    <cellStyle name="Normal 2 96 3 2" xfId="11736" xr:uid="{00000000-0005-0000-0000-0000D3260000}"/>
    <cellStyle name="Normal 2 96 3 2 2" xfId="26201" xr:uid="{22D1D63C-2C13-4011-AD32-14BBAFE386D9}"/>
    <cellStyle name="Normal 2 96 3 2 2 2" xfId="41164" xr:uid="{CA166461-C86B-4915-B8CA-BC24B6A89308}"/>
    <cellStyle name="Normal 2 96 3 2 3" xfId="33569" xr:uid="{F7A1C90A-B74F-4C7D-B631-A90A43756FEF}"/>
    <cellStyle name="Normal 2 96 3 3" xfId="11737" xr:uid="{00000000-0005-0000-0000-0000D4260000}"/>
    <cellStyle name="Normal 2 96 3 3 2" xfId="26202" xr:uid="{B765D298-8619-4AEB-97C0-62C940CDAA5D}"/>
    <cellStyle name="Normal 2 96 3 3 2 2" xfId="41165" xr:uid="{2241A2B6-258E-4A6E-BE5B-05EE5279862D}"/>
    <cellStyle name="Normal 2 96 3 3 3" xfId="33570" xr:uid="{DCE6F5B2-4834-423E-A623-DDC9A5F3965E}"/>
    <cellStyle name="Normal 2 96 3 4" xfId="20893" xr:uid="{3096A891-40D4-4681-8002-032A665E2C78}"/>
    <cellStyle name="Normal 2 96 3 4 2" xfId="35869" xr:uid="{E7D918A6-2C91-4A4E-99B6-342261A00B76}"/>
    <cellStyle name="Normal 2 96 3 5" xfId="28265" xr:uid="{F0B49352-4B3D-4C18-B5F0-0145A8498B80}"/>
    <cellStyle name="Normal 2 96 4" xfId="11738" xr:uid="{00000000-0005-0000-0000-0000D5260000}"/>
    <cellStyle name="Normal 2 96 4 2" xfId="26203" xr:uid="{051A8321-C1FC-4994-86B3-A1F031D37F11}"/>
    <cellStyle name="Normal 2 96 4 2 2" xfId="41166" xr:uid="{22959385-B54D-4DDE-B4FC-4138C4E9DEA6}"/>
    <cellStyle name="Normal 2 96 4 3" xfId="33571" xr:uid="{E28B7EA4-2DD8-44F3-84CC-858FE666C1B6}"/>
    <cellStyle name="Normal 2 96 5" xfId="11739" xr:uid="{00000000-0005-0000-0000-0000D6260000}"/>
    <cellStyle name="Normal 2 96 5 2" xfId="26204" xr:uid="{35F7C86F-DA2A-4D5C-9F8E-9CF6FBE0C656}"/>
    <cellStyle name="Normal 2 96 5 2 2" xfId="41167" xr:uid="{A92A14D5-B573-4097-8121-375209A4DDFA}"/>
    <cellStyle name="Normal 2 96 5 3" xfId="33572" xr:uid="{19B11C1E-6233-4C61-9AEA-6ED929C49FAB}"/>
    <cellStyle name="Normal 2 96 6" xfId="20737" xr:uid="{C208D560-2CA0-43AD-8494-5DDA6C9C45C1}"/>
    <cellStyle name="Normal 2 96 6 2" xfId="35730" xr:uid="{DE9D2B6E-B3F9-4372-9F13-2223D33B6808}"/>
    <cellStyle name="Normal 2 96 7" xfId="28054" xr:uid="{264EB99A-26E9-4D82-A447-EEA245B65AE8}"/>
    <cellStyle name="Normal 2 97" xfId="2873" xr:uid="{00000000-0005-0000-0000-0000E4050000}"/>
    <cellStyle name="Normal 2 97 2" xfId="20829" xr:uid="{DF95A1E5-85A3-4E37-B929-818D7CCD8C6E}"/>
    <cellStyle name="Normal 2 97 2 2" xfId="35805" xr:uid="{5A8B2DED-B138-4BAC-9EF4-B5890992799F}"/>
    <cellStyle name="Normal 2 97 3" xfId="28201" xr:uid="{42B88CEA-EE19-4153-AA71-A71C36D23433}"/>
    <cellStyle name="Normal 2 98" xfId="2933" xr:uid="{00000000-0005-0000-0000-0000E5050000}"/>
    <cellStyle name="Normal 2 98 2" xfId="20889" xr:uid="{5A6B15CE-F7AA-4AB8-87D4-BE508EC9669A}"/>
    <cellStyle name="Normal 2 98 2 2" xfId="35865" xr:uid="{35592C05-E4BA-4485-9B89-1D529104F487}"/>
    <cellStyle name="Normal 2 98 3" xfId="28261" xr:uid="{73968A52-4340-41B1-8912-BC6A6263CB88}"/>
    <cellStyle name="Normal 2 99" xfId="2576" xr:uid="{00000000-0005-0000-0000-000006020000}"/>
    <cellStyle name="Normal 2 99 2" xfId="20749" xr:uid="{F9ED7887-09B6-4E69-B465-A2A151EB84ED}"/>
    <cellStyle name="Normal 2 99 2 2" xfId="35742" xr:uid="{FBB02DE8-5D5D-464F-BE23-C411026419F1}"/>
    <cellStyle name="Normal 2 99 3" xfId="28066" xr:uid="{FBEA68E0-D9F8-42DC-8404-44E94511236F}"/>
    <cellStyle name="Normal 2_12889 GP Contracts v3" xfId="1608" xr:uid="{00000000-0005-0000-0000-0000E6050000}"/>
    <cellStyle name="Normal 20" xfId="1609" xr:uid="{00000000-0005-0000-0000-0000E7050000}"/>
    <cellStyle name="Normal 20 2" xfId="1610" xr:uid="{00000000-0005-0000-0000-0000E8050000}"/>
    <cellStyle name="Normal 20 2 2" xfId="2882" xr:uid="{00000000-0005-0000-0000-0000E9050000}"/>
    <cellStyle name="Normal 20 2 2 2" xfId="11740" xr:uid="{00000000-0005-0000-0000-0000DE260000}"/>
    <cellStyle name="Normal 20 2 2 2 2" xfId="11741" xr:uid="{00000000-0005-0000-0000-0000DF260000}"/>
    <cellStyle name="Normal 20 2 2 2 2 2" xfId="26206" xr:uid="{0045121A-91CB-4CA8-8928-DF8B54952FA7}"/>
    <cellStyle name="Normal 20 2 2 2 2 2 2" xfId="41169" xr:uid="{BB55B30A-7165-4E71-9381-8DCEF801FE89}"/>
    <cellStyle name="Normal 20 2 2 2 2 3" xfId="33574" xr:uid="{FB275772-5384-493F-A533-5785A7E50C5B}"/>
    <cellStyle name="Normal 20 2 2 2 3" xfId="11742" xr:uid="{00000000-0005-0000-0000-0000E0260000}"/>
    <cellStyle name="Normal 20 2 2 2 3 2" xfId="26207" xr:uid="{67200799-772F-44AE-BC80-BB1F57D013A2}"/>
    <cellStyle name="Normal 20 2 2 2 3 2 2" xfId="41170" xr:uid="{57DE61C9-AA5D-4C09-A195-83C957AB60F1}"/>
    <cellStyle name="Normal 20 2 2 2 3 3" xfId="33575" xr:uid="{80DE5A45-8CA7-4555-87CF-D2CB087C9FBA}"/>
    <cellStyle name="Normal 20 2 2 2 4" xfId="26205" xr:uid="{CDF65726-01CB-419C-B875-6E93A3B83292}"/>
    <cellStyle name="Normal 20 2 2 2 4 2" xfId="41168" xr:uid="{41753839-C8AA-40B0-B89D-93B9A0FA21AE}"/>
    <cellStyle name="Normal 20 2 2 2 5" xfId="33573" xr:uid="{8D6F29D4-F641-448F-A825-89BD897E0A54}"/>
    <cellStyle name="Normal 20 2 2 3" xfId="11743" xr:uid="{00000000-0005-0000-0000-0000E1260000}"/>
    <cellStyle name="Normal 20 2 2 3 2" xfId="26208" xr:uid="{35E748A5-231F-4785-85D9-60BD38F1A115}"/>
    <cellStyle name="Normal 20 2 2 3 2 2" xfId="41171" xr:uid="{BCE03E58-60D8-48EC-AB5F-CF946BF91985}"/>
    <cellStyle name="Normal 20 2 2 3 3" xfId="33576" xr:uid="{895D1FDA-37D7-47EE-B6D1-1505EAD78175}"/>
    <cellStyle name="Normal 20 2 2 4" xfId="11744" xr:uid="{00000000-0005-0000-0000-0000E2260000}"/>
    <cellStyle name="Normal 20 2 2 4 2" xfId="26209" xr:uid="{782EAC46-D554-4E86-8B89-3ABA686A1878}"/>
    <cellStyle name="Normal 20 2 2 4 2 2" xfId="41172" xr:uid="{8268FDEA-CBEB-4516-9505-80516A8A93DD}"/>
    <cellStyle name="Normal 20 2 2 4 3" xfId="33577" xr:uid="{CA33EE36-E289-4F45-81C2-5ACFBD7B3580}"/>
    <cellStyle name="Normal 20 2 2 5" xfId="20838" xr:uid="{3D8D20F9-260C-484B-A681-03A6A849B069}"/>
    <cellStyle name="Normal 20 2 2 5 2" xfId="35814" xr:uid="{C3F01BFA-91DC-48A3-AF36-FB8FA1D27F44}"/>
    <cellStyle name="Normal 20 2 2 6" xfId="28210" xr:uid="{73B29063-896B-4546-8742-3B0E5D2B8023}"/>
    <cellStyle name="Normal 20 2 3" xfId="2938" xr:uid="{00000000-0005-0000-0000-0000EA050000}"/>
    <cellStyle name="Normal 20 2 3 2" xfId="11745" xr:uid="{00000000-0005-0000-0000-0000E4260000}"/>
    <cellStyle name="Normal 20 2 3 2 2" xfId="26210" xr:uid="{8D34BE57-93A6-4377-AE6F-9C9370C32BE0}"/>
    <cellStyle name="Normal 20 2 3 2 2 2" xfId="41173" xr:uid="{3C82BEB8-32BC-441D-AAF5-B11F253EAF22}"/>
    <cellStyle name="Normal 20 2 3 2 3" xfId="33578" xr:uid="{4763428A-4EE9-4CCE-9A40-102BBFBB1BF2}"/>
    <cellStyle name="Normal 20 2 3 3" xfId="11746" xr:uid="{00000000-0005-0000-0000-0000E5260000}"/>
    <cellStyle name="Normal 20 2 3 3 2" xfId="26211" xr:uid="{0FA0DA85-5309-4544-A91C-B89D39B3693C}"/>
    <cellStyle name="Normal 20 2 3 3 2 2" xfId="41174" xr:uid="{DF207448-4957-40AE-8C95-156F3741E933}"/>
    <cellStyle name="Normal 20 2 3 3 3" xfId="33579" xr:uid="{C654F436-8DE5-41EB-8825-107D3DCEE886}"/>
    <cellStyle name="Normal 20 2 3 4" xfId="20894" xr:uid="{B7266F38-4216-45C3-AD12-B4914E18EF97}"/>
    <cellStyle name="Normal 20 2 3 4 2" xfId="35870" xr:uid="{769EC411-55D5-48F3-B970-E2F0CE9764C5}"/>
    <cellStyle name="Normal 20 2 3 5" xfId="28266" xr:uid="{E5E71E72-FBA6-4984-B4D4-0554E83BABB6}"/>
    <cellStyle name="Normal 20 2 4" xfId="11747" xr:uid="{00000000-0005-0000-0000-0000E6260000}"/>
    <cellStyle name="Normal 20 2 4 2" xfId="26212" xr:uid="{51A8F94D-F47B-47DC-8A54-B68879569EFA}"/>
    <cellStyle name="Normal 20 2 4 2 2" xfId="41175" xr:uid="{8956F225-03CD-4516-833F-B1671B26F9EE}"/>
    <cellStyle name="Normal 20 2 4 3" xfId="33580" xr:uid="{54A0EE51-01A7-4105-BC42-229C68FEB293}"/>
    <cellStyle name="Normal 20 2 5" xfId="11748" xr:uid="{00000000-0005-0000-0000-0000E7260000}"/>
    <cellStyle name="Normal 20 2 5 2" xfId="26213" xr:uid="{75F220E8-91A3-4400-AE73-8CFC32D2A21A}"/>
    <cellStyle name="Normal 20 2 5 2 2" xfId="41176" xr:uid="{C9ADDDAF-CF18-42C4-BA43-8FFDB85AADE1}"/>
    <cellStyle name="Normal 20 2 5 3" xfId="33581" xr:uid="{14211769-6214-43A6-9388-DAC49770752F}"/>
    <cellStyle name="Normal 20 2 6" xfId="11749" xr:uid="{00000000-0005-0000-0000-0000E8260000}"/>
    <cellStyle name="Normal 20 2 7" xfId="5377" xr:uid="{00000000-0005-0000-0000-0000DC260000}"/>
    <cellStyle name="Normal 20 2 8" xfId="20738" xr:uid="{ED61F5C0-63AC-411F-9A34-ADDD7D1472F7}"/>
    <cellStyle name="Normal 20 2 8 2" xfId="35731" xr:uid="{8A0EDDA8-6AF0-489C-97F0-28132ED779EF}"/>
    <cellStyle name="Normal 20 2 9" xfId="28055" xr:uid="{58CCF235-DD87-4699-BE04-30068D9C4C4E}"/>
    <cellStyle name="Normal 20 3" xfId="19" xr:uid="{00000000-0005-0000-0000-000014000000}"/>
    <cellStyle name="Normal 20 3 2" xfId="121" xr:uid="{00000000-0005-0000-0000-000014000000}"/>
    <cellStyle name="Normal 20 3 2 2" xfId="11750" xr:uid="{00000000-0005-0000-0000-0000EA260000}"/>
    <cellStyle name="Normal 20 3 2 3" xfId="20668" xr:uid="{91D45EC7-3099-479E-A3B7-2143F88B0C1E}"/>
    <cellStyle name="Normal 20 3 2 3 2" xfId="35669" xr:uid="{22742CF9-2BF8-4B88-B477-E3429639F689}"/>
    <cellStyle name="Normal 20 3 2 4" xfId="27972" xr:uid="{0DC23BAF-F712-4731-B40E-1E82D311F07D}"/>
    <cellStyle name="Normal 20 3 3" xfId="1611" xr:uid="{00000000-0005-0000-0000-0000EB050000}"/>
    <cellStyle name="Normal 20 3 3 2" xfId="11751" xr:uid="{00000000-0005-0000-0000-0000EB260000}"/>
    <cellStyle name="Normal 20 3 4" xfId="20598" xr:uid="{4CE7D8A2-34E3-4445-945B-40E54940372D}"/>
    <cellStyle name="Normal 20 3 4 2" xfId="35599" xr:uid="{90D4B4FE-704F-4425-A060-5F60F2B3B333}"/>
    <cellStyle name="Normal 20 3 5" xfId="27902" xr:uid="{1C0685C1-DE62-49C4-B6D7-79AA7D047EA4}"/>
    <cellStyle name="Normal 20 4" xfId="11752" xr:uid="{00000000-0005-0000-0000-0000EC260000}"/>
    <cellStyle name="Normal 20 5" xfId="11753" xr:uid="{00000000-0005-0000-0000-0000ED260000}"/>
    <cellStyle name="Normal 20 5 2" xfId="11754" xr:uid="{00000000-0005-0000-0000-0000EE260000}"/>
    <cellStyle name="Normal 20 6" xfId="11755" xr:uid="{00000000-0005-0000-0000-0000EF260000}"/>
    <cellStyle name="Normal 20 7" xfId="5378" xr:uid="{00000000-0005-0000-0000-0000DB260000}"/>
    <cellStyle name="Normal 20_App b.3 Unspent_" xfId="1612" xr:uid="{00000000-0005-0000-0000-0000EC050000}"/>
    <cellStyle name="Normal 200" xfId="11756" xr:uid="{00000000-0005-0000-0000-0000F0260000}"/>
    <cellStyle name="Normal 201" xfId="20120" xr:uid="{00000000-0005-0000-0000-0000F1260000}"/>
    <cellStyle name="Normal 201 2" xfId="27563" xr:uid="{EFB72A4D-598B-4B82-A11B-38419CDD2A05}"/>
    <cellStyle name="Normal 201 2 2" xfId="42500" xr:uid="{7D7B658C-09D3-40FE-B41B-7E5A8111EAC6}"/>
    <cellStyle name="Normal 201 3" xfId="35139" xr:uid="{5AFDF5B0-616B-4390-B3A4-C9DDB59813BD}"/>
    <cellStyle name="Normal 202" xfId="5509" xr:uid="{00000000-0005-0000-0000-000063270000}"/>
    <cellStyle name="Normal 202 2" xfId="23186" xr:uid="{42D43998-7027-4206-A8C2-EE08480052A9}"/>
    <cellStyle name="Normal 203" xfId="5499" xr:uid="{00000000-0005-0000-0000-0000D74E0000}"/>
    <cellStyle name="Normal 203 2" xfId="23185" xr:uid="{28B52A76-DDA1-4099-9263-900CF8DC8265}"/>
    <cellStyle name="Normal 204" xfId="20529" xr:uid="{00000000-0005-0000-0000-000057500000}"/>
    <cellStyle name="Normal 204 2" xfId="27838" xr:uid="{989A7693-A801-45E7-8986-CE0E1C191D20}"/>
    <cellStyle name="Normal 204 2 2" xfId="42775" xr:uid="{851394E8-3857-4707-84D4-16A33395E956}"/>
    <cellStyle name="Normal 204 3" xfId="35547" xr:uid="{9C3ABC8C-C7C0-46C8-9CEA-930B319D217F}"/>
    <cellStyle name="Normal 205" xfId="15917" xr:uid="{00000000-0005-0000-0000-000058500000}"/>
    <cellStyle name="Normal 205 2" xfId="26894" xr:uid="{E5C5DCCF-78C6-4DCD-A19B-3418DB9D05F0}"/>
    <cellStyle name="Normal 205 2 2" xfId="41857" xr:uid="{B122E9C1-88F1-4356-826B-46B8292FB5F3}"/>
    <cellStyle name="Normal 205 3" xfId="34269" xr:uid="{5E2DCDA7-3DD2-4CC9-9E8E-E696F12B4FC9}"/>
    <cellStyle name="Normal 206" xfId="15914" xr:uid="{00000000-0005-0000-0000-000059500000}"/>
    <cellStyle name="Normal 206 2" xfId="26893" xr:uid="{65EF0C26-15F2-4FF4-98F3-6F0725D618DD}"/>
    <cellStyle name="Normal 206 2 2" xfId="41856" xr:uid="{176C8B08-F153-4876-88F8-452B84FDA224}"/>
    <cellStyle name="Normal 206 3" xfId="34268" xr:uid="{02C2949E-A482-4A86-A0DF-E3217AB91202}"/>
    <cellStyle name="Normal 207" xfId="15922" xr:uid="{00000000-0005-0000-0000-00005A500000}"/>
    <cellStyle name="Normal 207 2" xfId="26895" xr:uid="{AC793438-8188-46BC-835A-C05E8133CCB4}"/>
    <cellStyle name="Normal 207 2 2" xfId="41858" xr:uid="{05FD05AA-4776-49C5-9C77-9FEB8FA732A7}"/>
    <cellStyle name="Normal 207 3" xfId="34270" xr:uid="{8F77EECF-4C50-43CA-9558-7DC0B1834F4B}"/>
    <cellStyle name="Normal 208" xfId="20528" xr:uid="{00000000-0005-0000-0000-00005B500000}"/>
    <cellStyle name="Normal 208 2" xfId="27837" xr:uid="{0AFBEB55-9498-4284-9DB5-7FC1B2516BEB}"/>
    <cellStyle name="Normal 208 2 2" xfId="42774" xr:uid="{C3FD0BEF-D550-416A-806A-017BD47F5D77}"/>
    <cellStyle name="Normal 208 3" xfId="35546" xr:uid="{40A11FF6-71B4-4D6E-BE4B-3F1736806CA5}"/>
    <cellStyle name="Normal 209" xfId="20527" xr:uid="{00000000-0005-0000-0000-00005D500000}"/>
    <cellStyle name="Normal 209 2" xfId="27836" xr:uid="{A7BC3225-921D-408E-9013-83A948AF602C}"/>
    <cellStyle name="Normal 209 2 2" xfId="42773" xr:uid="{C153AEF7-85CF-463A-9F06-60478E2A61D1}"/>
    <cellStyle name="Normal 209 3" xfId="35545" xr:uid="{AA9BF234-FA95-4C75-8972-819C2B307B05}"/>
    <cellStyle name="Normal 21" xfId="1613" xr:uid="{00000000-0005-0000-0000-0000ED050000}"/>
    <cellStyle name="Normal 21 2" xfId="1614" xr:uid="{00000000-0005-0000-0000-0000EE050000}"/>
    <cellStyle name="Normal 21 2 2" xfId="2883" xr:uid="{00000000-0005-0000-0000-0000EF050000}"/>
    <cellStyle name="Normal 21 2 2 2" xfId="11757" xr:uid="{00000000-0005-0000-0000-0000F5260000}"/>
    <cellStyle name="Normal 21 2 2 2 2" xfId="26214" xr:uid="{14593BCE-DD5F-430F-9463-0CF9626C507A}"/>
    <cellStyle name="Normal 21 2 2 2 2 2" xfId="41177" xr:uid="{8810ED8C-85BD-4421-A9B5-C07A9416AFE7}"/>
    <cellStyle name="Normal 21 2 2 2 3" xfId="33582" xr:uid="{5B60EED9-3706-436E-BD08-F2DCDF0CD7F2}"/>
    <cellStyle name="Normal 21 2 2 3" xfId="11758" xr:uid="{00000000-0005-0000-0000-0000F6260000}"/>
    <cellStyle name="Normal 21 2 2 3 2" xfId="26215" xr:uid="{4AABE778-30B0-46E0-8E17-E5DB95194D0C}"/>
    <cellStyle name="Normal 21 2 2 3 2 2" xfId="41178" xr:uid="{B13CF01C-C5D4-46A6-B3B5-A4CA327EFF79}"/>
    <cellStyle name="Normal 21 2 2 3 3" xfId="33583" xr:uid="{20270EA7-DF13-45F8-9BED-1361A6B07FBD}"/>
    <cellStyle name="Normal 21 2 2 4" xfId="20839" xr:uid="{0CB08C83-A4B9-45AC-AE09-749E1EA1DE3B}"/>
    <cellStyle name="Normal 21 2 2 4 2" xfId="35815" xr:uid="{C53D2FCA-D75A-4D41-9095-196D6E0BB1BB}"/>
    <cellStyle name="Normal 21 2 2 5" xfId="28211" xr:uid="{125E4565-5B87-4572-AF79-71266561E219}"/>
    <cellStyle name="Normal 21 2 3" xfId="2939" xr:uid="{00000000-0005-0000-0000-0000F0050000}"/>
    <cellStyle name="Normal 21 2 3 2" xfId="20895" xr:uid="{5F4202EA-D104-45C3-96F1-27CA9D218E35}"/>
    <cellStyle name="Normal 21 2 3 2 2" xfId="35871" xr:uid="{5671FB5F-D542-4213-B008-08DD2A039D6D}"/>
    <cellStyle name="Normal 21 2 3 3" xfId="28267" xr:uid="{06D8C85D-A165-4D8B-A14A-270836F95483}"/>
    <cellStyle name="Normal 21 2 4" xfId="11759" xr:uid="{00000000-0005-0000-0000-0000F8260000}"/>
    <cellStyle name="Normal 21 2 4 2" xfId="26216" xr:uid="{0EF1EEA4-C7FD-4358-8AAA-05D053AAC0E2}"/>
    <cellStyle name="Normal 21 2 4 2 2" xfId="41179" xr:uid="{F776EBF8-9E23-4129-89F7-343CEB366238}"/>
    <cellStyle name="Normal 21 2 4 3" xfId="33584" xr:uid="{FF64211B-5C6E-4313-8195-0CA2E7ADE39D}"/>
    <cellStyle name="Normal 21 2 5" xfId="11760" xr:uid="{00000000-0005-0000-0000-0000F9260000}"/>
    <cellStyle name="Normal 21 2 6" xfId="5375" xr:uid="{00000000-0005-0000-0000-0000F3260000}"/>
    <cellStyle name="Normal 21 2 7" xfId="20739" xr:uid="{2CE74848-3167-4239-8BC3-08FB712BCF24}"/>
    <cellStyle name="Normal 21 2 7 2" xfId="35732" xr:uid="{78EF4D82-FA00-45C7-8739-19DB4402E2D4}"/>
    <cellStyle name="Normal 21 2 8" xfId="28056" xr:uid="{C4F60416-4F62-41AD-A95C-1D1E0DF143CD}"/>
    <cellStyle name="Normal 21 3" xfId="20" xr:uid="{00000000-0005-0000-0000-000015000000}"/>
    <cellStyle name="Normal 21 3 2" xfId="122" xr:uid="{00000000-0005-0000-0000-000015000000}"/>
    <cellStyle name="Normal 21 3 2 2" xfId="20669" xr:uid="{E7E709E9-121C-4033-824D-AD2ABAD67409}"/>
    <cellStyle name="Normal 21 3 2 2 2" xfId="35670" xr:uid="{D0F6A5B1-1BB6-4D70-95EB-48DFA95C483E}"/>
    <cellStyle name="Normal 21 3 2 3" xfId="27973" xr:uid="{1CD1C5B7-01B1-462B-A0ED-8C9B2E1B368E}"/>
    <cellStyle name="Normal 21 3 3" xfId="11761" xr:uid="{00000000-0005-0000-0000-0000FC260000}"/>
    <cellStyle name="Normal 21 3 3 2" xfId="11762" xr:uid="{00000000-0005-0000-0000-0000FD260000}"/>
    <cellStyle name="Normal 21 3 3 2 2" xfId="26217" xr:uid="{71C96BB2-6EE8-473E-93E0-1BF3D3D3806C}"/>
    <cellStyle name="Normal 21 3 3 2 2 2" xfId="41180" xr:uid="{10CB25BC-5871-424F-8691-C3C96ACBC12F}"/>
    <cellStyle name="Normal 21 3 3 2 3" xfId="33585" xr:uid="{5B5AD7D2-43DA-4485-88E7-52CCC042DA7F}"/>
    <cellStyle name="Normal 21 3 4" xfId="20599" xr:uid="{78B54430-781C-4E4A-910F-5F8393E29736}"/>
    <cellStyle name="Normal 21 3 4 2" xfId="35600" xr:uid="{2EE014CF-78BB-48C2-A2BC-726D2E4C0F75}"/>
    <cellStyle name="Normal 21 3 5" xfId="27903" xr:uid="{E3726CCA-314A-493E-B44E-BDB3A711DCEA}"/>
    <cellStyle name="Normal 21 4" xfId="11763" xr:uid="{00000000-0005-0000-0000-0000FE260000}"/>
    <cellStyle name="Normal 21 4 2" xfId="26218" xr:uid="{580FEB20-E5EA-44BC-9A79-CDFFB39F38E9}"/>
    <cellStyle name="Normal 21 4 2 2" xfId="41181" xr:uid="{3786A1CF-490E-47E9-A0F3-099965F5D7FB}"/>
    <cellStyle name="Normal 21 4 3" xfId="33586" xr:uid="{FD4D577C-7924-406A-8939-A9519418696A}"/>
    <cellStyle name="Normal 21 5" xfId="11764" xr:uid="{00000000-0005-0000-0000-0000FF260000}"/>
    <cellStyle name="Normal 21 5 2" xfId="26219" xr:uid="{8492BCBC-376D-4CB9-935F-D17C763B687C}"/>
    <cellStyle name="Normal 21 5 2 2" xfId="41182" xr:uid="{7554CDC0-749B-4782-9E8A-98AF1810DAFB}"/>
    <cellStyle name="Normal 21 5 3" xfId="33587" xr:uid="{D050AE54-084D-4B02-82EA-A868AC00511B}"/>
    <cellStyle name="Normal 21 6" xfId="11765" xr:uid="{00000000-0005-0000-0000-000000270000}"/>
    <cellStyle name="Normal 21 7" xfId="5376" xr:uid="{00000000-0005-0000-0000-0000F2260000}"/>
    <cellStyle name="Normal 21_App b.3 Unspent_" xfId="1615" xr:uid="{00000000-0005-0000-0000-0000F1050000}"/>
    <cellStyle name="Normal 210" xfId="20536" xr:uid="{F92909E9-3471-4B18-A40C-A4EF8A70AFF0}"/>
    <cellStyle name="Normal 210 2" xfId="20551" xr:uid="{2E73667C-20FC-439F-9A2C-0E3C7F5D0DA6}"/>
    <cellStyle name="Normal 210 2 2" xfId="20563" xr:uid="{F0504E7F-80FC-4E6C-AE5E-C2BF8F3B816E}"/>
    <cellStyle name="Normal 210 2 2 2" xfId="27861" xr:uid="{B5D40BC7-DA99-49BD-9CB6-2F4CB3346646}"/>
    <cellStyle name="Normal 210 2 2 2 2" xfId="42798" xr:uid="{B420389E-2302-4F7B-97C2-DCC1B100937E}"/>
    <cellStyle name="Normal 210 2 2 3" xfId="35570" xr:uid="{532D95B9-B770-4CC4-BE76-17F152F7B8B6}"/>
    <cellStyle name="Normal 210 2 3" xfId="27855" xr:uid="{763D5884-EF07-4C23-BDCF-36879A780D03}"/>
    <cellStyle name="Normal 210 2 3 2" xfId="42792" xr:uid="{BE9BE35E-B6A2-4EE3-BDFB-0A75FAD24239}"/>
    <cellStyle name="Normal 210 2 4" xfId="35564" xr:uid="{D9CA066D-C5E6-454A-ABA9-4C57F7775D64}"/>
    <cellStyle name="Normal 210 3" xfId="20572" xr:uid="{E95D1431-A504-4218-96C0-1B6A01809779}"/>
    <cellStyle name="Normal 210 3 2" xfId="27865" xr:uid="{2F39E223-6F65-4BBF-806E-FC9F0821C8E6}"/>
    <cellStyle name="Normal 210 3 2 2" xfId="42802" xr:uid="{87B96677-81E3-4EAC-9E4B-FF077E830C7D}"/>
    <cellStyle name="Normal 210 3 3" xfId="35574" xr:uid="{F757EF2E-DF54-4257-9709-C54624B17112}"/>
    <cellStyle name="Normal 210 4" xfId="27843" xr:uid="{AE646887-BC8E-403D-87AB-F7D8AC03CC0D}"/>
    <cellStyle name="Normal 210 4 2" xfId="42780" xr:uid="{AAC36E65-9EE9-4B52-B1AD-B220930F2830}"/>
    <cellStyle name="Normal 210 5" xfId="35552" xr:uid="{73B8C4EE-10A4-4623-84FE-B9392374F1AE}"/>
    <cellStyle name="Normal 211" xfId="20575" xr:uid="{59411DBF-B5EB-47FF-AB29-1C0A0F40DF13}"/>
    <cellStyle name="Normal 211 2" xfId="20580" xr:uid="{40882EA8-F651-49EB-8206-188E03D1B586}"/>
    <cellStyle name="Normal 211 2 2" xfId="27873" xr:uid="{8FD306F9-E6B2-4EF1-9552-B39EB54ABB24}"/>
    <cellStyle name="Normal 211 2 2 2" xfId="42810" xr:uid="{2922509C-E95D-4BE0-8345-2889E0ACE3E7}"/>
    <cellStyle name="Normal 211 2 3" xfId="35582" xr:uid="{7BEFB45D-6DEF-4B87-B273-977D9D60378B}"/>
    <cellStyle name="Normal 211 3" xfId="27868" xr:uid="{150F80FD-C660-467D-B53C-D3E9E4042D82}"/>
    <cellStyle name="Normal 211 3 2" xfId="42805" xr:uid="{B96D1A35-B12D-4702-9FC7-04C34D033E4C}"/>
    <cellStyle name="Normal 211 4" xfId="35577" xr:uid="{EC0BC674-9FFC-4BF8-978F-BECC0B38887C}"/>
    <cellStyle name="Normal 212" xfId="20583" xr:uid="{A7B289BC-DCC2-49F2-B37F-BA01F34601B3}"/>
    <cellStyle name="Normal 212 2" xfId="27876" xr:uid="{8D310BC9-1AA8-4621-9DE3-61E79A5C70C3}"/>
    <cellStyle name="Normal 212 2 2" xfId="42813" xr:uid="{FC39E76E-FB93-4E36-8D30-62EDAA4420C9}"/>
    <cellStyle name="Normal 212 3" xfId="35585" xr:uid="{8C711493-0B23-4D26-BF10-C2CF8D4C6CF8}"/>
    <cellStyle name="Normal 213" xfId="20584" xr:uid="{56B19F37-2784-463F-A269-D3F25577C816}"/>
    <cellStyle name="Normal 213 2" xfId="27877" xr:uid="{54FADCC9-9F4B-4ABD-9824-95E70635D044}"/>
    <cellStyle name="Normal 213 2 2" xfId="42814" xr:uid="{103641FA-CFA5-429D-BF3A-A45245AAD948}"/>
    <cellStyle name="Normal 213 3" xfId="35586" xr:uid="{F6282BC7-5864-48B7-BEC7-FCCFA0C23949}"/>
    <cellStyle name="Normal 214" xfId="20586" xr:uid="{85C88B39-9595-44D3-8187-9C910CA55BE6}"/>
    <cellStyle name="Normal 214 2" xfId="27879" xr:uid="{42365CDD-5F96-4287-B6F2-9B6F181F3116}"/>
    <cellStyle name="Normal 214 2 2" xfId="42816" xr:uid="{DDC874DC-68E2-445C-9C0D-983CCA6F82DB}"/>
    <cellStyle name="Normal 214 3" xfId="35588" xr:uid="{4AF7BDA2-9883-414C-87C8-5561DFDFD23A}"/>
    <cellStyle name="Normal 216" xfId="27887" xr:uid="{7BF501E6-2324-4149-A85C-2ED6E8BFBE0D}"/>
    <cellStyle name="Normal 216 2" xfId="42824" xr:uid="{287AD692-20E6-47D9-A02E-4298283A2D9C}"/>
    <cellStyle name="Normal 22" xfId="1616" xr:uid="{00000000-0005-0000-0000-0000F2050000}"/>
    <cellStyle name="Normal 22 2" xfId="1617" xr:uid="{00000000-0005-0000-0000-0000F3050000}"/>
    <cellStyle name="Normal 22 2 2" xfId="2884" xr:uid="{00000000-0005-0000-0000-0000F4050000}"/>
    <cellStyle name="Normal 22 2 2 2" xfId="11766" xr:uid="{00000000-0005-0000-0000-000004270000}"/>
    <cellStyle name="Normal 22 2 2 2 2" xfId="26220" xr:uid="{11B16156-27E4-4960-BF56-C71A569EF3CA}"/>
    <cellStyle name="Normal 22 2 2 2 2 2" xfId="41183" xr:uid="{E5B046A3-51FC-471A-B7D2-490CBAC4CA5D}"/>
    <cellStyle name="Normal 22 2 2 2 3" xfId="33588" xr:uid="{0568F1E7-47B2-4ABC-B08D-EAD25283AC60}"/>
    <cellStyle name="Normal 22 2 2 3" xfId="11767" xr:uid="{00000000-0005-0000-0000-000005270000}"/>
    <cellStyle name="Normal 22 2 2 3 2" xfId="26221" xr:uid="{755B9CAB-CEE7-474C-9004-C72BB0CEB36C}"/>
    <cellStyle name="Normal 22 2 2 3 2 2" xfId="41184" xr:uid="{5AF7E71F-5FE0-4816-9D78-16650ED34233}"/>
    <cellStyle name="Normal 22 2 2 3 3" xfId="33589" xr:uid="{0A16F806-C1EA-4D22-BF37-0CE29DAF5F4B}"/>
    <cellStyle name="Normal 22 2 2 4" xfId="20840" xr:uid="{01D848AF-EFB2-4A90-844E-8EC80FB457DA}"/>
    <cellStyle name="Normal 22 2 2 4 2" xfId="35816" xr:uid="{FCD3098A-579B-481F-B80E-E794D2E6453A}"/>
    <cellStyle name="Normal 22 2 2 5" xfId="28212" xr:uid="{F63DF9BB-348E-468F-B1AB-F5FA4CBFF14A}"/>
    <cellStyle name="Normal 22 2 3" xfId="2940" xr:uid="{00000000-0005-0000-0000-0000F5050000}"/>
    <cellStyle name="Normal 22 2 3 2" xfId="20896" xr:uid="{275C0440-2086-4709-A26A-26C73AD3F7BF}"/>
    <cellStyle name="Normal 22 2 3 2 2" xfId="35872" xr:uid="{38C6FD98-2EC5-486D-93AA-EAE8BBBDBB30}"/>
    <cellStyle name="Normal 22 2 3 3" xfId="28268" xr:uid="{C4002ABF-B3F5-4358-8E8D-44AA8FB4712A}"/>
    <cellStyle name="Normal 22 2 4" xfId="11768" xr:uid="{00000000-0005-0000-0000-000007270000}"/>
    <cellStyle name="Normal 22 2 4 2" xfId="26222" xr:uid="{54CF4410-CFC3-4023-A590-3C19E0E3CC94}"/>
    <cellStyle name="Normal 22 2 4 2 2" xfId="41185" xr:uid="{0B0E8310-2D40-4DCB-97F1-15E39089E20C}"/>
    <cellStyle name="Normal 22 2 4 3" xfId="33590" xr:uid="{6912C31D-4DD3-4968-B9CA-046B9FD9B42C}"/>
    <cellStyle name="Normal 22 2 5" xfId="11769" xr:uid="{00000000-0005-0000-0000-000008270000}"/>
    <cellStyle name="Normal 22 2 6" xfId="5373" xr:uid="{00000000-0005-0000-0000-000002270000}"/>
    <cellStyle name="Normal 22 2 7" xfId="20740" xr:uid="{C95C302C-108C-418E-B740-69D3E9677785}"/>
    <cellStyle name="Normal 22 2 7 2" xfId="35733" xr:uid="{3BB13D84-67EA-42EB-897D-613DD1A7A913}"/>
    <cellStyle name="Normal 22 2 8" xfId="28057" xr:uid="{2E0F51AB-A71D-4146-B91F-88D22AA89ECD}"/>
    <cellStyle name="Normal 22 3" xfId="21" xr:uid="{00000000-0005-0000-0000-000016000000}"/>
    <cellStyle name="Normal 22 3 2" xfId="123" xr:uid="{00000000-0005-0000-0000-000016000000}"/>
    <cellStyle name="Normal 22 3 2 2" xfId="20670" xr:uid="{B844D28C-03D2-4B3D-8636-9785C6C30862}"/>
    <cellStyle name="Normal 22 3 2 2 2" xfId="35671" xr:uid="{A880456B-E0F6-4A69-80C8-EC594FC5083E}"/>
    <cellStyle name="Normal 22 3 2 3" xfId="27974" xr:uid="{F1D6AD50-AA0F-4F95-8904-E9CD60E6158B}"/>
    <cellStyle name="Normal 22 3 3" xfId="11770" xr:uid="{00000000-0005-0000-0000-00000B270000}"/>
    <cellStyle name="Normal 22 3 3 2" xfId="11771" xr:uid="{00000000-0005-0000-0000-00000C270000}"/>
    <cellStyle name="Normal 22 3 3 2 2" xfId="26223" xr:uid="{CFBD3F59-88E3-4D5B-BB60-F97AF05B2C59}"/>
    <cellStyle name="Normal 22 3 3 2 2 2" xfId="41186" xr:uid="{87B0C42B-B582-4058-BE2A-455F1DC51B53}"/>
    <cellStyle name="Normal 22 3 3 2 3" xfId="33591" xr:uid="{1B9FD04F-8CF8-4E60-96BD-C9305155FA73}"/>
    <cellStyle name="Normal 22 3 4" xfId="20600" xr:uid="{6AA11130-3413-431C-B034-4A93FCB54939}"/>
    <cellStyle name="Normal 22 3 4 2" xfId="35601" xr:uid="{6E6BA8FD-6CC4-41F1-9776-08CF17079C27}"/>
    <cellStyle name="Normal 22 3 5" xfId="27904" xr:uid="{3979371E-8495-4E0A-800F-D6252ABAB7DB}"/>
    <cellStyle name="Normal 22 4" xfId="11772" xr:uid="{00000000-0005-0000-0000-00000D270000}"/>
    <cellStyle name="Normal 22 4 2" xfId="26224" xr:uid="{D9953FCD-EC81-4530-972C-58BEE8393705}"/>
    <cellStyle name="Normal 22 4 2 2" xfId="41187" xr:uid="{4C29BD26-781D-4C0F-BFE7-13767BAFCC90}"/>
    <cellStyle name="Normal 22 4 3" xfId="33592" xr:uid="{F16ED754-2F95-4922-8471-C3914353C11D}"/>
    <cellStyle name="Normal 22 5" xfId="11773" xr:uid="{00000000-0005-0000-0000-00000E270000}"/>
    <cellStyle name="Normal 22 5 2" xfId="26225" xr:uid="{F451CF3A-FA4A-4B4B-A080-5601090899D1}"/>
    <cellStyle name="Normal 22 5 2 2" xfId="41188" xr:uid="{10A2D9DA-67BE-4F01-A501-19BD70791B08}"/>
    <cellStyle name="Normal 22 5 3" xfId="33593" xr:uid="{44A17BB9-65AE-4E47-B0C0-A66B04D2B68C}"/>
    <cellStyle name="Normal 22 6" xfId="11774" xr:uid="{00000000-0005-0000-0000-00000F270000}"/>
    <cellStyle name="Normal 22 7" xfId="5374" xr:uid="{00000000-0005-0000-0000-000001270000}"/>
    <cellStyle name="Normal 22_App b.3 Unspent_" xfId="1618" xr:uid="{00000000-0005-0000-0000-0000F6050000}"/>
    <cellStyle name="Normal 23" xfId="1619" xr:uid="{00000000-0005-0000-0000-0000F7050000}"/>
    <cellStyle name="Normal 23 2" xfId="5371" xr:uid="{00000000-0005-0000-0000-000011270000}"/>
    <cellStyle name="Normal 23 2 2" xfId="11775" xr:uid="{00000000-0005-0000-0000-000012270000}"/>
    <cellStyle name="Normal 23 2 2 2" xfId="11776" xr:uid="{00000000-0005-0000-0000-000013270000}"/>
    <cellStyle name="Normal 23 2 2 2 2" xfId="11777" xr:uid="{00000000-0005-0000-0000-000014270000}"/>
    <cellStyle name="Normal 23 2 2 2 2 2" xfId="26228" xr:uid="{384E9EC4-97D7-48BB-94F8-5F4DBE06D032}"/>
    <cellStyle name="Normal 23 2 2 2 2 2 2" xfId="41191" xr:uid="{527779D9-468E-41A9-B124-45C3F751E671}"/>
    <cellStyle name="Normal 23 2 2 2 2 3" xfId="33596" xr:uid="{D505FFE7-0994-49DB-BAAB-7B0BC7C902D6}"/>
    <cellStyle name="Normal 23 2 2 2 3" xfId="11778" xr:uid="{00000000-0005-0000-0000-000015270000}"/>
    <cellStyle name="Normal 23 2 2 2 3 2" xfId="26229" xr:uid="{4BE6DD60-1019-447E-8C3A-D2F80510A95B}"/>
    <cellStyle name="Normal 23 2 2 2 3 2 2" xfId="41192" xr:uid="{4D729E61-6886-41FA-92EF-A05BDF8423F8}"/>
    <cellStyle name="Normal 23 2 2 2 3 3" xfId="33597" xr:uid="{0DF9FC85-526C-42F4-8BA9-60990DAD1C1E}"/>
    <cellStyle name="Normal 23 2 2 2 4" xfId="26227" xr:uid="{F68D0C75-C802-4A71-AFA9-54988A58B9FD}"/>
    <cellStyle name="Normal 23 2 2 2 4 2" xfId="41190" xr:uid="{A3E1B774-D4DA-4F6F-8838-6E66118FAB80}"/>
    <cellStyle name="Normal 23 2 2 2 5" xfId="33595" xr:uid="{DC5DAD30-6861-446A-A0CF-F70ADF8DA3EA}"/>
    <cellStyle name="Normal 23 2 2 3" xfId="11779" xr:uid="{00000000-0005-0000-0000-000016270000}"/>
    <cellStyle name="Normal 23 2 2 3 2" xfId="26230" xr:uid="{DB1EEC9F-68AD-400C-8793-8A3CEAC1A6CB}"/>
    <cellStyle name="Normal 23 2 2 3 2 2" xfId="41193" xr:uid="{C1046DCA-55B8-4E48-BF82-3D9BF4A22AF3}"/>
    <cellStyle name="Normal 23 2 2 3 3" xfId="33598" xr:uid="{FD3975BA-8DD0-4656-98D1-9160AB2C3A73}"/>
    <cellStyle name="Normal 23 2 2 4" xfId="11780" xr:uid="{00000000-0005-0000-0000-000017270000}"/>
    <cellStyle name="Normal 23 2 2 4 2" xfId="26231" xr:uid="{50136299-2517-4ABE-AC6A-08D381F9218E}"/>
    <cellStyle name="Normal 23 2 2 4 2 2" xfId="41194" xr:uid="{D6269D47-2C9E-4B6C-9EB8-6FABA69E2897}"/>
    <cellStyle name="Normal 23 2 2 4 3" xfId="33599" xr:uid="{AE7F5B82-8C1B-4B83-A921-0AC412B04DE9}"/>
    <cellStyle name="Normal 23 2 2 5" xfId="26226" xr:uid="{616C7C3A-1EC8-4B9C-B612-E7BDCEEE2BCF}"/>
    <cellStyle name="Normal 23 2 2 5 2" xfId="41189" xr:uid="{7A7109B7-63F7-4600-B156-E378446AB7E7}"/>
    <cellStyle name="Normal 23 2 2 6" xfId="33594" xr:uid="{60076B1C-6DF3-4F11-A5C3-A246761813B7}"/>
    <cellStyle name="Normal 23 2 3" xfId="11781" xr:uid="{00000000-0005-0000-0000-000018270000}"/>
    <cellStyle name="Normal 23 2 3 2" xfId="11782" xr:uid="{00000000-0005-0000-0000-000019270000}"/>
    <cellStyle name="Normal 23 2 3 2 2" xfId="26233" xr:uid="{AB6D249D-379A-4820-A2F4-18DFA5FF1D26}"/>
    <cellStyle name="Normal 23 2 3 2 2 2" xfId="41196" xr:uid="{B2C55069-5BEA-4180-B5E9-5791ED3AD2FD}"/>
    <cellStyle name="Normal 23 2 3 2 3" xfId="33601" xr:uid="{61635560-DCCC-4799-9BDA-6ED78471658B}"/>
    <cellStyle name="Normal 23 2 3 3" xfId="11783" xr:uid="{00000000-0005-0000-0000-00001A270000}"/>
    <cellStyle name="Normal 23 2 3 3 2" xfId="26234" xr:uid="{361EFF90-17EB-40F8-B08C-E9B6102683CD}"/>
    <cellStyle name="Normal 23 2 3 3 2 2" xfId="41197" xr:uid="{14C1E1AC-964A-459F-ACBA-EAF424801A30}"/>
    <cellStyle name="Normal 23 2 3 3 3" xfId="33602" xr:uid="{7419BBBB-D75B-466B-A328-EF7C7A4CF5C1}"/>
    <cellStyle name="Normal 23 2 3 4" xfId="26232" xr:uid="{F2D51A7E-13B4-4DD7-87BA-71748F2D3EEB}"/>
    <cellStyle name="Normal 23 2 3 4 2" xfId="41195" xr:uid="{BDB77F00-98DB-4507-AE9D-FE48887B90E3}"/>
    <cellStyle name="Normal 23 2 3 5" xfId="33600" xr:uid="{178935BC-BAE4-44BA-A8FE-C8BBF6F9DE0D}"/>
    <cellStyle name="Normal 23 2 4" xfId="11784" xr:uid="{00000000-0005-0000-0000-00001B270000}"/>
    <cellStyle name="Normal 23 2 4 2" xfId="26235" xr:uid="{50F2747C-791C-4483-9BE4-96D449DCB048}"/>
    <cellStyle name="Normal 23 2 4 2 2" xfId="41198" xr:uid="{18409590-436E-47F4-9316-4CA8ED096CA3}"/>
    <cellStyle name="Normal 23 2 4 3" xfId="33603" xr:uid="{E5EA23C0-5470-46D2-9BC4-8EB259945A07}"/>
    <cellStyle name="Normal 23 2 5" xfId="11785" xr:uid="{00000000-0005-0000-0000-00001C270000}"/>
    <cellStyle name="Normal 23 2 5 2" xfId="26236" xr:uid="{6DB02E1D-22D9-44CA-AD2E-C046E9347FFD}"/>
    <cellStyle name="Normal 23 2 5 2 2" xfId="41199" xr:uid="{248FE76B-DE49-4BF1-A0AC-1AAF0526D18D}"/>
    <cellStyle name="Normal 23 2 5 3" xfId="33604" xr:uid="{8AB1EA46-76E2-4720-B69F-745BA3C33D9C}"/>
    <cellStyle name="Normal 23 2 6" xfId="11786" xr:uid="{00000000-0005-0000-0000-00001D270000}"/>
    <cellStyle name="Normal 23 3" xfId="22" xr:uid="{00000000-0005-0000-0000-000017000000}"/>
    <cellStyle name="Normal 23 3 2" xfId="124" xr:uid="{00000000-0005-0000-0000-000017000000}"/>
    <cellStyle name="Normal 23 3 2 2" xfId="20671" xr:uid="{E1B48E48-5CC7-493A-AB91-2EFFFF0CB8D5}"/>
    <cellStyle name="Normal 23 3 2 2 2" xfId="35672" xr:uid="{52F72DD5-8DBE-4B99-BE77-76C67E012AC7}"/>
    <cellStyle name="Normal 23 3 2 3" xfId="27975" xr:uid="{76C11F5E-AAAA-4026-B8A4-9F0BD902783E}"/>
    <cellStyle name="Normal 23 3 3" xfId="11787" xr:uid="{00000000-0005-0000-0000-00001E270000}"/>
    <cellStyle name="Normal 23 3 4" xfId="20601" xr:uid="{E7BECC81-D260-4EB2-ABF5-7267DD759507}"/>
    <cellStyle name="Normal 23 3 4 2" xfId="35602" xr:uid="{F268F455-37FF-4001-AF03-2A6006F4B3E4}"/>
    <cellStyle name="Normal 23 3 5" xfId="27905" xr:uid="{A264D725-8901-4EC0-99FE-A1857CCFDF28}"/>
    <cellStyle name="Normal 23 4" xfId="5372" xr:uid="{00000000-0005-0000-0000-000010270000}"/>
    <cellStyle name="Normal 24" xfId="1620" xr:uid="{00000000-0005-0000-0000-0000F8050000}"/>
    <cellStyle name="Normal 24 2" xfId="2885" xr:uid="{00000000-0005-0000-0000-0000F9050000}"/>
    <cellStyle name="Normal 24 2 2" xfId="11788" xr:uid="{00000000-0005-0000-0000-000021270000}"/>
    <cellStyle name="Normal 24 2 2 2" xfId="11789" xr:uid="{00000000-0005-0000-0000-000022270000}"/>
    <cellStyle name="Normal 24 2 2 2 2" xfId="26238" xr:uid="{BB474BF8-9155-4AE9-B6AE-A0E3751F5A36}"/>
    <cellStyle name="Normal 24 2 2 2 2 2" xfId="41201" xr:uid="{2476F009-69E6-458D-A0CB-6D49D1E797D7}"/>
    <cellStyle name="Normal 24 2 2 2 3" xfId="33606" xr:uid="{8754B430-5BFE-4BD1-B44F-4746F9F2D4F2}"/>
    <cellStyle name="Normal 24 2 2 3" xfId="11790" xr:uid="{00000000-0005-0000-0000-000023270000}"/>
    <cellStyle name="Normal 24 2 2 3 2" xfId="26239" xr:uid="{F592926D-D44D-4F15-9382-8ECBEBE19FC9}"/>
    <cellStyle name="Normal 24 2 2 3 2 2" xfId="41202" xr:uid="{39B4EFB0-D473-489E-B641-8101C4C86DDC}"/>
    <cellStyle name="Normal 24 2 2 3 3" xfId="33607" xr:uid="{E806C972-4F2A-455B-8052-134F305AB5C2}"/>
    <cellStyle name="Normal 24 2 2 4" xfId="26237" xr:uid="{7E568143-3427-46F1-9855-77A3F05DD900}"/>
    <cellStyle name="Normal 24 2 2 4 2" xfId="41200" xr:uid="{695AA24C-1F0D-45C7-BBC3-4D3B37FBD8B4}"/>
    <cellStyle name="Normal 24 2 2 5" xfId="33605" xr:uid="{DD4C3E71-8738-498E-BE3F-0D5DF93AD74C}"/>
    <cellStyle name="Normal 24 2 3" xfId="11791" xr:uid="{00000000-0005-0000-0000-000024270000}"/>
    <cellStyle name="Normal 24 2 3 2" xfId="26240" xr:uid="{F0A5F62B-1904-43F5-B8E8-E1E949ECD3EE}"/>
    <cellStyle name="Normal 24 2 3 2 2" xfId="41203" xr:uid="{A6AAE02F-A3CB-493F-BC15-7AEDB0057F38}"/>
    <cellStyle name="Normal 24 2 3 3" xfId="33608" xr:uid="{885B0454-819D-4383-850F-D19E6EF2DE14}"/>
    <cellStyle name="Normal 24 2 4" xfId="11792" xr:uid="{00000000-0005-0000-0000-000025270000}"/>
    <cellStyle name="Normal 24 2 4 2" xfId="26241" xr:uid="{18CC0238-2386-4BAA-B3F8-694608AD2C2C}"/>
    <cellStyle name="Normal 24 2 4 2 2" xfId="41204" xr:uid="{C8EF5DDD-8FF2-4ED4-9A7F-61849C0BB369}"/>
    <cellStyle name="Normal 24 2 4 3" xfId="33609" xr:uid="{A1BFE398-8759-41A0-8FEF-9C63BEE8C2F5}"/>
    <cellStyle name="Normal 24 2 5" xfId="20841" xr:uid="{2C191F46-0ED1-4642-AAB0-6781779BB0DB}"/>
    <cellStyle name="Normal 24 2 5 2" xfId="35817" xr:uid="{E72283C9-61B0-4D6D-9D95-573BFB0D4DCD}"/>
    <cellStyle name="Normal 24 2 6" xfId="28213" xr:uid="{10403C5A-7DC3-4E64-BB51-B7FF09F11426}"/>
    <cellStyle name="Normal 24 3" xfId="23" xr:uid="{00000000-0005-0000-0000-000018000000}"/>
    <cellStyle name="Normal 24 3 2" xfId="125" xr:uid="{00000000-0005-0000-0000-000018000000}"/>
    <cellStyle name="Normal 24 3 2 2" xfId="20672" xr:uid="{90D428B2-D6CF-41D9-82BE-E5912DAA49DB}"/>
    <cellStyle name="Normal 24 3 2 2 2" xfId="35673" xr:uid="{2615DDB7-EADD-467E-855B-1D6308B749EC}"/>
    <cellStyle name="Normal 24 3 2 3" xfId="27976" xr:uid="{60089F90-554F-44FB-8DB9-43F4A1408236}"/>
    <cellStyle name="Normal 24 3 3" xfId="11793" xr:uid="{00000000-0005-0000-0000-000028270000}"/>
    <cellStyle name="Normal 24 3 3 2" xfId="26242" xr:uid="{6AE40340-6FA0-41BA-AB15-E7840D0A93CD}"/>
    <cellStyle name="Normal 24 3 3 2 2" xfId="41205" xr:uid="{BB889C76-82F3-4743-8DE7-6C54C43B5BEF}"/>
    <cellStyle name="Normal 24 3 3 3" xfId="33610" xr:uid="{8F93A0BD-FA79-4494-9249-13FB5105D7D1}"/>
    <cellStyle name="Normal 24 3 4" xfId="20602" xr:uid="{D565133D-A5D5-4998-BC41-D7C0CC67BBD4}"/>
    <cellStyle name="Normal 24 3 4 2" xfId="35603" xr:uid="{AE939698-CE3F-4324-8FC3-83249F7521D8}"/>
    <cellStyle name="Normal 24 3 5" xfId="27906" xr:uid="{11F6230F-69C5-443C-AB01-5B2C39DE3481}"/>
    <cellStyle name="Normal 24 4" xfId="11794" xr:uid="{00000000-0005-0000-0000-000029270000}"/>
    <cellStyle name="Normal 24 4 2" xfId="26243" xr:uid="{4AF25157-B64B-46DD-8D87-6940070E6925}"/>
    <cellStyle name="Normal 24 4 2 2" xfId="41206" xr:uid="{D8AFAA91-A8EE-4696-8A79-2724D2D428BB}"/>
    <cellStyle name="Normal 24 4 3" xfId="33611" xr:uid="{16B72F54-7177-44B7-A751-01AE2E2493E6}"/>
    <cellStyle name="Normal 24 5" xfId="11795" xr:uid="{00000000-0005-0000-0000-00002A270000}"/>
    <cellStyle name="Normal 24 5 2" xfId="26244" xr:uid="{236A1F4F-A91C-45A7-9CA9-FEDD4ED46577}"/>
    <cellStyle name="Normal 24 5 2 2" xfId="41207" xr:uid="{F7738FD2-B734-422E-8C0E-2331D0E62CDE}"/>
    <cellStyle name="Normal 24 5 3" xfId="33612" xr:uid="{5EBCC663-9C15-4636-84C5-1F860962B67D}"/>
    <cellStyle name="Normal 24 6" xfId="11796" xr:uid="{00000000-0005-0000-0000-00002B270000}"/>
    <cellStyle name="Normal 24 7" xfId="5370" xr:uid="{00000000-0005-0000-0000-00001F270000}"/>
    <cellStyle name="Normal 24 8" xfId="20741" xr:uid="{972EB2E2-CC16-4A2C-AED7-FC6DBEC57208}"/>
    <cellStyle name="Normal 24 8 2" xfId="35734" xr:uid="{3D67C996-D93D-4EF2-B43C-FE9AFBC69176}"/>
    <cellStyle name="Normal 24 9" xfId="28058" xr:uid="{71526134-CA89-4B58-93D1-0D8206125161}"/>
    <cellStyle name="Normal 25" xfId="1621" xr:uid="{00000000-0005-0000-0000-0000FB050000}"/>
    <cellStyle name="Normal 25 2" xfId="2886" xr:uid="{00000000-0005-0000-0000-0000FC050000}"/>
    <cellStyle name="Normal 25 2 2" xfId="11797" xr:uid="{00000000-0005-0000-0000-00002E270000}"/>
    <cellStyle name="Normal 25 2 2 2" xfId="11798" xr:uid="{00000000-0005-0000-0000-00002F270000}"/>
    <cellStyle name="Normal 25 2 2 2 2" xfId="26246" xr:uid="{A86CDD78-FC5F-4948-BBDE-18B087A71580}"/>
    <cellStyle name="Normal 25 2 2 2 2 2" xfId="41209" xr:uid="{B6442CB2-6DE4-45B7-88E2-98B1C43AF4B8}"/>
    <cellStyle name="Normal 25 2 2 2 3" xfId="33614" xr:uid="{73DFCEEF-103A-44FF-AA38-81555FC67D04}"/>
    <cellStyle name="Normal 25 2 2 3" xfId="11799" xr:uid="{00000000-0005-0000-0000-000030270000}"/>
    <cellStyle name="Normal 25 2 2 3 2" xfId="26247" xr:uid="{B90DC4D9-8F9A-49D2-B923-B5069ADB72A7}"/>
    <cellStyle name="Normal 25 2 2 3 2 2" xfId="41210" xr:uid="{B985CA1E-7963-4D55-9533-CE0366CA9941}"/>
    <cellStyle name="Normal 25 2 2 3 3" xfId="33615" xr:uid="{D49E4A51-A206-4A95-A169-D8B7B658DE8B}"/>
    <cellStyle name="Normal 25 2 2 4" xfId="26245" xr:uid="{5338EC19-1610-44FC-9298-FD929A75B313}"/>
    <cellStyle name="Normal 25 2 2 4 2" xfId="41208" xr:uid="{585BCF69-04C6-4A8F-9944-66472277A606}"/>
    <cellStyle name="Normal 25 2 2 5" xfId="33613" xr:uid="{15B36FEC-41E6-48C3-BA15-E323F32663FF}"/>
    <cellStyle name="Normal 25 2 3" xfId="11800" xr:uid="{00000000-0005-0000-0000-000031270000}"/>
    <cellStyle name="Normal 25 2 3 2" xfId="26248" xr:uid="{C2F5A4A1-FF8C-4AB6-A0DC-6CDB876E423F}"/>
    <cellStyle name="Normal 25 2 3 2 2" xfId="41211" xr:uid="{F6DE467E-5BB9-4C9B-A37A-FE019230DCA0}"/>
    <cellStyle name="Normal 25 2 3 3" xfId="33616" xr:uid="{E2B8B40F-BD2E-472C-9A1D-234F59F68630}"/>
    <cellStyle name="Normal 25 2 4" xfId="11801" xr:uid="{00000000-0005-0000-0000-000032270000}"/>
    <cellStyle name="Normal 25 2 4 2" xfId="26249" xr:uid="{A9CC793D-B84B-42AF-A694-2637E0FD0B63}"/>
    <cellStyle name="Normal 25 2 4 2 2" xfId="41212" xr:uid="{CDE62FA3-BDF4-4C85-B075-D3DF978E5C4F}"/>
    <cellStyle name="Normal 25 2 4 3" xfId="33617" xr:uid="{88CC783E-C8B1-46C5-A75E-3F5050300D6C}"/>
    <cellStyle name="Normal 25 2 5" xfId="20842" xr:uid="{0B329447-2A4F-414B-81FF-94B6B8288B0D}"/>
    <cellStyle name="Normal 25 2 5 2" xfId="35818" xr:uid="{01AE85A3-4902-4E0B-8171-2EEE07AF2DC0}"/>
    <cellStyle name="Normal 25 2 6" xfId="28214" xr:uid="{D63B77CA-1BE9-43EB-8954-B3B233A23F99}"/>
    <cellStyle name="Normal 25 3" xfId="24" xr:uid="{00000000-0005-0000-0000-000019000000}"/>
    <cellStyle name="Normal 25 3 2" xfId="126" xr:uid="{00000000-0005-0000-0000-000019000000}"/>
    <cellStyle name="Normal 25 3 2 2" xfId="20673" xr:uid="{0EECBADD-C3F4-49E4-B12A-221A9E66B494}"/>
    <cellStyle name="Normal 25 3 2 2 2" xfId="35674" xr:uid="{6AC955F5-72FF-4F0D-85D8-7699F46C48D7}"/>
    <cellStyle name="Normal 25 3 2 3" xfId="27977" xr:uid="{4CD916FD-B67D-444D-BAC0-E927C8303781}"/>
    <cellStyle name="Normal 25 3 3" xfId="11802" xr:uid="{00000000-0005-0000-0000-000035270000}"/>
    <cellStyle name="Normal 25 3 3 2" xfId="26250" xr:uid="{72625B71-56D4-472C-936D-C611A28A5E98}"/>
    <cellStyle name="Normal 25 3 3 2 2" xfId="41213" xr:uid="{9EA130F9-A2D5-4E52-8597-BAAFA626573F}"/>
    <cellStyle name="Normal 25 3 3 3" xfId="33618" xr:uid="{7055A9A1-75C6-4C36-AD5F-C68E1F6853CD}"/>
    <cellStyle name="Normal 25 3 4" xfId="20603" xr:uid="{F31DE9D7-D171-4219-9579-A243CC4295FB}"/>
    <cellStyle name="Normal 25 3 4 2" xfId="35604" xr:uid="{71189DF1-07A8-4FF3-B59D-C89CFD937D56}"/>
    <cellStyle name="Normal 25 3 5" xfId="27907" xr:uid="{19F5C745-0D4D-49AF-9E56-CFA0DA7BAFA8}"/>
    <cellStyle name="Normal 25 4" xfId="11803" xr:uid="{00000000-0005-0000-0000-000036270000}"/>
    <cellStyle name="Normal 25 4 2" xfId="26251" xr:uid="{A6938009-7F09-4053-8E3D-188A362300D6}"/>
    <cellStyle name="Normal 25 4 2 2" xfId="41214" xr:uid="{0ED5F140-9DDF-4DA5-9253-55AAD2954B6F}"/>
    <cellStyle name="Normal 25 4 3" xfId="33619" xr:uid="{CE278C35-30B7-4DBA-AA4F-6DC284768552}"/>
    <cellStyle name="Normal 25 5" xfId="11804" xr:uid="{00000000-0005-0000-0000-000037270000}"/>
    <cellStyle name="Normal 25 5 2" xfId="26252" xr:uid="{A0162B04-B324-4507-BAA9-7F1F9243F206}"/>
    <cellStyle name="Normal 25 5 2 2" xfId="41215" xr:uid="{1E93AABF-0808-4C21-8736-20391D298129}"/>
    <cellStyle name="Normal 25 5 3" xfId="33620" xr:uid="{C9408919-E3C3-4486-9691-9E2484029E49}"/>
    <cellStyle name="Normal 25 6" xfId="11805" xr:uid="{00000000-0005-0000-0000-000038270000}"/>
    <cellStyle name="Normal 25 7" xfId="5369" xr:uid="{00000000-0005-0000-0000-00002C270000}"/>
    <cellStyle name="Normal 25 8" xfId="20742" xr:uid="{FEBD9654-11E7-4234-98B3-12AB77174715}"/>
    <cellStyle name="Normal 25 8 2" xfId="35735" xr:uid="{333EAD0D-142A-4257-9201-E3D1A4696F40}"/>
    <cellStyle name="Normal 25 9" xfId="28059" xr:uid="{3A94DA4F-E014-4F0A-A2C8-1147FBBDF76C}"/>
    <cellStyle name="Normal 26" xfId="1622" xr:uid="{00000000-0005-0000-0000-0000FE050000}"/>
    <cellStyle name="Normal 26 2" xfId="2887" xr:uid="{00000000-0005-0000-0000-0000FF050000}"/>
    <cellStyle name="Normal 26 2 2" xfId="11806" xr:uid="{00000000-0005-0000-0000-00003B270000}"/>
    <cellStyle name="Normal 26 2 2 2" xfId="11807" xr:uid="{00000000-0005-0000-0000-00003C270000}"/>
    <cellStyle name="Normal 26 2 2 2 2" xfId="26254" xr:uid="{D8167970-CE73-459C-B863-DDC297E372DB}"/>
    <cellStyle name="Normal 26 2 2 2 2 2" xfId="41217" xr:uid="{F137E570-02E8-4443-9542-14C6BEBFA9E9}"/>
    <cellStyle name="Normal 26 2 2 2 3" xfId="33622" xr:uid="{3072F37D-A809-48D1-BE17-7F22DD3E05F2}"/>
    <cellStyle name="Normal 26 2 2 3" xfId="11808" xr:uid="{00000000-0005-0000-0000-00003D270000}"/>
    <cellStyle name="Normal 26 2 2 3 2" xfId="26255" xr:uid="{278F8F89-D876-4EC2-AFE7-AF021417ECF1}"/>
    <cellStyle name="Normal 26 2 2 3 2 2" xfId="41218" xr:uid="{46BDB0FD-FF0B-461C-A6FE-5D2FD4140284}"/>
    <cellStyle name="Normal 26 2 2 3 3" xfId="33623" xr:uid="{A2D22570-75E6-4BD7-B5C9-AC205606C4DD}"/>
    <cellStyle name="Normal 26 2 2 4" xfId="26253" xr:uid="{B897325E-B3D2-4301-998E-EFEC75D9EE22}"/>
    <cellStyle name="Normal 26 2 2 4 2" xfId="41216" xr:uid="{5BB05AF9-4043-4860-AA15-9F4F82D598DF}"/>
    <cellStyle name="Normal 26 2 2 5" xfId="33621" xr:uid="{4CF56A72-3EFC-4B50-98E2-19810CA51748}"/>
    <cellStyle name="Normal 26 2 3" xfId="11809" xr:uid="{00000000-0005-0000-0000-00003E270000}"/>
    <cellStyle name="Normal 26 2 3 2" xfId="26256" xr:uid="{3B9D84A6-5FAE-4677-9030-CAA00D054874}"/>
    <cellStyle name="Normal 26 2 3 2 2" xfId="41219" xr:uid="{15E10DDF-2E83-43CA-94D7-087156D1F387}"/>
    <cellStyle name="Normal 26 2 3 3" xfId="33624" xr:uid="{0645310A-0901-4A7B-9767-A06AF8477606}"/>
    <cellStyle name="Normal 26 2 4" xfId="11810" xr:uid="{00000000-0005-0000-0000-00003F270000}"/>
    <cellStyle name="Normal 26 2 4 2" xfId="26257" xr:uid="{8A562B70-A3C3-444B-B2BE-F42AEA79C94D}"/>
    <cellStyle name="Normal 26 2 4 2 2" xfId="41220" xr:uid="{FF693C28-F6F3-4BBC-B16E-D4A3DCE0B300}"/>
    <cellStyle name="Normal 26 2 4 3" xfId="33625" xr:uid="{7344CF52-ECFC-43AA-880B-DCCBD2E2B6CE}"/>
    <cellStyle name="Normal 26 2 5" xfId="20843" xr:uid="{6B46308F-F5AE-4C47-BA04-F98F211473C5}"/>
    <cellStyle name="Normal 26 2 5 2" xfId="35819" xr:uid="{4AAA3011-2EA8-4242-86BA-5961CB67DBFF}"/>
    <cellStyle name="Normal 26 2 6" xfId="28215" xr:uid="{F78F7888-911E-4B2B-9AD9-A4F7260D420A}"/>
    <cellStyle name="Normal 26 3" xfId="25" xr:uid="{00000000-0005-0000-0000-00001A000000}"/>
    <cellStyle name="Normal 26 3 2" xfId="127" xr:uid="{00000000-0005-0000-0000-00001A000000}"/>
    <cellStyle name="Normal 26 3 2 2" xfId="20674" xr:uid="{E2503831-3C83-472F-92DC-EB58D632EDFD}"/>
    <cellStyle name="Normal 26 3 2 2 2" xfId="35675" xr:uid="{D0721FB0-C0D8-4FF4-9BDF-2D4B477CF9CD}"/>
    <cellStyle name="Normal 26 3 2 3" xfId="27978" xr:uid="{B7645F4F-D269-4621-B47A-082381294D03}"/>
    <cellStyle name="Normal 26 3 3" xfId="11811" xr:uid="{00000000-0005-0000-0000-000042270000}"/>
    <cellStyle name="Normal 26 3 3 2" xfId="26258" xr:uid="{882DAAB3-4879-4559-89A0-FF40969737D0}"/>
    <cellStyle name="Normal 26 3 3 2 2" xfId="41221" xr:uid="{540E988E-5D05-4E29-AF72-BA9970A08BC3}"/>
    <cellStyle name="Normal 26 3 3 3" xfId="33626" xr:uid="{7B199DBD-D0D6-42EB-9EEE-24922EFE390D}"/>
    <cellStyle name="Normal 26 3 4" xfId="20604" xr:uid="{917F530C-0065-42EA-AB1A-069975567A1E}"/>
    <cellStyle name="Normal 26 3 4 2" xfId="35605" xr:uid="{8DDB47AE-0CCE-4F1C-8996-F8D594148EF0}"/>
    <cellStyle name="Normal 26 3 5" xfId="27908" xr:uid="{11444D5C-9660-4D4F-8DFF-E0F706A50801}"/>
    <cellStyle name="Normal 26 4" xfId="11812" xr:uid="{00000000-0005-0000-0000-000043270000}"/>
    <cellStyle name="Normal 26 4 2" xfId="26259" xr:uid="{7BE0BD07-20F2-4984-8FE9-0BD9E53617C3}"/>
    <cellStyle name="Normal 26 4 2 2" xfId="41222" xr:uid="{3EFA7A5E-3D78-45F0-B01B-70597BADB824}"/>
    <cellStyle name="Normal 26 4 3" xfId="33627" xr:uid="{3821DA68-50A9-4A7C-BF3E-14E6DDCE4FAA}"/>
    <cellStyle name="Normal 26 5" xfId="11813" xr:uid="{00000000-0005-0000-0000-000044270000}"/>
    <cellStyle name="Normal 26 5 2" xfId="26260" xr:uid="{681B3149-7CF6-46AB-9450-F73DA413C703}"/>
    <cellStyle name="Normal 26 5 2 2" xfId="41223" xr:uid="{DCFA6C11-A7F8-4A55-84AA-1C5DA92934E2}"/>
    <cellStyle name="Normal 26 5 3" xfId="33628" xr:uid="{D3906D45-A25D-4DC7-9BA8-DA8B270061C0}"/>
    <cellStyle name="Normal 26 6" xfId="11814" xr:uid="{00000000-0005-0000-0000-000045270000}"/>
    <cellStyle name="Normal 26 7" xfId="5368" xr:uid="{00000000-0005-0000-0000-000039270000}"/>
    <cellStyle name="Normal 26 8" xfId="20743" xr:uid="{0F4CEBEE-E945-4985-8AE9-C00CAFFB4A23}"/>
    <cellStyle name="Normal 26 8 2" xfId="35736" xr:uid="{B0E1BBE3-02A2-4FAA-92B1-68310875A085}"/>
    <cellStyle name="Normal 26 9" xfId="28060" xr:uid="{3B75B6F8-A122-4C7E-943A-64301760AB3B}"/>
    <cellStyle name="Normal 266" xfId="57" xr:uid="{00000000-0005-0000-0000-00001B000000}"/>
    <cellStyle name="Normal 266 2" xfId="159" xr:uid="{00000000-0005-0000-0000-00001B000000}"/>
    <cellStyle name="Normal 266 2 2" xfId="20706" xr:uid="{A64148D3-C961-41E6-96BE-D97101737CD7}"/>
    <cellStyle name="Normal 266 2 2 2" xfId="35707" xr:uid="{02C43D91-2933-4683-9B5F-274E215A2511}"/>
    <cellStyle name="Normal 266 2 3" xfId="28010" xr:uid="{EA7B95BC-0352-4D59-B5C6-21D124CCEEC6}"/>
    <cellStyle name="Normal 266 3" xfId="20636" xr:uid="{1EF4190E-8EF1-4662-9684-AF0F5542F1EC}"/>
    <cellStyle name="Normal 266 3 2" xfId="35637" xr:uid="{E6616F6F-9042-47D2-BFA0-62D357B8910F}"/>
    <cellStyle name="Normal 266 4" xfId="27940" xr:uid="{A09D0187-8C3F-43DE-B3D9-913A1CD85A82}"/>
    <cellStyle name="Normal 27" xfId="1623" xr:uid="{00000000-0005-0000-0000-000001060000}"/>
    <cellStyle name="Normal 27 2" xfId="11815" xr:uid="{00000000-0005-0000-0000-000047270000}"/>
    <cellStyle name="Normal 27 3" xfId="26" xr:uid="{00000000-0005-0000-0000-00001C000000}"/>
    <cellStyle name="Normal 27 3 2" xfId="128" xr:uid="{00000000-0005-0000-0000-00001C000000}"/>
    <cellStyle name="Normal 27 3 2 2" xfId="20675" xr:uid="{8DA30027-587D-443A-ABD7-0133B693585D}"/>
    <cellStyle name="Normal 27 3 2 2 2" xfId="35676" xr:uid="{1304EC1C-BACC-4922-B86F-917F190EFD0D}"/>
    <cellStyle name="Normal 27 3 2 3" xfId="27979" xr:uid="{FC50EEF4-6D18-46D6-A86D-A4909CCE899F}"/>
    <cellStyle name="Normal 27 3 3" xfId="11816" xr:uid="{00000000-0005-0000-0000-000048270000}"/>
    <cellStyle name="Normal 27 3 4" xfId="20605" xr:uid="{82644652-6C72-473C-B639-8416F22302CE}"/>
    <cellStyle name="Normal 27 3 4 2" xfId="35606" xr:uid="{F5631587-1729-41F9-A6D2-5DF0B4705DCE}"/>
    <cellStyle name="Normal 27 3 5" xfId="27909" xr:uid="{832A8917-2DBF-4B2C-9F65-96BAE6CBCED9}"/>
    <cellStyle name="Normal 27 4" xfId="5367" xr:uid="{00000000-0005-0000-0000-000046270000}"/>
    <cellStyle name="Normal 28" xfId="1624" xr:uid="{00000000-0005-0000-0000-000002060000}"/>
    <cellStyle name="Normal 28 2" xfId="2888" xr:uid="{00000000-0005-0000-0000-000003060000}"/>
    <cellStyle name="Normal 28 2 2" xfId="11817" xr:uid="{00000000-0005-0000-0000-00004B270000}"/>
    <cellStyle name="Normal 28 2 2 2" xfId="11818" xr:uid="{00000000-0005-0000-0000-00004C270000}"/>
    <cellStyle name="Normal 28 2 2 2 2" xfId="26262" xr:uid="{7E1C098E-2900-4F20-BD79-4DCC272B57AA}"/>
    <cellStyle name="Normal 28 2 2 2 2 2" xfId="41225" xr:uid="{38C6E1B7-7711-4235-BF7F-2BF5F98076CF}"/>
    <cellStyle name="Normal 28 2 2 2 3" xfId="33630" xr:uid="{6DA64C8C-ED6F-4B4A-9C2E-2E637D9A0335}"/>
    <cellStyle name="Normal 28 2 2 3" xfId="11819" xr:uid="{00000000-0005-0000-0000-00004D270000}"/>
    <cellStyle name="Normal 28 2 2 3 2" xfId="26263" xr:uid="{AD4DE098-25A9-4B25-9CB5-5A582283BABA}"/>
    <cellStyle name="Normal 28 2 2 3 2 2" xfId="41226" xr:uid="{457E4D7D-F6E8-42CC-B708-A4E5707FA094}"/>
    <cellStyle name="Normal 28 2 2 3 3" xfId="33631" xr:uid="{BAC1F85B-AE1F-4274-BCEF-C3F9F6E0B7DA}"/>
    <cellStyle name="Normal 28 2 2 4" xfId="26261" xr:uid="{249BBAB1-FC4D-49DB-A991-98C779BC193B}"/>
    <cellStyle name="Normal 28 2 2 4 2" xfId="41224" xr:uid="{DF112F0B-DD20-4A19-BBDE-4BDF01259380}"/>
    <cellStyle name="Normal 28 2 2 5" xfId="33629" xr:uid="{6D548831-D88F-4E82-942E-204BC7032F2E}"/>
    <cellStyle name="Normal 28 2 3" xfId="11820" xr:uid="{00000000-0005-0000-0000-00004E270000}"/>
    <cellStyle name="Normal 28 2 3 2" xfId="26264" xr:uid="{926F7B5E-C3B3-4C60-8B44-B576EDC6C758}"/>
    <cellStyle name="Normal 28 2 3 2 2" xfId="41227" xr:uid="{60506803-4F58-4DFD-BB62-97A4C2EB4FA4}"/>
    <cellStyle name="Normal 28 2 3 3" xfId="33632" xr:uid="{9E5B1200-4462-450E-A833-C0EA0978FB1A}"/>
    <cellStyle name="Normal 28 2 4" xfId="11821" xr:uid="{00000000-0005-0000-0000-00004F270000}"/>
    <cellStyle name="Normal 28 2 4 2" xfId="26265" xr:uid="{BA0B90C1-57CC-4505-B4B2-33C4F7514623}"/>
    <cellStyle name="Normal 28 2 4 2 2" xfId="41228" xr:uid="{A474465B-FB85-4907-8028-48091182280B}"/>
    <cellStyle name="Normal 28 2 4 3" xfId="33633" xr:uid="{9B6C527B-288B-4562-93BE-2F2D8734D732}"/>
    <cellStyle name="Normal 28 2 5" xfId="20844" xr:uid="{251A22CF-EFFE-484C-8278-795D442EA9DF}"/>
    <cellStyle name="Normal 28 2 5 2" xfId="35820" xr:uid="{2B2B2938-7289-4CE1-A65E-1B9474A6FF65}"/>
    <cellStyle name="Normal 28 2 6" xfId="28216" xr:uid="{EF883551-257A-4739-BB01-BDE32C196017}"/>
    <cellStyle name="Normal 28 3" xfId="27" xr:uid="{00000000-0005-0000-0000-00001D000000}"/>
    <cellStyle name="Normal 28 3 2" xfId="129" xr:uid="{00000000-0005-0000-0000-00001D000000}"/>
    <cellStyle name="Normal 28 3 2 2" xfId="20676" xr:uid="{63087A9D-2170-4539-9573-C68A9AB8E2E3}"/>
    <cellStyle name="Normal 28 3 2 2 2" xfId="35677" xr:uid="{E3974DC0-1065-4B98-A460-F0605DF9239F}"/>
    <cellStyle name="Normal 28 3 2 3" xfId="27980" xr:uid="{EB5D99E0-6783-43C6-A62A-248342A978CC}"/>
    <cellStyle name="Normal 28 3 3" xfId="11822" xr:uid="{00000000-0005-0000-0000-000052270000}"/>
    <cellStyle name="Normal 28 3 3 2" xfId="26266" xr:uid="{84719B5C-FC0B-4A7B-B086-0ED8D891A42B}"/>
    <cellStyle name="Normal 28 3 3 2 2" xfId="41229" xr:uid="{06AA8046-45A0-4680-84BB-8EA0008F87DB}"/>
    <cellStyle name="Normal 28 3 3 3" xfId="33634" xr:uid="{8DA39744-6F02-48B7-880D-B01748411BCC}"/>
    <cellStyle name="Normal 28 3 4" xfId="20606" xr:uid="{AD81E7C3-EADF-406E-A60B-2EB2ECCED1CF}"/>
    <cellStyle name="Normal 28 3 4 2" xfId="35607" xr:uid="{13548AAF-D498-4335-9DBF-C9F32A54F178}"/>
    <cellStyle name="Normal 28 3 5" xfId="27910" xr:uid="{A533FB14-E642-4AA5-B183-D8C9457E4A36}"/>
    <cellStyle name="Normal 28 4" xfId="11823" xr:uid="{00000000-0005-0000-0000-000053270000}"/>
    <cellStyle name="Normal 28 4 2" xfId="26267" xr:uid="{366F1306-7031-48AC-B73A-4D1A60AC2F44}"/>
    <cellStyle name="Normal 28 4 2 2" xfId="41230" xr:uid="{C59BFC57-EFEE-4429-923D-C86784FDD174}"/>
    <cellStyle name="Normal 28 4 3" xfId="33635" xr:uid="{1903C405-D061-45E1-B55F-D82D60E27720}"/>
    <cellStyle name="Normal 28 5" xfId="11824" xr:uid="{00000000-0005-0000-0000-000054270000}"/>
    <cellStyle name="Normal 28 5 2" xfId="26268" xr:uid="{57E1B4A5-F700-4C94-9028-FD6E20A7F0D4}"/>
    <cellStyle name="Normal 28 5 2 2" xfId="41231" xr:uid="{6E0740A8-8B8A-4900-885D-8824A973458F}"/>
    <cellStyle name="Normal 28 5 3" xfId="33636" xr:uid="{4710EDF3-DD95-4CDD-9FCC-3A187FFD9276}"/>
    <cellStyle name="Normal 28 6" xfId="11825" xr:uid="{00000000-0005-0000-0000-000055270000}"/>
    <cellStyle name="Normal 28 7" xfId="5366" xr:uid="{00000000-0005-0000-0000-000049270000}"/>
    <cellStyle name="Normal 28 8" xfId="20744" xr:uid="{5521571B-D6D1-4AB6-BBB4-042423D2CCB4}"/>
    <cellStyle name="Normal 28 8 2" xfId="35737" xr:uid="{16BB8A20-77A3-4F8D-BC05-38F9EE61A12E}"/>
    <cellStyle name="Normal 28 9" xfId="28061" xr:uid="{829A3DCC-31F3-4BFC-94ED-532582910D37}"/>
    <cellStyle name="Normal 29" xfId="2928" xr:uid="{00000000-0005-0000-0000-000005060000}"/>
    <cellStyle name="Normal 29 2" xfId="11826" xr:uid="{00000000-0005-0000-0000-000057270000}"/>
    <cellStyle name="Normal 29 3" xfId="28" xr:uid="{00000000-0005-0000-0000-00001E000000}"/>
    <cellStyle name="Normal 29 3 2" xfId="130" xr:uid="{00000000-0005-0000-0000-00001E000000}"/>
    <cellStyle name="Normal 29 3 2 2" xfId="20677" xr:uid="{97D4FF29-5CAD-4DB1-9887-2E8CD152420D}"/>
    <cellStyle name="Normal 29 3 2 2 2" xfId="35678" xr:uid="{A4D3BDAA-E16A-46FD-BB74-9F1B2ED6FF25}"/>
    <cellStyle name="Normal 29 3 2 3" xfId="27981" xr:uid="{9D74F063-74A2-4881-8531-C6175E9603D4}"/>
    <cellStyle name="Normal 29 3 3" xfId="11827" xr:uid="{00000000-0005-0000-0000-000058270000}"/>
    <cellStyle name="Normal 29 3 4" xfId="20607" xr:uid="{CB7B37E8-539C-49BB-8BC5-BEC5F6B8F37E}"/>
    <cellStyle name="Normal 29 3 4 2" xfId="35608" xr:uid="{7B7476A6-5DCC-4E13-AA15-A820E1ED54E6}"/>
    <cellStyle name="Normal 29 3 5" xfId="27911" xr:uid="{9AB28278-5965-492F-A7B9-4DB57B29E91F}"/>
    <cellStyle name="Normal 29 4" xfId="11828" xr:uid="{00000000-0005-0000-0000-000059270000}"/>
    <cellStyle name="Normal 29 5" xfId="5512" xr:uid="{00000000-0005-0000-0000-000056270000}"/>
    <cellStyle name="Normal 29 6" xfId="20884" xr:uid="{3659619B-766E-4C25-A67A-6FAD1614B175}"/>
    <cellStyle name="Normal 29 6 2" xfId="35860" xr:uid="{479D8C72-19A6-49EB-8DBB-70A3709D2906}"/>
    <cellStyle name="Normal 29 7" xfId="28256" xr:uid="{3000261B-7191-4702-8ED8-8D168E3E35AE}"/>
    <cellStyle name="Normal 3" xfId="5" xr:uid="{00000000-0005-0000-0000-00001F000000}"/>
    <cellStyle name="Normal 3 10" xfId="1626" xr:uid="{00000000-0005-0000-0000-000007060000}"/>
    <cellStyle name="Normal 3 10 10" xfId="1627" xr:uid="{00000000-0005-0000-0000-000008060000}"/>
    <cellStyle name="Normal 3 10 10 2" xfId="11829" xr:uid="{00000000-0005-0000-0000-00005D270000}"/>
    <cellStyle name="Normal 3 10 11" xfId="1628" xr:uid="{00000000-0005-0000-0000-000009060000}"/>
    <cellStyle name="Normal 3 10 11 2" xfId="11830" xr:uid="{00000000-0005-0000-0000-00005F270000}"/>
    <cellStyle name="Normal 3 10 12" xfId="1629" xr:uid="{00000000-0005-0000-0000-00000A060000}"/>
    <cellStyle name="Normal 3 10 12 2" xfId="11831" xr:uid="{00000000-0005-0000-0000-000061270000}"/>
    <cellStyle name="Normal 3 10 13" xfId="1630" xr:uid="{00000000-0005-0000-0000-00000B060000}"/>
    <cellStyle name="Normal 3 10 13 2" xfId="11832" xr:uid="{00000000-0005-0000-0000-000063270000}"/>
    <cellStyle name="Normal 3 10 14" xfId="1631" xr:uid="{00000000-0005-0000-0000-00000C060000}"/>
    <cellStyle name="Normal 3 10 14 2" xfId="11833" xr:uid="{00000000-0005-0000-0000-000065270000}"/>
    <cellStyle name="Normal 3 10 15" xfId="1632" xr:uid="{00000000-0005-0000-0000-00000D060000}"/>
    <cellStyle name="Normal 3 10 15 2" xfId="11834" xr:uid="{00000000-0005-0000-0000-000067270000}"/>
    <cellStyle name="Normal 3 10 16" xfId="1633" xr:uid="{00000000-0005-0000-0000-00000E060000}"/>
    <cellStyle name="Normal 3 10 16 2" xfId="11835" xr:uid="{00000000-0005-0000-0000-000069270000}"/>
    <cellStyle name="Normal 3 10 17" xfId="1634" xr:uid="{00000000-0005-0000-0000-00000F060000}"/>
    <cellStyle name="Normal 3 10 17 2" xfId="11836" xr:uid="{00000000-0005-0000-0000-00006B270000}"/>
    <cellStyle name="Normal 3 10 18" xfId="1635" xr:uid="{00000000-0005-0000-0000-000010060000}"/>
    <cellStyle name="Normal 3 10 18 2" xfId="11837" xr:uid="{00000000-0005-0000-0000-00006D270000}"/>
    <cellStyle name="Normal 3 10 19" xfId="1636" xr:uid="{00000000-0005-0000-0000-000011060000}"/>
    <cellStyle name="Normal 3 10 19 2" xfId="11838" xr:uid="{00000000-0005-0000-0000-00006F270000}"/>
    <cellStyle name="Normal 3 10 2" xfId="1637" xr:uid="{00000000-0005-0000-0000-000012060000}"/>
    <cellStyle name="Normal 3 10 2 2" xfId="11839" xr:uid="{00000000-0005-0000-0000-000071270000}"/>
    <cellStyle name="Normal 3 10 20" xfId="1638" xr:uid="{00000000-0005-0000-0000-000013060000}"/>
    <cellStyle name="Normal 3 10 20 2" xfId="11840" xr:uid="{00000000-0005-0000-0000-000073270000}"/>
    <cellStyle name="Normal 3 10 21" xfId="1639" xr:uid="{00000000-0005-0000-0000-000014060000}"/>
    <cellStyle name="Normal 3 10 21 2" xfId="11841" xr:uid="{00000000-0005-0000-0000-000075270000}"/>
    <cellStyle name="Normal 3 10 22" xfId="1640" xr:uid="{00000000-0005-0000-0000-000015060000}"/>
    <cellStyle name="Normal 3 10 22 2" xfId="11842" xr:uid="{00000000-0005-0000-0000-000077270000}"/>
    <cellStyle name="Normal 3 10 23" xfId="1641" xr:uid="{00000000-0005-0000-0000-000016060000}"/>
    <cellStyle name="Normal 3 10 23 2" xfId="11843" xr:uid="{00000000-0005-0000-0000-000079270000}"/>
    <cellStyle name="Normal 3 10 24" xfId="11844" xr:uid="{00000000-0005-0000-0000-00007A270000}"/>
    <cellStyle name="Normal 3 10 3" xfId="1642" xr:uid="{00000000-0005-0000-0000-000017060000}"/>
    <cellStyle name="Normal 3 10 3 2" xfId="11845" xr:uid="{00000000-0005-0000-0000-00007C270000}"/>
    <cellStyle name="Normal 3 10 4" xfId="1643" xr:uid="{00000000-0005-0000-0000-000018060000}"/>
    <cellStyle name="Normal 3 10 4 2" xfId="11846" xr:uid="{00000000-0005-0000-0000-00007E270000}"/>
    <cellStyle name="Normal 3 10 5" xfId="1644" xr:uid="{00000000-0005-0000-0000-000019060000}"/>
    <cellStyle name="Normal 3 10 5 2" xfId="11847" xr:uid="{00000000-0005-0000-0000-000080270000}"/>
    <cellStyle name="Normal 3 10 6" xfId="1645" xr:uid="{00000000-0005-0000-0000-00001A060000}"/>
    <cellStyle name="Normal 3 10 6 2" xfId="11848" xr:uid="{00000000-0005-0000-0000-000082270000}"/>
    <cellStyle name="Normal 3 10 7" xfId="1646" xr:uid="{00000000-0005-0000-0000-00001B060000}"/>
    <cellStyle name="Normal 3 10 7 2" xfId="11849" xr:uid="{00000000-0005-0000-0000-000084270000}"/>
    <cellStyle name="Normal 3 10 8" xfId="1647" xr:uid="{00000000-0005-0000-0000-00001C060000}"/>
    <cellStyle name="Normal 3 10 8 2" xfId="11850" xr:uid="{00000000-0005-0000-0000-000086270000}"/>
    <cellStyle name="Normal 3 10 9" xfId="1648" xr:uid="{00000000-0005-0000-0000-00001D060000}"/>
    <cellStyle name="Normal 3 10 9 2" xfId="11851" xr:uid="{00000000-0005-0000-0000-000088270000}"/>
    <cellStyle name="Normal 3 100" xfId="11852" xr:uid="{00000000-0005-0000-0000-000089270000}"/>
    <cellStyle name="Normal 3 101" xfId="11853" xr:uid="{00000000-0005-0000-0000-00008A270000}"/>
    <cellStyle name="Normal 3 102" xfId="5365" xr:uid="{00000000-0005-0000-0000-00005A270000}"/>
    <cellStyle name="Normal 3 103" xfId="20549" xr:uid="{07FF931D-5DDA-4A2B-9196-D2B040771508}"/>
    <cellStyle name="Normal 3 11" xfId="1649" xr:uid="{00000000-0005-0000-0000-00001E060000}"/>
    <cellStyle name="Normal 3 11 10" xfId="1650" xr:uid="{00000000-0005-0000-0000-00001F060000}"/>
    <cellStyle name="Normal 3 11 10 2" xfId="11854" xr:uid="{00000000-0005-0000-0000-00008D270000}"/>
    <cellStyle name="Normal 3 11 11" xfId="1651" xr:uid="{00000000-0005-0000-0000-000020060000}"/>
    <cellStyle name="Normal 3 11 11 2" xfId="11855" xr:uid="{00000000-0005-0000-0000-00008F270000}"/>
    <cellStyle name="Normal 3 11 12" xfId="1652" xr:uid="{00000000-0005-0000-0000-000021060000}"/>
    <cellStyle name="Normal 3 11 12 2" xfId="11856" xr:uid="{00000000-0005-0000-0000-000091270000}"/>
    <cellStyle name="Normal 3 11 13" xfId="1653" xr:uid="{00000000-0005-0000-0000-000022060000}"/>
    <cellStyle name="Normal 3 11 13 2" xfId="11857" xr:uid="{00000000-0005-0000-0000-000093270000}"/>
    <cellStyle name="Normal 3 11 14" xfId="1654" xr:uid="{00000000-0005-0000-0000-000023060000}"/>
    <cellStyle name="Normal 3 11 14 2" xfId="11858" xr:uid="{00000000-0005-0000-0000-000095270000}"/>
    <cellStyle name="Normal 3 11 15" xfId="1655" xr:uid="{00000000-0005-0000-0000-000024060000}"/>
    <cellStyle name="Normal 3 11 15 2" xfId="11859" xr:uid="{00000000-0005-0000-0000-000097270000}"/>
    <cellStyle name="Normal 3 11 16" xfId="1656" xr:uid="{00000000-0005-0000-0000-000025060000}"/>
    <cellStyle name="Normal 3 11 16 2" xfId="11860" xr:uid="{00000000-0005-0000-0000-000099270000}"/>
    <cellStyle name="Normal 3 11 17" xfId="1657" xr:uid="{00000000-0005-0000-0000-000026060000}"/>
    <cellStyle name="Normal 3 11 17 2" xfId="11861" xr:uid="{00000000-0005-0000-0000-00009B270000}"/>
    <cellStyle name="Normal 3 11 18" xfId="1658" xr:uid="{00000000-0005-0000-0000-000027060000}"/>
    <cellStyle name="Normal 3 11 18 2" xfId="11862" xr:uid="{00000000-0005-0000-0000-00009D270000}"/>
    <cellStyle name="Normal 3 11 19" xfId="1659" xr:uid="{00000000-0005-0000-0000-000028060000}"/>
    <cellStyle name="Normal 3 11 19 2" xfId="11863" xr:uid="{00000000-0005-0000-0000-00009F270000}"/>
    <cellStyle name="Normal 3 11 2" xfId="1660" xr:uid="{00000000-0005-0000-0000-000029060000}"/>
    <cellStyle name="Normal 3 11 2 2" xfId="11864" xr:uid="{00000000-0005-0000-0000-0000A1270000}"/>
    <cellStyle name="Normal 3 11 20" xfId="1661" xr:uid="{00000000-0005-0000-0000-00002A060000}"/>
    <cellStyle name="Normal 3 11 20 2" xfId="11865" xr:uid="{00000000-0005-0000-0000-0000A3270000}"/>
    <cellStyle name="Normal 3 11 21" xfId="1662" xr:uid="{00000000-0005-0000-0000-00002B060000}"/>
    <cellStyle name="Normal 3 11 21 2" xfId="11866" xr:uid="{00000000-0005-0000-0000-0000A5270000}"/>
    <cellStyle name="Normal 3 11 22" xfId="1663" xr:uid="{00000000-0005-0000-0000-00002C060000}"/>
    <cellStyle name="Normal 3 11 22 2" xfId="11867" xr:uid="{00000000-0005-0000-0000-0000A7270000}"/>
    <cellStyle name="Normal 3 11 23" xfId="1664" xr:uid="{00000000-0005-0000-0000-00002D060000}"/>
    <cellStyle name="Normal 3 11 23 2" xfId="11868" xr:uid="{00000000-0005-0000-0000-0000A9270000}"/>
    <cellStyle name="Normal 3 11 24" xfId="11869" xr:uid="{00000000-0005-0000-0000-0000AA270000}"/>
    <cellStyle name="Normal 3 11 3" xfId="1665" xr:uid="{00000000-0005-0000-0000-00002E060000}"/>
    <cellStyle name="Normal 3 11 3 2" xfId="11870" xr:uid="{00000000-0005-0000-0000-0000AC270000}"/>
    <cellStyle name="Normal 3 11 4" xfId="1666" xr:uid="{00000000-0005-0000-0000-00002F060000}"/>
    <cellStyle name="Normal 3 11 4 2" xfId="11871" xr:uid="{00000000-0005-0000-0000-0000AE270000}"/>
    <cellStyle name="Normal 3 11 5" xfId="1667" xr:uid="{00000000-0005-0000-0000-000030060000}"/>
    <cellStyle name="Normal 3 11 5 2" xfId="11872" xr:uid="{00000000-0005-0000-0000-0000B0270000}"/>
    <cellStyle name="Normal 3 11 6" xfId="1668" xr:uid="{00000000-0005-0000-0000-000031060000}"/>
    <cellStyle name="Normal 3 11 6 2" xfId="11873" xr:uid="{00000000-0005-0000-0000-0000B2270000}"/>
    <cellStyle name="Normal 3 11 7" xfId="1669" xr:uid="{00000000-0005-0000-0000-000032060000}"/>
    <cellStyle name="Normal 3 11 7 2" xfId="11874" xr:uid="{00000000-0005-0000-0000-0000B4270000}"/>
    <cellStyle name="Normal 3 11 8" xfId="1670" xr:uid="{00000000-0005-0000-0000-000033060000}"/>
    <cellStyle name="Normal 3 11 8 2" xfId="11875" xr:uid="{00000000-0005-0000-0000-0000B6270000}"/>
    <cellStyle name="Normal 3 11 9" xfId="1671" xr:uid="{00000000-0005-0000-0000-000034060000}"/>
    <cellStyle name="Normal 3 11 9 2" xfId="11876" xr:uid="{00000000-0005-0000-0000-0000B8270000}"/>
    <cellStyle name="Normal 3 12" xfId="1672" xr:uid="{00000000-0005-0000-0000-000035060000}"/>
    <cellStyle name="Normal 3 12 10" xfId="1673" xr:uid="{00000000-0005-0000-0000-000036060000}"/>
    <cellStyle name="Normal 3 12 10 2" xfId="11877" xr:uid="{00000000-0005-0000-0000-0000BB270000}"/>
    <cellStyle name="Normal 3 12 11" xfId="1674" xr:uid="{00000000-0005-0000-0000-000037060000}"/>
    <cellStyle name="Normal 3 12 11 2" xfId="11878" xr:uid="{00000000-0005-0000-0000-0000BD270000}"/>
    <cellStyle name="Normal 3 12 12" xfId="1675" xr:uid="{00000000-0005-0000-0000-000038060000}"/>
    <cellStyle name="Normal 3 12 12 2" xfId="11879" xr:uid="{00000000-0005-0000-0000-0000BF270000}"/>
    <cellStyle name="Normal 3 12 13" xfId="1676" xr:uid="{00000000-0005-0000-0000-000039060000}"/>
    <cellStyle name="Normal 3 12 13 2" xfId="11880" xr:uid="{00000000-0005-0000-0000-0000C1270000}"/>
    <cellStyle name="Normal 3 12 14" xfId="1677" xr:uid="{00000000-0005-0000-0000-00003A060000}"/>
    <cellStyle name="Normal 3 12 14 2" xfId="11881" xr:uid="{00000000-0005-0000-0000-0000C3270000}"/>
    <cellStyle name="Normal 3 12 15" xfId="1678" xr:uid="{00000000-0005-0000-0000-00003B060000}"/>
    <cellStyle name="Normal 3 12 15 2" xfId="11882" xr:uid="{00000000-0005-0000-0000-0000C5270000}"/>
    <cellStyle name="Normal 3 12 16" xfId="1679" xr:uid="{00000000-0005-0000-0000-00003C060000}"/>
    <cellStyle name="Normal 3 12 16 2" xfId="11883" xr:uid="{00000000-0005-0000-0000-0000C7270000}"/>
    <cellStyle name="Normal 3 12 17" xfId="1680" xr:uid="{00000000-0005-0000-0000-00003D060000}"/>
    <cellStyle name="Normal 3 12 17 2" xfId="11884" xr:uid="{00000000-0005-0000-0000-0000C9270000}"/>
    <cellStyle name="Normal 3 12 18" xfId="1681" xr:uid="{00000000-0005-0000-0000-00003E060000}"/>
    <cellStyle name="Normal 3 12 18 2" xfId="11885" xr:uid="{00000000-0005-0000-0000-0000CB270000}"/>
    <cellStyle name="Normal 3 12 19" xfId="1682" xr:uid="{00000000-0005-0000-0000-00003F060000}"/>
    <cellStyle name="Normal 3 12 19 2" xfId="11886" xr:uid="{00000000-0005-0000-0000-0000CD270000}"/>
    <cellStyle name="Normal 3 12 2" xfId="1683" xr:uid="{00000000-0005-0000-0000-000040060000}"/>
    <cellStyle name="Normal 3 12 2 2" xfId="11887" xr:uid="{00000000-0005-0000-0000-0000CF270000}"/>
    <cellStyle name="Normal 3 12 20" xfId="1684" xr:uid="{00000000-0005-0000-0000-000041060000}"/>
    <cellStyle name="Normal 3 12 20 2" xfId="11888" xr:uid="{00000000-0005-0000-0000-0000D1270000}"/>
    <cellStyle name="Normal 3 12 21" xfId="1685" xr:uid="{00000000-0005-0000-0000-000042060000}"/>
    <cellStyle name="Normal 3 12 21 2" xfId="11889" xr:uid="{00000000-0005-0000-0000-0000D3270000}"/>
    <cellStyle name="Normal 3 12 22" xfId="1686" xr:uid="{00000000-0005-0000-0000-000043060000}"/>
    <cellStyle name="Normal 3 12 22 2" xfId="11890" xr:uid="{00000000-0005-0000-0000-0000D5270000}"/>
    <cellStyle name="Normal 3 12 23" xfId="1687" xr:uid="{00000000-0005-0000-0000-000044060000}"/>
    <cellStyle name="Normal 3 12 23 2" xfId="11891" xr:uid="{00000000-0005-0000-0000-0000D7270000}"/>
    <cellStyle name="Normal 3 12 24" xfId="11892" xr:uid="{00000000-0005-0000-0000-0000D8270000}"/>
    <cellStyle name="Normal 3 12 3" xfId="1688" xr:uid="{00000000-0005-0000-0000-000045060000}"/>
    <cellStyle name="Normal 3 12 3 2" xfId="11893" xr:uid="{00000000-0005-0000-0000-0000DA270000}"/>
    <cellStyle name="Normal 3 12 4" xfId="1689" xr:uid="{00000000-0005-0000-0000-000046060000}"/>
    <cellStyle name="Normal 3 12 4 2" xfId="11894" xr:uid="{00000000-0005-0000-0000-0000DC270000}"/>
    <cellStyle name="Normal 3 12 5" xfId="1690" xr:uid="{00000000-0005-0000-0000-000047060000}"/>
    <cellStyle name="Normal 3 12 5 2" xfId="11895" xr:uid="{00000000-0005-0000-0000-0000DE270000}"/>
    <cellStyle name="Normal 3 12 6" xfId="1691" xr:uid="{00000000-0005-0000-0000-000048060000}"/>
    <cellStyle name="Normal 3 12 6 2" xfId="11896" xr:uid="{00000000-0005-0000-0000-0000E0270000}"/>
    <cellStyle name="Normal 3 12 7" xfId="1692" xr:uid="{00000000-0005-0000-0000-000049060000}"/>
    <cellStyle name="Normal 3 12 7 2" xfId="11897" xr:uid="{00000000-0005-0000-0000-0000E2270000}"/>
    <cellStyle name="Normal 3 12 8" xfId="1693" xr:uid="{00000000-0005-0000-0000-00004A060000}"/>
    <cellStyle name="Normal 3 12 8 2" xfId="11898" xr:uid="{00000000-0005-0000-0000-0000E4270000}"/>
    <cellStyle name="Normal 3 12 9" xfId="1694" xr:uid="{00000000-0005-0000-0000-00004B060000}"/>
    <cellStyle name="Normal 3 12 9 2" xfId="11899" xr:uid="{00000000-0005-0000-0000-0000E6270000}"/>
    <cellStyle name="Normal 3 13" xfId="1695" xr:uid="{00000000-0005-0000-0000-00004C060000}"/>
    <cellStyle name="Normal 3 13 10" xfId="1696" xr:uid="{00000000-0005-0000-0000-00004D060000}"/>
    <cellStyle name="Normal 3 13 10 2" xfId="11900" xr:uid="{00000000-0005-0000-0000-0000E9270000}"/>
    <cellStyle name="Normal 3 13 11" xfId="1697" xr:uid="{00000000-0005-0000-0000-00004E060000}"/>
    <cellStyle name="Normal 3 13 11 2" xfId="11901" xr:uid="{00000000-0005-0000-0000-0000EB270000}"/>
    <cellStyle name="Normal 3 13 12" xfId="1698" xr:uid="{00000000-0005-0000-0000-00004F060000}"/>
    <cellStyle name="Normal 3 13 12 2" xfId="11902" xr:uid="{00000000-0005-0000-0000-0000ED270000}"/>
    <cellStyle name="Normal 3 13 13" xfId="1699" xr:uid="{00000000-0005-0000-0000-000050060000}"/>
    <cellStyle name="Normal 3 13 13 2" xfId="11903" xr:uid="{00000000-0005-0000-0000-0000EF270000}"/>
    <cellStyle name="Normal 3 13 14" xfId="1700" xr:uid="{00000000-0005-0000-0000-000051060000}"/>
    <cellStyle name="Normal 3 13 14 2" xfId="11904" xr:uid="{00000000-0005-0000-0000-0000F1270000}"/>
    <cellStyle name="Normal 3 13 15" xfId="1701" xr:uid="{00000000-0005-0000-0000-000052060000}"/>
    <cellStyle name="Normal 3 13 15 2" xfId="11905" xr:uid="{00000000-0005-0000-0000-0000F3270000}"/>
    <cellStyle name="Normal 3 13 16" xfId="1702" xr:uid="{00000000-0005-0000-0000-000053060000}"/>
    <cellStyle name="Normal 3 13 16 2" xfId="11906" xr:uid="{00000000-0005-0000-0000-0000F5270000}"/>
    <cellStyle name="Normal 3 13 17" xfId="1703" xr:uid="{00000000-0005-0000-0000-000054060000}"/>
    <cellStyle name="Normal 3 13 17 2" xfId="11907" xr:uid="{00000000-0005-0000-0000-0000F7270000}"/>
    <cellStyle name="Normal 3 13 18" xfId="1704" xr:uid="{00000000-0005-0000-0000-000055060000}"/>
    <cellStyle name="Normal 3 13 18 2" xfId="11908" xr:uid="{00000000-0005-0000-0000-0000F9270000}"/>
    <cellStyle name="Normal 3 13 19" xfId="1705" xr:uid="{00000000-0005-0000-0000-000056060000}"/>
    <cellStyle name="Normal 3 13 19 2" xfId="11909" xr:uid="{00000000-0005-0000-0000-0000FB270000}"/>
    <cellStyle name="Normal 3 13 2" xfId="1706" xr:uid="{00000000-0005-0000-0000-000057060000}"/>
    <cellStyle name="Normal 3 13 2 2" xfId="11910" xr:uid="{00000000-0005-0000-0000-0000FD270000}"/>
    <cellStyle name="Normal 3 13 20" xfId="1707" xr:uid="{00000000-0005-0000-0000-000058060000}"/>
    <cellStyle name="Normal 3 13 20 2" xfId="11911" xr:uid="{00000000-0005-0000-0000-0000FF270000}"/>
    <cellStyle name="Normal 3 13 21" xfId="1708" xr:uid="{00000000-0005-0000-0000-000059060000}"/>
    <cellStyle name="Normal 3 13 21 2" xfId="11912" xr:uid="{00000000-0005-0000-0000-000001280000}"/>
    <cellStyle name="Normal 3 13 22" xfId="1709" xr:uid="{00000000-0005-0000-0000-00005A060000}"/>
    <cellStyle name="Normal 3 13 22 2" xfId="11913" xr:uid="{00000000-0005-0000-0000-000003280000}"/>
    <cellStyle name="Normal 3 13 23" xfId="1710" xr:uid="{00000000-0005-0000-0000-00005B060000}"/>
    <cellStyle name="Normal 3 13 23 2" xfId="11914" xr:uid="{00000000-0005-0000-0000-000005280000}"/>
    <cellStyle name="Normal 3 13 24" xfId="11915" xr:uid="{00000000-0005-0000-0000-000006280000}"/>
    <cellStyle name="Normal 3 13 3" xfId="1711" xr:uid="{00000000-0005-0000-0000-00005C060000}"/>
    <cellStyle name="Normal 3 13 3 2" xfId="11916" xr:uid="{00000000-0005-0000-0000-000008280000}"/>
    <cellStyle name="Normal 3 13 4" xfId="1712" xr:uid="{00000000-0005-0000-0000-00005D060000}"/>
    <cellStyle name="Normal 3 13 4 2" xfId="11917" xr:uid="{00000000-0005-0000-0000-00000A280000}"/>
    <cellStyle name="Normal 3 13 5" xfId="1713" xr:uid="{00000000-0005-0000-0000-00005E060000}"/>
    <cellStyle name="Normal 3 13 5 2" xfId="11918" xr:uid="{00000000-0005-0000-0000-00000C280000}"/>
    <cellStyle name="Normal 3 13 6" xfId="1714" xr:uid="{00000000-0005-0000-0000-00005F060000}"/>
    <cellStyle name="Normal 3 13 6 2" xfId="11919" xr:uid="{00000000-0005-0000-0000-00000E280000}"/>
    <cellStyle name="Normal 3 13 7" xfId="1715" xr:uid="{00000000-0005-0000-0000-000060060000}"/>
    <cellStyle name="Normal 3 13 7 2" xfId="11920" xr:uid="{00000000-0005-0000-0000-000010280000}"/>
    <cellStyle name="Normal 3 13 8" xfId="1716" xr:uid="{00000000-0005-0000-0000-000061060000}"/>
    <cellStyle name="Normal 3 13 8 2" xfId="11921" xr:uid="{00000000-0005-0000-0000-000012280000}"/>
    <cellStyle name="Normal 3 13 9" xfId="1717" xr:uid="{00000000-0005-0000-0000-000062060000}"/>
    <cellStyle name="Normal 3 13 9 2" xfId="11922" xr:uid="{00000000-0005-0000-0000-000014280000}"/>
    <cellStyle name="Normal 3 14" xfId="1718" xr:uid="{00000000-0005-0000-0000-000063060000}"/>
    <cellStyle name="Normal 3 14 10" xfId="1719" xr:uid="{00000000-0005-0000-0000-000064060000}"/>
    <cellStyle name="Normal 3 14 10 2" xfId="11923" xr:uid="{00000000-0005-0000-0000-000017280000}"/>
    <cellStyle name="Normal 3 14 11" xfId="1720" xr:uid="{00000000-0005-0000-0000-000065060000}"/>
    <cellStyle name="Normal 3 14 11 2" xfId="11924" xr:uid="{00000000-0005-0000-0000-000019280000}"/>
    <cellStyle name="Normal 3 14 12" xfId="1721" xr:uid="{00000000-0005-0000-0000-000066060000}"/>
    <cellStyle name="Normal 3 14 12 2" xfId="11925" xr:uid="{00000000-0005-0000-0000-00001B280000}"/>
    <cellStyle name="Normal 3 14 13" xfId="1722" xr:uid="{00000000-0005-0000-0000-000067060000}"/>
    <cellStyle name="Normal 3 14 13 2" xfId="11926" xr:uid="{00000000-0005-0000-0000-00001D280000}"/>
    <cellStyle name="Normal 3 14 14" xfId="1723" xr:uid="{00000000-0005-0000-0000-000068060000}"/>
    <cellStyle name="Normal 3 14 14 2" xfId="11927" xr:uid="{00000000-0005-0000-0000-00001F280000}"/>
    <cellStyle name="Normal 3 14 15" xfId="1724" xr:uid="{00000000-0005-0000-0000-000069060000}"/>
    <cellStyle name="Normal 3 14 15 2" xfId="11928" xr:uid="{00000000-0005-0000-0000-000021280000}"/>
    <cellStyle name="Normal 3 14 16" xfId="1725" xr:uid="{00000000-0005-0000-0000-00006A060000}"/>
    <cellStyle name="Normal 3 14 16 2" xfId="11929" xr:uid="{00000000-0005-0000-0000-000023280000}"/>
    <cellStyle name="Normal 3 14 17" xfId="1726" xr:uid="{00000000-0005-0000-0000-00006B060000}"/>
    <cellStyle name="Normal 3 14 17 2" xfId="11930" xr:uid="{00000000-0005-0000-0000-000025280000}"/>
    <cellStyle name="Normal 3 14 18" xfId="1727" xr:uid="{00000000-0005-0000-0000-00006C060000}"/>
    <cellStyle name="Normal 3 14 18 2" xfId="11931" xr:uid="{00000000-0005-0000-0000-000027280000}"/>
    <cellStyle name="Normal 3 14 19" xfId="1728" xr:uid="{00000000-0005-0000-0000-00006D060000}"/>
    <cellStyle name="Normal 3 14 19 2" xfId="11932" xr:uid="{00000000-0005-0000-0000-000029280000}"/>
    <cellStyle name="Normal 3 14 2" xfId="1729" xr:uid="{00000000-0005-0000-0000-00006E060000}"/>
    <cellStyle name="Normal 3 14 2 2" xfId="11933" xr:uid="{00000000-0005-0000-0000-00002B280000}"/>
    <cellStyle name="Normal 3 14 20" xfId="1730" xr:uid="{00000000-0005-0000-0000-00006F060000}"/>
    <cellStyle name="Normal 3 14 20 2" xfId="11934" xr:uid="{00000000-0005-0000-0000-00002D280000}"/>
    <cellStyle name="Normal 3 14 21" xfId="1731" xr:uid="{00000000-0005-0000-0000-000070060000}"/>
    <cellStyle name="Normal 3 14 21 2" xfId="11935" xr:uid="{00000000-0005-0000-0000-00002F280000}"/>
    <cellStyle name="Normal 3 14 22" xfId="1732" xr:uid="{00000000-0005-0000-0000-000071060000}"/>
    <cellStyle name="Normal 3 14 22 2" xfId="11936" xr:uid="{00000000-0005-0000-0000-000031280000}"/>
    <cellStyle name="Normal 3 14 23" xfId="1733" xr:uid="{00000000-0005-0000-0000-000072060000}"/>
    <cellStyle name="Normal 3 14 23 2" xfId="11937" xr:uid="{00000000-0005-0000-0000-000033280000}"/>
    <cellStyle name="Normal 3 14 24" xfId="11938" xr:uid="{00000000-0005-0000-0000-000034280000}"/>
    <cellStyle name="Normal 3 14 3" xfId="1734" xr:uid="{00000000-0005-0000-0000-000073060000}"/>
    <cellStyle name="Normal 3 14 3 2" xfId="11939" xr:uid="{00000000-0005-0000-0000-000036280000}"/>
    <cellStyle name="Normal 3 14 4" xfId="1735" xr:uid="{00000000-0005-0000-0000-000074060000}"/>
    <cellStyle name="Normal 3 14 4 2" xfId="11940" xr:uid="{00000000-0005-0000-0000-000038280000}"/>
    <cellStyle name="Normal 3 14 5" xfId="1736" xr:uid="{00000000-0005-0000-0000-000075060000}"/>
    <cellStyle name="Normal 3 14 5 2" xfId="11941" xr:uid="{00000000-0005-0000-0000-00003A280000}"/>
    <cellStyle name="Normal 3 14 6" xfId="1737" xr:uid="{00000000-0005-0000-0000-000076060000}"/>
    <cellStyle name="Normal 3 14 6 2" xfId="11942" xr:uid="{00000000-0005-0000-0000-00003C280000}"/>
    <cellStyle name="Normal 3 14 7" xfId="1738" xr:uid="{00000000-0005-0000-0000-000077060000}"/>
    <cellStyle name="Normal 3 14 7 2" xfId="11943" xr:uid="{00000000-0005-0000-0000-00003E280000}"/>
    <cellStyle name="Normal 3 14 8" xfId="1739" xr:uid="{00000000-0005-0000-0000-000078060000}"/>
    <cellStyle name="Normal 3 14 8 2" xfId="11944" xr:uid="{00000000-0005-0000-0000-000040280000}"/>
    <cellStyle name="Normal 3 14 9" xfId="1740" xr:uid="{00000000-0005-0000-0000-000079060000}"/>
    <cellStyle name="Normal 3 14 9 2" xfId="11945" xr:uid="{00000000-0005-0000-0000-000042280000}"/>
    <cellStyle name="Normal 3 15" xfId="1741" xr:uid="{00000000-0005-0000-0000-00007A060000}"/>
    <cellStyle name="Normal 3 15 10" xfId="1742" xr:uid="{00000000-0005-0000-0000-00007B060000}"/>
    <cellStyle name="Normal 3 15 10 2" xfId="11946" xr:uid="{00000000-0005-0000-0000-000045280000}"/>
    <cellStyle name="Normal 3 15 11" xfId="1743" xr:uid="{00000000-0005-0000-0000-00007C060000}"/>
    <cellStyle name="Normal 3 15 11 2" xfId="11947" xr:uid="{00000000-0005-0000-0000-000047280000}"/>
    <cellStyle name="Normal 3 15 12" xfId="1744" xr:uid="{00000000-0005-0000-0000-00007D060000}"/>
    <cellStyle name="Normal 3 15 12 2" xfId="11948" xr:uid="{00000000-0005-0000-0000-000049280000}"/>
    <cellStyle name="Normal 3 15 13" xfId="1745" xr:uid="{00000000-0005-0000-0000-00007E060000}"/>
    <cellStyle name="Normal 3 15 13 2" xfId="11949" xr:uid="{00000000-0005-0000-0000-00004B280000}"/>
    <cellStyle name="Normal 3 15 14" xfId="1746" xr:uid="{00000000-0005-0000-0000-00007F060000}"/>
    <cellStyle name="Normal 3 15 14 2" xfId="11950" xr:uid="{00000000-0005-0000-0000-00004D280000}"/>
    <cellStyle name="Normal 3 15 15" xfId="1747" xr:uid="{00000000-0005-0000-0000-000080060000}"/>
    <cellStyle name="Normal 3 15 15 2" xfId="11951" xr:uid="{00000000-0005-0000-0000-00004F280000}"/>
    <cellStyle name="Normal 3 15 16" xfId="1748" xr:uid="{00000000-0005-0000-0000-000081060000}"/>
    <cellStyle name="Normal 3 15 16 2" xfId="11952" xr:uid="{00000000-0005-0000-0000-000051280000}"/>
    <cellStyle name="Normal 3 15 17" xfId="1749" xr:uid="{00000000-0005-0000-0000-000082060000}"/>
    <cellStyle name="Normal 3 15 17 2" xfId="11953" xr:uid="{00000000-0005-0000-0000-000053280000}"/>
    <cellStyle name="Normal 3 15 18" xfId="1750" xr:uid="{00000000-0005-0000-0000-000083060000}"/>
    <cellStyle name="Normal 3 15 18 2" xfId="11954" xr:uid="{00000000-0005-0000-0000-000055280000}"/>
    <cellStyle name="Normal 3 15 19" xfId="1751" xr:uid="{00000000-0005-0000-0000-000084060000}"/>
    <cellStyle name="Normal 3 15 19 2" xfId="11955" xr:uid="{00000000-0005-0000-0000-000057280000}"/>
    <cellStyle name="Normal 3 15 2" xfId="1752" xr:uid="{00000000-0005-0000-0000-000085060000}"/>
    <cellStyle name="Normal 3 15 2 2" xfId="11956" xr:uid="{00000000-0005-0000-0000-000059280000}"/>
    <cellStyle name="Normal 3 15 20" xfId="1753" xr:uid="{00000000-0005-0000-0000-000086060000}"/>
    <cellStyle name="Normal 3 15 20 2" xfId="11957" xr:uid="{00000000-0005-0000-0000-00005B280000}"/>
    <cellStyle name="Normal 3 15 21" xfId="1754" xr:uid="{00000000-0005-0000-0000-000087060000}"/>
    <cellStyle name="Normal 3 15 21 2" xfId="11958" xr:uid="{00000000-0005-0000-0000-00005D280000}"/>
    <cellStyle name="Normal 3 15 22" xfId="1755" xr:uid="{00000000-0005-0000-0000-000088060000}"/>
    <cellStyle name="Normal 3 15 22 2" xfId="11959" xr:uid="{00000000-0005-0000-0000-00005F280000}"/>
    <cellStyle name="Normal 3 15 23" xfId="1756" xr:uid="{00000000-0005-0000-0000-000089060000}"/>
    <cellStyle name="Normal 3 15 23 2" xfId="11960" xr:uid="{00000000-0005-0000-0000-000061280000}"/>
    <cellStyle name="Normal 3 15 24" xfId="11961" xr:uid="{00000000-0005-0000-0000-000062280000}"/>
    <cellStyle name="Normal 3 15 3" xfId="1757" xr:uid="{00000000-0005-0000-0000-00008A060000}"/>
    <cellStyle name="Normal 3 15 3 2" xfId="11962" xr:uid="{00000000-0005-0000-0000-000064280000}"/>
    <cellStyle name="Normal 3 15 4" xfId="1758" xr:uid="{00000000-0005-0000-0000-00008B060000}"/>
    <cellStyle name="Normal 3 15 4 2" xfId="11963" xr:uid="{00000000-0005-0000-0000-000066280000}"/>
    <cellStyle name="Normal 3 15 5" xfId="1759" xr:uid="{00000000-0005-0000-0000-00008C060000}"/>
    <cellStyle name="Normal 3 15 5 2" xfId="11964" xr:uid="{00000000-0005-0000-0000-000068280000}"/>
    <cellStyle name="Normal 3 15 6" xfId="1760" xr:uid="{00000000-0005-0000-0000-00008D060000}"/>
    <cellStyle name="Normal 3 15 6 2" xfId="11965" xr:uid="{00000000-0005-0000-0000-00006A280000}"/>
    <cellStyle name="Normal 3 15 7" xfId="1761" xr:uid="{00000000-0005-0000-0000-00008E060000}"/>
    <cellStyle name="Normal 3 15 7 2" xfId="11966" xr:uid="{00000000-0005-0000-0000-00006C280000}"/>
    <cellStyle name="Normal 3 15 8" xfId="1762" xr:uid="{00000000-0005-0000-0000-00008F060000}"/>
    <cellStyle name="Normal 3 15 8 2" xfId="11967" xr:uid="{00000000-0005-0000-0000-00006E280000}"/>
    <cellStyle name="Normal 3 15 9" xfId="1763" xr:uid="{00000000-0005-0000-0000-000090060000}"/>
    <cellStyle name="Normal 3 15 9 2" xfId="11968" xr:uid="{00000000-0005-0000-0000-000070280000}"/>
    <cellStyle name="Normal 3 16" xfId="1764" xr:uid="{00000000-0005-0000-0000-000091060000}"/>
    <cellStyle name="Normal 3 16 10" xfId="1765" xr:uid="{00000000-0005-0000-0000-000092060000}"/>
    <cellStyle name="Normal 3 16 10 2" xfId="11969" xr:uid="{00000000-0005-0000-0000-000073280000}"/>
    <cellStyle name="Normal 3 16 11" xfId="1766" xr:uid="{00000000-0005-0000-0000-000093060000}"/>
    <cellStyle name="Normal 3 16 11 2" xfId="11970" xr:uid="{00000000-0005-0000-0000-000075280000}"/>
    <cellStyle name="Normal 3 16 12" xfId="1767" xr:uid="{00000000-0005-0000-0000-000094060000}"/>
    <cellStyle name="Normal 3 16 12 2" xfId="11971" xr:uid="{00000000-0005-0000-0000-000077280000}"/>
    <cellStyle name="Normal 3 16 13" xfId="1768" xr:uid="{00000000-0005-0000-0000-000095060000}"/>
    <cellStyle name="Normal 3 16 13 2" xfId="11972" xr:uid="{00000000-0005-0000-0000-000079280000}"/>
    <cellStyle name="Normal 3 16 14" xfId="1769" xr:uid="{00000000-0005-0000-0000-000096060000}"/>
    <cellStyle name="Normal 3 16 14 2" xfId="11973" xr:uid="{00000000-0005-0000-0000-00007B280000}"/>
    <cellStyle name="Normal 3 16 15" xfId="1770" xr:uid="{00000000-0005-0000-0000-000097060000}"/>
    <cellStyle name="Normal 3 16 15 2" xfId="11974" xr:uid="{00000000-0005-0000-0000-00007D280000}"/>
    <cellStyle name="Normal 3 16 16" xfId="1771" xr:uid="{00000000-0005-0000-0000-000098060000}"/>
    <cellStyle name="Normal 3 16 16 2" xfId="11975" xr:uid="{00000000-0005-0000-0000-00007F280000}"/>
    <cellStyle name="Normal 3 16 17" xfId="1772" xr:uid="{00000000-0005-0000-0000-000099060000}"/>
    <cellStyle name="Normal 3 16 17 2" xfId="11976" xr:uid="{00000000-0005-0000-0000-000081280000}"/>
    <cellStyle name="Normal 3 16 18" xfId="1773" xr:uid="{00000000-0005-0000-0000-00009A060000}"/>
    <cellStyle name="Normal 3 16 18 2" xfId="11977" xr:uid="{00000000-0005-0000-0000-000083280000}"/>
    <cellStyle name="Normal 3 16 19" xfId="1774" xr:uid="{00000000-0005-0000-0000-00009B060000}"/>
    <cellStyle name="Normal 3 16 19 2" xfId="11978" xr:uid="{00000000-0005-0000-0000-000085280000}"/>
    <cellStyle name="Normal 3 16 2" xfId="1775" xr:uid="{00000000-0005-0000-0000-00009C060000}"/>
    <cellStyle name="Normal 3 16 2 2" xfId="11979" xr:uid="{00000000-0005-0000-0000-000087280000}"/>
    <cellStyle name="Normal 3 16 20" xfId="1776" xr:uid="{00000000-0005-0000-0000-00009D060000}"/>
    <cellStyle name="Normal 3 16 20 2" xfId="11980" xr:uid="{00000000-0005-0000-0000-000089280000}"/>
    <cellStyle name="Normal 3 16 21" xfId="1777" xr:uid="{00000000-0005-0000-0000-00009E060000}"/>
    <cellStyle name="Normal 3 16 21 2" xfId="11981" xr:uid="{00000000-0005-0000-0000-00008B280000}"/>
    <cellStyle name="Normal 3 16 22" xfId="1778" xr:uid="{00000000-0005-0000-0000-00009F060000}"/>
    <cellStyle name="Normal 3 16 22 2" xfId="11982" xr:uid="{00000000-0005-0000-0000-00008D280000}"/>
    <cellStyle name="Normal 3 16 23" xfId="1779" xr:uid="{00000000-0005-0000-0000-0000A0060000}"/>
    <cellStyle name="Normal 3 16 23 2" xfId="11983" xr:uid="{00000000-0005-0000-0000-00008F280000}"/>
    <cellStyle name="Normal 3 16 24" xfId="11984" xr:uid="{00000000-0005-0000-0000-000090280000}"/>
    <cellStyle name="Normal 3 16 3" xfId="1780" xr:uid="{00000000-0005-0000-0000-0000A1060000}"/>
    <cellStyle name="Normal 3 16 3 2" xfId="11985" xr:uid="{00000000-0005-0000-0000-000092280000}"/>
    <cellStyle name="Normal 3 16 4" xfId="1781" xr:uid="{00000000-0005-0000-0000-0000A2060000}"/>
    <cellStyle name="Normal 3 16 4 2" xfId="11986" xr:uid="{00000000-0005-0000-0000-000094280000}"/>
    <cellStyle name="Normal 3 16 5" xfId="1782" xr:uid="{00000000-0005-0000-0000-0000A3060000}"/>
    <cellStyle name="Normal 3 16 5 2" xfId="11987" xr:uid="{00000000-0005-0000-0000-000096280000}"/>
    <cellStyle name="Normal 3 16 6" xfId="1783" xr:uid="{00000000-0005-0000-0000-0000A4060000}"/>
    <cellStyle name="Normal 3 16 6 2" xfId="11988" xr:uid="{00000000-0005-0000-0000-000098280000}"/>
    <cellStyle name="Normal 3 16 7" xfId="1784" xr:uid="{00000000-0005-0000-0000-0000A5060000}"/>
    <cellStyle name="Normal 3 16 7 2" xfId="11989" xr:uid="{00000000-0005-0000-0000-00009A280000}"/>
    <cellStyle name="Normal 3 16 8" xfId="1785" xr:uid="{00000000-0005-0000-0000-0000A6060000}"/>
    <cellStyle name="Normal 3 16 8 2" xfId="11990" xr:uid="{00000000-0005-0000-0000-00009C280000}"/>
    <cellStyle name="Normal 3 16 9" xfId="1786" xr:uid="{00000000-0005-0000-0000-0000A7060000}"/>
    <cellStyle name="Normal 3 16 9 2" xfId="11991" xr:uid="{00000000-0005-0000-0000-00009E280000}"/>
    <cellStyle name="Normal 3 17" xfId="1787" xr:uid="{00000000-0005-0000-0000-0000A8060000}"/>
    <cellStyle name="Normal 3 17 10" xfId="1788" xr:uid="{00000000-0005-0000-0000-0000A9060000}"/>
    <cellStyle name="Normal 3 17 10 2" xfId="11992" xr:uid="{00000000-0005-0000-0000-0000A1280000}"/>
    <cellStyle name="Normal 3 17 11" xfId="1789" xr:uid="{00000000-0005-0000-0000-0000AA060000}"/>
    <cellStyle name="Normal 3 17 11 2" xfId="11993" xr:uid="{00000000-0005-0000-0000-0000A3280000}"/>
    <cellStyle name="Normal 3 17 12" xfId="1790" xr:uid="{00000000-0005-0000-0000-0000AB060000}"/>
    <cellStyle name="Normal 3 17 12 2" xfId="11994" xr:uid="{00000000-0005-0000-0000-0000A5280000}"/>
    <cellStyle name="Normal 3 17 13" xfId="1791" xr:uid="{00000000-0005-0000-0000-0000AC060000}"/>
    <cellStyle name="Normal 3 17 13 2" xfId="11995" xr:uid="{00000000-0005-0000-0000-0000A7280000}"/>
    <cellStyle name="Normal 3 17 14" xfId="1792" xr:uid="{00000000-0005-0000-0000-0000AD060000}"/>
    <cellStyle name="Normal 3 17 14 2" xfId="11996" xr:uid="{00000000-0005-0000-0000-0000A9280000}"/>
    <cellStyle name="Normal 3 17 15" xfId="1793" xr:uid="{00000000-0005-0000-0000-0000AE060000}"/>
    <cellStyle name="Normal 3 17 15 2" xfId="11997" xr:uid="{00000000-0005-0000-0000-0000AB280000}"/>
    <cellStyle name="Normal 3 17 16" xfId="1794" xr:uid="{00000000-0005-0000-0000-0000AF060000}"/>
    <cellStyle name="Normal 3 17 16 2" xfId="11998" xr:uid="{00000000-0005-0000-0000-0000AD280000}"/>
    <cellStyle name="Normal 3 17 17" xfId="1795" xr:uid="{00000000-0005-0000-0000-0000B0060000}"/>
    <cellStyle name="Normal 3 17 17 2" xfId="11999" xr:uid="{00000000-0005-0000-0000-0000AF280000}"/>
    <cellStyle name="Normal 3 17 18" xfId="1796" xr:uid="{00000000-0005-0000-0000-0000B1060000}"/>
    <cellStyle name="Normal 3 17 18 2" xfId="12000" xr:uid="{00000000-0005-0000-0000-0000B1280000}"/>
    <cellStyle name="Normal 3 17 19" xfId="1797" xr:uid="{00000000-0005-0000-0000-0000B2060000}"/>
    <cellStyle name="Normal 3 17 19 2" xfId="12001" xr:uid="{00000000-0005-0000-0000-0000B3280000}"/>
    <cellStyle name="Normal 3 17 2" xfId="1798" xr:uid="{00000000-0005-0000-0000-0000B3060000}"/>
    <cellStyle name="Normal 3 17 2 2" xfId="12002" xr:uid="{00000000-0005-0000-0000-0000B5280000}"/>
    <cellStyle name="Normal 3 17 20" xfId="1799" xr:uid="{00000000-0005-0000-0000-0000B4060000}"/>
    <cellStyle name="Normal 3 17 20 2" xfId="12003" xr:uid="{00000000-0005-0000-0000-0000B7280000}"/>
    <cellStyle name="Normal 3 17 21" xfId="1800" xr:uid="{00000000-0005-0000-0000-0000B5060000}"/>
    <cellStyle name="Normal 3 17 21 2" xfId="12004" xr:uid="{00000000-0005-0000-0000-0000B9280000}"/>
    <cellStyle name="Normal 3 17 22" xfId="1801" xr:uid="{00000000-0005-0000-0000-0000B6060000}"/>
    <cellStyle name="Normal 3 17 22 2" xfId="12005" xr:uid="{00000000-0005-0000-0000-0000BB280000}"/>
    <cellStyle name="Normal 3 17 23" xfId="1802" xr:uid="{00000000-0005-0000-0000-0000B7060000}"/>
    <cellStyle name="Normal 3 17 23 2" xfId="12006" xr:uid="{00000000-0005-0000-0000-0000BD280000}"/>
    <cellStyle name="Normal 3 17 24" xfId="12007" xr:uid="{00000000-0005-0000-0000-0000BE280000}"/>
    <cellStyle name="Normal 3 17 3" xfId="1803" xr:uid="{00000000-0005-0000-0000-0000B8060000}"/>
    <cellStyle name="Normal 3 17 3 2" xfId="12008" xr:uid="{00000000-0005-0000-0000-0000C0280000}"/>
    <cellStyle name="Normal 3 17 4" xfId="1804" xr:uid="{00000000-0005-0000-0000-0000B9060000}"/>
    <cellStyle name="Normal 3 17 4 2" xfId="12009" xr:uid="{00000000-0005-0000-0000-0000C2280000}"/>
    <cellStyle name="Normal 3 17 5" xfId="1805" xr:uid="{00000000-0005-0000-0000-0000BA060000}"/>
    <cellStyle name="Normal 3 17 5 2" xfId="12010" xr:uid="{00000000-0005-0000-0000-0000C4280000}"/>
    <cellStyle name="Normal 3 17 6" xfId="1806" xr:uid="{00000000-0005-0000-0000-0000BB060000}"/>
    <cellStyle name="Normal 3 17 6 2" xfId="12011" xr:uid="{00000000-0005-0000-0000-0000C6280000}"/>
    <cellStyle name="Normal 3 17 7" xfId="1807" xr:uid="{00000000-0005-0000-0000-0000BC060000}"/>
    <cellStyle name="Normal 3 17 7 2" xfId="12012" xr:uid="{00000000-0005-0000-0000-0000C8280000}"/>
    <cellStyle name="Normal 3 17 8" xfId="1808" xr:uid="{00000000-0005-0000-0000-0000BD060000}"/>
    <cellStyle name="Normal 3 17 8 2" xfId="12013" xr:uid="{00000000-0005-0000-0000-0000CA280000}"/>
    <cellStyle name="Normal 3 17 9" xfId="1809" xr:uid="{00000000-0005-0000-0000-0000BE060000}"/>
    <cellStyle name="Normal 3 17 9 2" xfId="12014" xr:uid="{00000000-0005-0000-0000-0000CC280000}"/>
    <cellStyle name="Normal 3 18" xfId="1810" xr:uid="{00000000-0005-0000-0000-0000BF060000}"/>
    <cellStyle name="Normal 3 18 10" xfId="1811" xr:uid="{00000000-0005-0000-0000-0000C0060000}"/>
    <cellStyle name="Normal 3 18 10 2" xfId="12015" xr:uid="{00000000-0005-0000-0000-0000CF280000}"/>
    <cellStyle name="Normal 3 18 11" xfId="1812" xr:uid="{00000000-0005-0000-0000-0000C1060000}"/>
    <cellStyle name="Normal 3 18 11 2" xfId="12016" xr:uid="{00000000-0005-0000-0000-0000D1280000}"/>
    <cellStyle name="Normal 3 18 12" xfId="1813" xr:uid="{00000000-0005-0000-0000-0000C2060000}"/>
    <cellStyle name="Normal 3 18 12 2" xfId="12017" xr:uid="{00000000-0005-0000-0000-0000D3280000}"/>
    <cellStyle name="Normal 3 18 13" xfId="1814" xr:uid="{00000000-0005-0000-0000-0000C3060000}"/>
    <cellStyle name="Normal 3 18 13 2" xfId="12018" xr:uid="{00000000-0005-0000-0000-0000D5280000}"/>
    <cellStyle name="Normal 3 18 14" xfId="1815" xr:uid="{00000000-0005-0000-0000-0000C4060000}"/>
    <cellStyle name="Normal 3 18 14 2" xfId="12019" xr:uid="{00000000-0005-0000-0000-0000D7280000}"/>
    <cellStyle name="Normal 3 18 15" xfId="1816" xr:uid="{00000000-0005-0000-0000-0000C5060000}"/>
    <cellStyle name="Normal 3 18 15 2" xfId="12020" xr:uid="{00000000-0005-0000-0000-0000D9280000}"/>
    <cellStyle name="Normal 3 18 16" xfId="1817" xr:uid="{00000000-0005-0000-0000-0000C6060000}"/>
    <cellStyle name="Normal 3 18 16 2" xfId="12021" xr:uid="{00000000-0005-0000-0000-0000DB280000}"/>
    <cellStyle name="Normal 3 18 17" xfId="1818" xr:uid="{00000000-0005-0000-0000-0000C7060000}"/>
    <cellStyle name="Normal 3 18 17 2" xfId="12022" xr:uid="{00000000-0005-0000-0000-0000DD280000}"/>
    <cellStyle name="Normal 3 18 18" xfId="1819" xr:uid="{00000000-0005-0000-0000-0000C8060000}"/>
    <cellStyle name="Normal 3 18 18 2" xfId="12023" xr:uid="{00000000-0005-0000-0000-0000DF280000}"/>
    <cellStyle name="Normal 3 18 19" xfId="1820" xr:uid="{00000000-0005-0000-0000-0000C9060000}"/>
    <cellStyle name="Normal 3 18 19 2" xfId="12024" xr:uid="{00000000-0005-0000-0000-0000E1280000}"/>
    <cellStyle name="Normal 3 18 2" xfId="1821" xr:uid="{00000000-0005-0000-0000-0000CA060000}"/>
    <cellStyle name="Normal 3 18 2 2" xfId="12025" xr:uid="{00000000-0005-0000-0000-0000E3280000}"/>
    <cellStyle name="Normal 3 18 20" xfId="1822" xr:uid="{00000000-0005-0000-0000-0000CB060000}"/>
    <cellStyle name="Normal 3 18 20 2" xfId="12026" xr:uid="{00000000-0005-0000-0000-0000E5280000}"/>
    <cellStyle name="Normal 3 18 21" xfId="1823" xr:uid="{00000000-0005-0000-0000-0000CC060000}"/>
    <cellStyle name="Normal 3 18 21 2" xfId="12027" xr:uid="{00000000-0005-0000-0000-0000E7280000}"/>
    <cellStyle name="Normal 3 18 22" xfId="1824" xr:uid="{00000000-0005-0000-0000-0000CD060000}"/>
    <cellStyle name="Normal 3 18 22 2" xfId="12028" xr:uid="{00000000-0005-0000-0000-0000E9280000}"/>
    <cellStyle name="Normal 3 18 23" xfId="1825" xr:uid="{00000000-0005-0000-0000-0000CE060000}"/>
    <cellStyle name="Normal 3 18 23 2" xfId="12029" xr:uid="{00000000-0005-0000-0000-0000EB280000}"/>
    <cellStyle name="Normal 3 18 24" xfId="12030" xr:uid="{00000000-0005-0000-0000-0000EC280000}"/>
    <cellStyle name="Normal 3 18 3" xfId="1826" xr:uid="{00000000-0005-0000-0000-0000CF060000}"/>
    <cellStyle name="Normal 3 18 3 2" xfId="12031" xr:uid="{00000000-0005-0000-0000-0000EE280000}"/>
    <cellStyle name="Normal 3 18 4" xfId="1827" xr:uid="{00000000-0005-0000-0000-0000D0060000}"/>
    <cellStyle name="Normal 3 18 4 2" xfId="12032" xr:uid="{00000000-0005-0000-0000-0000F0280000}"/>
    <cellStyle name="Normal 3 18 5" xfId="1828" xr:uid="{00000000-0005-0000-0000-0000D1060000}"/>
    <cellStyle name="Normal 3 18 5 2" xfId="12033" xr:uid="{00000000-0005-0000-0000-0000F2280000}"/>
    <cellStyle name="Normal 3 18 6" xfId="1829" xr:uid="{00000000-0005-0000-0000-0000D2060000}"/>
    <cellStyle name="Normal 3 18 6 2" xfId="12034" xr:uid="{00000000-0005-0000-0000-0000F4280000}"/>
    <cellStyle name="Normal 3 18 7" xfId="1830" xr:uid="{00000000-0005-0000-0000-0000D3060000}"/>
    <cellStyle name="Normal 3 18 7 2" xfId="12035" xr:uid="{00000000-0005-0000-0000-0000F6280000}"/>
    <cellStyle name="Normal 3 18 8" xfId="1831" xr:uid="{00000000-0005-0000-0000-0000D4060000}"/>
    <cellStyle name="Normal 3 18 8 2" xfId="12036" xr:uid="{00000000-0005-0000-0000-0000F8280000}"/>
    <cellStyle name="Normal 3 18 9" xfId="1832" xr:uid="{00000000-0005-0000-0000-0000D5060000}"/>
    <cellStyle name="Normal 3 18 9 2" xfId="12037" xr:uid="{00000000-0005-0000-0000-0000FA280000}"/>
    <cellStyle name="Normal 3 19" xfId="1833" xr:uid="{00000000-0005-0000-0000-0000D6060000}"/>
    <cellStyle name="Normal 3 19 10" xfId="1834" xr:uid="{00000000-0005-0000-0000-0000D7060000}"/>
    <cellStyle name="Normal 3 19 10 2" xfId="12038" xr:uid="{00000000-0005-0000-0000-0000FD280000}"/>
    <cellStyle name="Normal 3 19 11" xfId="1835" xr:uid="{00000000-0005-0000-0000-0000D8060000}"/>
    <cellStyle name="Normal 3 19 11 2" xfId="12039" xr:uid="{00000000-0005-0000-0000-0000FF280000}"/>
    <cellStyle name="Normal 3 19 12" xfId="1836" xr:uid="{00000000-0005-0000-0000-0000D9060000}"/>
    <cellStyle name="Normal 3 19 12 2" xfId="12040" xr:uid="{00000000-0005-0000-0000-000001290000}"/>
    <cellStyle name="Normal 3 19 13" xfId="1837" xr:uid="{00000000-0005-0000-0000-0000DA060000}"/>
    <cellStyle name="Normal 3 19 13 2" xfId="12041" xr:uid="{00000000-0005-0000-0000-000003290000}"/>
    <cellStyle name="Normal 3 19 14" xfId="1838" xr:uid="{00000000-0005-0000-0000-0000DB060000}"/>
    <cellStyle name="Normal 3 19 14 2" xfId="12042" xr:uid="{00000000-0005-0000-0000-000005290000}"/>
    <cellStyle name="Normal 3 19 15" xfId="1839" xr:uid="{00000000-0005-0000-0000-0000DC060000}"/>
    <cellStyle name="Normal 3 19 15 2" xfId="12043" xr:uid="{00000000-0005-0000-0000-000007290000}"/>
    <cellStyle name="Normal 3 19 16" xfId="1840" xr:uid="{00000000-0005-0000-0000-0000DD060000}"/>
    <cellStyle name="Normal 3 19 16 2" xfId="12044" xr:uid="{00000000-0005-0000-0000-000009290000}"/>
    <cellStyle name="Normal 3 19 17" xfId="1841" xr:uid="{00000000-0005-0000-0000-0000DE060000}"/>
    <cellStyle name="Normal 3 19 17 2" xfId="12045" xr:uid="{00000000-0005-0000-0000-00000B290000}"/>
    <cellStyle name="Normal 3 19 18" xfId="1842" xr:uid="{00000000-0005-0000-0000-0000DF060000}"/>
    <cellStyle name="Normal 3 19 18 2" xfId="12046" xr:uid="{00000000-0005-0000-0000-00000D290000}"/>
    <cellStyle name="Normal 3 19 19" xfId="1843" xr:uid="{00000000-0005-0000-0000-0000E0060000}"/>
    <cellStyle name="Normal 3 19 19 2" xfId="12047" xr:uid="{00000000-0005-0000-0000-00000F290000}"/>
    <cellStyle name="Normal 3 19 2" xfId="1844" xr:uid="{00000000-0005-0000-0000-0000E1060000}"/>
    <cellStyle name="Normal 3 19 2 2" xfId="12048" xr:uid="{00000000-0005-0000-0000-000011290000}"/>
    <cellStyle name="Normal 3 19 20" xfId="1845" xr:uid="{00000000-0005-0000-0000-0000E2060000}"/>
    <cellStyle name="Normal 3 19 20 2" xfId="12049" xr:uid="{00000000-0005-0000-0000-000013290000}"/>
    <cellStyle name="Normal 3 19 21" xfId="1846" xr:uid="{00000000-0005-0000-0000-0000E3060000}"/>
    <cellStyle name="Normal 3 19 21 2" xfId="12050" xr:uid="{00000000-0005-0000-0000-000015290000}"/>
    <cellStyle name="Normal 3 19 22" xfId="1847" xr:uid="{00000000-0005-0000-0000-0000E4060000}"/>
    <cellStyle name="Normal 3 19 22 2" xfId="12051" xr:uid="{00000000-0005-0000-0000-000017290000}"/>
    <cellStyle name="Normal 3 19 23" xfId="1848" xr:uid="{00000000-0005-0000-0000-0000E5060000}"/>
    <cellStyle name="Normal 3 19 23 2" xfId="12052" xr:uid="{00000000-0005-0000-0000-000019290000}"/>
    <cellStyle name="Normal 3 19 24" xfId="12053" xr:uid="{00000000-0005-0000-0000-00001A290000}"/>
    <cellStyle name="Normal 3 19 3" xfId="1849" xr:uid="{00000000-0005-0000-0000-0000E6060000}"/>
    <cellStyle name="Normal 3 19 3 2" xfId="12054" xr:uid="{00000000-0005-0000-0000-00001C290000}"/>
    <cellStyle name="Normal 3 19 4" xfId="1850" xr:uid="{00000000-0005-0000-0000-0000E7060000}"/>
    <cellStyle name="Normal 3 19 4 2" xfId="12055" xr:uid="{00000000-0005-0000-0000-00001E290000}"/>
    <cellStyle name="Normal 3 19 5" xfId="1851" xr:uid="{00000000-0005-0000-0000-0000E8060000}"/>
    <cellStyle name="Normal 3 19 5 2" xfId="12056" xr:uid="{00000000-0005-0000-0000-000020290000}"/>
    <cellStyle name="Normal 3 19 6" xfId="1852" xr:uid="{00000000-0005-0000-0000-0000E9060000}"/>
    <cellStyle name="Normal 3 19 6 2" xfId="12057" xr:uid="{00000000-0005-0000-0000-000022290000}"/>
    <cellStyle name="Normal 3 19 7" xfId="1853" xr:uid="{00000000-0005-0000-0000-0000EA060000}"/>
    <cellStyle name="Normal 3 19 7 2" xfId="12058" xr:uid="{00000000-0005-0000-0000-000024290000}"/>
    <cellStyle name="Normal 3 19 8" xfId="1854" xr:uid="{00000000-0005-0000-0000-0000EB060000}"/>
    <cellStyle name="Normal 3 19 8 2" xfId="12059" xr:uid="{00000000-0005-0000-0000-000026290000}"/>
    <cellStyle name="Normal 3 19 9" xfId="1855" xr:uid="{00000000-0005-0000-0000-0000EC060000}"/>
    <cellStyle name="Normal 3 19 9 2" xfId="12060" xr:uid="{00000000-0005-0000-0000-000028290000}"/>
    <cellStyle name="Normal 3 2" xfId="1856" xr:uid="{00000000-0005-0000-0000-0000ED060000}"/>
    <cellStyle name="Normal 3 2 10" xfId="1857" xr:uid="{00000000-0005-0000-0000-0000EE060000}"/>
    <cellStyle name="Normal 3 2 10 2" xfId="12061" xr:uid="{00000000-0005-0000-0000-00002B290000}"/>
    <cellStyle name="Normal 3 2 11" xfId="1858" xr:uid="{00000000-0005-0000-0000-0000EF060000}"/>
    <cellStyle name="Normal 3 2 11 2" xfId="12062" xr:uid="{00000000-0005-0000-0000-00002D290000}"/>
    <cellStyle name="Normal 3 2 12" xfId="1859" xr:uid="{00000000-0005-0000-0000-0000F0060000}"/>
    <cellStyle name="Normal 3 2 12 2" xfId="12063" xr:uid="{00000000-0005-0000-0000-00002F290000}"/>
    <cellStyle name="Normal 3 2 13" xfId="1860" xr:uid="{00000000-0005-0000-0000-0000F1060000}"/>
    <cellStyle name="Normal 3 2 13 2" xfId="12064" xr:uid="{00000000-0005-0000-0000-000031290000}"/>
    <cellStyle name="Normal 3 2 14" xfId="1861" xr:uid="{00000000-0005-0000-0000-0000F2060000}"/>
    <cellStyle name="Normal 3 2 14 2" xfId="12065" xr:uid="{00000000-0005-0000-0000-000033290000}"/>
    <cellStyle name="Normal 3 2 15" xfId="1862" xr:uid="{00000000-0005-0000-0000-0000F3060000}"/>
    <cellStyle name="Normal 3 2 15 2" xfId="12066" xr:uid="{00000000-0005-0000-0000-000035290000}"/>
    <cellStyle name="Normal 3 2 16" xfId="1863" xr:uid="{00000000-0005-0000-0000-0000F4060000}"/>
    <cellStyle name="Normal 3 2 16 2" xfId="12067" xr:uid="{00000000-0005-0000-0000-000037290000}"/>
    <cellStyle name="Normal 3 2 17" xfId="1864" xr:uid="{00000000-0005-0000-0000-0000F5060000}"/>
    <cellStyle name="Normal 3 2 17 2" xfId="12068" xr:uid="{00000000-0005-0000-0000-000039290000}"/>
    <cellStyle name="Normal 3 2 18" xfId="1865" xr:uid="{00000000-0005-0000-0000-0000F6060000}"/>
    <cellStyle name="Normal 3 2 18 2" xfId="12069" xr:uid="{00000000-0005-0000-0000-00003B290000}"/>
    <cellStyle name="Normal 3 2 19" xfId="1866" xr:uid="{00000000-0005-0000-0000-0000F7060000}"/>
    <cellStyle name="Normal 3 2 19 2" xfId="12070" xr:uid="{00000000-0005-0000-0000-00003D290000}"/>
    <cellStyle name="Normal 3 2 2" xfId="1867" xr:uid="{00000000-0005-0000-0000-0000F8060000}"/>
    <cellStyle name="Normal 3 2 2 10" xfId="1868" xr:uid="{00000000-0005-0000-0000-0000F9060000}"/>
    <cellStyle name="Normal 3 2 2 10 2" xfId="12071" xr:uid="{00000000-0005-0000-0000-000040290000}"/>
    <cellStyle name="Normal 3 2 2 11" xfId="1869" xr:uid="{00000000-0005-0000-0000-0000FA060000}"/>
    <cellStyle name="Normal 3 2 2 11 2" xfId="12072" xr:uid="{00000000-0005-0000-0000-000042290000}"/>
    <cellStyle name="Normal 3 2 2 12" xfId="1870" xr:uid="{00000000-0005-0000-0000-0000FB060000}"/>
    <cellStyle name="Normal 3 2 2 12 2" xfId="12073" xr:uid="{00000000-0005-0000-0000-000044290000}"/>
    <cellStyle name="Normal 3 2 2 13" xfId="1871" xr:uid="{00000000-0005-0000-0000-0000FC060000}"/>
    <cellStyle name="Normal 3 2 2 13 2" xfId="12074" xr:uid="{00000000-0005-0000-0000-000046290000}"/>
    <cellStyle name="Normal 3 2 2 14" xfId="1872" xr:uid="{00000000-0005-0000-0000-0000FD060000}"/>
    <cellStyle name="Normal 3 2 2 14 2" xfId="12075" xr:uid="{00000000-0005-0000-0000-000048290000}"/>
    <cellStyle name="Normal 3 2 2 15" xfId="1873" xr:uid="{00000000-0005-0000-0000-0000FE060000}"/>
    <cellStyle name="Normal 3 2 2 15 2" xfId="12076" xr:uid="{00000000-0005-0000-0000-00004A290000}"/>
    <cellStyle name="Normal 3 2 2 16" xfId="1874" xr:uid="{00000000-0005-0000-0000-0000FF060000}"/>
    <cellStyle name="Normal 3 2 2 16 2" xfId="12077" xr:uid="{00000000-0005-0000-0000-00004C290000}"/>
    <cellStyle name="Normal 3 2 2 17" xfId="1875" xr:uid="{00000000-0005-0000-0000-000000070000}"/>
    <cellStyle name="Normal 3 2 2 17 2" xfId="12078" xr:uid="{00000000-0005-0000-0000-00004E290000}"/>
    <cellStyle name="Normal 3 2 2 18" xfId="1876" xr:uid="{00000000-0005-0000-0000-000001070000}"/>
    <cellStyle name="Normal 3 2 2 18 2" xfId="12079" xr:uid="{00000000-0005-0000-0000-000050290000}"/>
    <cellStyle name="Normal 3 2 2 19" xfId="1877" xr:uid="{00000000-0005-0000-0000-000002070000}"/>
    <cellStyle name="Normal 3 2 2 19 2" xfId="12080" xr:uid="{00000000-0005-0000-0000-000052290000}"/>
    <cellStyle name="Normal 3 2 2 2" xfId="1878" xr:uid="{00000000-0005-0000-0000-000003070000}"/>
    <cellStyle name="Normal 3 2 2 2 2" xfId="12081" xr:uid="{00000000-0005-0000-0000-000054290000}"/>
    <cellStyle name="Normal 3 2 2 20" xfId="1879" xr:uid="{00000000-0005-0000-0000-000004070000}"/>
    <cellStyle name="Normal 3 2 2 20 2" xfId="12082" xr:uid="{00000000-0005-0000-0000-000056290000}"/>
    <cellStyle name="Normal 3 2 2 21" xfId="1880" xr:uid="{00000000-0005-0000-0000-000005070000}"/>
    <cellStyle name="Normal 3 2 2 21 2" xfId="12083" xr:uid="{00000000-0005-0000-0000-000058290000}"/>
    <cellStyle name="Normal 3 2 2 22" xfId="1881" xr:uid="{00000000-0005-0000-0000-000006070000}"/>
    <cellStyle name="Normal 3 2 2 22 2" xfId="12084" xr:uid="{00000000-0005-0000-0000-00005A290000}"/>
    <cellStyle name="Normal 3 2 2 23" xfId="1882" xr:uid="{00000000-0005-0000-0000-000007070000}"/>
    <cellStyle name="Normal 3 2 2 23 2" xfId="12085" xr:uid="{00000000-0005-0000-0000-00005C290000}"/>
    <cellStyle name="Normal 3 2 2 24" xfId="1883" xr:uid="{00000000-0005-0000-0000-000008070000}"/>
    <cellStyle name="Normal 3 2 2 24 2" xfId="12086" xr:uid="{00000000-0005-0000-0000-00005E290000}"/>
    <cellStyle name="Normal 3 2 2 24 3" xfId="12087" xr:uid="{00000000-0005-0000-0000-00005F290000}"/>
    <cellStyle name="Normal 3 2 2 25" xfId="1884" xr:uid="{00000000-0005-0000-0000-000009070000}"/>
    <cellStyle name="Normal 3 2 2 25 2" xfId="12088" xr:uid="{00000000-0005-0000-0000-000061290000}"/>
    <cellStyle name="Normal 3 2 2 25 3" xfId="12089" xr:uid="{00000000-0005-0000-0000-000062290000}"/>
    <cellStyle name="Normal 3 2 2 26" xfId="1885" xr:uid="{00000000-0005-0000-0000-00000A070000}"/>
    <cellStyle name="Normal 3 2 2 26 2" xfId="12090" xr:uid="{00000000-0005-0000-0000-000064290000}"/>
    <cellStyle name="Normal 3 2 2 26 3" xfId="12091" xr:uid="{00000000-0005-0000-0000-000065290000}"/>
    <cellStyle name="Normal 3 2 2 27" xfId="1886" xr:uid="{00000000-0005-0000-0000-00000B070000}"/>
    <cellStyle name="Normal 3 2 2 27 2" xfId="12092" xr:uid="{00000000-0005-0000-0000-000067290000}"/>
    <cellStyle name="Normal 3 2 2 27 3" xfId="12093" xr:uid="{00000000-0005-0000-0000-000068290000}"/>
    <cellStyle name="Normal 3 2 2 28" xfId="1887" xr:uid="{00000000-0005-0000-0000-00000C070000}"/>
    <cellStyle name="Normal 3 2 2 28 2" xfId="12094" xr:uid="{00000000-0005-0000-0000-00006A290000}"/>
    <cellStyle name="Normal 3 2 2 28 3" xfId="12095" xr:uid="{00000000-0005-0000-0000-00006B290000}"/>
    <cellStyle name="Normal 3 2 2 29" xfId="1888" xr:uid="{00000000-0005-0000-0000-00000D070000}"/>
    <cellStyle name="Normal 3 2 2 29 2" xfId="12096" xr:uid="{00000000-0005-0000-0000-00006D290000}"/>
    <cellStyle name="Normal 3 2 2 29 3" xfId="12097" xr:uid="{00000000-0005-0000-0000-00006E290000}"/>
    <cellStyle name="Normal 3 2 2 3" xfId="1889" xr:uid="{00000000-0005-0000-0000-00000E070000}"/>
    <cellStyle name="Normal 3 2 2 3 2" xfId="12098" xr:uid="{00000000-0005-0000-0000-000070290000}"/>
    <cellStyle name="Normal 3 2 2 3 3" xfId="12099" xr:uid="{00000000-0005-0000-0000-000071290000}"/>
    <cellStyle name="Normal 3 2 2 30" xfId="1890" xr:uid="{00000000-0005-0000-0000-00000F070000}"/>
    <cellStyle name="Normal 3 2 2 30 2" xfId="12100" xr:uid="{00000000-0005-0000-0000-000073290000}"/>
    <cellStyle name="Normal 3 2 2 30 3" xfId="12101" xr:uid="{00000000-0005-0000-0000-000074290000}"/>
    <cellStyle name="Normal 3 2 2 31" xfId="1891" xr:uid="{00000000-0005-0000-0000-000010070000}"/>
    <cellStyle name="Normal 3 2 2 31 2" xfId="12102" xr:uid="{00000000-0005-0000-0000-000076290000}"/>
    <cellStyle name="Normal 3 2 2 31 3" xfId="12103" xr:uid="{00000000-0005-0000-0000-000077290000}"/>
    <cellStyle name="Normal 3 2 2 32" xfId="1892" xr:uid="{00000000-0005-0000-0000-000011070000}"/>
    <cellStyle name="Normal 3 2 2 32 2" xfId="12104" xr:uid="{00000000-0005-0000-0000-000079290000}"/>
    <cellStyle name="Normal 3 2 2 32 3" xfId="12105" xr:uid="{00000000-0005-0000-0000-00007A290000}"/>
    <cellStyle name="Normal 3 2 2 33" xfId="1893" xr:uid="{00000000-0005-0000-0000-000012070000}"/>
    <cellStyle name="Normal 3 2 2 33 2" xfId="12106" xr:uid="{00000000-0005-0000-0000-00007C290000}"/>
    <cellStyle name="Normal 3 2 2 33 3" xfId="12107" xr:uid="{00000000-0005-0000-0000-00007D290000}"/>
    <cellStyle name="Normal 3 2 2 34" xfId="12108" xr:uid="{00000000-0005-0000-0000-00007E290000}"/>
    <cellStyle name="Normal 3 2 2 34 2" xfId="12109" xr:uid="{00000000-0005-0000-0000-00007F290000}"/>
    <cellStyle name="Normal 3 2 2 34 3" xfId="12110" xr:uid="{00000000-0005-0000-0000-000080290000}"/>
    <cellStyle name="Normal 3 2 2 34 4" xfId="12111" xr:uid="{00000000-0005-0000-0000-000081290000}"/>
    <cellStyle name="Normal 3 2 2 35" xfId="5363" xr:uid="{00000000-0005-0000-0000-00003E290000}"/>
    <cellStyle name="Normal 3 2 2 4" xfId="1894" xr:uid="{00000000-0005-0000-0000-000013070000}"/>
    <cellStyle name="Normal 3 2 2 4 2" xfId="12112" xr:uid="{00000000-0005-0000-0000-000083290000}"/>
    <cellStyle name="Normal 3 2 2 4 3" xfId="12113" xr:uid="{00000000-0005-0000-0000-000084290000}"/>
    <cellStyle name="Normal 3 2 2 5" xfId="1895" xr:uid="{00000000-0005-0000-0000-000014070000}"/>
    <cellStyle name="Normal 3 2 2 5 2" xfId="12114" xr:uid="{00000000-0005-0000-0000-000086290000}"/>
    <cellStyle name="Normal 3 2 2 5 3" xfId="12115" xr:uid="{00000000-0005-0000-0000-000087290000}"/>
    <cellStyle name="Normal 3 2 2 6" xfId="1896" xr:uid="{00000000-0005-0000-0000-000015070000}"/>
    <cellStyle name="Normal 3 2 2 6 2" xfId="12116" xr:uid="{00000000-0005-0000-0000-000089290000}"/>
    <cellStyle name="Normal 3 2 2 6 3" xfId="12117" xr:uid="{00000000-0005-0000-0000-00008A290000}"/>
    <cellStyle name="Normal 3 2 2 7" xfId="1897" xr:uid="{00000000-0005-0000-0000-000016070000}"/>
    <cellStyle name="Normal 3 2 2 7 2" xfId="12118" xr:uid="{00000000-0005-0000-0000-00008C290000}"/>
    <cellStyle name="Normal 3 2 2 7 3" xfId="12119" xr:uid="{00000000-0005-0000-0000-00008D290000}"/>
    <cellStyle name="Normal 3 2 2 8" xfId="1898" xr:uid="{00000000-0005-0000-0000-000017070000}"/>
    <cellStyle name="Normal 3 2 2 8 2" xfId="12120" xr:uid="{00000000-0005-0000-0000-00008F290000}"/>
    <cellStyle name="Normal 3 2 2 8 3" xfId="12121" xr:uid="{00000000-0005-0000-0000-000090290000}"/>
    <cellStyle name="Normal 3 2 2 9" xfId="1899" xr:uid="{00000000-0005-0000-0000-000018070000}"/>
    <cellStyle name="Normal 3 2 2 9 2" xfId="12122" xr:uid="{00000000-0005-0000-0000-000092290000}"/>
    <cellStyle name="Normal 3 2 2 9 3" xfId="12123" xr:uid="{00000000-0005-0000-0000-000093290000}"/>
    <cellStyle name="Normal 3 2 20" xfId="1900" xr:uid="{00000000-0005-0000-0000-000019070000}"/>
    <cellStyle name="Normal 3 2 20 2" xfId="12124" xr:uid="{00000000-0005-0000-0000-000095290000}"/>
    <cellStyle name="Normal 3 2 20 3" xfId="12125" xr:uid="{00000000-0005-0000-0000-000096290000}"/>
    <cellStyle name="Normal 3 2 21" xfId="1901" xr:uid="{00000000-0005-0000-0000-00001A070000}"/>
    <cellStyle name="Normal 3 2 21 2" xfId="12126" xr:uid="{00000000-0005-0000-0000-000098290000}"/>
    <cellStyle name="Normal 3 2 21 3" xfId="12127" xr:uid="{00000000-0005-0000-0000-000099290000}"/>
    <cellStyle name="Normal 3 2 22" xfId="1902" xr:uid="{00000000-0005-0000-0000-00001B070000}"/>
    <cellStyle name="Normal 3 2 22 2" xfId="12128" xr:uid="{00000000-0005-0000-0000-00009B290000}"/>
    <cellStyle name="Normal 3 2 22 3" xfId="12129" xr:uid="{00000000-0005-0000-0000-00009C290000}"/>
    <cellStyle name="Normal 3 2 23" xfId="1903" xr:uid="{00000000-0005-0000-0000-00001C070000}"/>
    <cellStyle name="Normal 3 2 23 2" xfId="12130" xr:uid="{00000000-0005-0000-0000-00009E290000}"/>
    <cellStyle name="Normal 3 2 23 3" xfId="12131" xr:uid="{00000000-0005-0000-0000-00009F290000}"/>
    <cellStyle name="Normal 3 2 24" xfId="1904" xr:uid="{00000000-0005-0000-0000-00001D070000}"/>
    <cellStyle name="Normal 3 2 24 2" xfId="12132" xr:uid="{00000000-0005-0000-0000-0000A1290000}"/>
    <cellStyle name="Normal 3 2 24 3" xfId="12133" xr:uid="{00000000-0005-0000-0000-0000A2290000}"/>
    <cellStyle name="Normal 3 2 25" xfId="1905" xr:uid="{00000000-0005-0000-0000-00001E070000}"/>
    <cellStyle name="Normal 3 2 25 2" xfId="12134" xr:uid="{00000000-0005-0000-0000-0000A4290000}"/>
    <cellStyle name="Normal 3 2 25 3" xfId="12135" xr:uid="{00000000-0005-0000-0000-0000A5290000}"/>
    <cellStyle name="Normal 3 2 26" xfId="1906" xr:uid="{00000000-0005-0000-0000-00001F070000}"/>
    <cellStyle name="Normal 3 2 26 2" xfId="12136" xr:uid="{00000000-0005-0000-0000-0000A7290000}"/>
    <cellStyle name="Normal 3 2 26 3" xfId="12137" xr:uid="{00000000-0005-0000-0000-0000A8290000}"/>
    <cellStyle name="Normal 3 2 27" xfId="1907" xr:uid="{00000000-0005-0000-0000-000020070000}"/>
    <cellStyle name="Normal 3 2 27 2" xfId="12138" xr:uid="{00000000-0005-0000-0000-0000AA290000}"/>
    <cellStyle name="Normal 3 2 27 3" xfId="12139" xr:uid="{00000000-0005-0000-0000-0000AB290000}"/>
    <cellStyle name="Normal 3 2 28" xfId="1908" xr:uid="{00000000-0005-0000-0000-000021070000}"/>
    <cellStyle name="Normal 3 2 28 2" xfId="12140" xr:uid="{00000000-0005-0000-0000-0000AD290000}"/>
    <cellStyle name="Normal 3 2 28 3" xfId="12141" xr:uid="{00000000-0005-0000-0000-0000AE290000}"/>
    <cellStyle name="Normal 3 2 29" xfId="1909" xr:uid="{00000000-0005-0000-0000-000022070000}"/>
    <cellStyle name="Normal 3 2 29 2" xfId="12142" xr:uid="{00000000-0005-0000-0000-0000B0290000}"/>
    <cellStyle name="Normal 3 2 29 3" xfId="12143" xr:uid="{00000000-0005-0000-0000-0000B1290000}"/>
    <cellStyle name="Normal 3 2 3" xfId="1910" xr:uid="{00000000-0005-0000-0000-000023070000}"/>
    <cellStyle name="Normal 3 2 3 2" xfId="12144" xr:uid="{00000000-0005-0000-0000-0000B3290000}"/>
    <cellStyle name="Normal 3 2 3 3" xfId="12145" xr:uid="{00000000-0005-0000-0000-0000B4290000}"/>
    <cellStyle name="Normal 3 2 30" xfId="1911" xr:uid="{00000000-0005-0000-0000-000024070000}"/>
    <cellStyle name="Normal 3 2 30 2" xfId="12146" xr:uid="{00000000-0005-0000-0000-0000B6290000}"/>
    <cellStyle name="Normal 3 2 30 3" xfId="12147" xr:uid="{00000000-0005-0000-0000-0000B7290000}"/>
    <cellStyle name="Normal 3 2 31" xfId="1912" xr:uid="{00000000-0005-0000-0000-000025070000}"/>
    <cellStyle name="Normal 3 2 31 2" xfId="12148" xr:uid="{00000000-0005-0000-0000-0000B9290000}"/>
    <cellStyle name="Normal 3 2 31 3" xfId="12149" xr:uid="{00000000-0005-0000-0000-0000BA290000}"/>
    <cellStyle name="Normal 3 2 32" xfId="1913" xr:uid="{00000000-0005-0000-0000-000026070000}"/>
    <cellStyle name="Normal 3 2 32 2" xfId="12150" xr:uid="{00000000-0005-0000-0000-0000BC290000}"/>
    <cellStyle name="Normal 3 2 32 3" xfId="12151" xr:uid="{00000000-0005-0000-0000-0000BD290000}"/>
    <cellStyle name="Normal 3 2 33" xfId="1914" xr:uid="{00000000-0005-0000-0000-000027070000}"/>
    <cellStyle name="Normal 3 2 33 2" xfId="12152" xr:uid="{00000000-0005-0000-0000-0000BF290000}"/>
    <cellStyle name="Normal 3 2 33 3" xfId="12153" xr:uid="{00000000-0005-0000-0000-0000C0290000}"/>
    <cellStyle name="Normal 3 2 34" xfId="1915" xr:uid="{00000000-0005-0000-0000-000028070000}"/>
    <cellStyle name="Normal 3 2 34 2" xfId="12154" xr:uid="{00000000-0005-0000-0000-0000C2290000}"/>
    <cellStyle name="Normal 3 2 34 3" xfId="12155" xr:uid="{00000000-0005-0000-0000-0000C3290000}"/>
    <cellStyle name="Normal 3 2 35" xfId="1916" xr:uid="{00000000-0005-0000-0000-000029070000}"/>
    <cellStyle name="Normal 3 2 35 2" xfId="12156" xr:uid="{00000000-0005-0000-0000-0000C5290000}"/>
    <cellStyle name="Normal 3 2 35 3" xfId="12157" xr:uid="{00000000-0005-0000-0000-0000C6290000}"/>
    <cellStyle name="Normal 3 2 36" xfId="1917" xr:uid="{00000000-0005-0000-0000-00002A070000}"/>
    <cellStyle name="Normal 3 2 36 2" xfId="12158" xr:uid="{00000000-0005-0000-0000-0000C8290000}"/>
    <cellStyle name="Normal 3 2 36 3" xfId="12159" xr:uid="{00000000-0005-0000-0000-0000C9290000}"/>
    <cellStyle name="Normal 3 2 37" xfId="1918" xr:uid="{00000000-0005-0000-0000-00002B070000}"/>
    <cellStyle name="Normal 3 2 37 2" xfId="12160" xr:uid="{00000000-0005-0000-0000-0000CB290000}"/>
    <cellStyle name="Normal 3 2 37 3" xfId="12161" xr:uid="{00000000-0005-0000-0000-0000CC290000}"/>
    <cellStyle name="Normal 3 2 38" xfId="1919" xr:uid="{00000000-0005-0000-0000-00002C070000}"/>
    <cellStyle name="Normal 3 2 38 2" xfId="12162" xr:uid="{00000000-0005-0000-0000-0000CE290000}"/>
    <cellStyle name="Normal 3 2 38 3" xfId="12163" xr:uid="{00000000-0005-0000-0000-0000CF290000}"/>
    <cellStyle name="Normal 3 2 39" xfId="1920" xr:uid="{00000000-0005-0000-0000-00002D070000}"/>
    <cellStyle name="Normal 3 2 39 2" xfId="12164" xr:uid="{00000000-0005-0000-0000-0000D1290000}"/>
    <cellStyle name="Normal 3 2 39 3" xfId="12165" xr:uid="{00000000-0005-0000-0000-0000D2290000}"/>
    <cellStyle name="Normal 3 2 4" xfId="1921" xr:uid="{00000000-0005-0000-0000-00002E070000}"/>
    <cellStyle name="Normal 3 2 4 2" xfId="12166" xr:uid="{00000000-0005-0000-0000-0000D4290000}"/>
    <cellStyle name="Normal 3 2 4 3" xfId="12167" xr:uid="{00000000-0005-0000-0000-0000D5290000}"/>
    <cellStyle name="Normal 3 2 40" xfId="1922" xr:uid="{00000000-0005-0000-0000-00002F070000}"/>
    <cellStyle name="Normal 3 2 40 2" xfId="12168" xr:uid="{00000000-0005-0000-0000-0000D7290000}"/>
    <cellStyle name="Normal 3 2 40 3" xfId="12169" xr:uid="{00000000-0005-0000-0000-0000D8290000}"/>
    <cellStyle name="Normal 3 2 41" xfId="1923" xr:uid="{00000000-0005-0000-0000-000030070000}"/>
    <cellStyle name="Normal 3 2 41 2" xfId="12170" xr:uid="{00000000-0005-0000-0000-0000DA290000}"/>
    <cellStyle name="Normal 3 2 41 3" xfId="12171" xr:uid="{00000000-0005-0000-0000-0000DB290000}"/>
    <cellStyle name="Normal 3 2 42" xfId="1924" xr:uid="{00000000-0005-0000-0000-000031070000}"/>
    <cellStyle name="Normal 3 2 42 2" xfId="12172" xr:uid="{00000000-0005-0000-0000-0000DD290000}"/>
    <cellStyle name="Normal 3 2 42 3" xfId="12173" xr:uid="{00000000-0005-0000-0000-0000DE290000}"/>
    <cellStyle name="Normal 3 2 43" xfId="1925" xr:uid="{00000000-0005-0000-0000-000032070000}"/>
    <cellStyle name="Normal 3 2 43 2" xfId="12174" xr:uid="{00000000-0005-0000-0000-0000E0290000}"/>
    <cellStyle name="Normal 3 2 43 3" xfId="12175" xr:uid="{00000000-0005-0000-0000-0000E1290000}"/>
    <cellStyle name="Normal 3 2 44" xfId="1926" xr:uid="{00000000-0005-0000-0000-000033070000}"/>
    <cellStyle name="Normal 3 2 44 2" xfId="12176" xr:uid="{00000000-0005-0000-0000-0000E3290000}"/>
    <cellStyle name="Normal 3 2 44 3" xfId="12177" xr:uid="{00000000-0005-0000-0000-0000E4290000}"/>
    <cellStyle name="Normal 3 2 45" xfId="1927" xr:uid="{00000000-0005-0000-0000-000034070000}"/>
    <cellStyle name="Normal 3 2 45 2" xfId="12178" xr:uid="{00000000-0005-0000-0000-0000E6290000}"/>
    <cellStyle name="Normal 3 2 45 3" xfId="12179" xr:uid="{00000000-0005-0000-0000-0000E7290000}"/>
    <cellStyle name="Normal 3 2 46" xfId="1928" xr:uid="{00000000-0005-0000-0000-000035070000}"/>
    <cellStyle name="Normal 3 2 46 2" xfId="12180" xr:uid="{00000000-0005-0000-0000-0000E9290000}"/>
    <cellStyle name="Normal 3 2 46 3" xfId="12181" xr:uid="{00000000-0005-0000-0000-0000EA290000}"/>
    <cellStyle name="Normal 3 2 47" xfId="1929" xr:uid="{00000000-0005-0000-0000-000036070000}"/>
    <cellStyle name="Normal 3 2 47 2" xfId="12182" xr:uid="{00000000-0005-0000-0000-0000EC290000}"/>
    <cellStyle name="Normal 3 2 47 3" xfId="12183" xr:uid="{00000000-0005-0000-0000-0000ED290000}"/>
    <cellStyle name="Normal 3 2 48" xfId="1930" xr:uid="{00000000-0005-0000-0000-000037070000}"/>
    <cellStyle name="Normal 3 2 48 2" xfId="12184" xr:uid="{00000000-0005-0000-0000-0000EF290000}"/>
    <cellStyle name="Normal 3 2 48 3" xfId="12185" xr:uid="{00000000-0005-0000-0000-0000F0290000}"/>
    <cellStyle name="Normal 3 2 49" xfId="1931" xr:uid="{00000000-0005-0000-0000-000038070000}"/>
    <cellStyle name="Normal 3 2 49 2" xfId="12186" xr:uid="{00000000-0005-0000-0000-0000F2290000}"/>
    <cellStyle name="Normal 3 2 49 3" xfId="12187" xr:uid="{00000000-0005-0000-0000-0000F3290000}"/>
    <cellStyle name="Normal 3 2 5" xfId="1932" xr:uid="{00000000-0005-0000-0000-000039070000}"/>
    <cellStyle name="Normal 3 2 5 2" xfId="12188" xr:uid="{00000000-0005-0000-0000-0000F5290000}"/>
    <cellStyle name="Normal 3 2 5 3" xfId="12189" xr:uid="{00000000-0005-0000-0000-0000F6290000}"/>
    <cellStyle name="Normal 3 2 50" xfId="1933" xr:uid="{00000000-0005-0000-0000-00003A070000}"/>
    <cellStyle name="Normal 3 2 50 2" xfId="12190" xr:uid="{00000000-0005-0000-0000-0000F8290000}"/>
    <cellStyle name="Normal 3 2 50 3" xfId="12191" xr:uid="{00000000-0005-0000-0000-0000F9290000}"/>
    <cellStyle name="Normal 3 2 51" xfId="1934" xr:uid="{00000000-0005-0000-0000-00003B070000}"/>
    <cellStyle name="Normal 3 2 51 2" xfId="12192" xr:uid="{00000000-0005-0000-0000-0000FB290000}"/>
    <cellStyle name="Normal 3 2 51 3" xfId="12193" xr:uid="{00000000-0005-0000-0000-0000FC290000}"/>
    <cellStyle name="Normal 3 2 52" xfId="1935" xr:uid="{00000000-0005-0000-0000-00003C070000}"/>
    <cellStyle name="Normal 3 2 52 2" xfId="12194" xr:uid="{00000000-0005-0000-0000-0000FE290000}"/>
    <cellStyle name="Normal 3 2 52 3" xfId="12195" xr:uid="{00000000-0005-0000-0000-0000FF290000}"/>
    <cellStyle name="Normal 3 2 53" xfId="1936" xr:uid="{00000000-0005-0000-0000-00003D070000}"/>
    <cellStyle name="Normal 3 2 53 2" xfId="12196" xr:uid="{00000000-0005-0000-0000-0000012A0000}"/>
    <cellStyle name="Normal 3 2 53 3" xfId="12197" xr:uid="{00000000-0005-0000-0000-0000022A0000}"/>
    <cellStyle name="Normal 3 2 54" xfId="1937" xr:uid="{00000000-0005-0000-0000-00003E070000}"/>
    <cellStyle name="Normal 3 2 54 2" xfId="12198" xr:uid="{00000000-0005-0000-0000-0000042A0000}"/>
    <cellStyle name="Normal 3 2 54 3" xfId="12199" xr:uid="{00000000-0005-0000-0000-0000052A0000}"/>
    <cellStyle name="Normal 3 2 55" xfId="1938" xr:uid="{00000000-0005-0000-0000-00003F070000}"/>
    <cellStyle name="Normal 3 2 55 2" xfId="12200" xr:uid="{00000000-0005-0000-0000-0000072A0000}"/>
    <cellStyle name="Normal 3 2 55 3" xfId="12201" xr:uid="{00000000-0005-0000-0000-0000082A0000}"/>
    <cellStyle name="Normal 3 2 56" xfId="12202" xr:uid="{00000000-0005-0000-0000-0000092A0000}"/>
    <cellStyle name="Normal 3 2 56 2" xfId="12203" xr:uid="{00000000-0005-0000-0000-00000A2A0000}"/>
    <cellStyle name="Normal 3 2 56 3" xfId="12204" xr:uid="{00000000-0005-0000-0000-00000B2A0000}"/>
    <cellStyle name="Normal 3 2 56 4" xfId="12205" xr:uid="{00000000-0005-0000-0000-00000C2A0000}"/>
    <cellStyle name="Normal 3 2 57" xfId="12206" xr:uid="{00000000-0005-0000-0000-00000D2A0000}"/>
    <cellStyle name="Normal 3 2 57 2" xfId="12207" xr:uid="{00000000-0005-0000-0000-00000E2A0000}"/>
    <cellStyle name="Normal 3 2 58" xfId="12208" xr:uid="{00000000-0005-0000-0000-00000F2A0000}"/>
    <cellStyle name="Normal 3 2 59" xfId="5364" xr:uid="{00000000-0005-0000-0000-000029290000}"/>
    <cellStyle name="Normal 3 2 6" xfId="1939" xr:uid="{00000000-0005-0000-0000-000040070000}"/>
    <cellStyle name="Normal 3 2 6 2" xfId="12209" xr:uid="{00000000-0005-0000-0000-0000112A0000}"/>
    <cellStyle name="Normal 3 2 6 3" xfId="12210" xr:uid="{00000000-0005-0000-0000-0000122A0000}"/>
    <cellStyle name="Normal 3 2 7" xfId="1940" xr:uid="{00000000-0005-0000-0000-000041070000}"/>
    <cellStyle name="Normal 3 2 7 2" xfId="12211" xr:uid="{00000000-0005-0000-0000-0000142A0000}"/>
    <cellStyle name="Normal 3 2 7 3" xfId="12212" xr:uid="{00000000-0005-0000-0000-0000152A0000}"/>
    <cellStyle name="Normal 3 2 8" xfId="1941" xr:uid="{00000000-0005-0000-0000-000042070000}"/>
    <cellStyle name="Normal 3 2 8 2" xfId="12213" xr:uid="{00000000-0005-0000-0000-0000172A0000}"/>
    <cellStyle name="Normal 3 2 8 3" xfId="12214" xr:uid="{00000000-0005-0000-0000-0000182A0000}"/>
    <cellStyle name="Normal 3 2 9" xfId="1942" xr:uid="{00000000-0005-0000-0000-000043070000}"/>
    <cellStyle name="Normal 3 2 9 2" xfId="12215" xr:uid="{00000000-0005-0000-0000-00001A2A0000}"/>
    <cellStyle name="Normal 3 2 9 3" xfId="12216" xr:uid="{00000000-0005-0000-0000-00001B2A0000}"/>
    <cellStyle name="Normal 3 2_App b.3 Unspent_" xfId="1943" xr:uid="{00000000-0005-0000-0000-000044070000}"/>
    <cellStyle name="Normal 3 20" xfId="1944" xr:uid="{00000000-0005-0000-0000-000045070000}"/>
    <cellStyle name="Normal 3 20 10" xfId="1945" xr:uid="{00000000-0005-0000-0000-000046070000}"/>
    <cellStyle name="Normal 3 20 10 2" xfId="12217" xr:uid="{00000000-0005-0000-0000-00001F2A0000}"/>
    <cellStyle name="Normal 3 20 10 3" xfId="12218" xr:uid="{00000000-0005-0000-0000-0000202A0000}"/>
    <cellStyle name="Normal 3 20 11" xfId="1946" xr:uid="{00000000-0005-0000-0000-000047070000}"/>
    <cellStyle name="Normal 3 20 11 2" xfId="12219" xr:uid="{00000000-0005-0000-0000-0000222A0000}"/>
    <cellStyle name="Normal 3 20 11 3" xfId="12220" xr:uid="{00000000-0005-0000-0000-0000232A0000}"/>
    <cellStyle name="Normal 3 20 12" xfId="1947" xr:uid="{00000000-0005-0000-0000-000048070000}"/>
    <cellStyle name="Normal 3 20 12 2" xfId="12221" xr:uid="{00000000-0005-0000-0000-0000252A0000}"/>
    <cellStyle name="Normal 3 20 12 3" xfId="12222" xr:uid="{00000000-0005-0000-0000-0000262A0000}"/>
    <cellStyle name="Normal 3 20 13" xfId="1948" xr:uid="{00000000-0005-0000-0000-000049070000}"/>
    <cellStyle name="Normal 3 20 13 2" xfId="12223" xr:uid="{00000000-0005-0000-0000-0000282A0000}"/>
    <cellStyle name="Normal 3 20 13 3" xfId="12224" xr:uid="{00000000-0005-0000-0000-0000292A0000}"/>
    <cellStyle name="Normal 3 20 14" xfId="1949" xr:uid="{00000000-0005-0000-0000-00004A070000}"/>
    <cellStyle name="Normal 3 20 14 2" xfId="12225" xr:uid="{00000000-0005-0000-0000-00002B2A0000}"/>
    <cellStyle name="Normal 3 20 14 3" xfId="12226" xr:uid="{00000000-0005-0000-0000-00002C2A0000}"/>
    <cellStyle name="Normal 3 20 15" xfId="1950" xr:uid="{00000000-0005-0000-0000-00004B070000}"/>
    <cellStyle name="Normal 3 20 15 2" xfId="12227" xr:uid="{00000000-0005-0000-0000-00002E2A0000}"/>
    <cellStyle name="Normal 3 20 15 3" xfId="12228" xr:uid="{00000000-0005-0000-0000-00002F2A0000}"/>
    <cellStyle name="Normal 3 20 16" xfId="1951" xr:uid="{00000000-0005-0000-0000-00004C070000}"/>
    <cellStyle name="Normal 3 20 16 2" xfId="12229" xr:uid="{00000000-0005-0000-0000-0000312A0000}"/>
    <cellStyle name="Normal 3 20 16 3" xfId="12230" xr:uid="{00000000-0005-0000-0000-0000322A0000}"/>
    <cellStyle name="Normal 3 20 17" xfId="1952" xr:uid="{00000000-0005-0000-0000-00004D070000}"/>
    <cellStyle name="Normal 3 20 17 2" xfId="12231" xr:uid="{00000000-0005-0000-0000-0000342A0000}"/>
    <cellStyle name="Normal 3 20 17 3" xfId="12232" xr:uid="{00000000-0005-0000-0000-0000352A0000}"/>
    <cellStyle name="Normal 3 20 18" xfId="1953" xr:uid="{00000000-0005-0000-0000-00004E070000}"/>
    <cellStyle name="Normal 3 20 18 2" xfId="12233" xr:uid="{00000000-0005-0000-0000-0000372A0000}"/>
    <cellStyle name="Normal 3 20 18 3" xfId="12234" xr:uid="{00000000-0005-0000-0000-0000382A0000}"/>
    <cellStyle name="Normal 3 20 19" xfId="1954" xr:uid="{00000000-0005-0000-0000-00004F070000}"/>
    <cellStyle name="Normal 3 20 19 2" xfId="12235" xr:uid="{00000000-0005-0000-0000-00003A2A0000}"/>
    <cellStyle name="Normal 3 20 19 3" xfId="12236" xr:uid="{00000000-0005-0000-0000-00003B2A0000}"/>
    <cellStyle name="Normal 3 20 2" xfId="1955" xr:uid="{00000000-0005-0000-0000-000050070000}"/>
    <cellStyle name="Normal 3 20 2 2" xfId="12237" xr:uid="{00000000-0005-0000-0000-00003D2A0000}"/>
    <cellStyle name="Normal 3 20 2 3" xfId="12238" xr:uid="{00000000-0005-0000-0000-00003E2A0000}"/>
    <cellStyle name="Normal 3 20 20" xfId="1956" xr:uid="{00000000-0005-0000-0000-000051070000}"/>
    <cellStyle name="Normal 3 20 20 2" xfId="12239" xr:uid="{00000000-0005-0000-0000-0000402A0000}"/>
    <cellStyle name="Normal 3 20 20 3" xfId="12240" xr:uid="{00000000-0005-0000-0000-0000412A0000}"/>
    <cellStyle name="Normal 3 20 21" xfId="1957" xr:uid="{00000000-0005-0000-0000-000052070000}"/>
    <cellStyle name="Normal 3 20 21 2" xfId="12241" xr:uid="{00000000-0005-0000-0000-0000432A0000}"/>
    <cellStyle name="Normal 3 20 21 3" xfId="12242" xr:uid="{00000000-0005-0000-0000-0000442A0000}"/>
    <cellStyle name="Normal 3 20 22" xfId="1958" xr:uid="{00000000-0005-0000-0000-000053070000}"/>
    <cellStyle name="Normal 3 20 22 2" xfId="12243" xr:uid="{00000000-0005-0000-0000-0000462A0000}"/>
    <cellStyle name="Normal 3 20 22 3" xfId="12244" xr:uid="{00000000-0005-0000-0000-0000472A0000}"/>
    <cellStyle name="Normal 3 20 23" xfId="1959" xr:uid="{00000000-0005-0000-0000-000054070000}"/>
    <cellStyle name="Normal 3 20 23 2" xfId="12245" xr:uid="{00000000-0005-0000-0000-0000492A0000}"/>
    <cellStyle name="Normal 3 20 23 3" xfId="12246" xr:uid="{00000000-0005-0000-0000-00004A2A0000}"/>
    <cellStyle name="Normal 3 20 24" xfId="12247" xr:uid="{00000000-0005-0000-0000-00004B2A0000}"/>
    <cellStyle name="Normal 3 20 25" xfId="12248" xr:uid="{00000000-0005-0000-0000-00004C2A0000}"/>
    <cellStyle name="Normal 3 20 3" xfId="1960" xr:uid="{00000000-0005-0000-0000-000055070000}"/>
    <cellStyle name="Normal 3 20 3 2" xfId="12249" xr:uid="{00000000-0005-0000-0000-00004E2A0000}"/>
    <cellStyle name="Normal 3 20 3 3" xfId="12250" xr:uid="{00000000-0005-0000-0000-00004F2A0000}"/>
    <cellStyle name="Normal 3 20 4" xfId="1961" xr:uid="{00000000-0005-0000-0000-000056070000}"/>
    <cellStyle name="Normal 3 20 4 2" xfId="12251" xr:uid="{00000000-0005-0000-0000-0000512A0000}"/>
    <cellStyle name="Normal 3 20 4 3" xfId="12252" xr:uid="{00000000-0005-0000-0000-0000522A0000}"/>
    <cellStyle name="Normal 3 20 5" xfId="1962" xr:uid="{00000000-0005-0000-0000-000057070000}"/>
    <cellStyle name="Normal 3 20 5 2" xfId="12253" xr:uid="{00000000-0005-0000-0000-0000542A0000}"/>
    <cellStyle name="Normal 3 20 5 3" xfId="12254" xr:uid="{00000000-0005-0000-0000-0000552A0000}"/>
    <cellStyle name="Normal 3 20 6" xfId="1963" xr:uid="{00000000-0005-0000-0000-000058070000}"/>
    <cellStyle name="Normal 3 20 6 2" xfId="12255" xr:uid="{00000000-0005-0000-0000-0000572A0000}"/>
    <cellStyle name="Normal 3 20 6 3" xfId="12256" xr:uid="{00000000-0005-0000-0000-0000582A0000}"/>
    <cellStyle name="Normal 3 20 7" xfId="1964" xr:uid="{00000000-0005-0000-0000-000059070000}"/>
    <cellStyle name="Normal 3 20 7 2" xfId="12257" xr:uid="{00000000-0005-0000-0000-00005A2A0000}"/>
    <cellStyle name="Normal 3 20 7 3" xfId="12258" xr:uid="{00000000-0005-0000-0000-00005B2A0000}"/>
    <cellStyle name="Normal 3 20 8" xfId="1965" xr:uid="{00000000-0005-0000-0000-00005A070000}"/>
    <cellStyle name="Normal 3 20 8 2" xfId="12259" xr:uid="{00000000-0005-0000-0000-00005D2A0000}"/>
    <cellStyle name="Normal 3 20 8 3" xfId="12260" xr:uid="{00000000-0005-0000-0000-00005E2A0000}"/>
    <cellStyle name="Normal 3 20 9" xfId="1966" xr:uid="{00000000-0005-0000-0000-00005B070000}"/>
    <cellStyle name="Normal 3 20 9 2" xfId="12261" xr:uid="{00000000-0005-0000-0000-0000602A0000}"/>
    <cellStyle name="Normal 3 20 9 3" xfId="12262" xr:uid="{00000000-0005-0000-0000-0000612A0000}"/>
    <cellStyle name="Normal 3 21" xfId="1967" xr:uid="{00000000-0005-0000-0000-00005C070000}"/>
    <cellStyle name="Normal 3 21 10" xfId="1968" xr:uid="{00000000-0005-0000-0000-00005D070000}"/>
    <cellStyle name="Normal 3 21 10 2" xfId="12263" xr:uid="{00000000-0005-0000-0000-0000642A0000}"/>
    <cellStyle name="Normal 3 21 10 3" xfId="12264" xr:uid="{00000000-0005-0000-0000-0000652A0000}"/>
    <cellStyle name="Normal 3 21 11" xfId="1969" xr:uid="{00000000-0005-0000-0000-00005E070000}"/>
    <cellStyle name="Normal 3 21 11 2" xfId="12265" xr:uid="{00000000-0005-0000-0000-0000672A0000}"/>
    <cellStyle name="Normal 3 21 11 3" xfId="12266" xr:uid="{00000000-0005-0000-0000-0000682A0000}"/>
    <cellStyle name="Normal 3 21 12" xfId="1970" xr:uid="{00000000-0005-0000-0000-00005F070000}"/>
    <cellStyle name="Normal 3 21 12 2" xfId="12267" xr:uid="{00000000-0005-0000-0000-00006A2A0000}"/>
    <cellStyle name="Normal 3 21 12 3" xfId="12268" xr:uid="{00000000-0005-0000-0000-00006B2A0000}"/>
    <cellStyle name="Normal 3 21 13" xfId="1971" xr:uid="{00000000-0005-0000-0000-000060070000}"/>
    <cellStyle name="Normal 3 21 13 2" xfId="12269" xr:uid="{00000000-0005-0000-0000-00006D2A0000}"/>
    <cellStyle name="Normal 3 21 13 3" xfId="12270" xr:uid="{00000000-0005-0000-0000-00006E2A0000}"/>
    <cellStyle name="Normal 3 21 14" xfId="1972" xr:uid="{00000000-0005-0000-0000-000061070000}"/>
    <cellStyle name="Normal 3 21 14 2" xfId="12271" xr:uid="{00000000-0005-0000-0000-0000702A0000}"/>
    <cellStyle name="Normal 3 21 14 3" xfId="12272" xr:uid="{00000000-0005-0000-0000-0000712A0000}"/>
    <cellStyle name="Normal 3 21 15" xfId="1973" xr:uid="{00000000-0005-0000-0000-000062070000}"/>
    <cellStyle name="Normal 3 21 15 2" xfId="12273" xr:uid="{00000000-0005-0000-0000-0000732A0000}"/>
    <cellStyle name="Normal 3 21 15 3" xfId="12274" xr:uid="{00000000-0005-0000-0000-0000742A0000}"/>
    <cellStyle name="Normal 3 21 16" xfId="1974" xr:uid="{00000000-0005-0000-0000-000063070000}"/>
    <cellStyle name="Normal 3 21 16 2" xfId="12275" xr:uid="{00000000-0005-0000-0000-0000762A0000}"/>
    <cellStyle name="Normal 3 21 16 3" xfId="12276" xr:uid="{00000000-0005-0000-0000-0000772A0000}"/>
    <cellStyle name="Normal 3 21 17" xfId="1975" xr:uid="{00000000-0005-0000-0000-000064070000}"/>
    <cellStyle name="Normal 3 21 17 2" xfId="12277" xr:uid="{00000000-0005-0000-0000-0000792A0000}"/>
    <cellStyle name="Normal 3 21 17 3" xfId="12278" xr:uid="{00000000-0005-0000-0000-00007A2A0000}"/>
    <cellStyle name="Normal 3 21 18" xfId="1976" xr:uid="{00000000-0005-0000-0000-000065070000}"/>
    <cellStyle name="Normal 3 21 18 2" xfId="12279" xr:uid="{00000000-0005-0000-0000-00007C2A0000}"/>
    <cellStyle name="Normal 3 21 18 3" xfId="12280" xr:uid="{00000000-0005-0000-0000-00007D2A0000}"/>
    <cellStyle name="Normal 3 21 19" xfId="1977" xr:uid="{00000000-0005-0000-0000-000066070000}"/>
    <cellStyle name="Normal 3 21 19 2" xfId="12281" xr:uid="{00000000-0005-0000-0000-00007F2A0000}"/>
    <cellStyle name="Normal 3 21 19 3" xfId="12282" xr:uid="{00000000-0005-0000-0000-0000802A0000}"/>
    <cellStyle name="Normal 3 21 2" xfId="1978" xr:uid="{00000000-0005-0000-0000-000067070000}"/>
    <cellStyle name="Normal 3 21 2 2" xfId="12283" xr:uid="{00000000-0005-0000-0000-0000822A0000}"/>
    <cellStyle name="Normal 3 21 2 3" xfId="12284" xr:uid="{00000000-0005-0000-0000-0000832A0000}"/>
    <cellStyle name="Normal 3 21 20" xfId="1979" xr:uid="{00000000-0005-0000-0000-000068070000}"/>
    <cellStyle name="Normal 3 21 20 2" xfId="12285" xr:uid="{00000000-0005-0000-0000-0000852A0000}"/>
    <cellStyle name="Normal 3 21 20 3" xfId="12286" xr:uid="{00000000-0005-0000-0000-0000862A0000}"/>
    <cellStyle name="Normal 3 21 21" xfId="1980" xr:uid="{00000000-0005-0000-0000-000069070000}"/>
    <cellStyle name="Normal 3 21 21 2" xfId="12287" xr:uid="{00000000-0005-0000-0000-0000882A0000}"/>
    <cellStyle name="Normal 3 21 21 3" xfId="12288" xr:uid="{00000000-0005-0000-0000-0000892A0000}"/>
    <cellStyle name="Normal 3 21 22" xfId="1981" xr:uid="{00000000-0005-0000-0000-00006A070000}"/>
    <cellStyle name="Normal 3 21 22 2" xfId="12289" xr:uid="{00000000-0005-0000-0000-00008B2A0000}"/>
    <cellStyle name="Normal 3 21 22 3" xfId="12290" xr:uid="{00000000-0005-0000-0000-00008C2A0000}"/>
    <cellStyle name="Normal 3 21 23" xfId="1982" xr:uid="{00000000-0005-0000-0000-00006B070000}"/>
    <cellStyle name="Normal 3 21 23 2" xfId="12291" xr:uid="{00000000-0005-0000-0000-00008E2A0000}"/>
    <cellStyle name="Normal 3 21 23 3" xfId="12292" xr:uid="{00000000-0005-0000-0000-00008F2A0000}"/>
    <cellStyle name="Normal 3 21 24" xfId="12293" xr:uid="{00000000-0005-0000-0000-0000902A0000}"/>
    <cellStyle name="Normal 3 21 25" xfId="12294" xr:uid="{00000000-0005-0000-0000-0000912A0000}"/>
    <cellStyle name="Normal 3 21 3" xfId="1983" xr:uid="{00000000-0005-0000-0000-00006C070000}"/>
    <cellStyle name="Normal 3 21 3 2" xfId="12295" xr:uid="{00000000-0005-0000-0000-0000932A0000}"/>
    <cellStyle name="Normal 3 21 3 3" xfId="12296" xr:uid="{00000000-0005-0000-0000-0000942A0000}"/>
    <cellStyle name="Normal 3 21 4" xfId="1984" xr:uid="{00000000-0005-0000-0000-00006D070000}"/>
    <cellStyle name="Normal 3 21 4 2" xfId="12297" xr:uid="{00000000-0005-0000-0000-0000962A0000}"/>
    <cellStyle name="Normal 3 21 4 3" xfId="12298" xr:uid="{00000000-0005-0000-0000-0000972A0000}"/>
    <cellStyle name="Normal 3 21 5" xfId="1985" xr:uid="{00000000-0005-0000-0000-00006E070000}"/>
    <cellStyle name="Normal 3 21 5 2" xfId="12299" xr:uid="{00000000-0005-0000-0000-0000992A0000}"/>
    <cellStyle name="Normal 3 21 5 3" xfId="12300" xr:uid="{00000000-0005-0000-0000-00009A2A0000}"/>
    <cellStyle name="Normal 3 21 6" xfId="1986" xr:uid="{00000000-0005-0000-0000-00006F070000}"/>
    <cellStyle name="Normal 3 21 6 2" xfId="12301" xr:uid="{00000000-0005-0000-0000-00009C2A0000}"/>
    <cellStyle name="Normal 3 21 6 3" xfId="12302" xr:uid="{00000000-0005-0000-0000-00009D2A0000}"/>
    <cellStyle name="Normal 3 21 7" xfId="1987" xr:uid="{00000000-0005-0000-0000-000070070000}"/>
    <cellStyle name="Normal 3 21 7 2" xfId="12303" xr:uid="{00000000-0005-0000-0000-00009F2A0000}"/>
    <cellStyle name="Normal 3 21 7 3" xfId="12304" xr:uid="{00000000-0005-0000-0000-0000A02A0000}"/>
    <cellStyle name="Normal 3 21 8" xfId="1988" xr:uid="{00000000-0005-0000-0000-000071070000}"/>
    <cellStyle name="Normal 3 21 8 2" xfId="12305" xr:uid="{00000000-0005-0000-0000-0000A22A0000}"/>
    <cellStyle name="Normal 3 21 8 3" xfId="12306" xr:uid="{00000000-0005-0000-0000-0000A32A0000}"/>
    <cellStyle name="Normal 3 21 9" xfId="1989" xr:uid="{00000000-0005-0000-0000-000072070000}"/>
    <cellStyle name="Normal 3 21 9 2" xfId="12307" xr:uid="{00000000-0005-0000-0000-0000A52A0000}"/>
    <cellStyle name="Normal 3 21 9 3" xfId="12308" xr:uid="{00000000-0005-0000-0000-0000A62A0000}"/>
    <cellStyle name="Normal 3 22" xfId="1990" xr:uid="{00000000-0005-0000-0000-000073070000}"/>
    <cellStyle name="Normal 3 22 10" xfId="1991" xr:uid="{00000000-0005-0000-0000-000074070000}"/>
    <cellStyle name="Normal 3 22 10 2" xfId="12309" xr:uid="{00000000-0005-0000-0000-0000A92A0000}"/>
    <cellStyle name="Normal 3 22 10 3" xfId="12310" xr:uid="{00000000-0005-0000-0000-0000AA2A0000}"/>
    <cellStyle name="Normal 3 22 11" xfId="1992" xr:uid="{00000000-0005-0000-0000-000075070000}"/>
    <cellStyle name="Normal 3 22 11 2" xfId="12311" xr:uid="{00000000-0005-0000-0000-0000AC2A0000}"/>
    <cellStyle name="Normal 3 22 11 3" xfId="12312" xr:uid="{00000000-0005-0000-0000-0000AD2A0000}"/>
    <cellStyle name="Normal 3 22 12" xfId="1993" xr:uid="{00000000-0005-0000-0000-000076070000}"/>
    <cellStyle name="Normal 3 22 12 2" xfId="12313" xr:uid="{00000000-0005-0000-0000-0000AF2A0000}"/>
    <cellStyle name="Normal 3 22 12 3" xfId="12314" xr:uid="{00000000-0005-0000-0000-0000B02A0000}"/>
    <cellStyle name="Normal 3 22 13" xfId="1994" xr:uid="{00000000-0005-0000-0000-000077070000}"/>
    <cellStyle name="Normal 3 22 13 2" xfId="12315" xr:uid="{00000000-0005-0000-0000-0000B22A0000}"/>
    <cellStyle name="Normal 3 22 13 3" xfId="12316" xr:uid="{00000000-0005-0000-0000-0000B32A0000}"/>
    <cellStyle name="Normal 3 22 14" xfId="1995" xr:uid="{00000000-0005-0000-0000-000078070000}"/>
    <cellStyle name="Normal 3 22 14 2" xfId="12317" xr:uid="{00000000-0005-0000-0000-0000B52A0000}"/>
    <cellStyle name="Normal 3 22 14 3" xfId="12318" xr:uid="{00000000-0005-0000-0000-0000B62A0000}"/>
    <cellStyle name="Normal 3 22 15" xfId="1996" xr:uid="{00000000-0005-0000-0000-000079070000}"/>
    <cellStyle name="Normal 3 22 15 2" xfId="12319" xr:uid="{00000000-0005-0000-0000-0000B82A0000}"/>
    <cellStyle name="Normal 3 22 15 3" xfId="12320" xr:uid="{00000000-0005-0000-0000-0000B92A0000}"/>
    <cellStyle name="Normal 3 22 16" xfId="1997" xr:uid="{00000000-0005-0000-0000-00007A070000}"/>
    <cellStyle name="Normal 3 22 16 2" xfId="12321" xr:uid="{00000000-0005-0000-0000-0000BB2A0000}"/>
    <cellStyle name="Normal 3 22 16 3" xfId="12322" xr:uid="{00000000-0005-0000-0000-0000BC2A0000}"/>
    <cellStyle name="Normal 3 22 17" xfId="1998" xr:uid="{00000000-0005-0000-0000-00007B070000}"/>
    <cellStyle name="Normal 3 22 17 2" xfId="12323" xr:uid="{00000000-0005-0000-0000-0000BE2A0000}"/>
    <cellStyle name="Normal 3 22 17 3" xfId="12324" xr:uid="{00000000-0005-0000-0000-0000BF2A0000}"/>
    <cellStyle name="Normal 3 22 18" xfId="1999" xr:uid="{00000000-0005-0000-0000-00007C070000}"/>
    <cellStyle name="Normal 3 22 18 2" xfId="12325" xr:uid="{00000000-0005-0000-0000-0000C12A0000}"/>
    <cellStyle name="Normal 3 22 18 3" xfId="12326" xr:uid="{00000000-0005-0000-0000-0000C22A0000}"/>
    <cellStyle name="Normal 3 22 19" xfId="2000" xr:uid="{00000000-0005-0000-0000-00007D070000}"/>
    <cellStyle name="Normal 3 22 19 2" xfId="12327" xr:uid="{00000000-0005-0000-0000-0000C42A0000}"/>
    <cellStyle name="Normal 3 22 19 3" xfId="12328" xr:uid="{00000000-0005-0000-0000-0000C52A0000}"/>
    <cellStyle name="Normal 3 22 2" xfId="2001" xr:uid="{00000000-0005-0000-0000-00007E070000}"/>
    <cellStyle name="Normal 3 22 2 2" xfId="12329" xr:uid="{00000000-0005-0000-0000-0000C72A0000}"/>
    <cellStyle name="Normal 3 22 2 3" xfId="12330" xr:uid="{00000000-0005-0000-0000-0000C82A0000}"/>
    <cellStyle name="Normal 3 22 20" xfId="2002" xr:uid="{00000000-0005-0000-0000-00007F070000}"/>
    <cellStyle name="Normal 3 22 20 2" xfId="12331" xr:uid="{00000000-0005-0000-0000-0000CA2A0000}"/>
    <cellStyle name="Normal 3 22 20 3" xfId="12332" xr:uid="{00000000-0005-0000-0000-0000CB2A0000}"/>
    <cellStyle name="Normal 3 22 21" xfId="2003" xr:uid="{00000000-0005-0000-0000-000080070000}"/>
    <cellStyle name="Normal 3 22 21 2" xfId="12333" xr:uid="{00000000-0005-0000-0000-0000CD2A0000}"/>
    <cellStyle name="Normal 3 22 21 3" xfId="12334" xr:uid="{00000000-0005-0000-0000-0000CE2A0000}"/>
    <cellStyle name="Normal 3 22 22" xfId="2004" xr:uid="{00000000-0005-0000-0000-000081070000}"/>
    <cellStyle name="Normal 3 22 22 2" xfId="12335" xr:uid="{00000000-0005-0000-0000-0000D02A0000}"/>
    <cellStyle name="Normal 3 22 22 3" xfId="12336" xr:uid="{00000000-0005-0000-0000-0000D12A0000}"/>
    <cellStyle name="Normal 3 22 23" xfId="2005" xr:uid="{00000000-0005-0000-0000-000082070000}"/>
    <cellStyle name="Normal 3 22 23 2" xfId="12337" xr:uid="{00000000-0005-0000-0000-0000D32A0000}"/>
    <cellStyle name="Normal 3 22 23 3" xfId="12338" xr:uid="{00000000-0005-0000-0000-0000D42A0000}"/>
    <cellStyle name="Normal 3 22 24" xfId="12339" xr:uid="{00000000-0005-0000-0000-0000D52A0000}"/>
    <cellStyle name="Normal 3 22 25" xfId="12340" xr:uid="{00000000-0005-0000-0000-0000D62A0000}"/>
    <cellStyle name="Normal 3 22 3" xfId="2006" xr:uid="{00000000-0005-0000-0000-000083070000}"/>
    <cellStyle name="Normal 3 22 3 2" xfId="12341" xr:uid="{00000000-0005-0000-0000-0000D82A0000}"/>
    <cellStyle name="Normal 3 22 3 3" xfId="12342" xr:uid="{00000000-0005-0000-0000-0000D92A0000}"/>
    <cellStyle name="Normal 3 22 4" xfId="2007" xr:uid="{00000000-0005-0000-0000-000084070000}"/>
    <cellStyle name="Normal 3 22 4 2" xfId="12343" xr:uid="{00000000-0005-0000-0000-0000DB2A0000}"/>
    <cellStyle name="Normal 3 22 4 3" xfId="12344" xr:uid="{00000000-0005-0000-0000-0000DC2A0000}"/>
    <cellStyle name="Normal 3 22 5" xfId="2008" xr:uid="{00000000-0005-0000-0000-000085070000}"/>
    <cellStyle name="Normal 3 22 5 2" xfId="12345" xr:uid="{00000000-0005-0000-0000-0000DE2A0000}"/>
    <cellStyle name="Normal 3 22 5 3" xfId="12346" xr:uid="{00000000-0005-0000-0000-0000DF2A0000}"/>
    <cellStyle name="Normal 3 22 6" xfId="2009" xr:uid="{00000000-0005-0000-0000-000086070000}"/>
    <cellStyle name="Normal 3 22 6 2" xfId="12347" xr:uid="{00000000-0005-0000-0000-0000E12A0000}"/>
    <cellStyle name="Normal 3 22 6 3" xfId="12348" xr:uid="{00000000-0005-0000-0000-0000E22A0000}"/>
    <cellStyle name="Normal 3 22 7" xfId="2010" xr:uid="{00000000-0005-0000-0000-000087070000}"/>
    <cellStyle name="Normal 3 22 7 2" xfId="12349" xr:uid="{00000000-0005-0000-0000-0000E42A0000}"/>
    <cellStyle name="Normal 3 22 7 3" xfId="12350" xr:uid="{00000000-0005-0000-0000-0000E52A0000}"/>
    <cellStyle name="Normal 3 22 8" xfId="2011" xr:uid="{00000000-0005-0000-0000-000088070000}"/>
    <cellStyle name="Normal 3 22 8 2" xfId="12351" xr:uid="{00000000-0005-0000-0000-0000E72A0000}"/>
    <cellStyle name="Normal 3 22 8 3" xfId="12352" xr:uid="{00000000-0005-0000-0000-0000E82A0000}"/>
    <cellStyle name="Normal 3 22 9" xfId="2012" xr:uid="{00000000-0005-0000-0000-000089070000}"/>
    <cellStyle name="Normal 3 22 9 2" xfId="12353" xr:uid="{00000000-0005-0000-0000-0000EA2A0000}"/>
    <cellStyle name="Normal 3 22 9 3" xfId="12354" xr:uid="{00000000-0005-0000-0000-0000EB2A0000}"/>
    <cellStyle name="Normal 3 23" xfId="2013" xr:uid="{00000000-0005-0000-0000-00008A070000}"/>
    <cellStyle name="Normal 3 23 10" xfId="2014" xr:uid="{00000000-0005-0000-0000-00008B070000}"/>
    <cellStyle name="Normal 3 23 10 2" xfId="12355" xr:uid="{00000000-0005-0000-0000-0000EE2A0000}"/>
    <cellStyle name="Normal 3 23 10 3" xfId="12356" xr:uid="{00000000-0005-0000-0000-0000EF2A0000}"/>
    <cellStyle name="Normal 3 23 11" xfId="2015" xr:uid="{00000000-0005-0000-0000-00008C070000}"/>
    <cellStyle name="Normal 3 23 11 2" xfId="12357" xr:uid="{00000000-0005-0000-0000-0000F12A0000}"/>
    <cellStyle name="Normal 3 23 11 3" xfId="12358" xr:uid="{00000000-0005-0000-0000-0000F22A0000}"/>
    <cellStyle name="Normal 3 23 12" xfId="2016" xr:uid="{00000000-0005-0000-0000-00008D070000}"/>
    <cellStyle name="Normal 3 23 12 2" xfId="12359" xr:uid="{00000000-0005-0000-0000-0000F42A0000}"/>
    <cellStyle name="Normal 3 23 12 3" xfId="12360" xr:uid="{00000000-0005-0000-0000-0000F52A0000}"/>
    <cellStyle name="Normal 3 23 13" xfId="2017" xr:uid="{00000000-0005-0000-0000-00008E070000}"/>
    <cellStyle name="Normal 3 23 13 2" xfId="12361" xr:uid="{00000000-0005-0000-0000-0000F72A0000}"/>
    <cellStyle name="Normal 3 23 13 3" xfId="12362" xr:uid="{00000000-0005-0000-0000-0000F82A0000}"/>
    <cellStyle name="Normal 3 23 14" xfId="2018" xr:uid="{00000000-0005-0000-0000-00008F070000}"/>
    <cellStyle name="Normal 3 23 14 2" xfId="12363" xr:uid="{00000000-0005-0000-0000-0000FA2A0000}"/>
    <cellStyle name="Normal 3 23 14 3" xfId="12364" xr:uid="{00000000-0005-0000-0000-0000FB2A0000}"/>
    <cellStyle name="Normal 3 23 15" xfId="2019" xr:uid="{00000000-0005-0000-0000-000090070000}"/>
    <cellStyle name="Normal 3 23 15 2" xfId="12365" xr:uid="{00000000-0005-0000-0000-0000FD2A0000}"/>
    <cellStyle name="Normal 3 23 15 3" xfId="12366" xr:uid="{00000000-0005-0000-0000-0000FE2A0000}"/>
    <cellStyle name="Normal 3 23 16" xfId="2020" xr:uid="{00000000-0005-0000-0000-000091070000}"/>
    <cellStyle name="Normal 3 23 16 2" xfId="12367" xr:uid="{00000000-0005-0000-0000-0000002B0000}"/>
    <cellStyle name="Normal 3 23 16 3" xfId="12368" xr:uid="{00000000-0005-0000-0000-0000012B0000}"/>
    <cellStyle name="Normal 3 23 17" xfId="2021" xr:uid="{00000000-0005-0000-0000-000092070000}"/>
    <cellStyle name="Normal 3 23 17 2" xfId="12369" xr:uid="{00000000-0005-0000-0000-0000032B0000}"/>
    <cellStyle name="Normal 3 23 17 3" xfId="12370" xr:uid="{00000000-0005-0000-0000-0000042B0000}"/>
    <cellStyle name="Normal 3 23 18" xfId="2022" xr:uid="{00000000-0005-0000-0000-000093070000}"/>
    <cellStyle name="Normal 3 23 18 2" xfId="12371" xr:uid="{00000000-0005-0000-0000-0000062B0000}"/>
    <cellStyle name="Normal 3 23 18 3" xfId="12372" xr:uid="{00000000-0005-0000-0000-0000072B0000}"/>
    <cellStyle name="Normal 3 23 19" xfId="2023" xr:uid="{00000000-0005-0000-0000-000094070000}"/>
    <cellStyle name="Normal 3 23 19 2" xfId="12373" xr:uid="{00000000-0005-0000-0000-0000092B0000}"/>
    <cellStyle name="Normal 3 23 19 3" xfId="12374" xr:uid="{00000000-0005-0000-0000-00000A2B0000}"/>
    <cellStyle name="Normal 3 23 2" xfId="2024" xr:uid="{00000000-0005-0000-0000-000095070000}"/>
    <cellStyle name="Normal 3 23 2 2" xfId="12375" xr:uid="{00000000-0005-0000-0000-00000C2B0000}"/>
    <cellStyle name="Normal 3 23 2 3" xfId="12376" xr:uid="{00000000-0005-0000-0000-00000D2B0000}"/>
    <cellStyle name="Normal 3 23 20" xfId="2025" xr:uid="{00000000-0005-0000-0000-000096070000}"/>
    <cellStyle name="Normal 3 23 20 2" xfId="12377" xr:uid="{00000000-0005-0000-0000-00000F2B0000}"/>
    <cellStyle name="Normal 3 23 20 3" xfId="12378" xr:uid="{00000000-0005-0000-0000-0000102B0000}"/>
    <cellStyle name="Normal 3 23 21" xfId="2026" xr:uid="{00000000-0005-0000-0000-000097070000}"/>
    <cellStyle name="Normal 3 23 21 2" xfId="12379" xr:uid="{00000000-0005-0000-0000-0000122B0000}"/>
    <cellStyle name="Normal 3 23 21 3" xfId="12380" xr:uid="{00000000-0005-0000-0000-0000132B0000}"/>
    <cellStyle name="Normal 3 23 22" xfId="2027" xr:uid="{00000000-0005-0000-0000-000098070000}"/>
    <cellStyle name="Normal 3 23 22 2" xfId="12381" xr:uid="{00000000-0005-0000-0000-0000152B0000}"/>
    <cellStyle name="Normal 3 23 22 3" xfId="12382" xr:uid="{00000000-0005-0000-0000-0000162B0000}"/>
    <cellStyle name="Normal 3 23 23" xfId="2028" xr:uid="{00000000-0005-0000-0000-000099070000}"/>
    <cellStyle name="Normal 3 23 23 2" xfId="12383" xr:uid="{00000000-0005-0000-0000-0000182B0000}"/>
    <cellStyle name="Normal 3 23 23 3" xfId="12384" xr:uid="{00000000-0005-0000-0000-0000192B0000}"/>
    <cellStyle name="Normal 3 23 24" xfId="12385" xr:uid="{00000000-0005-0000-0000-00001A2B0000}"/>
    <cellStyle name="Normal 3 23 25" xfId="12386" xr:uid="{00000000-0005-0000-0000-00001B2B0000}"/>
    <cellStyle name="Normal 3 23 3" xfId="2029" xr:uid="{00000000-0005-0000-0000-00009A070000}"/>
    <cellStyle name="Normal 3 23 3 2" xfId="12387" xr:uid="{00000000-0005-0000-0000-00001D2B0000}"/>
    <cellStyle name="Normal 3 23 3 3" xfId="12388" xr:uid="{00000000-0005-0000-0000-00001E2B0000}"/>
    <cellStyle name="Normal 3 23 4" xfId="2030" xr:uid="{00000000-0005-0000-0000-00009B070000}"/>
    <cellStyle name="Normal 3 23 4 2" xfId="12389" xr:uid="{00000000-0005-0000-0000-0000202B0000}"/>
    <cellStyle name="Normal 3 23 4 3" xfId="12390" xr:uid="{00000000-0005-0000-0000-0000212B0000}"/>
    <cellStyle name="Normal 3 23 5" xfId="2031" xr:uid="{00000000-0005-0000-0000-00009C070000}"/>
    <cellStyle name="Normal 3 23 5 2" xfId="12391" xr:uid="{00000000-0005-0000-0000-0000232B0000}"/>
    <cellStyle name="Normal 3 23 5 3" xfId="12392" xr:uid="{00000000-0005-0000-0000-0000242B0000}"/>
    <cellStyle name="Normal 3 23 6" xfId="2032" xr:uid="{00000000-0005-0000-0000-00009D070000}"/>
    <cellStyle name="Normal 3 23 6 2" xfId="12393" xr:uid="{00000000-0005-0000-0000-0000262B0000}"/>
    <cellStyle name="Normal 3 23 6 3" xfId="12394" xr:uid="{00000000-0005-0000-0000-0000272B0000}"/>
    <cellStyle name="Normal 3 23 7" xfId="2033" xr:uid="{00000000-0005-0000-0000-00009E070000}"/>
    <cellStyle name="Normal 3 23 7 2" xfId="12395" xr:uid="{00000000-0005-0000-0000-0000292B0000}"/>
    <cellStyle name="Normal 3 23 7 3" xfId="12396" xr:uid="{00000000-0005-0000-0000-00002A2B0000}"/>
    <cellStyle name="Normal 3 23 8" xfId="2034" xr:uid="{00000000-0005-0000-0000-00009F070000}"/>
    <cellStyle name="Normal 3 23 8 2" xfId="12397" xr:uid="{00000000-0005-0000-0000-00002C2B0000}"/>
    <cellStyle name="Normal 3 23 8 3" xfId="12398" xr:uid="{00000000-0005-0000-0000-00002D2B0000}"/>
    <cellStyle name="Normal 3 23 9" xfId="2035" xr:uid="{00000000-0005-0000-0000-0000A0070000}"/>
    <cellStyle name="Normal 3 23 9 2" xfId="12399" xr:uid="{00000000-0005-0000-0000-00002F2B0000}"/>
    <cellStyle name="Normal 3 23 9 3" xfId="12400" xr:uid="{00000000-0005-0000-0000-0000302B0000}"/>
    <cellStyle name="Normal 3 24" xfId="2036" xr:uid="{00000000-0005-0000-0000-0000A1070000}"/>
    <cellStyle name="Normal 3 24 10" xfId="2037" xr:uid="{00000000-0005-0000-0000-0000A2070000}"/>
    <cellStyle name="Normal 3 24 10 2" xfId="12401" xr:uid="{00000000-0005-0000-0000-0000332B0000}"/>
    <cellStyle name="Normal 3 24 10 3" xfId="12402" xr:uid="{00000000-0005-0000-0000-0000342B0000}"/>
    <cellStyle name="Normal 3 24 11" xfId="2038" xr:uid="{00000000-0005-0000-0000-0000A3070000}"/>
    <cellStyle name="Normal 3 24 11 2" xfId="12403" xr:uid="{00000000-0005-0000-0000-0000362B0000}"/>
    <cellStyle name="Normal 3 24 11 3" xfId="12404" xr:uid="{00000000-0005-0000-0000-0000372B0000}"/>
    <cellStyle name="Normal 3 24 12" xfId="2039" xr:uid="{00000000-0005-0000-0000-0000A4070000}"/>
    <cellStyle name="Normal 3 24 12 2" xfId="12405" xr:uid="{00000000-0005-0000-0000-0000392B0000}"/>
    <cellStyle name="Normal 3 24 12 3" xfId="12406" xr:uid="{00000000-0005-0000-0000-00003A2B0000}"/>
    <cellStyle name="Normal 3 24 13" xfId="2040" xr:uid="{00000000-0005-0000-0000-0000A5070000}"/>
    <cellStyle name="Normal 3 24 13 2" xfId="12407" xr:uid="{00000000-0005-0000-0000-00003C2B0000}"/>
    <cellStyle name="Normal 3 24 13 3" xfId="12408" xr:uid="{00000000-0005-0000-0000-00003D2B0000}"/>
    <cellStyle name="Normal 3 24 14" xfId="2041" xr:uid="{00000000-0005-0000-0000-0000A6070000}"/>
    <cellStyle name="Normal 3 24 14 2" xfId="12409" xr:uid="{00000000-0005-0000-0000-00003F2B0000}"/>
    <cellStyle name="Normal 3 24 14 3" xfId="12410" xr:uid="{00000000-0005-0000-0000-0000402B0000}"/>
    <cellStyle name="Normal 3 24 15" xfId="2042" xr:uid="{00000000-0005-0000-0000-0000A7070000}"/>
    <cellStyle name="Normal 3 24 15 2" xfId="12411" xr:uid="{00000000-0005-0000-0000-0000422B0000}"/>
    <cellStyle name="Normal 3 24 15 3" xfId="12412" xr:uid="{00000000-0005-0000-0000-0000432B0000}"/>
    <cellStyle name="Normal 3 24 16" xfId="2043" xr:uid="{00000000-0005-0000-0000-0000A8070000}"/>
    <cellStyle name="Normal 3 24 16 2" xfId="12413" xr:uid="{00000000-0005-0000-0000-0000452B0000}"/>
    <cellStyle name="Normal 3 24 16 3" xfId="12414" xr:uid="{00000000-0005-0000-0000-0000462B0000}"/>
    <cellStyle name="Normal 3 24 17" xfId="2044" xr:uid="{00000000-0005-0000-0000-0000A9070000}"/>
    <cellStyle name="Normal 3 24 17 2" xfId="12415" xr:uid="{00000000-0005-0000-0000-0000482B0000}"/>
    <cellStyle name="Normal 3 24 17 3" xfId="12416" xr:uid="{00000000-0005-0000-0000-0000492B0000}"/>
    <cellStyle name="Normal 3 24 18" xfId="2045" xr:uid="{00000000-0005-0000-0000-0000AA070000}"/>
    <cellStyle name="Normal 3 24 18 2" xfId="12417" xr:uid="{00000000-0005-0000-0000-00004B2B0000}"/>
    <cellStyle name="Normal 3 24 18 3" xfId="12418" xr:uid="{00000000-0005-0000-0000-00004C2B0000}"/>
    <cellStyle name="Normal 3 24 19" xfId="2046" xr:uid="{00000000-0005-0000-0000-0000AB070000}"/>
    <cellStyle name="Normal 3 24 19 2" xfId="12419" xr:uid="{00000000-0005-0000-0000-00004E2B0000}"/>
    <cellStyle name="Normal 3 24 19 3" xfId="12420" xr:uid="{00000000-0005-0000-0000-00004F2B0000}"/>
    <cellStyle name="Normal 3 24 2" xfId="2047" xr:uid="{00000000-0005-0000-0000-0000AC070000}"/>
    <cellStyle name="Normal 3 24 2 2" xfId="12421" xr:uid="{00000000-0005-0000-0000-0000512B0000}"/>
    <cellStyle name="Normal 3 24 2 3" xfId="12422" xr:uid="{00000000-0005-0000-0000-0000522B0000}"/>
    <cellStyle name="Normal 3 24 20" xfId="2048" xr:uid="{00000000-0005-0000-0000-0000AD070000}"/>
    <cellStyle name="Normal 3 24 20 2" xfId="12423" xr:uid="{00000000-0005-0000-0000-0000542B0000}"/>
    <cellStyle name="Normal 3 24 20 3" xfId="12424" xr:uid="{00000000-0005-0000-0000-0000552B0000}"/>
    <cellStyle name="Normal 3 24 21" xfId="2049" xr:uid="{00000000-0005-0000-0000-0000AE070000}"/>
    <cellStyle name="Normal 3 24 21 2" xfId="12425" xr:uid="{00000000-0005-0000-0000-0000572B0000}"/>
    <cellStyle name="Normal 3 24 21 3" xfId="12426" xr:uid="{00000000-0005-0000-0000-0000582B0000}"/>
    <cellStyle name="Normal 3 24 22" xfId="2050" xr:uid="{00000000-0005-0000-0000-0000AF070000}"/>
    <cellStyle name="Normal 3 24 22 2" xfId="12427" xr:uid="{00000000-0005-0000-0000-00005A2B0000}"/>
    <cellStyle name="Normal 3 24 22 3" xfId="12428" xr:uid="{00000000-0005-0000-0000-00005B2B0000}"/>
    <cellStyle name="Normal 3 24 23" xfId="2051" xr:uid="{00000000-0005-0000-0000-0000B0070000}"/>
    <cellStyle name="Normal 3 24 23 2" xfId="12429" xr:uid="{00000000-0005-0000-0000-00005D2B0000}"/>
    <cellStyle name="Normal 3 24 23 3" xfId="12430" xr:uid="{00000000-0005-0000-0000-00005E2B0000}"/>
    <cellStyle name="Normal 3 24 24" xfId="12431" xr:uid="{00000000-0005-0000-0000-00005F2B0000}"/>
    <cellStyle name="Normal 3 24 25" xfId="12432" xr:uid="{00000000-0005-0000-0000-0000602B0000}"/>
    <cellStyle name="Normal 3 24 3" xfId="2052" xr:uid="{00000000-0005-0000-0000-0000B1070000}"/>
    <cellStyle name="Normal 3 24 3 2" xfId="12433" xr:uid="{00000000-0005-0000-0000-0000622B0000}"/>
    <cellStyle name="Normal 3 24 3 3" xfId="12434" xr:uid="{00000000-0005-0000-0000-0000632B0000}"/>
    <cellStyle name="Normal 3 24 4" xfId="2053" xr:uid="{00000000-0005-0000-0000-0000B2070000}"/>
    <cellStyle name="Normal 3 24 4 2" xfId="12435" xr:uid="{00000000-0005-0000-0000-0000652B0000}"/>
    <cellStyle name="Normal 3 24 4 3" xfId="12436" xr:uid="{00000000-0005-0000-0000-0000662B0000}"/>
    <cellStyle name="Normal 3 24 5" xfId="2054" xr:uid="{00000000-0005-0000-0000-0000B3070000}"/>
    <cellStyle name="Normal 3 24 5 2" xfId="12437" xr:uid="{00000000-0005-0000-0000-0000682B0000}"/>
    <cellStyle name="Normal 3 24 5 3" xfId="12438" xr:uid="{00000000-0005-0000-0000-0000692B0000}"/>
    <cellStyle name="Normal 3 24 6" xfId="2055" xr:uid="{00000000-0005-0000-0000-0000B4070000}"/>
    <cellStyle name="Normal 3 24 6 2" xfId="12439" xr:uid="{00000000-0005-0000-0000-00006B2B0000}"/>
    <cellStyle name="Normal 3 24 6 3" xfId="12440" xr:uid="{00000000-0005-0000-0000-00006C2B0000}"/>
    <cellStyle name="Normal 3 24 7" xfId="2056" xr:uid="{00000000-0005-0000-0000-0000B5070000}"/>
    <cellStyle name="Normal 3 24 7 2" xfId="12441" xr:uid="{00000000-0005-0000-0000-00006E2B0000}"/>
    <cellStyle name="Normal 3 24 7 3" xfId="12442" xr:uid="{00000000-0005-0000-0000-00006F2B0000}"/>
    <cellStyle name="Normal 3 24 8" xfId="2057" xr:uid="{00000000-0005-0000-0000-0000B6070000}"/>
    <cellStyle name="Normal 3 24 8 2" xfId="12443" xr:uid="{00000000-0005-0000-0000-0000712B0000}"/>
    <cellStyle name="Normal 3 24 8 3" xfId="12444" xr:uid="{00000000-0005-0000-0000-0000722B0000}"/>
    <cellStyle name="Normal 3 24 9" xfId="2058" xr:uid="{00000000-0005-0000-0000-0000B7070000}"/>
    <cellStyle name="Normal 3 24 9 2" xfId="12445" xr:uid="{00000000-0005-0000-0000-0000742B0000}"/>
    <cellStyle name="Normal 3 24 9 3" xfId="12446" xr:uid="{00000000-0005-0000-0000-0000752B0000}"/>
    <cellStyle name="Normal 3 25" xfId="2059" xr:uid="{00000000-0005-0000-0000-0000B8070000}"/>
    <cellStyle name="Normal 3 25 10" xfId="2060" xr:uid="{00000000-0005-0000-0000-0000B9070000}"/>
    <cellStyle name="Normal 3 25 10 2" xfId="12447" xr:uid="{00000000-0005-0000-0000-0000782B0000}"/>
    <cellStyle name="Normal 3 25 10 3" xfId="12448" xr:uid="{00000000-0005-0000-0000-0000792B0000}"/>
    <cellStyle name="Normal 3 25 11" xfId="2061" xr:uid="{00000000-0005-0000-0000-0000BA070000}"/>
    <cellStyle name="Normal 3 25 11 2" xfId="12449" xr:uid="{00000000-0005-0000-0000-00007B2B0000}"/>
    <cellStyle name="Normal 3 25 11 3" xfId="12450" xr:uid="{00000000-0005-0000-0000-00007C2B0000}"/>
    <cellStyle name="Normal 3 25 12" xfId="2062" xr:uid="{00000000-0005-0000-0000-0000BB070000}"/>
    <cellStyle name="Normal 3 25 12 2" xfId="12451" xr:uid="{00000000-0005-0000-0000-00007E2B0000}"/>
    <cellStyle name="Normal 3 25 12 3" xfId="12452" xr:uid="{00000000-0005-0000-0000-00007F2B0000}"/>
    <cellStyle name="Normal 3 25 13" xfId="2063" xr:uid="{00000000-0005-0000-0000-0000BC070000}"/>
    <cellStyle name="Normal 3 25 13 2" xfId="12453" xr:uid="{00000000-0005-0000-0000-0000812B0000}"/>
    <cellStyle name="Normal 3 25 13 3" xfId="12454" xr:uid="{00000000-0005-0000-0000-0000822B0000}"/>
    <cellStyle name="Normal 3 25 14" xfId="2064" xr:uid="{00000000-0005-0000-0000-0000BD070000}"/>
    <cellStyle name="Normal 3 25 14 2" xfId="12455" xr:uid="{00000000-0005-0000-0000-0000842B0000}"/>
    <cellStyle name="Normal 3 25 14 3" xfId="12456" xr:uid="{00000000-0005-0000-0000-0000852B0000}"/>
    <cellStyle name="Normal 3 25 15" xfId="2065" xr:uid="{00000000-0005-0000-0000-0000BE070000}"/>
    <cellStyle name="Normal 3 25 15 2" xfId="12457" xr:uid="{00000000-0005-0000-0000-0000872B0000}"/>
    <cellStyle name="Normal 3 25 15 3" xfId="12458" xr:uid="{00000000-0005-0000-0000-0000882B0000}"/>
    <cellStyle name="Normal 3 25 16" xfId="2066" xr:uid="{00000000-0005-0000-0000-0000BF070000}"/>
    <cellStyle name="Normal 3 25 16 2" xfId="12459" xr:uid="{00000000-0005-0000-0000-00008A2B0000}"/>
    <cellStyle name="Normal 3 25 16 3" xfId="12460" xr:uid="{00000000-0005-0000-0000-00008B2B0000}"/>
    <cellStyle name="Normal 3 25 17" xfId="2067" xr:uid="{00000000-0005-0000-0000-0000C0070000}"/>
    <cellStyle name="Normal 3 25 17 2" xfId="12461" xr:uid="{00000000-0005-0000-0000-00008D2B0000}"/>
    <cellStyle name="Normal 3 25 17 3" xfId="12462" xr:uid="{00000000-0005-0000-0000-00008E2B0000}"/>
    <cellStyle name="Normal 3 25 18" xfId="2068" xr:uid="{00000000-0005-0000-0000-0000C1070000}"/>
    <cellStyle name="Normal 3 25 18 2" xfId="12463" xr:uid="{00000000-0005-0000-0000-0000902B0000}"/>
    <cellStyle name="Normal 3 25 18 3" xfId="12464" xr:uid="{00000000-0005-0000-0000-0000912B0000}"/>
    <cellStyle name="Normal 3 25 19" xfId="2069" xr:uid="{00000000-0005-0000-0000-0000C2070000}"/>
    <cellStyle name="Normal 3 25 19 2" xfId="12465" xr:uid="{00000000-0005-0000-0000-0000932B0000}"/>
    <cellStyle name="Normal 3 25 19 3" xfId="12466" xr:uid="{00000000-0005-0000-0000-0000942B0000}"/>
    <cellStyle name="Normal 3 25 2" xfId="2070" xr:uid="{00000000-0005-0000-0000-0000C3070000}"/>
    <cellStyle name="Normal 3 25 2 2" xfId="12467" xr:uid="{00000000-0005-0000-0000-0000962B0000}"/>
    <cellStyle name="Normal 3 25 2 3" xfId="12468" xr:uid="{00000000-0005-0000-0000-0000972B0000}"/>
    <cellStyle name="Normal 3 25 20" xfId="2071" xr:uid="{00000000-0005-0000-0000-0000C4070000}"/>
    <cellStyle name="Normal 3 25 20 2" xfId="12469" xr:uid="{00000000-0005-0000-0000-0000992B0000}"/>
    <cellStyle name="Normal 3 25 20 3" xfId="12470" xr:uid="{00000000-0005-0000-0000-00009A2B0000}"/>
    <cellStyle name="Normal 3 25 21" xfId="2072" xr:uid="{00000000-0005-0000-0000-0000C5070000}"/>
    <cellStyle name="Normal 3 25 21 2" xfId="12471" xr:uid="{00000000-0005-0000-0000-00009C2B0000}"/>
    <cellStyle name="Normal 3 25 21 3" xfId="12472" xr:uid="{00000000-0005-0000-0000-00009D2B0000}"/>
    <cellStyle name="Normal 3 25 22" xfId="2073" xr:uid="{00000000-0005-0000-0000-0000C6070000}"/>
    <cellStyle name="Normal 3 25 22 2" xfId="12473" xr:uid="{00000000-0005-0000-0000-00009F2B0000}"/>
    <cellStyle name="Normal 3 25 22 3" xfId="12474" xr:uid="{00000000-0005-0000-0000-0000A02B0000}"/>
    <cellStyle name="Normal 3 25 23" xfId="2074" xr:uid="{00000000-0005-0000-0000-0000C7070000}"/>
    <cellStyle name="Normal 3 25 23 2" xfId="12475" xr:uid="{00000000-0005-0000-0000-0000A22B0000}"/>
    <cellStyle name="Normal 3 25 23 3" xfId="12476" xr:uid="{00000000-0005-0000-0000-0000A32B0000}"/>
    <cellStyle name="Normal 3 25 24" xfId="12477" xr:uid="{00000000-0005-0000-0000-0000A42B0000}"/>
    <cellStyle name="Normal 3 25 25" xfId="12478" xr:uid="{00000000-0005-0000-0000-0000A52B0000}"/>
    <cellStyle name="Normal 3 25 3" xfId="2075" xr:uid="{00000000-0005-0000-0000-0000C8070000}"/>
    <cellStyle name="Normal 3 25 3 2" xfId="12479" xr:uid="{00000000-0005-0000-0000-0000A72B0000}"/>
    <cellStyle name="Normal 3 25 3 3" xfId="12480" xr:uid="{00000000-0005-0000-0000-0000A82B0000}"/>
    <cellStyle name="Normal 3 25 4" xfId="2076" xr:uid="{00000000-0005-0000-0000-0000C9070000}"/>
    <cellStyle name="Normal 3 25 4 2" xfId="12481" xr:uid="{00000000-0005-0000-0000-0000AA2B0000}"/>
    <cellStyle name="Normal 3 25 4 3" xfId="12482" xr:uid="{00000000-0005-0000-0000-0000AB2B0000}"/>
    <cellStyle name="Normal 3 25 5" xfId="2077" xr:uid="{00000000-0005-0000-0000-0000CA070000}"/>
    <cellStyle name="Normal 3 25 5 2" xfId="12483" xr:uid="{00000000-0005-0000-0000-0000AD2B0000}"/>
    <cellStyle name="Normal 3 25 5 3" xfId="12484" xr:uid="{00000000-0005-0000-0000-0000AE2B0000}"/>
    <cellStyle name="Normal 3 25 6" xfId="2078" xr:uid="{00000000-0005-0000-0000-0000CB070000}"/>
    <cellStyle name="Normal 3 25 6 2" xfId="12485" xr:uid="{00000000-0005-0000-0000-0000B02B0000}"/>
    <cellStyle name="Normal 3 25 6 3" xfId="12486" xr:uid="{00000000-0005-0000-0000-0000B12B0000}"/>
    <cellStyle name="Normal 3 25 7" xfId="2079" xr:uid="{00000000-0005-0000-0000-0000CC070000}"/>
    <cellStyle name="Normal 3 25 7 2" xfId="12487" xr:uid="{00000000-0005-0000-0000-0000B32B0000}"/>
    <cellStyle name="Normal 3 25 7 3" xfId="12488" xr:uid="{00000000-0005-0000-0000-0000B42B0000}"/>
    <cellStyle name="Normal 3 25 8" xfId="2080" xr:uid="{00000000-0005-0000-0000-0000CD070000}"/>
    <cellStyle name="Normal 3 25 8 2" xfId="12489" xr:uid="{00000000-0005-0000-0000-0000B62B0000}"/>
    <cellStyle name="Normal 3 25 8 3" xfId="12490" xr:uid="{00000000-0005-0000-0000-0000B72B0000}"/>
    <cellStyle name="Normal 3 25 9" xfId="2081" xr:uid="{00000000-0005-0000-0000-0000CE070000}"/>
    <cellStyle name="Normal 3 25 9 2" xfId="12491" xr:uid="{00000000-0005-0000-0000-0000B92B0000}"/>
    <cellStyle name="Normal 3 25 9 3" xfId="12492" xr:uid="{00000000-0005-0000-0000-0000BA2B0000}"/>
    <cellStyle name="Normal 3 26" xfId="2082" xr:uid="{00000000-0005-0000-0000-0000CF070000}"/>
    <cellStyle name="Normal 3 26 10" xfId="2083" xr:uid="{00000000-0005-0000-0000-0000D0070000}"/>
    <cellStyle name="Normal 3 26 10 2" xfId="12493" xr:uid="{00000000-0005-0000-0000-0000BD2B0000}"/>
    <cellStyle name="Normal 3 26 10 3" xfId="12494" xr:uid="{00000000-0005-0000-0000-0000BE2B0000}"/>
    <cellStyle name="Normal 3 26 11" xfId="2084" xr:uid="{00000000-0005-0000-0000-0000D1070000}"/>
    <cellStyle name="Normal 3 26 11 2" xfId="12495" xr:uid="{00000000-0005-0000-0000-0000C02B0000}"/>
    <cellStyle name="Normal 3 26 11 3" xfId="12496" xr:uid="{00000000-0005-0000-0000-0000C12B0000}"/>
    <cellStyle name="Normal 3 26 12" xfId="2085" xr:uid="{00000000-0005-0000-0000-0000D2070000}"/>
    <cellStyle name="Normal 3 26 12 2" xfId="12497" xr:uid="{00000000-0005-0000-0000-0000C32B0000}"/>
    <cellStyle name="Normal 3 26 12 3" xfId="12498" xr:uid="{00000000-0005-0000-0000-0000C42B0000}"/>
    <cellStyle name="Normal 3 26 13" xfId="2086" xr:uid="{00000000-0005-0000-0000-0000D3070000}"/>
    <cellStyle name="Normal 3 26 13 2" xfId="12499" xr:uid="{00000000-0005-0000-0000-0000C62B0000}"/>
    <cellStyle name="Normal 3 26 13 3" xfId="12500" xr:uid="{00000000-0005-0000-0000-0000C72B0000}"/>
    <cellStyle name="Normal 3 26 14" xfId="2087" xr:uid="{00000000-0005-0000-0000-0000D4070000}"/>
    <cellStyle name="Normal 3 26 14 2" xfId="12501" xr:uid="{00000000-0005-0000-0000-0000C92B0000}"/>
    <cellStyle name="Normal 3 26 14 3" xfId="12502" xr:uid="{00000000-0005-0000-0000-0000CA2B0000}"/>
    <cellStyle name="Normal 3 26 15" xfId="2088" xr:uid="{00000000-0005-0000-0000-0000D5070000}"/>
    <cellStyle name="Normal 3 26 15 2" xfId="12503" xr:uid="{00000000-0005-0000-0000-0000CC2B0000}"/>
    <cellStyle name="Normal 3 26 15 3" xfId="12504" xr:uid="{00000000-0005-0000-0000-0000CD2B0000}"/>
    <cellStyle name="Normal 3 26 16" xfId="2089" xr:uid="{00000000-0005-0000-0000-0000D6070000}"/>
    <cellStyle name="Normal 3 26 16 2" xfId="12505" xr:uid="{00000000-0005-0000-0000-0000CF2B0000}"/>
    <cellStyle name="Normal 3 26 16 3" xfId="12506" xr:uid="{00000000-0005-0000-0000-0000D02B0000}"/>
    <cellStyle name="Normal 3 26 17" xfId="2090" xr:uid="{00000000-0005-0000-0000-0000D7070000}"/>
    <cellStyle name="Normal 3 26 17 2" xfId="12507" xr:uid="{00000000-0005-0000-0000-0000D22B0000}"/>
    <cellStyle name="Normal 3 26 17 3" xfId="12508" xr:uid="{00000000-0005-0000-0000-0000D32B0000}"/>
    <cellStyle name="Normal 3 26 18" xfId="2091" xr:uid="{00000000-0005-0000-0000-0000D8070000}"/>
    <cellStyle name="Normal 3 26 18 2" xfId="12509" xr:uid="{00000000-0005-0000-0000-0000D52B0000}"/>
    <cellStyle name="Normal 3 26 18 3" xfId="12510" xr:uid="{00000000-0005-0000-0000-0000D62B0000}"/>
    <cellStyle name="Normal 3 26 19" xfId="2092" xr:uid="{00000000-0005-0000-0000-0000D9070000}"/>
    <cellStyle name="Normal 3 26 19 2" xfId="12511" xr:uid="{00000000-0005-0000-0000-0000D82B0000}"/>
    <cellStyle name="Normal 3 26 19 3" xfId="12512" xr:uid="{00000000-0005-0000-0000-0000D92B0000}"/>
    <cellStyle name="Normal 3 26 2" xfId="2093" xr:uid="{00000000-0005-0000-0000-0000DA070000}"/>
    <cellStyle name="Normal 3 26 2 2" xfId="12513" xr:uid="{00000000-0005-0000-0000-0000DB2B0000}"/>
    <cellStyle name="Normal 3 26 2 3" xfId="12514" xr:uid="{00000000-0005-0000-0000-0000DC2B0000}"/>
    <cellStyle name="Normal 3 26 20" xfId="2094" xr:uid="{00000000-0005-0000-0000-0000DB070000}"/>
    <cellStyle name="Normal 3 26 20 2" xfId="12515" xr:uid="{00000000-0005-0000-0000-0000DE2B0000}"/>
    <cellStyle name="Normal 3 26 20 3" xfId="12516" xr:uid="{00000000-0005-0000-0000-0000DF2B0000}"/>
    <cellStyle name="Normal 3 26 21" xfId="2095" xr:uid="{00000000-0005-0000-0000-0000DC070000}"/>
    <cellStyle name="Normal 3 26 21 2" xfId="12517" xr:uid="{00000000-0005-0000-0000-0000E12B0000}"/>
    <cellStyle name="Normal 3 26 21 3" xfId="12518" xr:uid="{00000000-0005-0000-0000-0000E22B0000}"/>
    <cellStyle name="Normal 3 26 22" xfId="2096" xr:uid="{00000000-0005-0000-0000-0000DD070000}"/>
    <cellStyle name="Normal 3 26 22 2" xfId="12519" xr:uid="{00000000-0005-0000-0000-0000E42B0000}"/>
    <cellStyle name="Normal 3 26 22 3" xfId="12520" xr:uid="{00000000-0005-0000-0000-0000E52B0000}"/>
    <cellStyle name="Normal 3 26 23" xfId="2097" xr:uid="{00000000-0005-0000-0000-0000DE070000}"/>
    <cellStyle name="Normal 3 26 23 2" xfId="12521" xr:uid="{00000000-0005-0000-0000-0000E72B0000}"/>
    <cellStyle name="Normal 3 26 23 3" xfId="12522" xr:uid="{00000000-0005-0000-0000-0000E82B0000}"/>
    <cellStyle name="Normal 3 26 24" xfId="12523" xr:uid="{00000000-0005-0000-0000-0000E92B0000}"/>
    <cellStyle name="Normal 3 26 25" xfId="12524" xr:uid="{00000000-0005-0000-0000-0000EA2B0000}"/>
    <cellStyle name="Normal 3 26 3" xfId="2098" xr:uid="{00000000-0005-0000-0000-0000DF070000}"/>
    <cellStyle name="Normal 3 26 3 2" xfId="12525" xr:uid="{00000000-0005-0000-0000-0000EC2B0000}"/>
    <cellStyle name="Normal 3 26 3 3" xfId="12526" xr:uid="{00000000-0005-0000-0000-0000ED2B0000}"/>
    <cellStyle name="Normal 3 26 4" xfId="2099" xr:uid="{00000000-0005-0000-0000-0000E0070000}"/>
    <cellStyle name="Normal 3 26 4 2" xfId="12527" xr:uid="{00000000-0005-0000-0000-0000EF2B0000}"/>
    <cellStyle name="Normal 3 26 4 3" xfId="12528" xr:uid="{00000000-0005-0000-0000-0000F02B0000}"/>
    <cellStyle name="Normal 3 26 5" xfId="2100" xr:uid="{00000000-0005-0000-0000-0000E1070000}"/>
    <cellStyle name="Normal 3 26 5 2" xfId="12529" xr:uid="{00000000-0005-0000-0000-0000F22B0000}"/>
    <cellStyle name="Normal 3 26 5 3" xfId="12530" xr:uid="{00000000-0005-0000-0000-0000F32B0000}"/>
    <cellStyle name="Normal 3 26 6" xfId="2101" xr:uid="{00000000-0005-0000-0000-0000E2070000}"/>
    <cellStyle name="Normal 3 26 6 2" xfId="12531" xr:uid="{00000000-0005-0000-0000-0000F52B0000}"/>
    <cellStyle name="Normal 3 26 6 3" xfId="12532" xr:uid="{00000000-0005-0000-0000-0000F62B0000}"/>
    <cellStyle name="Normal 3 26 7" xfId="2102" xr:uid="{00000000-0005-0000-0000-0000E3070000}"/>
    <cellStyle name="Normal 3 26 7 2" xfId="12533" xr:uid="{00000000-0005-0000-0000-0000F82B0000}"/>
    <cellStyle name="Normal 3 26 7 3" xfId="12534" xr:uid="{00000000-0005-0000-0000-0000F92B0000}"/>
    <cellStyle name="Normal 3 26 8" xfId="2103" xr:uid="{00000000-0005-0000-0000-0000E4070000}"/>
    <cellStyle name="Normal 3 26 8 2" xfId="12535" xr:uid="{00000000-0005-0000-0000-0000FB2B0000}"/>
    <cellStyle name="Normal 3 26 8 3" xfId="12536" xr:uid="{00000000-0005-0000-0000-0000FC2B0000}"/>
    <cellStyle name="Normal 3 26 9" xfId="2104" xr:uid="{00000000-0005-0000-0000-0000E5070000}"/>
    <cellStyle name="Normal 3 26 9 2" xfId="12537" xr:uid="{00000000-0005-0000-0000-0000FE2B0000}"/>
    <cellStyle name="Normal 3 26 9 3" xfId="12538" xr:uid="{00000000-0005-0000-0000-0000FF2B0000}"/>
    <cellStyle name="Normal 3 27" xfId="2105" xr:uid="{00000000-0005-0000-0000-0000E6070000}"/>
    <cellStyle name="Normal 3 27 10" xfId="2106" xr:uid="{00000000-0005-0000-0000-0000E7070000}"/>
    <cellStyle name="Normal 3 27 10 2" xfId="12539" xr:uid="{00000000-0005-0000-0000-0000022C0000}"/>
    <cellStyle name="Normal 3 27 10 3" xfId="12540" xr:uid="{00000000-0005-0000-0000-0000032C0000}"/>
    <cellStyle name="Normal 3 27 11" xfId="2107" xr:uid="{00000000-0005-0000-0000-0000E8070000}"/>
    <cellStyle name="Normal 3 27 11 2" xfId="12541" xr:uid="{00000000-0005-0000-0000-0000052C0000}"/>
    <cellStyle name="Normal 3 27 11 3" xfId="12542" xr:uid="{00000000-0005-0000-0000-0000062C0000}"/>
    <cellStyle name="Normal 3 27 12" xfId="2108" xr:uid="{00000000-0005-0000-0000-0000E9070000}"/>
    <cellStyle name="Normal 3 27 12 2" xfId="12543" xr:uid="{00000000-0005-0000-0000-0000082C0000}"/>
    <cellStyle name="Normal 3 27 12 3" xfId="12544" xr:uid="{00000000-0005-0000-0000-0000092C0000}"/>
    <cellStyle name="Normal 3 27 13" xfId="2109" xr:uid="{00000000-0005-0000-0000-0000EA070000}"/>
    <cellStyle name="Normal 3 27 13 2" xfId="12545" xr:uid="{00000000-0005-0000-0000-00000B2C0000}"/>
    <cellStyle name="Normal 3 27 13 3" xfId="12546" xr:uid="{00000000-0005-0000-0000-00000C2C0000}"/>
    <cellStyle name="Normal 3 27 14" xfId="2110" xr:uid="{00000000-0005-0000-0000-0000EB070000}"/>
    <cellStyle name="Normal 3 27 14 2" xfId="12547" xr:uid="{00000000-0005-0000-0000-00000E2C0000}"/>
    <cellStyle name="Normal 3 27 14 3" xfId="12548" xr:uid="{00000000-0005-0000-0000-00000F2C0000}"/>
    <cellStyle name="Normal 3 27 15" xfId="2111" xr:uid="{00000000-0005-0000-0000-0000EC070000}"/>
    <cellStyle name="Normal 3 27 15 2" xfId="12549" xr:uid="{00000000-0005-0000-0000-0000112C0000}"/>
    <cellStyle name="Normal 3 27 15 3" xfId="12550" xr:uid="{00000000-0005-0000-0000-0000122C0000}"/>
    <cellStyle name="Normal 3 27 16" xfId="2112" xr:uid="{00000000-0005-0000-0000-0000ED070000}"/>
    <cellStyle name="Normal 3 27 16 2" xfId="12551" xr:uid="{00000000-0005-0000-0000-0000142C0000}"/>
    <cellStyle name="Normal 3 27 16 3" xfId="12552" xr:uid="{00000000-0005-0000-0000-0000152C0000}"/>
    <cellStyle name="Normal 3 27 17" xfId="2113" xr:uid="{00000000-0005-0000-0000-0000EE070000}"/>
    <cellStyle name="Normal 3 27 17 2" xfId="12553" xr:uid="{00000000-0005-0000-0000-0000172C0000}"/>
    <cellStyle name="Normal 3 27 17 3" xfId="12554" xr:uid="{00000000-0005-0000-0000-0000182C0000}"/>
    <cellStyle name="Normal 3 27 18" xfId="2114" xr:uid="{00000000-0005-0000-0000-0000EF070000}"/>
    <cellStyle name="Normal 3 27 18 2" xfId="12555" xr:uid="{00000000-0005-0000-0000-00001A2C0000}"/>
    <cellStyle name="Normal 3 27 18 3" xfId="12556" xr:uid="{00000000-0005-0000-0000-00001B2C0000}"/>
    <cellStyle name="Normal 3 27 19" xfId="2115" xr:uid="{00000000-0005-0000-0000-0000F0070000}"/>
    <cellStyle name="Normal 3 27 19 2" xfId="12557" xr:uid="{00000000-0005-0000-0000-00001D2C0000}"/>
    <cellStyle name="Normal 3 27 19 3" xfId="12558" xr:uid="{00000000-0005-0000-0000-00001E2C0000}"/>
    <cellStyle name="Normal 3 27 2" xfId="2116" xr:uid="{00000000-0005-0000-0000-0000F1070000}"/>
    <cellStyle name="Normal 3 27 2 2" xfId="12559" xr:uid="{00000000-0005-0000-0000-0000202C0000}"/>
    <cellStyle name="Normal 3 27 2 3" xfId="12560" xr:uid="{00000000-0005-0000-0000-0000212C0000}"/>
    <cellStyle name="Normal 3 27 20" xfId="2117" xr:uid="{00000000-0005-0000-0000-0000F2070000}"/>
    <cellStyle name="Normal 3 27 20 2" xfId="12561" xr:uid="{00000000-0005-0000-0000-0000232C0000}"/>
    <cellStyle name="Normal 3 27 20 3" xfId="12562" xr:uid="{00000000-0005-0000-0000-0000242C0000}"/>
    <cellStyle name="Normal 3 27 21" xfId="2118" xr:uid="{00000000-0005-0000-0000-0000F3070000}"/>
    <cellStyle name="Normal 3 27 21 2" xfId="12563" xr:uid="{00000000-0005-0000-0000-0000262C0000}"/>
    <cellStyle name="Normal 3 27 21 3" xfId="12564" xr:uid="{00000000-0005-0000-0000-0000272C0000}"/>
    <cellStyle name="Normal 3 27 22" xfId="2119" xr:uid="{00000000-0005-0000-0000-0000F4070000}"/>
    <cellStyle name="Normal 3 27 22 2" xfId="12565" xr:uid="{00000000-0005-0000-0000-0000292C0000}"/>
    <cellStyle name="Normal 3 27 22 3" xfId="12566" xr:uid="{00000000-0005-0000-0000-00002A2C0000}"/>
    <cellStyle name="Normal 3 27 23" xfId="2120" xr:uid="{00000000-0005-0000-0000-0000F5070000}"/>
    <cellStyle name="Normal 3 27 23 2" xfId="12567" xr:uid="{00000000-0005-0000-0000-00002C2C0000}"/>
    <cellStyle name="Normal 3 27 23 3" xfId="12568" xr:uid="{00000000-0005-0000-0000-00002D2C0000}"/>
    <cellStyle name="Normal 3 27 24" xfId="12569" xr:uid="{00000000-0005-0000-0000-00002E2C0000}"/>
    <cellStyle name="Normal 3 27 25" xfId="12570" xr:uid="{00000000-0005-0000-0000-00002F2C0000}"/>
    <cellStyle name="Normal 3 27 3" xfId="2121" xr:uid="{00000000-0005-0000-0000-0000F6070000}"/>
    <cellStyle name="Normal 3 27 3 2" xfId="12571" xr:uid="{00000000-0005-0000-0000-0000312C0000}"/>
    <cellStyle name="Normal 3 27 3 3" xfId="12572" xr:uid="{00000000-0005-0000-0000-0000322C0000}"/>
    <cellStyle name="Normal 3 27 4" xfId="2122" xr:uid="{00000000-0005-0000-0000-0000F7070000}"/>
    <cellStyle name="Normal 3 27 4 2" xfId="12573" xr:uid="{00000000-0005-0000-0000-0000342C0000}"/>
    <cellStyle name="Normal 3 27 4 3" xfId="12574" xr:uid="{00000000-0005-0000-0000-0000352C0000}"/>
    <cellStyle name="Normal 3 27 5" xfId="2123" xr:uid="{00000000-0005-0000-0000-0000F8070000}"/>
    <cellStyle name="Normal 3 27 5 2" xfId="12575" xr:uid="{00000000-0005-0000-0000-0000372C0000}"/>
    <cellStyle name="Normal 3 27 5 3" xfId="12576" xr:uid="{00000000-0005-0000-0000-0000382C0000}"/>
    <cellStyle name="Normal 3 27 6" xfId="2124" xr:uid="{00000000-0005-0000-0000-0000F9070000}"/>
    <cellStyle name="Normal 3 27 6 2" xfId="12577" xr:uid="{00000000-0005-0000-0000-00003A2C0000}"/>
    <cellStyle name="Normal 3 27 6 3" xfId="12578" xr:uid="{00000000-0005-0000-0000-00003B2C0000}"/>
    <cellStyle name="Normal 3 27 7" xfId="2125" xr:uid="{00000000-0005-0000-0000-0000FA070000}"/>
    <cellStyle name="Normal 3 27 7 2" xfId="12579" xr:uid="{00000000-0005-0000-0000-00003D2C0000}"/>
    <cellStyle name="Normal 3 27 7 3" xfId="12580" xr:uid="{00000000-0005-0000-0000-00003E2C0000}"/>
    <cellStyle name="Normal 3 27 8" xfId="2126" xr:uid="{00000000-0005-0000-0000-0000FB070000}"/>
    <cellStyle name="Normal 3 27 8 2" xfId="12581" xr:uid="{00000000-0005-0000-0000-0000402C0000}"/>
    <cellStyle name="Normal 3 27 8 3" xfId="12582" xr:uid="{00000000-0005-0000-0000-0000412C0000}"/>
    <cellStyle name="Normal 3 27 9" xfId="2127" xr:uid="{00000000-0005-0000-0000-0000FC070000}"/>
    <cellStyle name="Normal 3 27 9 2" xfId="12583" xr:uid="{00000000-0005-0000-0000-0000432C0000}"/>
    <cellStyle name="Normal 3 27 9 3" xfId="12584" xr:uid="{00000000-0005-0000-0000-0000442C0000}"/>
    <cellStyle name="Normal 3 28" xfId="2128" xr:uid="{00000000-0005-0000-0000-0000FD070000}"/>
    <cellStyle name="Normal 3 28 10" xfId="2129" xr:uid="{00000000-0005-0000-0000-0000FE070000}"/>
    <cellStyle name="Normal 3 28 10 2" xfId="12585" xr:uid="{00000000-0005-0000-0000-0000472C0000}"/>
    <cellStyle name="Normal 3 28 10 3" xfId="12586" xr:uid="{00000000-0005-0000-0000-0000482C0000}"/>
    <cellStyle name="Normal 3 28 11" xfId="2130" xr:uid="{00000000-0005-0000-0000-0000FF070000}"/>
    <cellStyle name="Normal 3 28 11 2" xfId="12587" xr:uid="{00000000-0005-0000-0000-00004A2C0000}"/>
    <cellStyle name="Normal 3 28 11 3" xfId="12588" xr:uid="{00000000-0005-0000-0000-00004B2C0000}"/>
    <cellStyle name="Normal 3 28 12" xfId="2131" xr:uid="{00000000-0005-0000-0000-000000080000}"/>
    <cellStyle name="Normal 3 28 12 2" xfId="12589" xr:uid="{00000000-0005-0000-0000-00004D2C0000}"/>
    <cellStyle name="Normal 3 28 12 3" xfId="12590" xr:uid="{00000000-0005-0000-0000-00004E2C0000}"/>
    <cellStyle name="Normal 3 28 13" xfId="2132" xr:uid="{00000000-0005-0000-0000-000001080000}"/>
    <cellStyle name="Normal 3 28 13 2" xfId="12591" xr:uid="{00000000-0005-0000-0000-0000502C0000}"/>
    <cellStyle name="Normal 3 28 13 3" xfId="12592" xr:uid="{00000000-0005-0000-0000-0000512C0000}"/>
    <cellStyle name="Normal 3 28 14" xfId="2133" xr:uid="{00000000-0005-0000-0000-000002080000}"/>
    <cellStyle name="Normal 3 28 14 2" xfId="12593" xr:uid="{00000000-0005-0000-0000-0000532C0000}"/>
    <cellStyle name="Normal 3 28 14 3" xfId="12594" xr:uid="{00000000-0005-0000-0000-0000542C0000}"/>
    <cellStyle name="Normal 3 28 15" xfId="2134" xr:uid="{00000000-0005-0000-0000-000003080000}"/>
    <cellStyle name="Normal 3 28 15 2" xfId="12595" xr:uid="{00000000-0005-0000-0000-0000562C0000}"/>
    <cellStyle name="Normal 3 28 15 3" xfId="12596" xr:uid="{00000000-0005-0000-0000-0000572C0000}"/>
    <cellStyle name="Normal 3 28 16" xfId="2135" xr:uid="{00000000-0005-0000-0000-000004080000}"/>
    <cellStyle name="Normal 3 28 16 2" xfId="12597" xr:uid="{00000000-0005-0000-0000-0000592C0000}"/>
    <cellStyle name="Normal 3 28 16 3" xfId="12598" xr:uid="{00000000-0005-0000-0000-00005A2C0000}"/>
    <cellStyle name="Normal 3 28 17" xfId="2136" xr:uid="{00000000-0005-0000-0000-000005080000}"/>
    <cellStyle name="Normal 3 28 17 2" xfId="12599" xr:uid="{00000000-0005-0000-0000-00005C2C0000}"/>
    <cellStyle name="Normal 3 28 17 3" xfId="12600" xr:uid="{00000000-0005-0000-0000-00005D2C0000}"/>
    <cellStyle name="Normal 3 28 18" xfId="2137" xr:uid="{00000000-0005-0000-0000-000006080000}"/>
    <cellStyle name="Normal 3 28 18 2" xfId="12601" xr:uid="{00000000-0005-0000-0000-00005F2C0000}"/>
    <cellStyle name="Normal 3 28 18 3" xfId="12602" xr:uid="{00000000-0005-0000-0000-0000602C0000}"/>
    <cellStyle name="Normal 3 28 19" xfId="2138" xr:uid="{00000000-0005-0000-0000-000007080000}"/>
    <cellStyle name="Normal 3 28 19 2" xfId="12603" xr:uid="{00000000-0005-0000-0000-0000622C0000}"/>
    <cellStyle name="Normal 3 28 19 3" xfId="12604" xr:uid="{00000000-0005-0000-0000-0000632C0000}"/>
    <cellStyle name="Normal 3 28 2" xfId="2139" xr:uid="{00000000-0005-0000-0000-000008080000}"/>
    <cellStyle name="Normal 3 28 2 2" xfId="12605" xr:uid="{00000000-0005-0000-0000-0000652C0000}"/>
    <cellStyle name="Normal 3 28 2 3" xfId="12606" xr:uid="{00000000-0005-0000-0000-0000662C0000}"/>
    <cellStyle name="Normal 3 28 20" xfId="2140" xr:uid="{00000000-0005-0000-0000-000009080000}"/>
    <cellStyle name="Normal 3 28 20 2" xfId="12607" xr:uid="{00000000-0005-0000-0000-0000682C0000}"/>
    <cellStyle name="Normal 3 28 20 3" xfId="12608" xr:uid="{00000000-0005-0000-0000-0000692C0000}"/>
    <cellStyle name="Normal 3 28 21" xfId="2141" xr:uid="{00000000-0005-0000-0000-00000A080000}"/>
    <cellStyle name="Normal 3 28 21 2" xfId="12609" xr:uid="{00000000-0005-0000-0000-00006B2C0000}"/>
    <cellStyle name="Normal 3 28 21 3" xfId="12610" xr:uid="{00000000-0005-0000-0000-00006C2C0000}"/>
    <cellStyle name="Normal 3 28 22" xfId="2142" xr:uid="{00000000-0005-0000-0000-00000B080000}"/>
    <cellStyle name="Normal 3 28 22 2" xfId="12611" xr:uid="{00000000-0005-0000-0000-00006E2C0000}"/>
    <cellStyle name="Normal 3 28 22 3" xfId="12612" xr:uid="{00000000-0005-0000-0000-00006F2C0000}"/>
    <cellStyle name="Normal 3 28 23" xfId="2143" xr:uid="{00000000-0005-0000-0000-00000C080000}"/>
    <cellStyle name="Normal 3 28 23 2" xfId="12613" xr:uid="{00000000-0005-0000-0000-0000712C0000}"/>
    <cellStyle name="Normal 3 28 23 3" xfId="12614" xr:uid="{00000000-0005-0000-0000-0000722C0000}"/>
    <cellStyle name="Normal 3 28 24" xfId="12615" xr:uid="{00000000-0005-0000-0000-0000732C0000}"/>
    <cellStyle name="Normal 3 28 25" xfId="12616" xr:uid="{00000000-0005-0000-0000-0000742C0000}"/>
    <cellStyle name="Normal 3 28 3" xfId="2144" xr:uid="{00000000-0005-0000-0000-00000D080000}"/>
    <cellStyle name="Normal 3 28 3 2" xfId="12617" xr:uid="{00000000-0005-0000-0000-0000762C0000}"/>
    <cellStyle name="Normal 3 28 3 3" xfId="12618" xr:uid="{00000000-0005-0000-0000-0000772C0000}"/>
    <cellStyle name="Normal 3 28 4" xfId="2145" xr:uid="{00000000-0005-0000-0000-00000E080000}"/>
    <cellStyle name="Normal 3 28 4 2" xfId="12619" xr:uid="{00000000-0005-0000-0000-0000792C0000}"/>
    <cellStyle name="Normal 3 28 4 3" xfId="12620" xr:uid="{00000000-0005-0000-0000-00007A2C0000}"/>
    <cellStyle name="Normal 3 28 5" xfId="2146" xr:uid="{00000000-0005-0000-0000-00000F080000}"/>
    <cellStyle name="Normal 3 28 5 2" xfId="12621" xr:uid="{00000000-0005-0000-0000-00007C2C0000}"/>
    <cellStyle name="Normal 3 28 5 3" xfId="12622" xr:uid="{00000000-0005-0000-0000-00007D2C0000}"/>
    <cellStyle name="Normal 3 28 6" xfId="2147" xr:uid="{00000000-0005-0000-0000-000010080000}"/>
    <cellStyle name="Normal 3 28 6 2" xfId="12623" xr:uid="{00000000-0005-0000-0000-00007F2C0000}"/>
    <cellStyle name="Normal 3 28 6 3" xfId="12624" xr:uid="{00000000-0005-0000-0000-0000802C0000}"/>
    <cellStyle name="Normal 3 28 7" xfId="2148" xr:uid="{00000000-0005-0000-0000-000011080000}"/>
    <cellStyle name="Normal 3 28 7 2" xfId="12625" xr:uid="{00000000-0005-0000-0000-0000822C0000}"/>
    <cellStyle name="Normal 3 28 7 3" xfId="12626" xr:uid="{00000000-0005-0000-0000-0000832C0000}"/>
    <cellStyle name="Normal 3 28 8" xfId="2149" xr:uid="{00000000-0005-0000-0000-000012080000}"/>
    <cellStyle name="Normal 3 28 8 2" xfId="12627" xr:uid="{00000000-0005-0000-0000-0000852C0000}"/>
    <cellStyle name="Normal 3 28 8 3" xfId="12628" xr:uid="{00000000-0005-0000-0000-0000862C0000}"/>
    <cellStyle name="Normal 3 28 9" xfId="2150" xr:uid="{00000000-0005-0000-0000-000013080000}"/>
    <cellStyle name="Normal 3 28 9 2" xfId="12629" xr:uid="{00000000-0005-0000-0000-0000882C0000}"/>
    <cellStyle name="Normal 3 28 9 3" xfId="12630" xr:uid="{00000000-0005-0000-0000-0000892C0000}"/>
    <cellStyle name="Normal 3 29" xfId="2151" xr:uid="{00000000-0005-0000-0000-000014080000}"/>
    <cellStyle name="Normal 3 29 10" xfId="2152" xr:uid="{00000000-0005-0000-0000-000015080000}"/>
    <cellStyle name="Normal 3 29 10 2" xfId="12631" xr:uid="{00000000-0005-0000-0000-00008C2C0000}"/>
    <cellStyle name="Normal 3 29 10 3" xfId="12632" xr:uid="{00000000-0005-0000-0000-00008D2C0000}"/>
    <cellStyle name="Normal 3 29 11" xfId="2153" xr:uid="{00000000-0005-0000-0000-000016080000}"/>
    <cellStyle name="Normal 3 29 11 2" xfId="12633" xr:uid="{00000000-0005-0000-0000-00008F2C0000}"/>
    <cellStyle name="Normal 3 29 11 3" xfId="12634" xr:uid="{00000000-0005-0000-0000-0000902C0000}"/>
    <cellStyle name="Normal 3 29 12" xfId="2154" xr:uid="{00000000-0005-0000-0000-000017080000}"/>
    <cellStyle name="Normal 3 29 12 2" xfId="12635" xr:uid="{00000000-0005-0000-0000-0000922C0000}"/>
    <cellStyle name="Normal 3 29 12 3" xfId="12636" xr:uid="{00000000-0005-0000-0000-0000932C0000}"/>
    <cellStyle name="Normal 3 29 13" xfId="2155" xr:uid="{00000000-0005-0000-0000-000018080000}"/>
    <cellStyle name="Normal 3 29 13 2" xfId="12637" xr:uid="{00000000-0005-0000-0000-0000952C0000}"/>
    <cellStyle name="Normal 3 29 13 3" xfId="12638" xr:uid="{00000000-0005-0000-0000-0000962C0000}"/>
    <cellStyle name="Normal 3 29 14" xfId="2156" xr:uid="{00000000-0005-0000-0000-000019080000}"/>
    <cellStyle name="Normal 3 29 14 2" xfId="12639" xr:uid="{00000000-0005-0000-0000-0000982C0000}"/>
    <cellStyle name="Normal 3 29 14 3" xfId="12640" xr:uid="{00000000-0005-0000-0000-0000992C0000}"/>
    <cellStyle name="Normal 3 29 15" xfId="2157" xr:uid="{00000000-0005-0000-0000-00001A080000}"/>
    <cellStyle name="Normal 3 29 15 2" xfId="12641" xr:uid="{00000000-0005-0000-0000-00009B2C0000}"/>
    <cellStyle name="Normal 3 29 15 3" xfId="12642" xr:uid="{00000000-0005-0000-0000-00009C2C0000}"/>
    <cellStyle name="Normal 3 29 16" xfId="2158" xr:uid="{00000000-0005-0000-0000-00001B080000}"/>
    <cellStyle name="Normal 3 29 16 2" xfId="12643" xr:uid="{00000000-0005-0000-0000-00009E2C0000}"/>
    <cellStyle name="Normal 3 29 16 3" xfId="12644" xr:uid="{00000000-0005-0000-0000-00009F2C0000}"/>
    <cellStyle name="Normal 3 29 17" xfId="2159" xr:uid="{00000000-0005-0000-0000-00001C080000}"/>
    <cellStyle name="Normal 3 29 17 2" xfId="12645" xr:uid="{00000000-0005-0000-0000-0000A12C0000}"/>
    <cellStyle name="Normal 3 29 17 3" xfId="12646" xr:uid="{00000000-0005-0000-0000-0000A22C0000}"/>
    <cellStyle name="Normal 3 29 18" xfId="2160" xr:uid="{00000000-0005-0000-0000-00001D080000}"/>
    <cellStyle name="Normal 3 29 18 2" xfId="12647" xr:uid="{00000000-0005-0000-0000-0000A42C0000}"/>
    <cellStyle name="Normal 3 29 18 3" xfId="12648" xr:uid="{00000000-0005-0000-0000-0000A52C0000}"/>
    <cellStyle name="Normal 3 29 19" xfId="2161" xr:uid="{00000000-0005-0000-0000-00001E080000}"/>
    <cellStyle name="Normal 3 29 19 2" xfId="12649" xr:uid="{00000000-0005-0000-0000-0000A72C0000}"/>
    <cellStyle name="Normal 3 29 19 3" xfId="12650" xr:uid="{00000000-0005-0000-0000-0000A82C0000}"/>
    <cellStyle name="Normal 3 29 2" xfId="2162" xr:uid="{00000000-0005-0000-0000-00001F080000}"/>
    <cellStyle name="Normal 3 29 2 2" xfId="12651" xr:uid="{00000000-0005-0000-0000-0000AA2C0000}"/>
    <cellStyle name="Normal 3 29 2 3" xfId="12652" xr:uid="{00000000-0005-0000-0000-0000AB2C0000}"/>
    <cellStyle name="Normal 3 29 20" xfId="2163" xr:uid="{00000000-0005-0000-0000-000020080000}"/>
    <cellStyle name="Normal 3 29 20 2" xfId="12653" xr:uid="{00000000-0005-0000-0000-0000AD2C0000}"/>
    <cellStyle name="Normal 3 29 20 3" xfId="12654" xr:uid="{00000000-0005-0000-0000-0000AE2C0000}"/>
    <cellStyle name="Normal 3 29 21" xfId="2164" xr:uid="{00000000-0005-0000-0000-000021080000}"/>
    <cellStyle name="Normal 3 29 21 2" xfId="12655" xr:uid="{00000000-0005-0000-0000-0000B02C0000}"/>
    <cellStyle name="Normal 3 29 21 3" xfId="12656" xr:uid="{00000000-0005-0000-0000-0000B12C0000}"/>
    <cellStyle name="Normal 3 29 22" xfId="2165" xr:uid="{00000000-0005-0000-0000-000022080000}"/>
    <cellStyle name="Normal 3 29 22 2" xfId="12657" xr:uid="{00000000-0005-0000-0000-0000B32C0000}"/>
    <cellStyle name="Normal 3 29 22 3" xfId="12658" xr:uid="{00000000-0005-0000-0000-0000B42C0000}"/>
    <cellStyle name="Normal 3 29 23" xfId="2166" xr:uid="{00000000-0005-0000-0000-000023080000}"/>
    <cellStyle name="Normal 3 29 23 2" xfId="12659" xr:uid="{00000000-0005-0000-0000-0000B62C0000}"/>
    <cellStyle name="Normal 3 29 23 3" xfId="12660" xr:uid="{00000000-0005-0000-0000-0000B72C0000}"/>
    <cellStyle name="Normal 3 29 24" xfId="12661" xr:uid="{00000000-0005-0000-0000-0000B82C0000}"/>
    <cellStyle name="Normal 3 29 25" xfId="12662" xr:uid="{00000000-0005-0000-0000-0000B92C0000}"/>
    <cellStyle name="Normal 3 29 3" xfId="2167" xr:uid="{00000000-0005-0000-0000-000024080000}"/>
    <cellStyle name="Normal 3 29 3 2" xfId="12663" xr:uid="{00000000-0005-0000-0000-0000BB2C0000}"/>
    <cellStyle name="Normal 3 29 3 3" xfId="12664" xr:uid="{00000000-0005-0000-0000-0000BC2C0000}"/>
    <cellStyle name="Normal 3 29 4" xfId="2168" xr:uid="{00000000-0005-0000-0000-000025080000}"/>
    <cellStyle name="Normal 3 29 4 2" xfId="12665" xr:uid="{00000000-0005-0000-0000-0000BE2C0000}"/>
    <cellStyle name="Normal 3 29 4 3" xfId="12666" xr:uid="{00000000-0005-0000-0000-0000BF2C0000}"/>
    <cellStyle name="Normal 3 29 5" xfId="2169" xr:uid="{00000000-0005-0000-0000-000026080000}"/>
    <cellStyle name="Normal 3 29 5 2" xfId="12667" xr:uid="{00000000-0005-0000-0000-0000C12C0000}"/>
    <cellStyle name="Normal 3 29 5 3" xfId="12668" xr:uid="{00000000-0005-0000-0000-0000C22C0000}"/>
    <cellStyle name="Normal 3 29 6" xfId="2170" xr:uid="{00000000-0005-0000-0000-000027080000}"/>
    <cellStyle name="Normal 3 29 6 2" xfId="12669" xr:uid="{00000000-0005-0000-0000-0000C42C0000}"/>
    <cellStyle name="Normal 3 29 6 3" xfId="12670" xr:uid="{00000000-0005-0000-0000-0000C52C0000}"/>
    <cellStyle name="Normal 3 29 7" xfId="2171" xr:uid="{00000000-0005-0000-0000-000028080000}"/>
    <cellStyle name="Normal 3 29 7 2" xfId="12671" xr:uid="{00000000-0005-0000-0000-0000C72C0000}"/>
    <cellStyle name="Normal 3 29 7 3" xfId="12672" xr:uid="{00000000-0005-0000-0000-0000C82C0000}"/>
    <cellStyle name="Normal 3 29 8" xfId="2172" xr:uid="{00000000-0005-0000-0000-000029080000}"/>
    <cellStyle name="Normal 3 29 8 2" xfId="12673" xr:uid="{00000000-0005-0000-0000-0000CA2C0000}"/>
    <cellStyle name="Normal 3 29 8 3" xfId="12674" xr:uid="{00000000-0005-0000-0000-0000CB2C0000}"/>
    <cellStyle name="Normal 3 29 9" xfId="2173" xr:uid="{00000000-0005-0000-0000-00002A080000}"/>
    <cellStyle name="Normal 3 29 9 2" xfId="12675" xr:uid="{00000000-0005-0000-0000-0000CD2C0000}"/>
    <cellStyle name="Normal 3 29 9 3" xfId="12676" xr:uid="{00000000-0005-0000-0000-0000CE2C0000}"/>
    <cellStyle name="Normal 3 3" xfId="2174" xr:uid="{00000000-0005-0000-0000-00002B080000}"/>
    <cellStyle name="Normal 3 3 10" xfId="2175" xr:uid="{00000000-0005-0000-0000-00002C080000}"/>
    <cellStyle name="Normal 3 3 10 2" xfId="12677" xr:uid="{00000000-0005-0000-0000-0000D12C0000}"/>
    <cellStyle name="Normal 3 3 10 3" xfId="12678" xr:uid="{00000000-0005-0000-0000-0000D22C0000}"/>
    <cellStyle name="Normal 3 3 11" xfId="2176" xr:uid="{00000000-0005-0000-0000-00002D080000}"/>
    <cellStyle name="Normal 3 3 11 2" xfId="12679" xr:uid="{00000000-0005-0000-0000-0000D42C0000}"/>
    <cellStyle name="Normal 3 3 11 3" xfId="12680" xr:uid="{00000000-0005-0000-0000-0000D52C0000}"/>
    <cellStyle name="Normal 3 3 12" xfId="2177" xr:uid="{00000000-0005-0000-0000-00002E080000}"/>
    <cellStyle name="Normal 3 3 12 2" xfId="12681" xr:uid="{00000000-0005-0000-0000-0000D72C0000}"/>
    <cellStyle name="Normal 3 3 12 3" xfId="12682" xr:uid="{00000000-0005-0000-0000-0000D82C0000}"/>
    <cellStyle name="Normal 3 3 13" xfId="2178" xr:uid="{00000000-0005-0000-0000-00002F080000}"/>
    <cellStyle name="Normal 3 3 13 2" xfId="12683" xr:uid="{00000000-0005-0000-0000-0000DA2C0000}"/>
    <cellStyle name="Normal 3 3 13 3" xfId="12684" xr:uid="{00000000-0005-0000-0000-0000DB2C0000}"/>
    <cellStyle name="Normal 3 3 14" xfId="2179" xr:uid="{00000000-0005-0000-0000-000030080000}"/>
    <cellStyle name="Normal 3 3 14 2" xfId="12685" xr:uid="{00000000-0005-0000-0000-0000DD2C0000}"/>
    <cellStyle name="Normal 3 3 14 3" xfId="12686" xr:uid="{00000000-0005-0000-0000-0000DE2C0000}"/>
    <cellStyle name="Normal 3 3 15" xfId="2180" xr:uid="{00000000-0005-0000-0000-000031080000}"/>
    <cellStyle name="Normal 3 3 15 2" xfId="12687" xr:uid="{00000000-0005-0000-0000-0000E02C0000}"/>
    <cellStyle name="Normal 3 3 15 3" xfId="12688" xr:uid="{00000000-0005-0000-0000-0000E12C0000}"/>
    <cellStyle name="Normal 3 3 16" xfId="2181" xr:uid="{00000000-0005-0000-0000-000032080000}"/>
    <cellStyle name="Normal 3 3 16 2" xfId="12689" xr:uid="{00000000-0005-0000-0000-0000E32C0000}"/>
    <cellStyle name="Normal 3 3 16 3" xfId="12690" xr:uid="{00000000-0005-0000-0000-0000E42C0000}"/>
    <cellStyle name="Normal 3 3 17" xfId="2182" xr:uid="{00000000-0005-0000-0000-000033080000}"/>
    <cellStyle name="Normal 3 3 17 2" xfId="12691" xr:uid="{00000000-0005-0000-0000-0000E62C0000}"/>
    <cellStyle name="Normal 3 3 17 3" xfId="12692" xr:uid="{00000000-0005-0000-0000-0000E72C0000}"/>
    <cellStyle name="Normal 3 3 18" xfId="2183" xr:uid="{00000000-0005-0000-0000-000034080000}"/>
    <cellStyle name="Normal 3 3 18 2" xfId="12693" xr:uid="{00000000-0005-0000-0000-0000E92C0000}"/>
    <cellStyle name="Normal 3 3 18 3" xfId="12694" xr:uid="{00000000-0005-0000-0000-0000EA2C0000}"/>
    <cellStyle name="Normal 3 3 19" xfId="2184" xr:uid="{00000000-0005-0000-0000-000035080000}"/>
    <cellStyle name="Normal 3 3 19 2" xfId="12695" xr:uid="{00000000-0005-0000-0000-0000EC2C0000}"/>
    <cellStyle name="Normal 3 3 19 3" xfId="12696" xr:uid="{00000000-0005-0000-0000-0000ED2C0000}"/>
    <cellStyle name="Normal 3 3 2" xfId="2185" xr:uid="{00000000-0005-0000-0000-000036080000}"/>
    <cellStyle name="Normal 3 3 2 10" xfId="12697" xr:uid="{00000000-0005-0000-0000-0000EF2C0000}"/>
    <cellStyle name="Normal 3 3 2 10 2" xfId="12698" xr:uid="{00000000-0005-0000-0000-0000F02C0000}"/>
    <cellStyle name="Normal 3 3 2 10 2 2" xfId="26269" xr:uid="{70CF6472-50A2-4D37-9E8A-435365A07B3A}"/>
    <cellStyle name="Normal 3 3 2 10 2 2 2" xfId="41232" xr:uid="{793EFE87-5102-4D29-A62A-2365B625F9B0}"/>
    <cellStyle name="Normal 3 3 2 10 2 3" xfId="33637" xr:uid="{6F6DF4E2-6476-4735-929E-430087BDD8C0}"/>
    <cellStyle name="Normal 3 3 2 11" xfId="12699" xr:uid="{00000000-0005-0000-0000-0000F12C0000}"/>
    <cellStyle name="Normal 3 3 2 11 2" xfId="26270" xr:uid="{C5C2B472-C935-476B-BED6-C3B7EDABFB55}"/>
    <cellStyle name="Normal 3 3 2 11 2 2" xfId="41233" xr:uid="{984F15A8-BFE6-43FB-8A16-85024D02331C}"/>
    <cellStyle name="Normal 3 3 2 11 3" xfId="33638" xr:uid="{69E950D3-CB91-4B22-A470-71A36107C10E}"/>
    <cellStyle name="Normal 3 3 2 12" xfId="12700" xr:uid="{00000000-0005-0000-0000-0000F22C0000}"/>
    <cellStyle name="Normal 3 3 2 12 2" xfId="26271" xr:uid="{4C52D980-F1F9-4B8C-873A-7281C30BDBF6}"/>
    <cellStyle name="Normal 3 3 2 12 2 2" xfId="41234" xr:uid="{06D656F4-CC95-4BE0-83BF-CC21CCDC2452}"/>
    <cellStyle name="Normal 3 3 2 12 3" xfId="33639" xr:uid="{D27E391B-A863-439D-844E-7BBAC9E86E82}"/>
    <cellStyle name="Normal 3 3 2 13" xfId="12701" xr:uid="{00000000-0005-0000-0000-0000F32C0000}"/>
    <cellStyle name="Normal 3 3 2 14" xfId="5361" xr:uid="{00000000-0005-0000-0000-0000EE2C0000}"/>
    <cellStyle name="Normal 3 3 2 14 2" xfId="23180" xr:uid="{7F190FC8-8317-45E0-B784-B6D3267EDEDB}"/>
    <cellStyle name="Normal 3 3 2 14 2 2" xfId="38153" xr:uid="{E67B92B9-FCC9-4C68-B9AA-7E6470600A42}"/>
    <cellStyle name="Normal 3 3 2 14 3" xfId="30550" xr:uid="{815D21E3-8A44-4068-B399-776057E44DAE}"/>
    <cellStyle name="Normal 3 3 2 2" xfId="12702" xr:uid="{00000000-0005-0000-0000-0000F42C0000}"/>
    <cellStyle name="Normal 3 3 2 2 10" xfId="12703" xr:uid="{00000000-0005-0000-0000-0000F52C0000}"/>
    <cellStyle name="Normal 3 3 2 2 10 2" xfId="26272" xr:uid="{C349B15F-6419-455B-A4A6-B9B712DD047D}"/>
    <cellStyle name="Normal 3 3 2 2 10 2 2" xfId="41235" xr:uid="{F5AD4107-5AAC-4F38-8284-FD8FBEB1A173}"/>
    <cellStyle name="Normal 3 3 2 2 10 3" xfId="33640" xr:uid="{21B6CA38-2B53-4249-A669-4E95A7EFD329}"/>
    <cellStyle name="Normal 3 3 2 2 11" xfId="12704" xr:uid="{00000000-0005-0000-0000-0000F62C0000}"/>
    <cellStyle name="Normal 3 3 2 2 2" xfId="12705" xr:uid="{00000000-0005-0000-0000-0000F72C0000}"/>
    <cellStyle name="Normal 3 3 2 2 2 10" xfId="12706" xr:uid="{00000000-0005-0000-0000-0000F82C0000}"/>
    <cellStyle name="Normal 3 3 2 2 2 2" xfId="12707" xr:uid="{00000000-0005-0000-0000-0000F92C0000}"/>
    <cellStyle name="Normal 3 3 2 2 2 2 2" xfId="12708" xr:uid="{00000000-0005-0000-0000-0000FA2C0000}"/>
    <cellStyle name="Normal 3 3 2 2 2 2 2 2" xfId="12709" xr:uid="{00000000-0005-0000-0000-0000FB2C0000}"/>
    <cellStyle name="Normal 3 3 2 2 2 2 2 2 2" xfId="12710" xr:uid="{00000000-0005-0000-0000-0000FC2C0000}"/>
    <cellStyle name="Normal 3 3 2 2 2 2 2 2 2 2" xfId="12711" xr:uid="{00000000-0005-0000-0000-0000FD2C0000}"/>
    <cellStyle name="Normal 3 3 2 2 2 2 2 2 2 3" xfId="12712" xr:uid="{00000000-0005-0000-0000-0000FE2C0000}"/>
    <cellStyle name="Normal 3 3 2 2 2 2 2 2 3" xfId="12713" xr:uid="{00000000-0005-0000-0000-0000FF2C0000}"/>
    <cellStyle name="Normal 3 3 2 2 2 2 2 2 4" xfId="12714" xr:uid="{00000000-0005-0000-0000-0000002D0000}"/>
    <cellStyle name="Normal 3 3 2 2 2 2 2 2 4 2" xfId="26273" xr:uid="{331E664E-4B7F-4833-A011-24E258683A5E}"/>
    <cellStyle name="Normal 3 3 2 2 2 2 2 2 4 2 2" xfId="41236" xr:uid="{19F840E6-492C-4E9D-924D-649CCD3B9FE6}"/>
    <cellStyle name="Normal 3 3 2 2 2 2 2 2 4 3" xfId="33641" xr:uid="{553AE77E-E3CE-423C-9D81-60711BC7F351}"/>
    <cellStyle name="Normal 3 3 2 2 2 2 2 2 5" xfId="12715" xr:uid="{00000000-0005-0000-0000-0000012D0000}"/>
    <cellStyle name="Normal 3 3 2 2 2 2 2 2 5 2" xfId="26274" xr:uid="{E5058559-F75D-4B2D-846B-DA0FD119B3C5}"/>
    <cellStyle name="Normal 3 3 2 2 2 2 2 2 5 2 2" xfId="41237" xr:uid="{FBFA4CB7-DAD1-4752-A82F-ECD3AD63A045}"/>
    <cellStyle name="Normal 3 3 2 2 2 2 2 2 5 3" xfId="33642" xr:uid="{3CA76C6B-C4F7-4A65-A23F-34C3FADDCD56}"/>
    <cellStyle name="Normal 3 3 2 2 2 2 2 2 6" xfId="12716" xr:uid="{00000000-0005-0000-0000-0000022D0000}"/>
    <cellStyle name="Normal 3 3 2 2 2 2 2 3" xfId="12717" xr:uid="{00000000-0005-0000-0000-0000032D0000}"/>
    <cellStyle name="Normal 3 3 2 2 2 2 2 3 2" xfId="12718" xr:uid="{00000000-0005-0000-0000-0000042D0000}"/>
    <cellStyle name="Normal 3 3 2 2 2 2 2 3 2 2" xfId="12719" xr:uid="{00000000-0005-0000-0000-0000052D0000}"/>
    <cellStyle name="Normal 3 3 2 2 2 2 2 3 2 3" xfId="12720" xr:uid="{00000000-0005-0000-0000-0000062D0000}"/>
    <cellStyle name="Normal 3 3 2 2 2 2 2 3 3" xfId="12721" xr:uid="{00000000-0005-0000-0000-0000072D0000}"/>
    <cellStyle name="Normal 3 3 2 2 2 2 2 3 3 2" xfId="12722" xr:uid="{00000000-0005-0000-0000-0000082D0000}"/>
    <cellStyle name="Normal 3 3 2 2 2 2 2 3 3 3" xfId="26275" xr:uid="{C54DE92C-4DB1-4499-8AF0-32705CC059E7}"/>
    <cellStyle name="Normal 3 3 2 2 2 2 2 3 3 3 2" xfId="41238" xr:uid="{10087761-EEEC-49DD-8F86-8FE39D6D71AD}"/>
    <cellStyle name="Normal 3 3 2 2 2 2 2 3 3 4" xfId="33643" xr:uid="{209B195F-F371-405E-AFB9-3DB5E7D66998}"/>
    <cellStyle name="Normal 3 3 2 2 2 2 2 3 4" xfId="12723" xr:uid="{00000000-0005-0000-0000-0000092D0000}"/>
    <cellStyle name="Normal 3 3 2 2 2 2 2 4" xfId="12724" xr:uid="{00000000-0005-0000-0000-00000A2D0000}"/>
    <cellStyle name="Normal 3 3 2 2 2 2 2 4 2" xfId="12725" xr:uid="{00000000-0005-0000-0000-00000B2D0000}"/>
    <cellStyle name="Normal 3 3 2 2 2 2 2 4 3" xfId="12726" xr:uid="{00000000-0005-0000-0000-00000C2D0000}"/>
    <cellStyle name="Normal 3 3 2 2 2 2 2 5" xfId="12727" xr:uid="{00000000-0005-0000-0000-00000D2D0000}"/>
    <cellStyle name="Normal 3 3 2 2 2 2 2 6" xfId="12728" xr:uid="{00000000-0005-0000-0000-00000E2D0000}"/>
    <cellStyle name="Normal 3 3 2 2 2 2 2 6 2" xfId="26276" xr:uid="{79DCA5C0-871C-4B9A-968B-500E8E598D33}"/>
    <cellStyle name="Normal 3 3 2 2 2 2 2 6 2 2" xfId="41239" xr:uid="{0ACD73A3-2BB5-41CD-9F43-08CBC80DC3A8}"/>
    <cellStyle name="Normal 3 3 2 2 2 2 2 6 3" xfId="33644" xr:uid="{68935EEC-8CE5-448C-A365-B94F820A36FF}"/>
    <cellStyle name="Normal 3 3 2 2 2 2 2 7" xfId="12729" xr:uid="{00000000-0005-0000-0000-00000F2D0000}"/>
    <cellStyle name="Normal 3 3 2 2 2 2 2 7 2" xfId="26277" xr:uid="{FCC55B28-2863-4CFC-9208-AD7369286CCF}"/>
    <cellStyle name="Normal 3 3 2 2 2 2 2 7 2 2" xfId="41240" xr:uid="{DB930273-9CC5-4FAA-BC44-7EDE11A89C2B}"/>
    <cellStyle name="Normal 3 3 2 2 2 2 2 7 3" xfId="33645" xr:uid="{73B43D4F-5EA7-42B7-8131-B41B3BD3B573}"/>
    <cellStyle name="Normal 3 3 2 2 2 2 2 8" xfId="12730" xr:uid="{00000000-0005-0000-0000-0000102D0000}"/>
    <cellStyle name="Normal 3 3 2 2 2 2 3" xfId="12731" xr:uid="{00000000-0005-0000-0000-0000112D0000}"/>
    <cellStyle name="Normal 3 3 2 2 2 2 3 2" xfId="12732" xr:uid="{00000000-0005-0000-0000-0000122D0000}"/>
    <cellStyle name="Normal 3 3 2 2 2 2 3 2 2" xfId="12733" xr:uid="{00000000-0005-0000-0000-0000132D0000}"/>
    <cellStyle name="Normal 3 3 2 2 2 2 3 2 3" xfId="12734" xr:uid="{00000000-0005-0000-0000-0000142D0000}"/>
    <cellStyle name="Normal 3 3 2 2 2 2 3 3" xfId="12735" xr:uid="{00000000-0005-0000-0000-0000152D0000}"/>
    <cellStyle name="Normal 3 3 2 2 2 2 3 4" xfId="12736" xr:uid="{00000000-0005-0000-0000-0000162D0000}"/>
    <cellStyle name="Normal 3 3 2 2 2 2 3 4 2" xfId="26278" xr:uid="{E0A77645-574E-4D9C-94BC-800E53FCBD7E}"/>
    <cellStyle name="Normal 3 3 2 2 2 2 3 4 2 2" xfId="41241" xr:uid="{D55A59EF-F5BF-4D2B-B3F7-13C249778C17}"/>
    <cellStyle name="Normal 3 3 2 2 2 2 3 4 3" xfId="33646" xr:uid="{76EB8312-F9B0-4554-95B4-9120402222A2}"/>
    <cellStyle name="Normal 3 3 2 2 2 2 3 5" xfId="12737" xr:uid="{00000000-0005-0000-0000-0000172D0000}"/>
    <cellStyle name="Normal 3 3 2 2 2 2 3 5 2" xfId="26279" xr:uid="{6BED9314-7AA0-4BDC-9092-B7D11DDD352D}"/>
    <cellStyle name="Normal 3 3 2 2 2 2 3 5 2 2" xfId="41242" xr:uid="{737DDFB7-D801-414E-B5E9-A677D599F415}"/>
    <cellStyle name="Normal 3 3 2 2 2 2 3 5 3" xfId="33647" xr:uid="{44C7CD7F-E742-488C-861F-525255FA778A}"/>
    <cellStyle name="Normal 3 3 2 2 2 2 3 6" xfId="12738" xr:uid="{00000000-0005-0000-0000-0000182D0000}"/>
    <cellStyle name="Normal 3 3 2 2 2 2 4" xfId="12739" xr:uid="{00000000-0005-0000-0000-0000192D0000}"/>
    <cellStyle name="Normal 3 3 2 2 2 2 4 2" xfId="12740" xr:uid="{00000000-0005-0000-0000-00001A2D0000}"/>
    <cellStyle name="Normal 3 3 2 2 2 2 4 2 2" xfId="12741" xr:uid="{00000000-0005-0000-0000-00001B2D0000}"/>
    <cellStyle name="Normal 3 3 2 2 2 2 4 2 3" xfId="12742" xr:uid="{00000000-0005-0000-0000-00001C2D0000}"/>
    <cellStyle name="Normal 3 3 2 2 2 2 4 3" xfId="12743" xr:uid="{00000000-0005-0000-0000-00001D2D0000}"/>
    <cellStyle name="Normal 3 3 2 2 2 2 4 3 2" xfId="12744" xr:uid="{00000000-0005-0000-0000-00001E2D0000}"/>
    <cellStyle name="Normal 3 3 2 2 2 2 4 3 3" xfId="26280" xr:uid="{062B6BC6-867F-4A42-AE13-6E7FE7D92A2C}"/>
    <cellStyle name="Normal 3 3 2 2 2 2 4 3 3 2" xfId="41243" xr:uid="{EBC06BBB-649E-42DD-9016-9AF39180B44E}"/>
    <cellStyle name="Normal 3 3 2 2 2 2 4 3 4" xfId="33648" xr:uid="{C0563067-90FA-4EF4-A748-0B89DF2DD61A}"/>
    <cellStyle name="Normal 3 3 2 2 2 2 4 4" xfId="12745" xr:uid="{00000000-0005-0000-0000-00001F2D0000}"/>
    <cellStyle name="Normal 3 3 2 2 2 2 5" xfId="12746" xr:uid="{00000000-0005-0000-0000-0000202D0000}"/>
    <cellStyle name="Normal 3 3 2 2 2 2 5 2" xfId="12747" xr:uid="{00000000-0005-0000-0000-0000212D0000}"/>
    <cellStyle name="Normal 3 3 2 2 2 2 5 3" xfId="12748" xr:uid="{00000000-0005-0000-0000-0000222D0000}"/>
    <cellStyle name="Normal 3 3 2 2 2 2 6" xfId="12749" xr:uid="{00000000-0005-0000-0000-0000232D0000}"/>
    <cellStyle name="Normal 3 3 2 2 2 2 7" xfId="12750" xr:uid="{00000000-0005-0000-0000-0000242D0000}"/>
    <cellStyle name="Normal 3 3 2 2 2 2 7 2" xfId="26281" xr:uid="{20850824-1471-49F5-B1EA-B630F83D8C0B}"/>
    <cellStyle name="Normal 3 3 2 2 2 2 7 2 2" xfId="41244" xr:uid="{33ADA921-31C6-443A-BFF8-1F97A66FBF05}"/>
    <cellStyle name="Normal 3 3 2 2 2 2 7 3" xfId="33649" xr:uid="{84134DAB-A9F1-4447-9889-52DB02E5FC14}"/>
    <cellStyle name="Normal 3 3 2 2 2 2 8" xfId="12751" xr:uid="{00000000-0005-0000-0000-0000252D0000}"/>
    <cellStyle name="Normal 3 3 2 2 2 2 8 2" xfId="26282" xr:uid="{BD19EBE3-EBC1-413C-B327-B4B7DCB3AA92}"/>
    <cellStyle name="Normal 3 3 2 2 2 2 8 2 2" xfId="41245" xr:uid="{61AD9406-FD4B-470D-BA6D-EA817A9B2A4B}"/>
    <cellStyle name="Normal 3 3 2 2 2 2 8 3" xfId="33650" xr:uid="{C5183FA8-5DD9-40F5-BEEE-FD755774A3A9}"/>
    <cellStyle name="Normal 3 3 2 2 2 2 9" xfId="12752" xr:uid="{00000000-0005-0000-0000-0000262D0000}"/>
    <cellStyle name="Normal 3 3 2 2 2 3" xfId="12753" xr:uid="{00000000-0005-0000-0000-0000272D0000}"/>
    <cellStyle name="Normal 3 3 2 2 2 3 2" xfId="12754" xr:uid="{00000000-0005-0000-0000-0000282D0000}"/>
    <cellStyle name="Normal 3 3 2 2 2 3 2 2" xfId="12755" xr:uid="{00000000-0005-0000-0000-0000292D0000}"/>
    <cellStyle name="Normal 3 3 2 2 2 3 2 2 2" xfId="12756" xr:uid="{00000000-0005-0000-0000-00002A2D0000}"/>
    <cellStyle name="Normal 3 3 2 2 2 3 2 2 3" xfId="12757" xr:uid="{00000000-0005-0000-0000-00002B2D0000}"/>
    <cellStyle name="Normal 3 3 2 2 2 3 2 2 3 2" xfId="26283" xr:uid="{C182844F-A4AB-4C37-A768-75D25AD6E04D}"/>
    <cellStyle name="Normal 3 3 2 2 2 3 2 2 3 2 2" xfId="41246" xr:uid="{24B83259-4EC3-4327-ABFA-DAF0229B5C07}"/>
    <cellStyle name="Normal 3 3 2 2 2 3 2 2 3 3" xfId="33651" xr:uid="{5665FCFB-9566-4919-9D60-1923D1660EA2}"/>
    <cellStyle name="Normal 3 3 2 2 2 3 2 2 4" xfId="12758" xr:uid="{00000000-0005-0000-0000-00002C2D0000}"/>
    <cellStyle name="Normal 3 3 2 2 2 3 2 3" xfId="12759" xr:uid="{00000000-0005-0000-0000-00002D2D0000}"/>
    <cellStyle name="Normal 3 3 2 2 2 3 2 4" xfId="12760" xr:uid="{00000000-0005-0000-0000-00002E2D0000}"/>
    <cellStyle name="Normal 3 3 2 2 2 3 2 4 2" xfId="26284" xr:uid="{73018D81-1660-4F37-80FA-A69B15975614}"/>
    <cellStyle name="Normal 3 3 2 2 2 3 2 4 2 2" xfId="41247" xr:uid="{BF08F348-2CB4-491E-BE0A-19C4F861C1C7}"/>
    <cellStyle name="Normal 3 3 2 2 2 3 2 4 3" xfId="33652" xr:uid="{BDD3F919-3232-436F-9375-8CD274769137}"/>
    <cellStyle name="Normal 3 3 2 2 2 3 2 5" xfId="12761" xr:uid="{00000000-0005-0000-0000-00002F2D0000}"/>
    <cellStyle name="Normal 3 3 2 2 2 3 2 5 2" xfId="26285" xr:uid="{398D7D68-48B0-48D8-B776-AD2911A28127}"/>
    <cellStyle name="Normal 3 3 2 2 2 3 2 5 2 2" xfId="41248" xr:uid="{A77CD239-BD45-4AF4-9095-0C951B7EA322}"/>
    <cellStyle name="Normal 3 3 2 2 2 3 2 5 3" xfId="33653" xr:uid="{A1C9B20E-5CE9-48E9-BB9A-3CBFF212CBD7}"/>
    <cellStyle name="Normal 3 3 2 2 2 3 2 6" xfId="12762" xr:uid="{00000000-0005-0000-0000-0000302D0000}"/>
    <cellStyle name="Normal 3 3 2 2 2 3 3" xfId="12763" xr:uid="{00000000-0005-0000-0000-0000312D0000}"/>
    <cellStyle name="Normal 3 3 2 2 2 3 3 2" xfId="12764" xr:uid="{00000000-0005-0000-0000-0000322D0000}"/>
    <cellStyle name="Normal 3 3 2 2 2 3 3 2 2" xfId="12765" xr:uid="{00000000-0005-0000-0000-0000332D0000}"/>
    <cellStyle name="Normal 3 3 2 2 2 3 3 2 3" xfId="12766" xr:uid="{00000000-0005-0000-0000-0000342D0000}"/>
    <cellStyle name="Normal 3 3 2 2 2 3 3 3" xfId="12767" xr:uid="{00000000-0005-0000-0000-0000352D0000}"/>
    <cellStyle name="Normal 3 3 2 2 2 3 3 4" xfId="12768" xr:uid="{00000000-0005-0000-0000-0000362D0000}"/>
    <cellStyle name="Normal 3 3 2 2 2 3 3 4 2" xfId="26286" xr:uid="{24D1E306-044A-48A8-8551-76E94279DC20}"/>
    <cellStyle name="Normal 3 3 2 2 2 3 3 4 2 2" xfId="41249" xr:uid="{32D633EC-DC8A-43B1-AF2B-F30E43A7D227}"/>
    <cellStyle name="Normal 3 3 2 2 2 3 3 4 3" xfId="33654" xr:uid="{9FE234C6-9B5C-41B9-B4E2-0E0E8CC5EF1A}"/>
    <cellStyle name="Normal 3 3 2 2 2 3 3 5" xfId="12769" xr:uid="{00000000-0005-0000-0000-0000372D0000}"/>
    <cellStyle name="Normal 3 3 2 2 2 3 3 5 2" xfId="26287" xr:uid="{F97C9F87-2B48-436F-9BCD-C167E37ED563}"/>
    <cellStyle name="Normal 3 3 2 2 2 3 3 5 2 2" xfId="41250" xr:uid="{82393E59-9240-490C-BF68-9352613F5458}"/>
    <cellStyle name="Normal 3 3 2 2 2 3 3 5 3" xfId="33655" xr:uid="{762A1AB2-D825-4D39-92EC-49101E2A8BC5}"/>
    <cellStyle name="Normal 3 3 2 2 2 3 3 6" xfId="12770" xr:uid="{00000000-0005-0000-0000-0000382D0000}"/>
    <cellStyle name="Normal 3 3 2 2 2 3 4" xfId="12771" xr:uid="{00000000-0005-0000-0000-0000392D0000}"/>
    <cellStyle name="Normal 3 3 2 2 2 3 4 2" xfId="12772" xr:uid="{00000000-0005-0000-0000-00003A2D0000}"/>
    <cellStyle name="Normal 3 3 2 2 2 3 4 3" xfId="12773" xr:uid="{00000000-0005-0000-0000-00003B2D0000}"/>
    <cellStyle name="Normal 3 3 2 2 2 3 5" xfId="12774" xr:uid="{00000000-0005-0000-0000-00003C2D0000}"/>
    <cellStyle name="Normal 3 3 2 2 2 3 6" xfId="12775" xr:uid="{00000000-0005-0000-0000-00003D2D0000}"/>
    <cellStyle name="Normal 3 3 2 2 2 3 6 2" xfId="26288" xr:uid="{BD40D35D-DCCE-45A8-82A9-83634CB47C8C}"/>
    <cellStyle name="Normal 3 3 2 2 2 3 6 2 2" xfId="41251" xr:uid="{D3196FEC-BA67-40D4-B1CB-9C9C34B83CFE}"/>
    <cellStyle name="Normal 3 3 2 2 2 3 6 3" xfId="33656" xr:uid="{0A8110B5-E8E0-435F-B60C-1F9FE60D0259}"/>
    <cellStyle name="Normal 3 3 2 2 2 3 7" xfId="12776" xr:uid="{00000000-0005-0000-0000-00003E2D0000}"/>
    <cellStyle name="Normal 3 3 2 2 2 3 7 2" xfId="26289" xr:uid="{89A13109-5043-4455-94A0-6EC9D1DAB27E}"/>
    <cellStyle name="Normal 3 3 2 2 2 3 7 2 2" xfId="41252" xr:uid="{1DDDF675-F14A-4244-8469-AA9A6A38BD6A}"/>
    <cellStyle name="Normal 3 3 2 2 2 3 7 3" xfId="33657" xr:uid="{DC71CCE6-4C4E-450C-AB59-67E59DD57612}"/>
    <cellStyle name="Normal 3 3 2 2 2 3 8" xfId="12777" xr:uid="{00000000-0005-0000-0000-00003F2D0000}"/>
    <cellStyle name="Normal 3 3 2 2 2 4" xfId="12778" xr:uid="{00000000-0005-0000-0000-0000402D0000}"/>
    <cellStyle name="Normal 3 3 2 2 2 4 2" xfId="12779" xr:uid="{00000000-0005-0000-0000-0000412D0000}"/>
    <cellStyle name="Normal 3 3 2 2 2 4 2 2" xfId="12780" xr:uid="{00000000-0005-0000-0000-0000422D0000}"/>
    <cellStyle name="Normal 3 3 2 2 2 4 2 3" xfId="12781" xr:uid="{00000000-0005-0000-0000-0000432D0000}"/>
    <cellStyle name="Normal 3 3 2 2 2 4 2 3 2" xfId="26290" xr:uid="{6AE4E0FB-D6BD-4511-85E0-3E5F3E4E13C4}"/>
    <cellStyle name="Normal 3 3 2 2 2 4 2 3 2 2" xfId="41253" xr:uid="{C444BBE9-3401-44BA-A624-C8C233401A98}"/>
    <cellStyle name="Normal 3 3 2 2 2 4 2 3 3" xfId="33658" xr:uid="{79CE16CE-2045-4BF4-8F49-81B17A3FADA2}"/>
    <cellStyle name="Normal 3 3 2 2 2 4 2 4" xfId="12782" xr:uid="{00000000-0005-0000-0000-0000442D0000}"/>
    <cellStyle name="Normal 3 3 2 2 2 4 3" xfId="12783" xr:uid="{00000000-0005-0000-0000-0000452D0000}"/>
    <cellStyle name="Normal 3 3 2 2 2 4 4" xfId="12784" xr:uid="{00000000-0005-0000-0000-0000462D0000}"/>
    <cellStyle name="Normal 3 3 2 2 2 4 4 2" xfId="26291" xr:uid="{7FCFF903-24C3-4C3A-85C4-BFD65C9DDF50}"/>
    <cellStyle name="Normal 3 3 2 2 2 4 4 2 2" xfId="41254" xr:uid="{F7B212D4-997C-4F3B-A39A-BA59E9D37900}"/>
    <cellStyle name="Normal 3 3 2 2 2 4 4 3" xfId="33659" xr:uid="{7C480628-D7AE-470F-A550-C805A9200667}"/>
    <cellStyle name="Normal 3 3 2 2 2 4 5" xfId="12785" xr:uid="{00000000-0005-0000-0000-0000472D0000}"/>
    <cellStyle name="Normal 3 3 2 2 2 4 5 2" xfId="26292" xr:uid="{B21C5D31-DFFB-4FDA-9118-1B76B7987AE9}"/>
    <cellStyle name="Normal 3 3 2 2 2 4 5 2 2" xfId="41255" xr:uid="{9F5D6070-75BF-4BBB-BF24-1B3B5D29DEB2}"/>
    <cellStyle name="Normal 3 3 2 2 2 4 5 3" xfId="33660" xr:uid="{CB835EF6-B081-4C52-AC59-6F73C438FCB2}"/>
    <cellStyle name="Normal 3 3 2 2 2 4 6" xfId="12786" xr:uid="{00000000-0005-0000-0000-0000482D0000}"/>
    <cellStyle name="Normal 3 3 2 2 2 5" xfId="12787" xr:uid="{00000000-0005-0000-0000-0000492D0000}"/>
    <cellStyle name="Normal 3 3 2 2 2 5 2" xfId="12788" xr:uid="{00000000-0005-0000-0000-00004A2D0000}"/>
    <cellStyle name="Normal 3 3 2 2 2 5 2 2" xfId="12789" xr:uid="{00000000-0005-0000-0000-00004B2D0000}"/>
    <cellStyle name="Normal 3 3 2 2 2 5 2 3" xfId="12790" xr:uid="{00000000-0005-0000-0000-00004C2D0000}"/>
    <cellStyle name="Normal 3 3 2 2 2 5 3" xfId="12791" xr:uid="{00000000-0005-0000-0000-00004D2D0000}"/>
    <cellStyle name="Normal 3 3 2 2 2 5 4" xfId="12792" xr:uid="{00000000-0005-0000-0000-00004E2D0000}"/>
    <cellStyle name="Normal 3 3 2 2 2 5 4 2" xfId="26293" xr:uid="{ED13A1F2-6FD3-438A-911B-845A0CCD32CF}"/>
    <cellStyle name="Normal 3 3 2 2 2 5 4 2 2" xfId="41256" xr:uid="{3B771BF6-3DAE-4766-A4B4-DA6343A78F31}"/>
    <cellStyle name="Normal 3 3 2 2 2 5 4 3" xfId="33661" xr:uid="{7888314A-7844-44BB-B248-8097F7BA3098}"/>
    <cellStyle name="Normal 3 3 2 2 2 5 5" xfId="12793" xr:uid="{00000000-0005-0000-0000-00004F2D0000}"/>
    <cellStyle name="Normal 3 3 2 2 2 5 5 2" xfId="26294" xr:uid="{FBA46AF1-7C76-484A-A231-D02B12E14C84}"/>
    <cellStyle name="Normal 3 3 2 2 2 5 5 2 2" xfId="41257" xr:uid="{CFC1EDFB-A1EE-46A9-BD30-5DBB7A00AFE6}"/>
    <cellStyle name="Normal 3 3 2 2 2 5 5 3" xfId="33662" xr:uid="{89044114-BE3F-4562-B752-86C54F04EA46}"/>
    <cellStyle name="Normal 3 3 2 2 2 5 6" xfId="12794" xr:uid="{00000000-0005-0000-0000-0000502D0000}"/>
    <cellStyle name="Normal 3 3 2 2 2 6" xfId="12795" xr:uid="{00000000-0005-0000-0000-0000512D0000}"/>
    <cellStyle name="Normal 3 3 2 2 2 6 2" xfId="12796" xr:uid="{00000000-0005-0000-0000-0000522D0000}"/>
    <cellStyle name="Normal 3 3 2 2 2 6 3" xfId="12797" xr:uid="{00000000-0005-0000-0000-0000532D0000}"/>
    <cellStyle name="Normal 3 3 2 2 2 7" xfId="12798" xr:uid="{00000000-0005-0000-0000-0000542D0000}"/>
    <cellStyle name="Normal 3 3 2 2 2 8" xfId="12799" xr:uid="{00000000-0005-0000-0000-0000552D0000}"/>
    <cellStyle name="Normal 3 3 2 2 2 8 2" xfId="26295" xr:uid="{5E71E9BB-FD9F-4F78-94FF-4A0A82866F78}"/>
    <cellStyle name="Normal 3 3 2 2 2 8 2 2" xfId="41258" xr:uid="{512823CC-DFE6-45C3-9A88-17031D92A9D4}"/>
    <cellStyle name="Normal 3 3 2 2 2 8 3" xfId="33663" xr:uid="{5FFDB5DC-20C0-4707-A9F2-437453BF40D0}"/>
    <cellStyle name="Normal 3 3 2 2 2 9" xfId="12800" xr:uid="{00000000-0005-0000-0000-0000562D0000}"/>
    <cellStyle name="Normal 3 3 2 2 2 9 2" xfId="26296" xr:uid="{BCEF5C3E-E5C9-47F6-A698-A2E02BDC258C}"/>
    <cellStyle name="Normal 3 3 2 2 2 9 2 2" xfId="41259" xr:uid="{0CEF9D0E-D40B-483F-AA97-C9F512CBBB69}"/>
    <cellStyle name="Normal 3 3 2 2 2 9 3" xfId="33664" xr:uid="{9938F02A-BDA6-4517-946F-4EC963416122}"/>
    <cellStyle name="Normal 3 3 2 2 3" xfId="12801" xr:uid="{00000000-0005-0000-0000-0000572D0000}"/>
    <cellStyle name="Normal 3 3 2 2 3 2" xfId="12802" xr:uid="{00000000-0005-0000-0000-0000582D0000}"/>
    <cellStyle name="Normal 3 3 2 2 3 2 2" xfId="12803" xr:uid="{00000000-0005-0000-0000-0000592D0000}"/>
    <cellStyle name="Normal 3 3 2 2 3 2 2 2" xfId="12804" xr:uid="{00000000-0005-0000-0000-00005A2D0000}"/>
    <cellStyle name="Normal 3 3 2 2 3 2 2 2 2" xfId="12805" xr:uid="{00000000-0005-0000-0000-00005B2D0000}"/>
    <cellStyle name="Normal 3 3 2 2 3 2 2 2 3" xfId="12806" xr:uid="{00000000-0005-0000-0000-00005C2D0000}"/>
    <cellStyle name="Normal 3 3 2 2 3 2 2 3" xfId="12807" xr:uid="{00000000-0005-0000-0000-00005D2D0000}"/>
    <cellStyle name="Normal 3 3 2 2 3 2 2 4" xfId="12808" xr:uid="{00000000-0005-0000-0000-00005E2D0000}"/>
    <cellStyle name="Normal 3 3 2 2 3 2 2 4 2" xfId="26297" xr:uid="{7F212918-428C-431C-9919-36E4759979BC}"/>
    <cellStyle name="Normal 3 3 2 2 3 2 2 4 2 2" xfId="41260" xr:uid="{1528BC93-E7A4-4576-8B8D-0344A10F34A9}"/>
    <cellStyle name="Normal 3 3 2 2 3 2 2 4 3" xfId="33665" xr:uid="{37A3653A-D546-4400-B08E-64DB86FFA6B0}"/>
    <cellStyle name="Normal 3 3 2 2 3 2 2 5" xfId="12809" xr:uid="{00000000-0005-0000-0000-00005F2D0000}"/>
    <cellStyle name="Normal 3 3 2 2 3 2 2 5 2" xfId="26298" xr:uid="{7579EB5A-051B-49A9-A585-28734DC2B065}"/>
    <cellStyle name="Normal 3 3 2 2 3 2 2 5 2 2" xfId="41261" xr:uid="{628AE451-6FCA-44EC-ADEC-8073649C8882}"/>
    <cellStyle name="Normal 3 3 2 2 3 2 2 5 3" xfId="33666" xr:uid="{F4A57372-2BBB-4525-BAE6-D31310DCB8EC}"/>
    <cellStyle name="Normal 3 3 2 2 3 2 2 6" xfId="12810" xr:uid="{00000000-0005-0000-0000-0000602D0000}"/>
    <cellStyle name="Normal 3 3 2 2 3 2 3" xfId="12811" xr:uid="{00000000-0005-0000-0000-0000612D0000}"/>
    <cellStyle name="Normal 3 3 2 2 3 2 3 2" xfId="12812" xr:uid="{00000000-0005-0000-0000-0000622D0000}"/>
    <cellStyle name="Normal 3 3 2 2 3 2 3 2 2" xfId="12813" xr:uid="{00000000-0005-0000-0000-0000632D0000}"/>
    <cellStyle name="Normal 3 3 2 2 3 2 3 2 3" xfId="12814" xr:uid="{00000000-0005-0000-0000-0000642D0000}"/>
    <cellStyle name="Normal 3 3 2 2 3 2 3 3" xfId="12815" xr:uid="{00000000-0005-0000-0000-0000652D0000}"/>
    <cellStyle name="Normal 3 3 2 2 3 2 3 3 2" xfId="12816" xr:uid="{00000000-0005-0000-0000-0000662D0000}"/>
    <cellStyle name="Normal 3 3 2 2 3 2 3 3 3" xfId="26299" xr:uid="{E03AF652-B2DC-48EE-AA3D-88FF1F504F4E}"/>
    <cellStyle name="Normal 3 3 2 2 3 2 3 3 3 2" xfId="41262" xr:uid="{43CD9F78-47ED-4407-B59F-F95CC9977D27}"/>
    <cellStyle name="Normal 3 3 2 2 3 2 3 3 4" xfId="33667" xr:uid="{CF1AE8FD-84CB-489A-B317-1A77A27D67B0}"/>
    <cellStyle name="Normal 3 3 2 2 3 2 3 4" xfId="12817" xr:uid="{00000000-0005-0000-0000-0000672D0000}"/>
    <cellStyle name="Normal 3 3 2 2 3 2 4" xfId="12818" xr:uid="{00000000-0005-0000-0000-0000682D0000}"/>
    <cellStyle name="Normal 3 3 2 2 3 2 4 2" xfId="12819" xr:uid="{00000000-0005-0000-0000-0000692D0000}"/>
    <cellStyle name="Normal 3 3 2 2 3 2 4 3" xfId="12820" xr:uid="{00000000-0005-0000-0000-00006A2D0000}"/>
    <cellStyle name="Normal 3 3 2 2 3 2 5" xfId="12821" xr:uid="{00000000-0005-0000-0000-00006B2D0000}"/>
    <cellStyle name="Normal 3 3 2 2 3 2 6" xfId="12822" xr:uid="{00000000-0005-0000-0000-00006C2D0000}"/>
    <cellStyle name="Normal 3 3 2 2 3 2 6 2" xfId="26300" xr:uid="{1848E3AB-0139-4348-9AF2-56578DD28B93}"/>
    <cellStyle name="Normal 3 3 2 2 3 2 6 2 2" xfId="41263" xr:uid="{5952B4E1-14E0-45DC-B529-A4D08557B9B4}"/>
    <cellStyle name="Normal 3 3 2 2 3 2 6 3" xfId="33668" xr:uid="{98458529-C290-404F-9AAC-E894EF9B78E3}"/>
    <cellStyle name="Normal 3 3 2 2 3 2 7" xfId="12823" xr:uid="{00000000-0005-0000-0000-00006D2D0000}"/>
    <cellStyle name="Normal 3 3 2 2 3 2 7 2" xfId="26301" xr:uid="{2DAF44B8-619C-4C86-A468-99BC7E0444C7}"/>
    <cellStyle name="Normal 3 3 2 2 3 2 7 2 2" xfId="41264" xr:uid="{89A1ADCA-6EBD-4C63-A02D-E8AEF3B24FC0}"/>
    <cellStyle name="Normal 3 3 2 2 3 2 7 3" xfId="33669" xr:uid="{4B871131-1562-4073-B469-6960EB5EDC90}"/>
    <cellStyle name="Normal 3 3 2 2 3 2 8" xfId="12824" xr:uid="{00000000-0005-0000-0000-00006E2D0000}"/>
    <cellStyle name="Normal 3 3 2 2 3 3" xfId="12825" xr:uid="{00000000-0005-0000-0000-00006F2D0000}"/>
    <cellStyle name="Normal 3 3 2 2 3 3 2" xfId="12826" xr:uid="{00000000-0005-0000-0000-0000702D0000}"/>
    <cellStyle name="Normal 3 3 2 2 3 3 2 2" xfId="12827" xr:uid="{00000000-0005-0000-0000-0000712D0000}"/>
    <cellStyle name="Normal 3 3 2 2 3 3 2 3" xfId="12828" xr:uid="{00000000-0005-0000-0000-0000722D0000}"/>
    <cellStyle name="Normal 3 3 2 2 3 3 3" xfId="12829" xr:uid="{00000000-0005-0000-0000-0000732D0000}"/>
    <cellStyle name="Normal 3 3 2 2 3 3 4" xfId="12830" xr:uid="{00000000-0005-0000-0000-0000742D0000}"/>
    <cellStyle name="Normal 3 3 2 2 3 3 4 2" xfId="26302" xr:uid="{7AB154ED-75A5-4672-8F7B-74CC83103CD1}"/>
    <cellStyle name="Normal 3 3 2 2 3 3 4 2 2" xfId="41265" xr:uid="{4D4A2B6C-C67D-48D1-ADF6-80370B8BB207}"/>
    <cellStyle name="Normal 3 3 2 2 3 3 4 3" xfId="33670" xr:uid="{12E0AC51-EF18-41E6-BCE2-7FB5CD71ABB5}"/>
    <cellStyle name="Normal 3 3 2 2 3 3 5" xfId="12831" xr:uid="{00000000-0005-0000-0000-0000752D0000}"/>
    <cellStyle name="Normal 3 3 2 2 3 3 5 2" xfId="26303" xr:uid="{4FFFB488-39E1-4063-BF35-790DAA1B812F}"/>
    <cellStyle name="Normal 3 3 2 2 3 3 5 2 2" xfId="41266" xr:uid="{4FF1C0CA-F945-4C19-AF73-65D0374F89BB}"/>
    <cellStyle name="Normal 3 3 2 2 3 3 5 3" xfId="33671" xr:uid="{DD6733AD-8394-455D-B6A6-C92DC7C590D7}"/>
    <cellStyle name="Normal 3 3 2 2 3 3 6" xfId="12832" xr:uid="{00000000-0005-0000-0000-0000762D0000}"/>
    <cellStyle name="Normal 3 3 2 2 3 4" xfId="12833" xr:uid="{00000000-0005-0000-0000-0000772D0000}"/>
    <cellStyle name="Normal 3 3 2 2 3 4 2" xfId="12834" xr:uid="{00000000-0005-0000-0000-0000782D0000}"/>
    <cellStyle name="Normal 3 3 2 2 3 4 2 2" xfId="12835" xr:uid="{00000000-0005-0000-0000-0000792D0000}"/>
    <cellStyle name="Normal 3 3 2 2 3 4 2 3" xfId="12836" xr:uid="{00000000-0005-0000-0000-00007A2D0000}"/>
    <cellStyle name="Normal 3 3 2 2 3 4 3" xfId="12837" xr:uid="{00000000-0005-0000-0000-00007B2D0000}"/>
    <cellStyle name="Normal 3 3 2 2 3 4 3 2" xfId="12838" xr:uid="{00000000-0005-0000-0000-00007C2D0000}"/>
    <cellStyle name="Normal 3 3 2 2 3 4 3 3" xfId="26304" xr:uid="{B5137D94-B818-4332-8F98-8C1A823F2444}"/>
    <cellStyle name="Normal 3 3 2 2 3 4 3 3 2" xfId="41267" xr:uid="{72728C7C-20B0-419A-B307-756FD5335162}"/>
    <cellStyle name="Normal 3 3 2 2 3 4 3 4" xfId="33672" xr:uid="{EFA7891D-5A4C-4AF3-8B4A-AB07D243A440}"/>
    <cellStyle name="Normal 3 3 2 2 3 4 4" xfId="12839" xr:uid="{00000000-0005-0000-0000-00007D2D0000}"/>
    <cellStyle name="Normal 3 3 2 2 3 5" xfId="12840" xr:uid="{00000000-0005-0000-0000-00007E2D0000}"/>
    <cellStyle name="Normal 3 3 2 2 3 5 2" xfId="12841" xr:uid="{00000000-0005-0000-0000-00007F2D0000}"/>
    <cellStyle name="Normal 3 3 2 2 3 5 3" xfId="12842" xr:uid="{00000000-0005-0000-0000-0000802D0000}"/>
    <cellStyle name="Normal 3 3 2 2 3 6" xfId="12843" xr:uid="{00000000-0005-0000-0000-0000812D0000}"/>
    <cellStyle name="Normal 3 3 2 2 3 7" xfId="12844" xr:uid="{00000000-0005-0000-0000-0000822D0000}"/>
    <cellStyle name="Normal 3 3 2 2 3 7 2" xfId="26305" xr:uid="{6E91A6EC-E721-4674-8332-25B3E117EB0D}"/>
    <cellStyle name="Normal 3 3 2 2 3 7 2 2" xfId="41268" xr:uid="{1AEEEC62-1722-45F8-A2A2-069D63F568E1}"/>
    <cellStyle name="Normal 3 3 2 2 3 7 3" xfId="33673" xr:uid="{6D74CC64-6BF1-47F0-8F82-CE82B5856710}"/>
    <cellStyle name="Normal 3 3 2 2 3 8" xfId="12845" xr:uid="{00000000-0005-0000-0000-0000832D0000}"/>
    <cellStyle name="Normal 3 3 2 2 3 8 2" xfId="26306" xr:uid="{F78B5769-B097-4D2F-93C3-7012A741888B}"/>
    <cellStyle name="Normal 3 3 2 2 3 8 2 2" xfId="41269" xr:uid="{ED9A866E-810D-4379-BF91-F294B61937A7}"/>
    <cellStyle name="Normal 3 3 2 2 3 8 3" xfId="33674" xr:uid="{65777131-308E-4373-929A-D52E66E632CA}"/>
    <cellStyle name="Normal 3 3 2 2 3 9" xfId="12846" xr:uid="{00000000-0005-0000-0000-0000842D0000}"/>
    <cellStyle name="Normal 3 3 2 2 4" xfId="12847" xr:uid="{00000000-0005-0000-0000-0000852D0000}"/>
    <cellStyle name="Normal 3 3 2 2 4 2" xfId="12848" xr:uid="{00000000-0005-0000-0000-0000862D0000}"/>
    <cellStyle name="Normal 3 3 2 2 4 2 2" xfId="12849" xr:uid="{00000000-0005-0000-0000-0000872D0000}"/>
    <cellStyle name="Normal 3 3 2 2 4 2 2 2" xfId="12850" xr:uid="{00000000-0005-0000-0000-0000882D0000}"/>
    <cellStyle name="Normal 3 3 2 2 4 2 2 3" xfId="12851" xr:uid="{00000000-0005-0000-0000-0000892D0000}"/>
    <cellStyle name="Normal 3 3 2 2 4 2 2 3 2" xfId="26307" xr:uid="{3B28B02B-B566-4F10-A685-7CEC97CA3B32}"/>
    <cellStyle name="Normal 3 3 2 2 4 2 2 3 2 2" xfId="41270" xr:uid="{B1E1E5EE-8A91-415B-A1A1-4022259FA78D}"/>
    <cellStyle name="Normal 3 3 2 2 4 2 2 3 3" xfId="33675" xr:uid="{A84083BE-2698-413F-B1F6-11D57334A2DB}"/>
    <cellStyle name="Normal 3 3 2 2 4 2 2 4" xfId="12852" xr:uid="{00000000-0005-0000-0000-00008A2D0000}"/>
    <cellStyle name="Normal 3 3 2 2 4 2 3" xfId="12853" xr:uid="{00000000-0005-0000-0000-00008B2D0000}"/>
    <cellStyle name="Normal 3 3 2 2 4 2 4" xfId="12854" xr:uid="{00000000-0005-0000-0000-00008C2D0000}"/>
    <cellStyle name="Normal 3 3 2 2 4 2 4 2" xfId="26308" xr:uid="{53BB3F9F-D419-471E-9B09-DCBBE00CB41B}"/>
    <cellStyle name="Normal 3 3 2 2 4 2 4 2 2" xfId="41271" xr:uid="{BF44EC7E-63DE-40A1-91E2-45554F959696}"/>
    <cellStyle name="Normal 3 3 2 2 4 2 4 3" xfId="33676" xr:uid="{60FD3611-773E-49E0-8822-D9A685632A61}"/>
    <cellStyle name="Normal 3 3 2 2 4 2 5" xfId="12855" xr:uid="{00000000-0005-0000-0000-00008D2D0000}"/>
    <cellStyle name="Normal 3 3 2 2 4 2 5 2" xfId="26309" xr:uid="{E09F7945-86F8-43C6-BFD1-BA40FA7E1D80}"/>
    <cellStyle name="Normal 3 3 2 2 4 2 5 2 2" xfId="41272" xr:uid="{CF3BE136-CC36-44C6-B077-E3F9D4D949E6}"/>
    <cellStyle name="Normal 3 3 2 2 4 2 5 3" xfId="33677" xr:uid="{E54CF6DA-C234-4FDD-A6DB-68D4425E5D39}"/>
    <cellStyle name="Normal 3 3 2 2 4 2 6" xfId="12856" xr:uid="{00000000-0005-0000-0000-00008E2D0000}"/>
    <cellStyle name="Normal 3 3 2 2 4 3" xfId="12857" xr:uid="{00000000-0005-0000-0000-00008F2D0000}"/>
    <cellStyle name="Normal 3 3 2 2 4 3 2" xfId="12858" xr:uid="{00000000-0005-0000-0000-0000902D0000}"/>
    <cellStyle name="Normal 3 3 2 2 4 3 2 2" xfId="12859" xr:uid="{00000000-0005-0000-0000-0000912D0000}"/>
    <cellStyle name="Normal 3 3 2 2 4 3 2 3" xfId="12860" xr:uid="{00000000-0005-0000-0000-0000922D0000}"/>
    <cellStyle name="Normal 3 3 2 2 4 3 3" xfId="12861" xr:uid="{00000000-0005-0000-0000-0000932D0000}"/>
    <cellStyle name="Normal 3 3 2 2 4 3 4" xfId="12862" xr:uid="{00000000-0005-0000-0000-0000942D0000}"/>
    <cellStyle name="Normal 3 3 2 2 4 3 4 2" xfId="26310" xr:uid="{2B97F18C-EC67-4454-A464-2A5064FDC6B1}"/>
    <cellStyle name="Normal 3 3 2 2 4 3 4 2 2" xfId="41273" xr:uid="{DEA76ECC-3109-48E6-B218-58071BD5F2B0}"/>
    <cellStyle name="Normal 3 3 2 2 4 3 4 3" xfId="33678" xr:uid="{6F64DDDE-7E57-4E87-BF53-A7CF279A1037}"/>
    <cellStyle name="Normal 3 3 2 2 4 3 5" xfId="12863" xr:uid="{00000000-0005-0000-0000-0000952D0000}"/>
    <cellStyle name="Normal 3 3 2 2 4 3 5 2" xfId="26311" xr:uid="{6D81DCED-AD1E-4D61-815A-064D0159C982}"/>
    <cellStyle name="Normal 3 3 2 2 4 3 5 2 2" xfId="41274" xr:uid="{18C5A038-A4AE-4504-8410-14D0DAF209C8}"/>
    <cellStyle name="Normal 3 3 2 2 4 3 5 3" xfId="33679" xr:uid="{704C1C1B-7728-487C-9502-34A9C9EE9518}"/>
    <cellStyle name="Normal 3 3 2 2 4 3 6" xfId="12864" xr:uid="{00000000-0005-0000-0000-0000962D0000}"/>
    <cellStyle name="Normal 3 3 2 2 4 4" xfId="12865" xr:uid="{00000000-0005-0000-0000-0000972D0000}"/>
    <cellStyle name="Normal 3 3 2 2 4 4 2" xfId="12866" xr:uid="{00000000-0005-0000-0000-0000982D0000}"/>
    <cellStyle name="Normal 3 3 2 2 4 4 3" xfId="12867" xr:uid="{00000000-0005-0000-0000-0000992D0000}"/>
    <cellStyle name="Normal 3 3 2 2 4 5" xfId="12868" xr:uid="{00000000-0005-0000-0000-00009A2D0000}"/>
    <cellStyle name="Normal 3 3 2 2 4 6" xfId="12869" xr:uid="{00000000-0005-0000-0000-00009B2D0000}"/>
    <cellStyle name="Normal 3 3 2 2 4 6 2" xfId="26312" xr:uid="{FA1F939A-C39A-44F0-855F-C49F1303E4F4}"/>
    <cellStyle name="Normal 3 3 2 2 4 6 2 2" xfId="41275" xr:uid="{F1CBD446-CA46-413A-BAF4-59E32E2B4F59}"/>
    <cellStyle name="Normal 3 3 2 2 4 6 3" xfId="33680" xr:uid="{9CA0D5B0-AE09-4447-BE28-F1AC43C7AC5F}"/>
    <cellStyle name="Normal 3 3 2 2 4 7" xfId="12870" xr:uid="{00000000-0005-0000-0000-00009C2D0000}"/>
    <cellStyle name="Normal 3 3 2 2 4 7 2" xfId="26313" xr:uid="{DEEC6419-944C-47E1-B5CA-989DBD7129C8}"/>
    <cellStyle name="Normal 3 3 2 2 4 7 2 2" xfId="41276" xr:uid="{05DE4627-D422-4B01-8907-6B6B21FD8CB9}"/>
    <cellStyle name="Normal 3 3 2 2 4 7 3" xfId="33681" xr:uid="{6C15B27B-4430-4FDE-8079-BC69867040CB}"/>
    <cellStyle name="Normal 3 3 2 2 4 8" xfId="12871" xr:uid="{00000000-0005-0000-0000-00009D2D0000}"/>
    <cellStyle name="Normal 3 3 2 2 5" xfId="12872" xr:uid="{00000000-0005-0000-0000-00009E2D0000}"/>
    <cellStyle name="Normal 3 3 2 2 5 2" xfId="12873" xr:uid="{00000000-0005-0000-0000-00009F2D0000}"/>
    <cellStyle name="Normal 3 3 2 2 5 2 2" xfId="12874" xr:uid="{00000000-0005-0000-0000-0000A02D0000}"/>
    <cellStyle name="Normal 3 3 2 2 5 2 3" xfId="12875" xr:uid="{00000000-0005-0000-0000-0000A12D0000}"/>
    <cellStyle name="Normal 3 3 2 2 5 2 3 2" xfId="26314" xr:uid="{B6B071D4-E549-4304-AB76-E5316FB0AF67}"/>
    <cellStyle name="Normal 3 3 2 2 5 2 3 2 2" xfId="41277" xr:uid="{05DD3B8A-7EDE-4826-8727-A9147FA50CE8}"/>
    <cellStyle name="Normal 3 3 2 2 5 2 3 3" xfId="33682" xr:uid="{EEB13D26-CBA5-422D-9BF5-D25619195849}"/>
    <cellStyle name="Normal 3 3 2 2 5 2 4" xfId="12876" xr:uid="{00000000-0005-0000-0000-0000A22D0000}"/>
    <cellStyle name="Normal 3 3 2 2 5 3" xfId="12877" xr:uid="{00000000-0005-0000-0000-0000A32D0000}"/>
    <cellStyle name="Normal 3 3 2 2 5 4" xfId="12878" xr:uid="{00000000-0005-0000-0000-0000A42D0000}"/>
    <cellStyle name="Normal 3 3 2 2 5 4 2" xfId="26315" xr:uid="{21EF6721-860E-408D-BD94-51A53D88BCCF}"/>
    <cellStyle name="Normal 3 3 2 2 5 4 2 2" xfId="41278" xr:uid="{5AC0B1B5-08D7-4B67-8EFD-72A9568377CA}"/>
    <cellStyle name="Normal 3 3 2 2 5 4 3" xfId="33683" xr:uid="{B55A79D4-1AEE-4B7F-8EDF-1CB4B2208EF4}"/>
    <cellStyle name="Normal 3 3 2 2 5 5" xfId="12879" xr:uid="{00000000-0005-0000-0000-0000A52D0000}"/>
    <cellStyle name="Normal 3 3 2 2 5 5 2" xfId="26316" xr:uid="{DB4161D9-D8E0-4F19-B07F-4E86B8F3A73E}"/>
    <cellStyle name="Normal 3 3 2 2 5 5 2 2" xfId="41279" xr:uid="{4C298D4F-0E44-409B-AB02-3E45F104E5B4}"/>
    <cellStyle name="Normal 3 3 2 2 5 5 3" xfId="33684" xr:uid="{3F82269B-3436-440C-889A-9D3566C2E313}"/>
    <cellStyle name="Normal 3 3 2 2 5 6" xfId="12880" xr:uid="{00000000-0005-0000-0000-0000A62D0000}"/>
    <cellStyle name="Normal 3 3 2 2 6" xfId="12881" xr:uid="{00000000-0005-0000-0000-0000A72D0000}"/>
    <cellStyle name="Normal 3 3 2 2 6 2" xfId="12882" xr:uid="{00000000-0005-0000-0000-0000A82D0000}"/>
    <cellStyle name="Normal 3 3 2 2 6 2 2" xfId="12883" xr:uid="{00000000-0005-0000-0000-0000A92D0000}"/>
    <cellStyle name="Normal 3 3 2 2 6 2 3" xfId="12884" xr:uid="{00000000-0005-0000-0000-0000AA2D0000}"/>
    <cellStyle name="Normal 3 3 2 2 6 3" xfId="12885" xr:uid="{00000000-0005-0000-0000-0000AB2D0000}"/>
    <cellStyle name="Normal 3 3 2 2 6 4" xfId="12886" xr:uid="{00000000-0005-0000-0000-0000AC2D0000}"/>
    <cellStyle name="Normal 3 3 2 2 6 4 2" xfId="26317" xr:uid="{FDCD4DA0-8770-4D34-828E-71FC14C5F666}"/>
    <cellStyle name="Normal 3 3 2 2 6 4 2 2" xfId="41280" xr:uid="{B14AAA05-6BE8-46EF-8660-A9686BABDA6C}"/>
    <cellStyle name="Normal 3 3 2 2 6 4 3" xfId="33685" xr:uid="{58BEA452-151C-487D-B8A7-24A7D1397179}"/>
    <cellStyle name="Normal 3 3 2 2 6 5" xfId="12887" xr:uid="{00000000-0005-0000-0000-0000AD2D0000}"/>
    <cellStyle name="Normal 3 3 2 2 6 5 2" xfId="26318" xr:uid="{327499BD-CC5B-4191-9B66-ED2EEA4965CF}"/>
    <cellStyle name="Normal 3 3 2 2 6 5 2 2" xfId="41281" xr:uid="{5A57B365-1B29-4D9C-A39E-2ED23ACC8C38}"/>
    <cellStyle name="Normal 3 3 2 2 6 5 3" xfId="33686" xr:uid="{A9C13D21-8EA0-4D0C-B582-239478705581}"/>
    <cellStyle name="Normal 3 3 2 2 6 6" xfId="12888" xr:uid="{00000000-0005-0000-0000-0000AE2D0000}"/>
    <cellStyle name="Normal 3 3 2 2 7" xfId="12889" xr:uid="{00000000-0005-0000-0000-0000AF2D0000}"/>
    <cellStyle name="Normal 3 3 2 2 7 2" xfId="12890" xr:uid="{00000000-0005-0000-0000-0000B02D0000}"/>
    <cellStyle name="Normal 3 3 2 2 7 3" xfId="12891" xr:uid="{00000000-0005-0000-0000-0000B12D0000}"/>
    <cellStyle name="Normal 3 3 2 2 8" xfId="12892" xr:uid="{00000000-0005-0000-0000-0000B22D0000}"/>
    <cellStyle name="Normal 3 3 2 2 9" xfId="12893" xr:uid="{00000000-0005-0000-0000-0000B32D0000}"/>
    <cellStyle name="Normal 3 3 2 2 9 2" xfId="26319" xr:uid="{398492DE-87AE-443E-B94E-225BE2681372}"/>
    <cellStyle name="Normal 3 3 2 2 9 2 2" xfId="41282" xr:uid="{588967C0-6775-40B9-94C7-CCE3DAB950BA}"/>
    <cellStyle name="Normal 3 3 2 2 9 3" xfId="33687" xr:uid="{94EEB5AF-8BD2-420A-8079-D0AEF9917FD0}"/>
    <cellStyle name="Normal 3 3 2 3" xfId="12894" xr:uid="{00000000-0005-0000-0000-0000B42D0000}"/>
    <cellStyle name="Normal 3 3 2 3 10" xfId="12895" xr:uid="{00000000-0005-0000-0000-0000B52D0000}"/>
    <cellStyle name="Normal 3 3 2 3 2" xfId="12896" xr:uid="{00000000-0005-0000-0000-0000B62D0000}"/>
    <cellStyle name="Normal 3 3 2 3 2 2" xfId="12897" xr:uid="{00000000-0005-0000-0000-0000B72D0000}"/>
    <cellStyle name="Normal 3 3 2 3 2 2 2" xfId="12898" xr:uid="{00000000-0005-0000-0000-0000B82D0000}"/>
    <cellStyle name="Normal 3 3 2 3 2 2 2 2" xfId="12899" xr:uid="{00000000-0005-0000-0000-0000B92D0000}"/>
    <cellStyle name="Normal 3 3 2 3 2 2 2 2 2" xfId="12900" xr:uid="{00000000-0005-0000-0000-0000BA2D0000}"/>
    <cellStyle name="Normal 3 3 2 3 2 2 2 2 3" xfId="12901" xr:uid="{00000000-0005-0000-0000-0000BB2D0000}"/>
    <cellStyle name="Normal 3 3 2 3 2 2 2 3" xfId="12902" xr:uid="{00000000-0005-0000-0000-0000BC2D0000}"/>
    <cellStyle name="Normal 3 3 2 3 2 2 2 4" xfId="12903" xr:uid="{00000000-0005-0000-0000-0000BD2D0000}"/>
    <cellStyle name="Normal 3 3 2 3 2 2 2 4 2" xfId="26320" xr:uid="{7DA54141-AF82-402E-9BAC-7DE8F0EC31C3}"/>
    <cellStyle name="Normal 3 3 2 3 2 2 2 4 2 2" xfId="41283" xr:uid="{61AA8098-F798-4FCC-A969-724691408E54}"/>
    <cellStyle name="Normal 3 3 2 3 2 2 2 4 3" xfId="33688" xr:uid="{972A5AD1-6D90-477A-8B00-BCF7AC8B7A5B}"/>
    <cellStyle name="Normal 3 3 2 3 2 2 2 5" xfId="12904" xr:uid="{00000000-0005-0000-0000-0000BE2D0000}"/>
    <cellStyle name="Normal 3 3 2 3 2 2 2 5 2" xfId="26321" xr:uid="{A9EBCABA-85A1-488D-83F0-1BAD27776EF2}"/>
    <cellStyle name="Normal 3 3 2 3 2 2 2 5 2 2" xfId="41284" xr:uid="{7E4F80DB-0350-4D3C-A240-84DABBA9A85F}"/>
    <cellStyle name="Normal 3 3 2 3 2 2 2 5 3" xfId="33689" xr:uid="{6EE4B845-95AE-4923-B460-D4A2539F548D}"/>
    <cellStyle name="Normal 3 3 2 3 2 2 2 6" xfId="12905" xr:uid="{00000000-0005-0000-0000-0000BF2D0000}"/>
    <cellStyle name="Normal 3 3 2 3 2 2 3" xfId="12906" xr:uid="{00000000-0005-0000-0000-0000C02D0000}"/>
    <cellStyle name="Normal 3 3 2 3 2 2 3 2" xfId="12907" xr:uid="{00000000-0005-0000-0000-0000C12D0000}"/>
    <cellStyle name="Normal 3 3 2 3 2 2 3 2 2" xfId="12908" xr:uid="{00000000-0005-0000-0000-0000C22D0000}"/>
    <cellStyle name="Normal 3 3 2 3 2 2 3 2 3" xfId="12909" xr:uid="{00000000-0005-0000-0000-0000C32D0000}"/>
    <cellStyle name="Normal 3 3 2 3 2 2 3 3" xfId="12910" xr:uid="{00000000-0005-0000-0000-0000C42D0000}"/>
    <cellStyle name="Normal 3 3 2 3 2 2 3 3 2" xfId="12911" xr:uid="{00000000-0005-0000-0000-0000C52D0000}"/>
    <cellStyle name="Normal 3 3 2 3 2 2 3 3 3" xfId="26322" xr:uid="{288D4152-0688-4127-BFD9-8A309F7C6019}"/>
    <cellStyle name="Normal 3 3 2 3 2 2 3 3 3 2" xfId="41285" xr:uid="{3F7197AD-9236-4052-B005-5441D32E76DC}"/>
    <cellStyle name="Normal 3 3 2 3 2 2 3 3 4" xfId="33690" xr:uid="{EDB56F0D-1F05-4D3C-B0A6-CF44EC3B0C7B}"/>
    <cellStyle name="Normal 3 3 2 3 2 2 3 4" xfId="12912" xr:uid="{00000000-0005-0000-0000-0000C62D0000}"/>
    <cellStyle name="Normal 3 3 2 3 2 2 4" xfId="12913" xr:uid="{00000000-0005-0000-0000-0000C72D0000}"/>
    <cellStyle name="Normal 3 3 2 3 2 2 4 2" xfId="12914" xr:uid="{00000000-0005-0000-0000-0000C82D0000}"/>
    <cellStyle name="Normal 3 3 2 3 2 2 4 3" xfId="12915" xr:uid="{00000000-0005-0000-0000-0000C92D0000}"/>
    <cellStyle name="Normal 3 3 2 3 2 2 5" xfId="12916" xr:uid="{00000000-0005-0000-0000-0000CA2D0000}"/>
    <cellStyle name="Normal 3 3 2 3 2 2 6" xfId="12917" xr:uid="{00000000-0005-0000-0000-0000CB2D0000}"/>
    <cellStyle name="Normal 3 3 2 3 2 2 6 2" xfId="26323" xr:uid="{5C5B15A8-21F6-4B8C-BE39-D1D4AE6DC19C}"/>
    <cellStyle name="Normal 3 3 2 3 2 2 6 2 2" xfId="41286" xr:uid="{84987782-1C12-42B7-BEF8-AC8DAB4C19FF}"/>
    <cellStyle name="Normal 3 3 2 3 2 2 6 3" xfId="33691" xr:uid="{853DEA8E-6FA4-403E-A443-0DCC4E5417C3}"/>
    <cellStyle name="Normal 3 3 2 3 2 2 7" xfId="12918" xr:uid="{00000000-0005-0000-0000-0000CC2D0000}"/>
    <cellStyle name="Normal 3 3 2 3 2 2 7 2" xfId="26324" xr:uid="{6AC74D18-1EE9-4B9E-8968-5D0C5116ED7B}"/>
    <cellStyle name="Normal 3 3 2 3 2 2 7 2 2" xfId="41287" xr:uid="{519B07FC-B53F-4653-9260-D3E3450ADA08}"/>
    <cellStyle name="Normal 3 3 2 3 2 2 7 3" xfId="33692" xr:uid="{3F3DE4C0-10AE-41D2-8B54-67F1B51D95EE}"/>
    <cellStyle name="Normal 3 3 2 3 2 2 8" xfId="12919" xr:uid="{00000000-0005-0000-0000-0000CD2D0000}"/>
    <cellStyle name="Normal 3 3 2 3 2 3" xfId="12920" xr:uid="{00000000-0005-0000-0000-0000CE2D0000}"/>
    <cellStyle name="Normal 3 3 2 3 2 3 2" xfId="12921" xr:uid="{00000000-0005-0000-0000-0000CF2D0000}"/>
    <cellStyle name="Normal 3 3 2 3 2 3 2 2" xfId="12922" xr:uid="{00000000-0005-0000-0000-0000D02D0000}"/>
    <cellStyle name="Normal 3 3 2 3 2 3 2 3" xfId="12923" xr:uid="{00000000-0005-0000-0000-0000D12D0000}"/>
    <cellStyle name="Normal 3 3 2 3 2 3 3" xfId="12924" xr:uid="{00000000-0005-0000-0000-0000D22D0000}"/>
    <cellStyle name="Normal 3 3 2 3 2 3 4" xfId="12925" xr:uid="{00000000-0005-0000-0000-0000D32D0000}"/>
    <cellStyle name="Normal 3 3 2 3 2 3 4 2" xfId="26325" xr:uid="{759EFA9C-872B-4296-9985-3F790D9C052D}"/>
    <cellStyle name="Normal 3 3 2 3 2 3 4 2 2" xfId="41288" xr:uid="{36076AB5-E7E7-4837-982A-247DAB61D6A8}"/>
    <cellStyle name="Normal 3 3 2 3 2 3 4 3" xfId="33693" xr:uid="{AE1AB8F9-FA6F-4DCA-8EF9-3D1BE8598BA3}"/>
    <cellStyle name="Normal 3 3 2 3 2 3 5" xfId="12926" xr:uid="{00000000-0005-0000-0000-0000D42D0000}"/>
    <cellStyle name="Normal 3 3 2 3 2 3 5 2" xfId="26326" xr:uid="{5EFCD341-2CF9-4B11-B51A-F5B4349B0D00}"/>
    <cellStyle name="Normal 3 3 2 3 2 3 5 2 2" xfId="41289" xr:uid="{042C8FDD-FC7C-4E25-B1A6-298853401FA0}"/>
    <cellStyle name="Normal 3 3 2 3 2 3 5 3" xfId="33694" xr:uid="{C4B7ECF7-A651-41AA-83D6-D3B374C08E65}"/>
    <cellStyle name="Normal 3 3 2 3 2 3 6" xfId="12927" xr:uid="{00000000-0005-0000-0000-0000D52D0000}"/>
    <cellStyle name="Normal 3 3 2 3 2 4" xfId="12928" xr:uid="{00000000-0005-0000-0000-0000D62D0000}"/>
    <cellStyle name="Normal 3 3 2 3 2 4 2" xfId="12929" xr:uid="{00000000-0005-0000-0000-0000D72D0000}"/>
    <cellStyle name="Normal 3 3 2 3 2 4 2 2" xfId="12930" xr:uid="{00000000-0005-0000-0000-0000D82D0000}"/>
    <cellStyle name="Normal 3 3 2 3 2 4 2 3" xfId="12931" xr:uid="{00000000-0005-0000-0000-0000D92D0000}"/>
    <cellStyle name="Normal 3 3 2 3 2 4 3" xfId="12932" xr:uid="{00000000-0005-0000-0000-0000DA2D0000}"/>
    <cellStyle name="Normal 3 3 2 3 2 4 3 2" xfId="12933" xr:uid="{00000000-0005-0000-0000-0000DB2D0000}"/>
    <cellStyle name="Normal 3 3 2 3 2 4 3 3" xfId="26327" xr:uid="{52F2FADD-9158-4B31-B033-0E5AB0E532D2}"/>
    <cellStyle name="Normal 3 3 2 3 2 4 3 3 2" xfId="41290" xr:uid="{71024CFB-37A0-4B90-AFF6-0AC5C39C4E93}"/>
    <cellStyle name="Normal 3 3 2 3 2 4 3 4" xfId="33695" xr:uid="{F69BE9A7-A904-485F-A9A2-D655E8141A22}"/>
    <cellStyle name="Normal 3 3 2 3 2 4 4" xfId="12934" xr:uid="{00000000-0005-0000-0000-0000DC2D0000}"/>
    <cellStyle name="Normal 3 3 2 3 2 5" xfId="12935" xr:uid="{00000000-0005-0000-0000-0000DD2D0000}"/>
    <cellStyle name="Normal 3 3 2 3 2 5 2" xfId="12936" xr:uid="{00000000-0005-0000-0000-0000DE2D0000}"/>
    <cellStyle name="Normal 3 3 2 3 2 5 3" xfId="12937" xr:uid="{00000000-0005-0000-0000-0000DF2D0000}"/>
    <cellStyle name="Normal 3 3 2 3 2 6" xfId="12938" xr:uid="{00000000-0005-0000-0000-0000E02D0000}"/>
    <cellStyle name="Normal 3 3 2 3 2 7" xfId="12939" xr:uid="{00000000-0005-0000-0000-0000E12D0000}"/>
    <cellStyle name="Normal 3 3 2 3 2 7 2" xfId="26328" xr:uid="{68877A1B-D0AD-4E42-B7CC-5B3C8B629C6C}"/>
    <cellStyle name="Normal 3 3 2 3 2 7 2 2" xfId="41291" xr:uid="{EF7EE036-9CEC-4508-857E-691F4C265B4F}"/>
    <cellStyle name="Normal 3 3 2 3 2 7 3" xfId="33696" xr:uid="{ACC1A4D7-9531-4178-8AC5-9F01B66F0CD8}"/>
    <cellStyle name="Normal 3 3 2 3 2 8" xfId="12940" xr:uid="{00000000-0005-0000-0000-0000E22D0000}"/>
    <cellStyle name="Normal 3 3 2 3 2 8 2" xfId="26329" xr:uid="{54146F4E-E9AF-4397-B1DA-5F869B3D84A1}"/>
    <cellStyle name="Normal 3 3 2 3 2 8 2 2" xfId="41292" xr:uid="{5F727A3E-C17B-4CC5-A2E5-FAE69A2DAC7F}"/>
    <cellStyle name="Normal 3 3 2 3 2 8 3" xfId="33697" xr:uid="{42570FD8-F773-40FC-BB2A-5AFCE4AFDA98}"/>
    <cellStyle name="Normal 3 3 2 3 2 9" xfId="12941" xr:uid="{00000000-0005-0000-0000-0000E32D0000}"/>
    <cellStyle name="Normal 3 3 2 3 3" xfId="12942" xr:uid="{00000000-0005-0000-0000-0000E42D0000}"/>
    <cellStyle name="Normal 3 3 2 3 3 2" xfId="12943" xr:uid="{00000000-0005-0000-0000-0000E52D0000}"/>
    <cellStyle name="Normal 3 3 2 3 3 2 2" xfId="12944" xr:uid="{00000000-0005-0000-0000-0000E62D0000}"/>
    <cellStyle name="Normal 3 3 2 3 3 2 2 2" xfId="12945" xr:uid="{00000000-0005-0000-0000-0000E72D0000}"/>
    <cellStyle name="Normal 3 3 2 3 3 2 2 3" xfId="12946" xr:uid="{00000000-0005-0000-0000-0000E82D0000}"/>
    <cellStyle name="Normal 3 3 2 3 3 2 2 3 2" xfId="26330" xr:uid="{8A61D4F4-0DCC-476A-B313-85C845B84DF7}"/>
    <cellStyle name="Normal 3 3 2 3 3 2 2 3 2 2" xfId="41293" xr:uid="{DC69F796-89E7-4535-9023-C98FF055B43C}"/>
    <cellStyle name="Normal 3 3 2 3 3 2 2 3 3" xfId="33698" xr:uid="{07D0FD30-E40D-4E0B-A236-55DA2E9EDF51}"/>
    <cellStyle name="Normal 3 3 2 3 3 2 2 4" xfId="12947" xr:uid="{00000000-0005-0000-0000-0000E92D0000}"/>
    <cellStyle name="Normal 3 3 2 3 3 2 3" xfId="12948" xr:uid="{00000000-0005-0000-0000-0000EA2D0000}"/>
    <cellStyle name="Normal 3 3 2 3 3 2 4" xfId="12949" xr:uid="{00000000-0005-0000-0000-0000EB2D0000}"/>
    <cellStyle name="Normal 3 3 2 3 3 2 4 2" xfId="26331" xr:uid="{97B18E43-F55E-4DB5-88D7-994404160EEF}"/>
    <cellStyle name="Normal 3 3 2 3 3 2 4 2 2" xfId="41294" xr:uid="{30832993-3CDD-4065-81F5-E72565004F63}"/>
    <cellStyle name="Normal 3 3 2 3 3 2 4 3" xfId="33699" xr:uid="{0DC84F71-8A2C-46FB-9E3A-32C5B72686FA}"/>
    <cellStyle name="Normal 3 3 2 3 3 2 5" xfId="12950" xr:uid="{00000000-0005-0000-0000-0000EC2D0000}"/>
    <cellStyle name="Normal 3 3 2 3 3 2 5 2" xfId="26332" xr:uid="{72D58F2E-02A7-4178-9A3D-01017C5FB531}"/>
    <cellStyle name="Normal 3 3 2 3 3 2 5 2 2" xfId="41295" xr:uid="{D0E50E6C-7726-4E30-ACDA-7512611253F3}"/>
    <cellStyle name="Normal 3 3 2 3 3 2 5 3" xfId="33700" xr:uid="{D2C689CD-EAFD-4408-A5CE-05DB23B8D400}"/>
    <cellStyle name="Normal 3 3 2 3 3 2 6" xfId="12951" xr:uid="{00000000-0005-0000-0000-0000ED2D0000}"/>
    <cellStyle name="Normal 3 3 2 3 3 3" xfId="12952" xr:uid="{00000000-0005-0000-0000-0000EE2D0000}"/>
    <cellStyle name="Normal 3 3 2 3 3 3 2" xfId="12953" xr:uid="{00000000-0005-0000-0000-0000EF2D0000}"/>
    <cellStyle name="Normal 3 3 2 3 3 3 2 2" xfId="12954" xr:uid="{00000000-0005-0000-0000-0000F02D0000}"/>
    <cellStyle name="Normal 3 3 2 3 3 3 2 3" xfId="12955" xr:uid="{00000000-0005-0000-0000-0000F12D0000}"/>
    <cellStyle name="Normal 3 3 2 3 3 3 3" xfId="12956" xr:uid="{00000000-0005-0000-0000-0000F22D0000}"/>
    <cellStyle name="Normal 3 3 2 3 3 3 4" xfId="12957" xr:uid="{00000000-0005-0000-0000-0000F32D0000}"/>
    <cellStyle name="Normal 3 3 2 3 3 3 4 2" xfId="26333" xr:uid="{1D6BECC7-7133-4ABD-AF01-38DA40DF7C8A}"/>
    <cellStyle name="Normal 3 3 2 3 3 3 4 2 2" xfId="41296" xr:uid="{A7FBAA9C-BC99-4EC6-AB64-3D5709F1968F}"/>
    <cellStyle name="Normal 3 3 2 3 3 3 4 3" xfId="33701" xr:uid="{0B038273-048B-4CD8-BA5C-9CBE20C0E40F}"/>
    <cellStyle name="Normal 3 3 2 3 3 3 5" xfId="12958" xr:uid="{00000000-0005-0000-0000-0000F42D0000}"/>
    <cellStyle name="Normal 3 3 2 3 3 3 5 2" xfId="26334" xr:uid="{E1987686-B868-4D07-B7F2-0A79E41AF0B5}"/>
    <cellStyle name="Normal 3 3 2 3 3 3 5 2 2" xfId="41297" xr:uid="{6C4FF443-FD78-4DB7-B947-24E542F749EC}"/>
    <cellStyle name="Normal 3 3 2 3 3 3 5 3" xfId="33702" xr:uid="{D2B651DC-A600-4AAE-842E-6E269419BBD3}"/>
    <cellStyle name="Normal 3 3 2 3 3 3 6" xfId="12959" xr:uid="{00000000-0005-0000-0000-0000F52D0000}"/>
    <cellStyle name="Normal 3 3 2 3 3 4" xfId="12960" xr:uid="{00000000-0005-0000-0000-0000F62D0000}"/>
    <cellStyle name="Normal 3 3 2 3 3 4 2" xfId="12961" xr:uid="{00000000-0005-0000-0000-0000F72D0000}"/>
    <cellStyle name="Normal 3 3 2 3 3 4 3" xfId="12962" xr:uid="{00000000-0005-0000-0000-0000F82D0000}"/>
    <cellStyle name="Normal 3 3 2 3 3 5" xfId="12963" xr:uid="{00000000-0005-0000-0000-0000F92D0000}"/>
    <cellStyle name="Normal 3 3 2 3 3 6" xfId="12964" xr:uid="{00000000-0005-0000-0000-0000FA2D0000}"/>
    <cellStyle name="Normal 3 3 2 3 3 6 2" xfId="26335" xr:uid="{9CDF03DB-89C6-4F18-9FE6-87DE91159C92}"/>
    <cellStyle name="Normal 3 3 2 3 3 6 2 2" xfId="41298" xr:uid="{5BD529CF-57A4-496D-A0BD-281A8EA5D3EC}"/>
    <cellStyle name="Normal 3 3 2 3 3 6 3" xfId="33703" xr:uid="{85B0DA2C-548D-4595-85CE-4DC67490FE07}"/>
    <cellStyle name="Normal 3 3 2 3 3 7" xfId="12965" xr:uid="{00000000-0005-0000-0000-0000FB2D0000}"/>
    <cellStyle name="Normal 3 3 2 3 3 7 2" xfId="26336" xr:uid="{4FED3D0D-F37F-472F-9C5D-B7BB2FE37755}"/>
    <cellStyle name="Normal 3 3 2 3 3 7 2 2" xfId="41299" xr:uid="{C0D7FEBC-1582-434E-B8E1-ABF0BA4B4384}"/>
    <cellStyle name="Normal 3 3 2 3 3 7 3" xfId="33704" xr:uid="{6893EBD5-61DA-4FE2-8EDF-1B0E2DA51DB4}"/>
    <cellStyle name="Normal 3 3 2 3 3 8" xfId="12966" xr:uid="{00000000-0005-0000-0000-0000FC2D0000}"/>
    <cellStyle name="Normal 3 3 2 3 4" xfId="12967" xr:uid="{00000000-0005-0000-0000-0000FD2D0000}"/>
    <cellStyle name="Normal 3 3 2 3 4 2" xfId="12968" xr:uid="{00000000-0005-0000-0000-0000FE2D0000}"/>
    <cellStyle name="Normal 3 3 2 3 4 2 2" xfId="12969" xr:uid="{00000000-0005-0000-0000-0000FF2D0000}"/>
    <cellStyle name="Normal 3 3 2 3 4 2 3" xfId="12970" xr:uid="{00000000-0005-0000-0000-0000002E0000}"/>
    <cellStyle name="Normal 3 3 2 3 4 2 3 2" xfId="26337" xr:uid="{75E7B7C7-C000-4080-A370-BDD50AB01951}"/>
    <cellStyle name="Normal 3 3 2 3 4 2 3 2 2" xfId="41300" xr:uid="{3F1498D9-DF75-4CC6-B228-9D3A84737C73}"/>
    <cellStyle name="Normal 3 3 2 3 4 2 3 3" xfId="33705" xr:uid="{D99C1757-E347-43BC-AEB6-0D534C99999E}"/>
    <cellStyle name="Normal 3 3 2 3 4 2 4" xfId="12971" xr:uid="{00000000-0005-0000-0000-0000012E0000}"/>
    <cellStyle name="Normal 3 3 2 3 4 3" xfId="12972" xr:uid="{00000000-0005-0000-0000-0000022E0000}"/>
    <cellStyle name="Normal 3 3 2 3 4 4" xfId="12973" xr:uid="{00000000-0005-0000-0000-0000032E0000}"/>
    <cellStyle name="Normal 3 3 2 3 4 4 2" xfId="26338" xr:uid="{81B68A4A-8BB8-431F-8E31-2A4C20632974}"/>
    <cellStyle name="Normal 3 3 2 3 4 4 2 2" xfId="41301" xr:uid="{BF16B251-CAAD-4D43-AFEE-843B72837060}"/>
    <cellStyle name="Normal 3 3 2 3 4 4 3" xfId="33706" xr:uid="{7352B3A9-A647-4B8A-A723-074261A39D62}"/>
    <cellStyle name="Normal 3 3 2 3 4 5" xfId="12974" xr:uid="{00000000-0005-0000-0000-0000042E0000}"/>
    <cellStyle name="Normal 3 3 2 3 4 5 2" xfId="26339" xr:uid="{D57DE68C-94C6-4DEF-AD64-E3407E975E6D}"/>
    <cellStyle name="Normal 3 3 2 3 4 5 2 2" xfId="41302" xr:uid="{7AB3F968-78BD-4502-87D4-4FE1FCA3E7CC}"/>
    <cellStyle name="Normal 3 3 2 3 4 5 3" xfId="33707" xr:uid="{BC963BE8-3F9B-48FE-A8DB-BCEAAA9A550D}"/>
    <cellStyle name="Normal 3 3 2 3 4 6" xfId="12975" xr:uid="{00000000-0005-0000-0000-0000052E0000}"/>
    <cellStyle name="Normal 3 3 2 3 5" xfId="12976" xr:uid="{00000000-0005-0000-0000-0000062E0000}"/>
    <cellStyle name="Normal 3 3 2 3 5 2" xfId="12977" xr:uid="{00000000-0005-0000-0000-0000072E0000}"/>
    <cellStyle name="Normal 3 3 2 3 5 2 2" xfId="12978" xr:uid="{00000000-0005-0000-0000-0000082E0000}"/>
    <cellStyle name="Normal 3 3 2 3 5 2 3" xfId="12979" xr:uid="{00000000-0005-0000-0000-0000092E0000}"/>
    <cellStyle name="Normal 3 3 2 3 5 3" xfId="12980" xr:uid="{00000000-0005-0000-0000-00000A2E0000}"/>
    <cellStyle name="Normal 3 3 2 3 5 4" xfId="12981" xr:uid="{00000000-0005-0000-0000-00000B2E0000}"/>
    <cellStyle name="Normal 3 3 2 3 5 4 2" xfId="26340" xr:uid="{356FF8D6-5D10-4392-A55B-88619CAFBDDE}"/>
    <cellStyle name="Normal 3 3 2 3 5 4 2 2" xfId="41303" xr:uid="{2D16BB76-1F8F-4897-9DFD-4AA50BA9D87A}"/>
    <cellStyle name="Normal 3 3 2 3 5 4 3" xfId="33708" xr:uid="{5071BA76-13A8-4DD7-AD78-A994611E8AB4}"/>
    <cellStyle name="Normal 3 3 2 3 5 5" xfId="12982" xr:uid="{00000000-0005-0000-0000-00000C2E0000}"/>
    <cellStyle name="Normal 3 3 2 3 5 5 2" xfId="26341" xr:uid="{53CA62D9-C370-4165-A6B6-56E9C0C2C5E0}"/>
    <cellStyle name="Normal 3 3 2 3 5 5 2 2" xfId="41304" xr:uid="{CA3D200D-43DF-4E15-AD69-7845F1FF4BB9}"/>
    <cellStyle name="Normal 3 3 2 3 5 5 3" xfId="33709" xr:uid="{AA09701D-68E8-4ED8-B539-21984D5116DB}"/>
    <cellStyle name="Normal 3 3 2 3 5 6" xfId="12983" xr:uid="{00000000-0005-0000-0000-00000D2E0000}"/>
    <cellStyle name="Normal 3 3 2 3 6" xfId="12984" xr:uid="{00000000-0005-0000-0000-00000E2E0000}"/>
    <cellStyle name="Normal 3 3 2 3 6 2" xfId="12985" xr:uid="{00000000-0005-0000-0000-00000F2E0000}"/>
    <cellStyle name="Normal 3 3 2 3 6 3" xfId="12986" xr:uid="{00000000-0005-0000-0000-0000102E0000}"/>
    <cellStyle name="Normal 3 3 2 3 7" xfId="12987" xr:uid="{00000000-0005-0000-0000-0000112E0000}"/>
    <cellStyle name="Normal 3 3 2 3 8" xfId="12988" xr:uid="{00000000-0005-0000-0000-0000122E0000}"/>
    <cellStyle name="Normal 3 3 2 3 8 2" xfId="26342" xr:uid="{15EBEB05-0A81-4CD2-955F-CCA993525291}"/>
    <cellStyle name="Normal 3 3 2 3 8 2 2" xfId="41305" xr:uid="{C800F41A-5D45-41AB-B565-FD550DC8F6D1}"/>
    <cellStyle name="Normal 3 3 2 3 8 3" xfId="33710" xr:uid="{B681441D-982D-4143-9AFF-46A0CEAA857D}"/>
    <cellStyle name="Normal 3 3 2 3 9" xfId="12989" xr:uid="{00000000-0005-0000-0000-0000132E0000}"/>
    <cellStyle name="Normal 3 3 2 3 9 2" xfId="26343" xr:uid="{C7992CB1-0529-4084-8856-F952C7EF3856}"/>
    <cellStyle name="Normal 3 3 2 3 9 2 2" xfId="41306" xr:uid="{B807F8E6-8C5A-4E30-A0F6-DD62AD3805B0}"/>
    <cellStyle name="Normal 3 3 2 3 9 3" xfId="33711" xr:uid="{A2B65D8B-AD51-4013-972A-8C6A52B89012}"/>
    <cellStyle name="Normal 3 3 2 4" xfId="12990" xr:uid="{00000000-0005-0000-0000-0000142E0000}"/>
    <cellStyle name="Normal 3 3 2 4 2" xfId="12991" xr:uid="{00000000-0005-0000-0000-0000152E0000}"/>
    <cellStyle name="Normal 3 3 2 4 2 2" xfId="12992" xr:uid="{00000000-0005-0000-0000-0000162E0000}"/>
    <cellStyle name="Normal 3 3 2 4 2 2 2" xfId="12993" xr:uid="{00000000-0005-0000-0000-0000172E0000}"/>
    <cellStyle name="Normal 3 3 2 4 2 2 2 2" xfId="12994" xr:uid="{00000000-0005-0000-0000-0000182E0000}"/>
    <cellStyle name="Normal 3 3 2 4 2 2 2 3" xfId="12995" xr:uid="{00000000-0005-0000-0000-0000192E0000}"/>
    <cellStyle name="Normal 3 3 2 4 2 2 3" xfId="12996" xr:uid="{00000000-0005-0000-0000-00001A2E0000}"/>
    <cellStyle name="Normal 3 3 2 4 2 2 4" xfId="12997" xr:uid="{00000000-0005-0000-0000-00001B2E0000}"/>
    <cellStyle name="Normal 3 3 2 4 2 2 4 2" xfId="26344" xr:uid="{C1C2963E-9B4A-4E3E-9EC5-1C6F955B7942}"/>
    <cellStyle name="Normal 3 3 2 4 2 2 4 2 2" xfId="41307" xr:uid="{DB1ED00F-454B-4393-9F5A-FDE227493C9D}"/>
    <cellStyle name="Normal 3 3 2 4 2 2 4 3" xfId="33712" xr:uid="{31E71D7A-5437-422A-93C3-6493321BB7E4}"/>
    <cellStyle name="Normal 3 3 2 4 2 2 5" xfId="12998" xr:uid="{00000000-0005-0000-0000-00001C2E0000}"/>
    <cellStyle name="Normal 3 3 2 4 2 2 5 2" xfId="26345" xr:uid="{2F2162D8-A67B-4D51-963D-B9A1EDAD1184}"/>
    <cellStyle name="Normal 3 3 2 4 2 2 5 2 2" xfId="41308" xr:uid="{9C150DE4-BE0D-4243-AC90-2533FEDE326A}"/>
    <cellStyle name="Normal 3 3 2 4 2 2 5 3" xfId="33713" xr:uid="{AA41C4C6-F6EE-4913-BB1A-E8760F8E595B}"/>
    <cellStyle name="Normal 3 3 2 4 2 2 6" xfId="12999" xr:uid="{00000000-0005-0000-0000-00001D2E0000}"/>
    <cellStyle name="Normal 3 3 2 4 2 3" xfId="13000" xr:uid="{00000000-0005-0000-0000-00001E2E0000}"/>
    <cellStyle name="Normal 3 3 2 4 2 3 2" xfId="13001" xr:uid="{00000000-0005-0000-0000-00001F2E0000}"/>
    <cellStyle name="Normal 3 3 2 4 2 3 2 2" xfId="13002" xr:uid="{00000000-0005-0000-0000-0000202E0000}"/>
    <cellStyle name="Normal 3 3 2 4 2 3 2 3" xfId="13003" xr:uid="{00000000-0005-0000-0000-0000212E0000}"/>
    <cellStyle name="Normal 3 3 2 4 2 3 3" xfId="13004" xr:uid="{00000000-0005-0000-0000-0000222E0000}"/>
    <cellStyle name="Normal 3 3 2 4 2 3 3 2" xfId="13005" xr:uid="{00000000-0005-0000-0000-0000232E0000}"/>
    <cellStyle name="Normal 3 3 2 4 2 3 3 3" xfId="26346" xr:uid="{F87B0A9E-9812-46BC-8750-422D616177B9}"/>
    <cellStyle name="Normal 3 3 2 4 2 3 3 3 2" xfId="41309" xr:uid="{3CCDED7A-9E71-45FE-B6E8-8636AEB9BF4F}"/>
    <cellStyle name="Normal 3 3 2 4 2 3 3 4" xfId="33714" xr:uid="{C742DA41-C053-4116-BAC6-01A0814901BB}"/>
    <cellStyle name="Normal 3 3 2 4 2 3 4" xfId="13006" xr:uid="{00000000-0005-0000-0000-0000242E0000}"/>
    <cellStyle name="Normal 3 3 2 4 2 4" xfId="13007" xr:uid="{00000000-0005-0000-0000-0000252E0000}"/>
    <cellStyle name="Normal 3 3 2 4 2 4 2" xfId="13008" xr:uid="{00000000-0005-0000-0000-0000262E0000}"/>
    <cellStyle name="Normal 3 3 2 4 2 4 3" xfId="13009" xr:uid="{00000000-0005-0000-0000-0000272E0000}"/>
    <cellStyle name="Normal 3 3 2 4 2 5" xfId="13010" xr:uid="{00000000-0005-0000-0000-0000282E0000}"/>
    <cellStyle name="Normal 3 3 2 4 2 6" xfId="13011" xr:uid="{00000000-0005-0000-0000-0000292E0000}"/>
    <cellStyle name="Normal 3 3 2 4 2 6 2" xfId="26347" xr:uid="{2F79E8C0-E7A6-4579-9814-1007808C54B3}"/>
    <cellStyle name="Normal 3 3 2 4 2 6 2 2" xfId="41310" xr:uid="{DE277C0A-4CB6-4450-9AD1-19A8AEDD433B}"/>
    <cellStyle name="Normal 3 3 2 4 2 6 3" xfId="33715" xr:uid="{8569DD62-FCFD-4BC5-888C-A2CAC14931FC}"/>
    <cellStyle name="Normal 3 3 2 4 2 7" xfId="13012" xr:uid="{00000000-0005-0000-0000-00002A2E0000}"/>
    <cellStyle name="Normal 3 3 2 4 2 7 2" xfId="26348" xr:uid="{DAECF9E9-EE2B-469B-B9FD-C318A1A026C8}"/>
    <cellStyle name="Normal 3 3 2 4 2 7 2 2" xfId="41311" xr:uid="{EB0C331E-8989-4F6E-A292-45BA5019FE77}"/>
    <cellStyle name="Normal 3 3 2 4 2 7 3" xfId="33716" xr:uid="{1BBD5FE5-48DB-47C4-9781-4609EFAD95F5}"/>
    <cellStyle name="Normal 3 3 2 4 2 8" xfId="13013" xr:uid="{00000000-0005-0000-0000-00002B2E0000}"/>
    <cellStyle name="Normal 3 3 2 4 3" xfId="13014" xr:uid="{00000000-0005-0000-0000-00002C2E0000}"/>
    <cellStyle name="Normal 3 3 2 4 3 2" xfId="13015" xr:uid="{00000000-0005-0000-0000-00002D2E0000}"/>
    <cellStyle name="Normal 3 3 2 4 3 2 2" xfId="13016" xr:uid="{00000000-0005-0000-0000-00002E2E0000}"/>
    <cellStyle name="Normal 3 3 2 4 3 2 3" xfId="13017" xr:uid="{00000000-0005-0000-0000-00002F2E0000}"/>
    <cellStyle name="Normal 3 3 2 4 3 3" xfId="13018" xr:uid="{00000000-0005-0000-0000-0000302E0000}"/>
    <cellStyle name="Normal 3 3 2 4 3 4" xfId="13019" xr:uid="{00000000-0005-0000-0000-0000312E0000}"/>
    <cellStyle name="Normal 3 3 2 4 3 4 2" xfId="26349" xr:uid="{CC4F3029-D002-4403-9B1E-9116B65029F9}"/>
    <cellStyle name="Normal 3 3 2 4 3 4 2 2" xfId="41312" xr:uid="{85282590-D307-4039-BBA5-3C9462CEA96F}"/>
    <cellStyle name="Normal 3 3 2 4 3 4 3" xfId="33717" xr:uid="{63751FDA-9C0E-4CA1-9E20-705359782A63}"/>
    <cellStyle name="Normal 3 3 2 4 3 5" xfId="13020" xr:uid="{00000000-0005-0000-0000-0000322E0000}"/>
    <cellStyle name="Normal 3 3 2 4 3 5 2" xfId="26350" xr:uid="{3A43ECC7-8F80-4173-92DB-5288BA054E0C}"/>
    <cellStyle name="Normal 3 3 2 4 3 5 2 2" xfId="41313" xr:uid="{8D13F005-81CC-4F25-B093-69E88EF566BA}"/>
    <cellStyle name="Normal 3 3 2 4 3 5 3" xfId="33718" xr:uid="{D8DF8BF9-7A73-454F-98B7-C689BB748342}"/>
    <cellStyle name="Normal 3 3 2 4 3 6" xfId="13021" xr:uid="{00000000-0005-0000-0000-0000332E0000}"/>
    <cellStyle name="Normal 3 3 2 4 4" xfId="13022" xr:uid="{00000000-0005-0000-0000-0000342E0000}"/>
    <cellStyle name="Normal 3 3 2 4 4 2" xfId="13023" xr:uid="{00000000-0005-0000-0000-0000352E0000}"/>
    <cellStyle name="Normal 3 3 2 4 4 2 2" xfId="13024" xr:uid="{00000000-0005-0000-0000-0000362E0000}"/>
    <cellStyle name="Normal 3 3 2 4 4 2 3" xfId="13025" xr:uid="{00000000-0005-0000-0000-0000372E0000}"/>
    <cellStyle name="Normal 3 3 2 4 4 3" xfId="13026" xr:uid="{00000000-0005-0000-0000-0000382E0000}"/>
    <cellStyle name="Normal 3 3 2 4 4 3 2" xfId="13027" xr:uid="{00000000-0005-0000-0000-0000392E0000}"/>
    <cellStyle name="Normal 3 3 2 4 4 3 3" xfId="26351" xr:uid="{EA6FE4B8-2BDB-4536-B6A8-F85601992FAE}"/>
    <cellStyle name="Normal 3 3 2 4 4 3 3 2" xfId="41314" xr:uid="{06BE8F28-9678-41D2-BC6D-557D82807E87}"/>
    <cellStyle name="Normal 3 3 2 4 4 3 4" xfId="33719" xr:uid="{0202BA9A-4837-4C36-A8CA-770226F6E6DE}"/>
    <cellStyle name="Normal 3 3 2 4 4 4" xfId="13028" xr:uid="{00000000-0005-0000-0000-00003A2E0000}"/>
    <cellStyle name="Normal 3 3 2 4 5" xfId="13029" xr:uid="{00000000-0005-0000-0000-00003B2E0000}"/>
    <cellStyle name="Normal 3 3 2 4 5 2" xfId="13030" xr:uid="{00000000-0005-0000-0000-00003C2E0000}"/>
    <cellStyle name="Normal 3 3 2 4 5 3" xfId="13031" xr:uid="{00000000-0005-0000-0000-00003D2E0000}"/>
    <cellStyle name="Normal 3 3 2 4 6" xfId="13032" xr:uid="{00000000-0005-0000-0000-00003E2E0000}"/>
    <cellStyle name="Normal 3 3 2 4 7" xfId="13033" xr:uid="{00000000-0005-0000-0000-00003F2E0000}"/>
    <cellStyle name="Normal 3 3 2 4 7 2" xfId="26352" xr:uid="{243029D9-7857-4A72-B732-DF5A42DEC31E}"/>
    <cellStyle name="Normal 3 3 2 4 7 2 2" xfId="41315" xr:uid="{4E687D78-DABD-4E12-BAF6-A720EF7BDE9B}"/>
    <cellStyle name="Normal 3 3 2 4 7 3" xfId="33720" xr:uid="{F8160B79-8E09-4D38-8FFA-3A489BBA0059}"/>
    <cellStyle name="Normal 3 3 2 4 8" xfId="13034" xr:uid="{00000000-0005-0000-0000-0000402E0000}"/>
    <cellStyle name="Normal 3 3 2 4 8 2" xfId="26353" xr:uid="{CF4DFD63-9D58-48F6-82EC-29E58FE6BC88}"/>
    <cellStyle name="Normal 3 3 2 4 8 2 2" xfId="41316" xr:uid="{43A3A184-661E-4EB9-B212-98DCAE1C0E8F}"/>
    <cellStyle name="Normal 3 3 2 4 8 3" xfId="33721" xr:uid="{020ED82B-93E2-43E7-9FF6-90319341E945}"/>
    <cellStyle name="Normal 3 3 2 4 9" xfId="13035" xr:uid="{00000000-0005-0000-0000-0000412E0000}"/>
    <cellStyle name="Normal 3 3 2 5" xfId="13036" xr:uid="{00000000-0005-0000-0000-0000422E0000}"/>
    <cellStyle name="Normal 3 3 2 5 2" xfId="13037" xr:uid="{00000000-0005-0000-0000-0000432E0000}"/>
    <cellStyle name="Normal 3 3 2 5 2 2" xfId="13038" xr:uid="{00000000-0005-0000-0000-0000442E0000}"/>
    <cellStyle name="Normal 3 3 2 5 2 2 2" xfId="13039" xr:uid="{00000000-0005-0000-0000-0000452E0000}"/>
    <cellStyle name="Normal 3 3 2 5 2 2 3" xfId="13040" xr:uid="{00000000-0005-0000-0000-0000462E0000}"/>
    <cellStyle name="Normal 3 3 2 5 2 2 3 2" xfId="26354" xr:uid="{8BF7464C-FC48-4531-AF51-D5F6BA589247}"/>
    <cellStyle name="Normal 3 3 2 5 2 2 3 2 2" xfId="41317" xr:uid="{7DEF57A7-5A88-4C06-B8A9-DC7DAEFA3361}"/>
    <cellStyle name="Normal 3 3 2 5 2 2 3 3" xfId="33722" xr:uid="{10B00DB7-4FE8-43E7-A1AB-BDBB79397355}"/>
    <cellStyle name="Normal 3 3 2 5 2 2 4" xfId="13041" xr:uid="{00000000-0005-0000-0000-0000472E0000}"/>
    <cellStyle name="Normal 3 3 2 5 2 3" xfId="13042" xr:uid="{00000000-0005-0000-0000-0000482E0000}"/>
    <cellStyle name="Normal 3 3 2 5 2 4" xfId="13043" xr:uid="{00000000-0005-0000-0000-0000492E0000}"/>
    <cellStyle name="Normal 3 3 2 5 2 4 2" xfId="26355" xr:uid="{2FC42632-DAA4-4E1C-8398-5708D909A3FF}"/>
    <cellStyle name="Normal 3 3 2 5 2 4 2 2" xfId="41318" xr:uid="{EBBDE8E7-245C-46DD-8C5A-A9BF1D7F8E68}"/>
    <cellStyle name="Normal 3 3 2 5 2 4 3" xfId="33723" xr:uid="{F5BBDC0E-76B3-42C3-BA8F-D8EF893C5BC4}"/>
    <cellStyle name="Normal 3 3 2 5 2 5" xfId="13044" xr:uid="{00000000-0005-0000-0000-00004A2E0000}"/>
    <cellStyle name="Normal 3 3 2 5 2 5 2" xfId="26356" xr:uid="{1D7DC10F-B7A0-42D2-B7B2-3C07C82CC241}"/>
    <cellStyle name="Normal 3 3 2 5 2 5 2 2" xfId="41319" xr:uid="{9DEBD9A0-F903-4DA0-B250-4268A3CB9461}"/>
    <cellStyle name="Normal 3 3 2 5 2 5 3" xfId="33724" xr:uid="{5246D3EA-B071-48BA-A9B0-ED973B8A1DE8}"/>
    <cellStyle name="Normal 3 3 2 5 2 6" xfId="13045" xr:uid="{00000000-0005-0000-0000-00004B2E0000}"/>
    <cellStyle name="Normal 3 3 2 5 3" xfId="13046" xr:uid="{00000000-0005-0000-0000-00004C2E0000}"/>
    <cellStyle name="Normal 3 3 2 5 3 2" xfId="13047" xr:uid="{00000000-0005-0000-0000-00004D2E0000}"/>
    <cellStyle name="Normal 3 3 2 5 3 2 2" xfId="13048" xr:uid="{00000000-0005-0000-0000-00004E2E0000}"/>
    <cellStyle name="Normal 3 3 2 5 3 2 3" xfId="13049" xr:uid="{00000000-0005-0000-0000-00004F2E0000}"/>
    <cellStyle name="Normal 3 3 2 5 3 3" xfId="13050" xr:uid="{00000000-0005-0000-0000-0000502E0000}"/>
    <cellStyle name="Normal 3 3 2 5 3 4" xfId="13051" xr:uid="{00000000-0005-0000-0000-0000512E0000}"/>
    <cellStyle name="Normal 3 3 2 5 3 4 2" xfId="26357" xr:uid="{CD1E3C01-F31A-4558-B7CD-DA0790F791EE}"/>
    <cellStyle name="Normal 3 3 2 5 3 4 2 2" xfId="41320" xr:uid="{93E19958-5CE9-4510-992C-E0B04B0C20B3}"/>
    <cellStyle name="Normal 3 3 2 5 3 4 3" xfId="33725" xr:uid="{470770FC-32C1-4736-83CE-5254A03E1D9B}"/>
    <cellStyle name="Normal 3 3 2 5 3 5" xfId="13052" xr:uid="{00000000-0005-0000-0000-0000522E0000}"/>
    <cellStyle name="Normal 3 3 2 5 3 5 2" xfId="26358" xr:uid="{3695DBF0-8CB9-44D3-B276-5BF627F0DCAE}"/>
    <cellStyle name="Normal 3 3 2 5 3 5 2 2" xfId="41321" xr:uid="{15B22571-9384-4131-BF94-94F3CD056494}"/>
    <cellStyle name="Normal 3 3 2 5 3 5 3" xfId="33726" xr:uid="{B7FE1609-9070-4477-9CF7-FE0C02F1D480}"/>
    <cellStyle name="Normal 3 3 2 5 3 6" xfId="13053" xr:uid="{00000000-0005-0000-0000-0000532E0000}"/>
    <cellStyle name="Normal 3 3 2 5 4" xfId="13054" xr:uid="{00000000-0005-0000-0000-0000542E0000}"/>
    <cellStyle name="Normal 3 3 2 5 4 2" xfId="13055" xr:uid="{00000000-0005-0000-0000-0000552E0000}"/>
    <cellStyle name="Normal 3 3 2 5 4 3" xfId="13056" xr:uid="{00000000-0005-0000-0000-0000562E0000}"/>
    <cellStyle name="Normal 3 3 2 5 5" xfId="13057" xr:uid="{00000000-0005-0000-0000-0000572E0000}"/>
    <cellStyle name="Normal 3 3 2 5 6" xfId="13058" xr:uid="{00000000-0005-0000-0000-0000582E0000}"/>
    <cellStyle name="Normal 3 3 2 5 6 2" xfId="26359" xr:uid="{87DA445A-5514-4C31-9F41-C82336A049B4}"/>
    <cellStyle name="Normal 3 3 2 5 6 2 2" xfId="41322" xr:uid="{D98D463F-A5F9-4C6C-8665-29717B8B36F1}"/>
    <cellStyle name="Normal 3 3 2 5 6 3" xfId="33727" xr:uid="{3DC94384-476B-4F36-A1A2-45554CB1E2A6}"/>
    <cellStyle name="Normal 3 3 2 5 7" xfId="13059" xr:uid="{00000000-0005-0000-0000-0000592E0000}"/>
    <cellStyle name="Normal 3 3 2 5 7 2" xfId="26360" xr:uid="{955D185A-111A-45A0-8621-172F9ADFFC6E}"/>
    <cellStyle name="Normal 3 3 2 5 7 2 2" xfId="41323" xr:uid="{5DB94721-04DB-4C2C-8F3D-86179283A0F5}"/>
    <cellStyle name="Normal 3 3 2 5 7 3" xfId="33728" xr:uid="{ED941778-2B03-4FF6-B34B-92851F71EABB}"/>
    <cellStyle name="Normal 3 3 2 5 8" xfId="13060" xr:uid="{00000000-0005-0000-0000-00005A2E0000}"/>
    <cellStyle name="Normal 3 3 2 6" xfId="13061" xr:uid="{00000000-0005-0000-0000-00005B2E0000}"/>
    <cellStyle name="Normal 3 3 2 6 2" xfId="13062" xr:uid="{00000000-0005-0000-0000-00005C2E0000}"/>
    <cellStyle name="Normal 3 3 2 6 2 2" xfId="13063" xr:uid="{00000000-0005-0000-0000-00005D2E0000}"/>
    <cellStyle name="Normal 3 3 2 6 2 3" xfId="26361" xr:uid="{051BDF55-0921-4FE4-998C-E0E701690994}"/>
    <cellStyle name="Normal 3 3 2 6 2 3 2" xfId="41324" xr:uid="{38691A3B-F5F6-47CD-9E1A-3B311998AB37}"/>
    <cellStyle name="Normal 3 3 2 6 2 4" xfId="33729" xr:uid="{D8E35A00-4FFF-464E-9116-E3627E74DB8C}"/>
    <cellStyle name="Normal 3 3 2 6 3" xfId="13064" xr:uid="{00000000-0005-0000-0000-00005E2E0000}"/>
    <cellStyle name="Normal 3 3 2 6 4" xfId="13065" xr:uid="{00000000-0005-0000-0000-00005F2E0000}"/>
    <cellStyle name="Normal 3 3 2 6 4 2" xfId="26362" xr:uid="{0D3DAB91-DAD5-4C33-9978-4053A1163C93}"/>
    <cellStyle name="Normal 3 3 2 6 4 2 2" xfId="41325" xr:uid="{810A7679-EDA8-4279-ADB9-1CFC7CDC7303}"/>
    <cellStyle name="Normal 3 3 2 6 4 3" xfId="33730" xr:uid="{1EA7C715-9BE7-46EF-917A-AD23959D0162}"/>
    <cellStyle name="Normal 3 3 2 6 5" xfId="13066" xr:uid="{00000000-0005-0000-0000-0000602E0000}"/>
    <cellStyle name="Normal 3 3 2 7" xfId="13067" xr:uid="{00000000-0005-0000-0000-0000612E0000}"/>
    <cellStyle name="Normal 3 3 2 7 2" xfId="13068" xr:uid="{00000000-0005-0000-0000-0000622E0000}"/>
    <cellStyle name="Normal 3 3 2 7 2 2" xfId="13069" xr:uid="{00000000-0005-0000-0000-0000632E0000}"/>
    <cellStyle name="Normal 3 3 2 7 2 3" xfId="13070" xr:uid="{00000000-0005-0000-0000-0000642E0000}"/>
    <cellStyle name="Normal 3 3 2 7 3" xfId="13071" xr:uid="{00000000-0005-0000-0000-0000652E0000}"/>
    <cellStyle name="Normal 3 3 2 7 4" xfId="13072" xr:uid="{00000000-0005-0000-0000-0000662E0000}"/>
    <cellStyle name="Normal 3 3 2 7 4 2" xfId="26363" xr:uid="{5D237E8D-04E4-4425-867B-C3D5C4DFC140}"/>
    <cellStyle name="Normal 3 3 2 7 4 2 2" xfId="41326" xr:uid="{E2A3502D-24C8-45C7-8CB0-394317D50DBE}"/>
    <cellStyle name="Normal 3 3 2 7 4 3" xfId="33731" xr:uid="{4C86B933-9253-4BD7-BAD7-2ACF668F61E7}"/>
    <cellStyle name="Normal 3 3 2 7 5" xfId="13073" xr:uid="{00000000-0005-0000-0000-0000672E0000}"/>
    <cellStyle name="Normal 3 3 2 7 5 2" xfId="26364" xr:uid="{0D8E61D0-83E0-4C81-93FB-64E7478402E6}"/>
    <cellStyle name="Normal 3 3 2 7 5 2 2" xfId="41327" xr:uid="{B3389412-7F54-4928-BECB-EAD01C86CA96}"/>
    <cellStyle name="Normal 3 3 2 7 5 3" xfId="33732" xr:uid="{8088E7FC-8145-4B07-B654-4B07CAB697FA}"/>
    <cellStyle name="Normal 3 3 2 7 6" xfId="13074" xr:uid="{00000000-0005-0000-0000-0000682E0000}"/>
    <cellStyle name="Normal 3 3 2 8" xfId="13075" xr:uid="{00000000-0005-0000-0000-0000692E0000}"/>
    <cellStyle name="Normal 3 3 2 8 2" xfId="13076" xr:uid="{00000000-0005-0000-0000-00006A2E0000}"/>
    <cellStyle name="Normal 3 3 2 8 2 2" xfId="13077" xr:uid="{00000000-0005-0000-0000-00006B2E0000}"/>
    <cellStyle name="Normal 3 3 2 8 2 3" xfId="13078" xr:uid="{00000000-0005-0000-0000-00006C2E0000}"/>
    <cellStyle name="Normal 3 3 2 8 3" xfId="13079" xr:uid="{00000000-0005-0000-0000-00006D2E0000}"/>
    <cellStyle name="Normal 3 3 2 8 4" xfId="13080" xr:uid="{00000000-0005-0000-0000-00006E2E0000}"/>
    <cellStyle name="Normal 3 3 2 8 4 2" xfId="26365" xr:uid="{592818B3-01CE-4F30-B099-642552C9EB22}"/>
    <cellStyle name="Normal 3 3 2 8 4 2 2" xfId="41328" xr:uid="{5F285DBC-D809-4863-8B14-93A6D799C0BF}"/>
    <cellStyle name="Normal 3 3 2 8 4 3" xfId="33733" xr:uid="{20A494DF-7400-4D84-9643-B19A499C8C6B}"/>
    <cellStyle name="Normal 3 3 2 8 5" xfId="13081" xr:uid="{00000000-0005-0000-0000-00006F2E0000}"/>
    <cellStyle name="Normal 3 3 2 8 5 2" xfId="26366" xr:uid="{DBF42E18-A279-4DB3-89D8-CEA8559E46CE}"/>
    <cellStyle name="Normal 3 3 2 8 5 2 2" xfId="41329" xr:uid="{AE492942-04A4-4BC6-874D-64CDCCA50159}"/>
    <cellStyle name="Normal 3 3 2 8 5 3" xfId="33734" xr:uid="{FA496654-436F-498A-B268-18F1BA62516E}"/>
    <cellStyle name="Normal 3 3 2 8 6" xfId="13082" xr:uid="{00000000-0005-0000-0000-0000702E0000}"/>
    <cellStyle name="Normal 3 3 2 9" xfId="13083" xr:uid="{00000000-0005-0000-0000-0000712E0000}"/>
    <cellStyle name="Normal 3 3 2 9 2" xfId="13084" xr:uid="{00000000-0005-0000-0000-0000722E0000}"/>
    <cellStyle name="Normal 3 3 2 9 3" xfId="13085" xr:uid="{00000000-0005-0000-0000-0000732E0000}"/>
    <cellStyle name="Normal 3 3 2 9 3 2" xfId="26367" xr:uid="{87768A46-C08D-4BE4-8A52-297A855F043E}"/>
    <cellStyle name="Normal 3 3 2 9 3 2 2" xfId="41330" xr:uid="{627F6F23-446A-4355-8562-0D0EAAC47011}"/>
    <cellStyle name="Normal 3 3 2 9 3 3" xfId="33735" xr:uid="{6852D926-B624-4E3F-8E51-01B24F6CCB63}"/>
    <cellStyle name="Normal 3 3 2 9 4" xfId="13086" xr:uid="{00000000-0005-0000-0000-0000742E0000}"/>
    <cellStyle name="Normal 3 3 20" xfId="2186" xr:uid="{00000000-0005-0000-0000-000037080000}"/>
    <cellStyle name="Normal 3 3 20 2" xfId="13087" xr:uid="{00000000-0005-0000-0000-0000762E0000}"/>
    <cellStyle name="Normal 3 3 20 3" xfId="13088" xr:uid="{00000000-0005-0000-0000-0000772E0000}"/>
    <cellStyle name="Normal 3 3 21" xfId="2187" xr:uid="{00000000-0005-0000-0000-000038080000}"/>
    <cellStyle name="Normal 3 3 21 2" xfId="13089" xr:uid="{00000000-0005-0000-0000-0000792E0000}"/>
    <cellStyle name="Normal 3 3 21 3" xfId="13090" xr:uid="{00000000-0005-0000-0000-00007A2E0000}"/>
    <cellStyle name="Normal 3 3 22" xfId="2188" xr:uid="{00000000-0005-0000-0000-000039080000}"/>
    <cellStyle name="Normal 3 3 22 2" xfId="13091" xr:uid="{00000000-0005-0000-0000-00007C2E0000}"/>
    <cellStyle name="Normal 3 3 22 3" xfId="13092" xr:uid="{00000000-0005-0000-0000-00007D2E0000}"/>
    <cellStyle name="Normal 3 3 23" xfId="2189" xr:uid="{00000000-0005-0000-0000-00003A080000}"/>
    <cellStyle name="Normal 3 3 23 2" xfId="13093" xr:uid="{00000000-0005-0000-0000-00007F2E0000}"/>
    <cellStyle name="Normal 3 3 23 3" xfId="13094" xr:uid="{00000000-0005-0000-0000-0000802E0000}"/>
    <cellStyle name="Normal 3 3 24" xfId="2889" xr:uid="{00000000-0005-0000-0000-00003B080000}"/>
    <cellStyle name="Normal 3 3 24 2" xfId="13096" xr:uid="{00000000-0005-0000-0000-0000822E0000}"/>
    <cellStyle name="Normal 3 3 24 3" xfId="13097" xr:uid="{00000000-0005-0000-0000-0000832E0000}"/>
    <cellStyle name="Normal 3 3 24 3 2" xfId="26368" xr:uid="{D1175200-7C75-4D39-841F-765E1087F4A2}"/>
    <cellStyle name="Normal 3 3 24 3 2 2" xfId="41331" xr:uid="{44AAE027-DE0E-4068-89CE-465D3EB40040}"/>
    <cellStyle name="Normal 3 3 24 3 3" xfId="33736" xr:uid="{FB9F1FBC-82C2-4B1F-8A2D-4DBE1608DB91}"/>
    <cellStyle name="Normal 3 3 24 4" xfId="13098" xr:uid="{00000000-0005-0000-0000-0000842E0000}"/>
    <cellStyle name="Normal 3 3 24 5" xfId="13095" xr:uid="{00000000-0005-0000-0000-0000812E0000}"/>
    <cellStyle name="Normal 3 3 24 6" xfId="20845" xr:uid="{06E6717C-848D-4E40-8415-6632EA7A9CF3}"/>
    <cellStyle name="Normal 3 3 24 6 2" xfId="35821" xr:uid="{A711BA8C-6F21-49E8-840A-4C3F51422143}"/>
    <cellStyle name="Normal 3 3 24 7" xfId="28217" xr:uid="{91D77FD0-2570-400B-8972-36BC4150C162}"/>
    <cellStyle name="Normal 3 3 25" xfId="2943" xr:uid="{00000000-0005-0000-0000-00003C080000}"/>
    <cellStyle name="Normal 3 3 25 2" xfId="13100" xr:uid="{00000000-0005-0000-0000-0000862E0000}"/>
    <cellStyle name="Normal 3 3 25 2 2" xfId="13101" xr:uid="{00000000-0005-0000-0000-0000872E0000}"/>
    <cellStyle name="Normal 3 3 25 2 3" xfId="13102" xr:uid="{00000000-0005-0000-0000-0000882E0000}"/>
    <cellStyle name="Normal 3 3 25 3" xfId="13103" xr:uid="{00000000-0005-0000-0000-0000892E0000}"/>
    <cellStyle name="Normal 3 3 25 4" xfId="13104" xr:uid="{00000000-0005-0000-0000-00008A2E0000}"/>
    <cellStyle name="Normal 3 3 25 4 2" xfId="26369" xr:uid="{C2FF9164-A5DA-4F28-9503-1618C401A98C}"/>
    <cellStyle name="Normal 3 3 25 4 2 2" xfId="41332" xr:uid="{FA2693D5-E467-4571-9215-D20784971A4D}"/>
    <cellStyle name="Normal 3 3 25 4 3" xfId="33737" xr:uid="{586A9707-4492-48AA-A1D1-3159595C3EB7}"/>
    <cellStyle name="Normal 3 3 25 5" xfId="13105" xr:uid="{00000000-0005-0000-0000-00008B2E0000}"/>
    <cellStyle name="Normal 3 3 25 5 2" xfId="26370" xr:uid="{98C175AD-11B9-45A9-9BF1-E44604A25B5D}"/>
    <cellStyle name="Normal 3 3 25 5 2 2" xfId="41333" xr:uid="{3AB864CB-00F5-4CB2-A7F7-C0198E403DCC}"/>
    <cellStyle name="Normal 3 3 25 5 3" xfId="33738" xr:uid="{D1E085C4-E06A-4340-B15E-38A282AD704D}"/>
    <cellStyle name="Normal 3 3 25 6" xfId="13106" xr:uid="{00000000-0005-0000-0000-00008C2E0000}"/>
    <cellStyle name="Normal 3 3 25 7" xfId="13099" xr:uid="{00000000-0005-0000-0000-0000852E0000}"/>
    <cellStyle name="Normal 3 3 25 8" xfId="20899" xr:uid="{B6693602-A144-41DF-85BA-E5AB02806972}"/>
    <cellStyle name="Normal 3 3 25 8 2" xfId="35875" xr:uid="{79E12AC9-4F3F-4B67-BA80-F3EB636A35D0}"/>
    <cellStyle name="Normal 3 3 25 9" xfId="28271" xr:uid="{64D78CA0-0D68-4174-A094-203D57EC9497}"/>
    <cellStyle name="Normal 3 3 26" xfId="13107" xr:uid="{00000000-0005-0000-0000-00008D2E0000}"/>
    <cellStyle name="Normal 3 3 26 2" xfId="13108" xr:uid="{00000000-0005-0000-0000-00008E2E0000}"/>
    <cellStyle name="Normal 3 3 26 2 2" xfId="13109" xr:uid="{00000000-0005-0000-0000-00008F2E0000}"/>
    <cellStyle name="Normal 3 3 26 2 3" xfId="13110" xr:uid="{00000000-0005-0000-0000-0000902E0000}"/>
    <cellStyle name="Normal 3 3 26 3" xfId="13111" xr:uid="{00000000-0005-0000-0000-0000912E0000}"/>
    <cellStyle name="Normal 3 3 26 4" xfId="13112" xr:uid="{00000000-0005-0000-0000-0000922E0000}"/>
    <cellStyle name="Normal 3 3 26 4 2" xfId="26371" xr:uid="{4A798CD4-FB86-41DB-BF0F-624328923F67}"/>
    <cellStyle name="Normal 3 3 26 4 2 2" xfId="41334" xr:uid="{E275F81F-676C-4B93-8544-43B5D70DDF36}"/>
    <cellStyle name="Normal 3 3 26 4 3" xfId="33739" xr:uid="{6144128E-82EB-4DDE-A081-ACBA5B2BBFE9}"/>
    <cellStyle name="Normal 3 3 26 5" xfId="13113" xr:uid="{00000000-0005-0000-0000-0000932E0000}"/>
    <cellStyle name="Normal 3 3 26 6" xfId="13114" xr:uid="{00000000-0005-0000-0000-0000942E0000}"/>
    <cellStyle name="Normal 3 3 27" xfId="13115" xr:uid="{00000000-0005-0000-0000-0000952E0000}"/>
    <cellStyle name="Normal 3 3 27 2" xfId="13116" xr:uid="{00000000-0005-0000-0000-0000962E0000}"/>
    <cellStyle name="Normal 3 3 27 3" xfId="13117" xr:uid="{00000000-0005-0000-0000-0000972E0000}"/>
    <cellStyle name="Normal 3 3 28" xfId="13118" xr:uid="{00000000-0005-0000-0000-0000982E0000}"/>
    <cellStyle name="Normal 3 3 28 2" xfId="13119" xr:uid="{00000000-0005-0000-0000-0000992E0000}"/>
    <cellStyle name="Normal 3 3 28 3" xfId="26372" xr:uid="{67DA65B2-2B50-4124-AD59-F87E51A129C1}"/>
    <cellStyle name="Normal 3 3 28 3 2" xfId="41335" xr:uid="{010A3EDD-79FC-4891-B69C-3405B28A5AAD}"/>
    <cellStyle name="Normal 3 3 28 4" xfId="33740" xr:uid="{6BA4D2E5-A8D6-44A1-BA6B-633226F1FB07}"/>
    <cellStyle name="Normal 3 3 29" xfId="13120" xr:uid="{00000000-0005-0000-0000-00009A2E0000}"/>
    <cellStyle name="Normal 3 3 3" xfId="2190" xr:uid="{00000000-0005-0000-0000-00003D080000}"/>
    <cellStyle name="Normal 3 3 3 10" xfId="13121" xr:uid="{00000000-0005-0000-0000-00009C2E0000}"/>
    <cellStyle name="Normal 3 3 3 10 2" xfId="26373" xr:uid="{611E8594-55B2-4D84-8A32-02C96FE41399}"/>
    <cellStyle name="Normal 3 3 3 10 2 2" xfId="41336" xr:uid="{4DB2F775-892E-43D2-A1E4-57205F4F8671}"/>
    <cellStyle name="Normal 3 3 3 10 3" xfId="33741" xr:uid="{68569549-15E5-48BF-A4ED-927EF493174A}"/>
    <cellStyle name="Normal 3 3 3 11" xfId="13122" xr:uid="{00000000-0005-0000-0000-00009D2E0000}"/>
    <cellStyle name="Normal 3 3 3 2" xfId="13123" xr:uid="{00000000-0005-0000-0000-00009E2E0000}"/>
    <cellStyle name="Normal 3 3 3 2 10" xfId="13124" xr:uid="{00000000-0005-0000-0000-00009F2E0000}"/>
    <cellStyle name="Normal 3 3 3 2 2" xfId="13125" xr:uid="{00000000-0005-0000-0000-0000A02E0000}"/>
    <cellStyle name="Normal 3 3 3 2 2 2" xfId="13126" xr:uid="{00000000-0005-0000-0000-0000A12E0000}"/>
    <cellStyle name="Normal 3 3 3 2 2 2 2" xfId="13127" xr:uid="{00000000-0005-0000-0000-0000A22E0000}"/>
    <cellStyle name="Normal 3 3 3 2 2 2 2 2" xfId="13128" xr:uid="{00000000-0005-0000-0000-0000A32E0000}"/>
    <cellStyle name="Normal 3 3 3 2 2 2 2 2 2" xfId="13129" xr:uid="{00000000-0005-0000-0000-0000A42E0000}"/>
    <cellStyle name="Normal 3 3 3 2 2 2 2 2 3" xfId="13130" xr:uid="{00000000-0005-0000-0000-0000A52E0000}"/>
    <cellStyle name="Normal 3 3 3 2 2 2 2 3" xfId="13131" xr:uid="{00000000-0005-0000-0000-0000A62E0000}"/>
    <cellStyle name="Normal 3 3 3 2 2 2 2 4" xfId="13132" xr:uid="{00000000-0005-0000-0000-0000A72E0000}"/>
    <cellStyle name="Normal 3 3 3 2 2 2 2 4 2" xfId="26374" xr:uid="{502512FD-9A99-4FB2-81B0-0DE4A4DF8FBD}"/>
    <cellStyle name="Normal 3 3 3 2 2 2 2 4 2 2" xfId="41337" xr:uid="{7828EFAB-9C69-47F3-94F5-AE754D140783}"/>
    <cellStyle name="Normal 3 3 3 2 2 2 2 4 3" xfId="33742" xr:uid="{A20CB8FA-7030-4DEE-961E-F4D757C4F9FB}"/>
    <cellStyle name="Normal 3 3 3 2 2 2 2 5" xfId="13133" xr:uid="{00000000-0005-0000-0000-0000A82E0000}"/>
    <cellStyle name="Normal 3 3 3 2 2 2 2 5 2" xfId="26375" xr:uid="{C7D4A7EA-BC7F-4690-95AC-3D87B64E0239}"/>
    <cellStyle name="Normal 3 3 3 2 2 2 2 5 2 2" xfId="41338" xr:uid="{9F37DCD1-7D55-4F01-B898-C84656800BFF}"/>
    <cellStyle name="Normal 3 3 3 2 2 2 2 5 3" xfId="33743" xr:uid="{7F1B768C-E55A-494A-A2F4-C7EC0271CDEC}"/>
    <cellStyle name="Normal 3 3 3 2 2 2 2 6" xfId="13134" xr:uid="{00000000-0005-0000-0000-0000A92E0000}"/>
    <cellStyle name="Normal 3 3 3 2 2 2 3" xfId="13135" xr:uid="{00000000-0005-0000-0000-0000AA2E0000}"/>
    <cellStyle name="Normal 3 3 3 2 2 2 3 2" xfId="13136" xr:uid="{00000000-0005-0000-0000-0000AB2E0000}"/>
    <cellStyle name="Normal 3 3 3 2 2 2 3 2 2" xfId="13137" xr:uid="{00000000-0005-0000-0000-0000AC2E0000}"/>
    <cellStyle name="Normal 3 3 3 2 2 2 3 2 3" xfId="13138" xr:uid="{00000000-0005-0000-0000-0000AD2E0000}"/>
    <cellStyle name="Normal 3 3 3 2 2 2 3 3" xfId="13139" xr:uid="{00000000-0005-0000-0000-0000AE2E0000}"/>
    <cellStyle name="Normal 3 3 3 2 2 2 3 3 2" xfId="13140" xr:uid="{00000000-0005-0000-0000-0000AF2E0000}"/>
    <cellStyle name="Normal 3 3 3 2 2 2 3 3 3" xfId="26376" xr:uid="{77D8159C-4BBD-465C-88DA-37F1B063FE46}"/>
    <cellStyle name="Normal 3 3 3 2 2 2 3 3 3 2" xfId="41339" xr:uid="{97D3AE5B-3A19-40B0-A4C8-9A0CAAD8ADF8}"/>
    <cellStyle name="Normal 3 3 3 2 2 2 3 3 4" xfId="33744" xr:uid="{4F367B86-66F2-4B40-80FA-53C88D9F5C6F}"/>
    <cellStyle name="Normal 3 3 3 2 2 2 3 4" xfId="13141" xr:uid="{00000000-0005-0000-0000-0000B02E0000}"/>
    <cellStyle name="Normal 3 3 3 2 2 2 4" xfId="13142" xr:uid="{00000000-0005-0000-0000-0000B12E0000}"/>
    <cellStyle name="Normal 3 3 3 2 2 2 4 2" xfId="13143" xr:uid="{00000000-0005-0000-0000-0000B22E0000}"/>
    <cellStyle name="Normal 3 3 3 2 2 2 4 3" xfId="13144" xr:uid="{00000000-0005-0000-0000-0000B32E0000}"/>
    <cellStyle name="Normal 3 3 3 2 2 2 5" xfId="13145" xr:uid="{00000000-0005-0000-0000-0000B42E0000}"/>
    <cellStyle name="Normal 3 3 3 2 2 2 6" xfId="13146" xr:uid="{00000000-0005-0000-0000-0000B52E0000}"/>
    <cellStyle name="Normal 3 3 3 2 2 2 6 2" xfId="26377" xr:uid="{E80DEE5D-9F25-4E05-84B1-1D9124A53C10}"/>
    <cellStyle name="Normal 3 3 3 2 2 2 6 2 2" xfId="41340" xr:uid="{5D467E68-9CC6-4373-BB87-6A1C30FFCF29}"/>
    <cellStyle name="Normal 3 3 3 2 2 2 6 3" xfId="33745" xr:uid="{EA780DBD-958A-4840-8B98-723822C13A40}"/>
    <cellStyle name="Normal 3 3 3 2 2 2 7" xfId="13147" xr:uid="{00000000-0005-0000-0000-0000B62E0000}"/>
    <cellStyle name="Normal 3 3 3 2 2 2 7 2" xfId="26378" xr:uid="{C4745EDD-35F2-4FA0-BD3C-C195D86024EB}"/>
    <cellStyle name="Normal 3 3 3 2 2 2 7 2 2" xfId="41341" xr:uid="{943B6983-BEA2-4BCC-822D-942D8D22933B}"/>
    <cellStyle name="Normal 3 3 3 2 2 2 7 3" xfId="33746" xr:uid="{FBD587ED-500B-4CD1-A550-4BD1D79489B2}"/>
    <cellStyle name="Normal 3 3 3 2 2 2 8" xfId="13148" xr:uid="{00000000-0005-0000-0000-0000B72E0000}"/>
    <cellStyle name="Normal 3 3 3 2 2 3" xfId="13149" xr:uid="{00000000-0005-0000-0000-0000B82E0000}"/>
    <cellStyle name="Normal 3 3 3 2 2 3 2" xfId="13150" xr:uid="{00000000-0005-0000-0000-0000B92E0000}"/>
    <cellStyle name="Normal 3 3 3 2 2 3 2 2" xfId="13151" xr:uid="{00000000-0005-0000-0000-0000BA2E0000}"/>
    <cellStyle name="Normal 3 3 3 2 2 3 2 3" xfId="13152" xr:uid="{00000000-0005-0000-0000-0000BB2E0000}"/>
    <cellStyle name="Normal 3 3 3 2 2 3 3" xfId="13153" xr:uid="{00000000-0005-0000-0000-0000BC2E0000}"/>
    <cellStyle name="Normal 3 3 3 2 2 3 4" xfId="13154" xr:uid="{00000000-0005-0000-0000-0000BD2E0000}"/>
    <cellStyle name="Normal 3 3 3 2 2 3 4 2" xfId="26379" xr:uid="{499009F8-6981-4E57-8741-BA8AD60D6E77}"/>
    <cellStyle name="Normal 3 3 3 2 2 3 4 2 2" xfId="41342" xr:uid="{95328035-DCB9-4A3D-90BC-D19795D4B234}"/>
    <cellStyle name="Normal 3 3 3 2 2 3 4 3" xfId="33747" xr:uid="{EB038FD0-45C1-4E62-8D38-F74643E03B54}"/>
    <cellStyle name="Normal 3 3 3 2 2 3 5" xfId="13155" xr:uid="{00000000-0005-0000-0000-0000BE2E0000}"/>
    <cellStyle name="Normal 3 3 3 2 2 3 5 2" xfId="26380" xr:uid="{B8475D3C-D0D7-4802-8070-B47D3FDDE390}"/>
    <cellStyle name="Normal 3 3 3 2 2 3 5 2 2" xfId="41343" xr:uid="{EEAE3EA5-45B8-4F7A-A9B9-CB561FC41192}"/>
    <cellStyle name="Normal 3 3 3 2 2 3 5 3" xfId="33748" xr:uid="{BD2F75ED-1739-452C-AB55-E5FF15F10CB4}"/>
    <cellStyle name="Normal 3 3 3 2 2 3 6" xfId="13156" xr:uid="{00000000-0005-0000-0000-0000BF2E0000}"/>
    <cellStyle name="Normal 3 3 3 2 2 4" xfId="13157" xr:uid="{00000000-0005-0000-0000-0000C02E0000}"/>
    <cellStyle name="Normal 3 3 3 2 2 4 2" xfId="13158" xr:uid="{00000000-0005-0000-0000-0000C12E0000}"/>
    <cellStyle name="Normal 3 3 3 2 2 4 2 2" xfId="13159" xr:uid="{00000000-0005-0000-0000-0000C22E0000}"/>
    <cellStyle name="Normal 3 3 3 2 2 4 2 3" xfId="13160" xr:uid="{00000000-0005-0000-0000-0000C32E0000}"/>
    <cellStyle name="Normal 3 3 3 2 2 4 3" xfId="13161" xr:uid="{00000000-0005-0000-0000-0000C42E0000}"/>
    <cellStyle name="Normal 3 3 3 2 2 4 3 2" xfId="13162" xr:uid="{00000000-0005-0000-0000-0000C52E0000}"/>
    <cellStyle name="Normal 3 3 3 2 2 4 3 3" xfId="26381" xr:uid="{C28B51BB-F430-477C-BD86-DD3C42B43C61}"/>
    <cellStyle name="Normal 3 3 3 2 2 4 3 3 2" xfId="41344" xr:uid="{0F83956F-12FD-48C8-AE1C-D6FBD29A5ED1}"/>
    <cellStyle name="Normal 3 3 3 2 2 4 3 4" xfId="33749" xr:uid="{12A4028E-8CEC-49BF-AB5C-C75AE9DC3CFC}"/>
    <cellStyle name="Normal 3 3 3 2 2 4 4" xfId="13163" xr:uid="{00000000-0005-0000-0000-0000C62E0000}"/>
    <cellStyle name="Normal 3 3 3 2 2 5" xfId="13164" xr:uid="{00000000-0005-0000-0000-0000C72E0000}"/>
    <cellStyle name="Normal 3 3 3 2 2 5 2" xfId="13165" xr:uid="{00000000-0005-0000-0000-0000C82E0000}"/>
    <cellStyle name="Normal 3 3 3 2 2 5 3" xfId="13166" xr:uid="{00000000-0005-0000-0000-0000C92E0000}"/>
    <cellStyle name="Normal 3 3 3 2 2 6" xfId="13167" xr:uid="{00000000-0005-0000-0000-0000CA2E0000}"/>
    <cellStyle name="Normal 3 3 3 2 2 7" xfId="13168" xr:uid="{00000000-0005-0000-0000-0000CB2E0000}"/>
    <cellStyle name="Normal 3 3 3 2 2 7 2" xfId="26382" xr:uid="{54B23263-4436-4AC1-92E6-0F3F922257E1}"/>
    <cellStyle name="Normal 3 3 3 2 2 7 2 2" xfId="41345" xr:uid="{909CBD92-7B58-4507-B853-1F2F9C2EA6F2}"/>
    <cellStyle name="Normal 3 3 3 2 2 7 3" xfId="33750" xr:uid="{E27C0A24-B4E5-4D21-891E-001872447D97}"/>
    <cellStyle name="Normal 3 3 3 2 2 8" xfId="13169" xr:uid="{00000000-0005-0000-0000-0000CC2E0000}"/>
    <cellStyle name="Normal 3 3 3 2 2 8 2" xfId="26383" xr:uid="{92220655-2276-4CB2-BB54-FAE4B7411717}"/>
    <cellStyle name="Normal 3 3 3 2 2 8 2 2" xfId="41346" xr:uid="{750B3C33-46EC-4659-AF7D-EEA3113FD40C}"/>
    <cellStyle name="Normal 3 3 3 2 2 8 3" xfId="33751" xr:uid="{AE9057EA-A7ED-4521-BD8A-322EC1F275DC}"/>
    <cellStyle name="Normal 3 3 3 2 2 9" xfId="13170" xr:uid="{00000000-0005-0000-0000-0000CD2E0000}"/>
    <cellStyle name="Normal 3 3 3 2 3" xfId="13171" xr:uid="{00000000-0005-0000-0000-0000CE2E0000}"/>
    <cellStyle name="Normal 3 3 3 2 3 2" xfId="13172" xr:uid="{00000000-0005-0000-0000-0000CF2E0000}"/>
    <cellStyle name="Normal 3 3 3 2 3 2 2" xfId="13173" xr:uid="{00000000-0005-0000-0000-0000D02E0000}"/>
    <cellStyle name="Normal 3 3 3 2 3 2 2 2" xfId="13174" xr:uid="{00000000-0005-0000-0000-0000D12E0000}"/>
    <cellStyle name="Normal 3 3 3 2 3 2 2 3" xfId="13175" xr:uid="{00000000-0005-0000-0000-0000D22E0000}"/>
    <cellStyle name="Normal 3 3 3 2 3 2 2 3 2" xfId="26384" xr:uid="{5012394A-3093-4663-B4E9-ABE8C195932E}"/>
    <cellStyle name="Normal 3 3 3 2 3 2 2 3 2 2" xfId="41347" xr:uid="{BB27C5B0-5021-495C-AB00-D606FC0D013F}"/>
    <cellStyle name="Normal 3 3 3 2 3 2 2 3 3" xfId="33752" xr:uid="{08836EEB-560B-43F5-8DA2-22A3E49BDBE7}"/>
    <cellStyle name="Normal 3 3 3 2 3 2 2 4" xfId="13176" xr:uid="{00000000-0005-0000-0000-0000D32E0000}"/>
    <cellStyle name="Normal 3 3 3 2 3 2 3" xfId="13177" xr:uid="{00000000-0005-0000-0000-0000D42E0000}"/>
    <cellStyle name="Normal 3 3 3 2 3 2 4" xfId="13178" xr:uid="{00000000-0005-0000-0000-0000D52E0000}"/>
    <cellStyle name="Normal 3 3 3 2 3 2 4 2" xfId="26385" xr:uid="{A75EFB01-E972-48CD-AC49-3AC013AE0E43}"/>
    <cellStyle name="Normal 3 3 3 2 3 2 4 2 2" xfId="41348" xr:uid="{F6A0CCE5-DB03-411F-9C0B-2DE0F6247A56}"/>
    <cellStyle name="Normal 3 3 3 2 3 2 4 3" xfId="33753" xr:uid="{7055F258-4552-4881-810C-0FF4F3240823}"/>
    <cellStyle name="Normal 3 3 3 2 3 2 5" xfId="13179" xr:uid="{00000000-0005-0000-0000-0000D62E0000}"/>
    <cellStyle name="Normal 3 3 3 2 3 2 5 2" xfId="26386" xr:uid="{2C9C2742-6831-4534-B905-C82189FF456D}"/>
    <cellStyle name="Normal 3 3 3 2 3 2 5 2 2" xfId="41349" xr:uid="{C90E1FE8-E8F0-44E9-939D-BF7EB18B2B05}"/>
    <cellStyle name="Normal 3 3 3 2 3 2 5 3" xfId="33754" xr:uid="{C7E04607-D39C-4A6A-97FD-091EED8C6087}"/>
    <cellStyle name="Normal 3 3 3 2 3 2 6" xfId="13180" xr:uid="{00000000-0005-0000-0000-0000D72E0000}"/>
    <cellStyle name="Normal 3 3 3 2 3 3" xfId="13181" xr:uid="{00000000-0005-0000-0000-0000D82E0000}"/>
    <cellStyle name="Normal 3 3 3 2 3 3 2" xfId="13182" xr:uid="{00000000-0005-0000-0000-0000D92E0000}"/>
    <cellStyle name="Normal 3 3 3 2 3 3 2 2" xfId="13183" xr:uid="{00000000-0005-0000-0000-0000DA2E0000}"/>
    <cellStyle name="Normal 3 3 3 2 3 3 2 3" xfId="13184" xr:uid="{00000000-0005-0000-0000-0000DB2E0000}"/>
    <cellStyle name="Normal 3 3 3 2 3 3 3" xfId="13185" xr:uid="{00000000-0005-0000-0000-0000DC2E0000}"/>
    <cellStyle name="Normal 3 3 3 2 3 3 4" xfId="13186" xr:uid="{00000000-0005-0000-0000-0000DD2E0000}"/>
    <cellStyle name="Normal 3 3 3 2 3 3 4 2" xfId="26387" xr:uid="{ED0AE9AD-D68F-4FB5-AAF7-6CD415AB4FB9}"/>
    <cellStyle name="Normal 3 3 3 2 3 3 4 2 2" xfId="41350" xr:uid="{C8E31565-6687-43E5-BBE1-3AD530EDB5C0}"/>
    <cellStyle name="Normal 3 3 3 2 3 3 4 3" xfId="33755" xr:uid="{BEB75162-B596-40BD-B6AF-8C4E6DCC594C}"/>
    <cellStyle name="Normal 3 3 3 2 3 3 5" xfId="13187" xr:uid="{00000000-0005-0000-0000-0000DE2E0000}"/>
    <cellStyle name="Normal 3 3 3 2 3 3 5 2" xfId="26388" xr:uid="{4A035EC5-F8BF-4156-B3A7-78972ED4809C}"/>
    <cellStyle name="Normal 3 3 3 2 3 3 5 2 2" xfId="41351" xr:uid="{64899B61-CC61-4010-A1A5-DF09DD698067}"/>
    <cellStyle name="Normal 3 3 3 2 3 3 5 3" xfId="33756" xr:uid="{016DBC4B-96F2-48DC-9D88-F9A4F43B83A6}"/>
    <cellStyle name="Normal 3 3 3 2 3 3 6" xfId="13188" xr:uid="{00000000-0005-0000-0000-0000DF2E0000}"/>
    <cellStyle name="Normal 3 3 3 2 3 4" xfId="13189" xr:uid="{00000000-0005-0000-0000-0000E02E0000}"/>
    <cellStyle name="Normal 3 3 3 2 3 4 2" xfId="13190" xr:uid="{00000000-0005-0000-0000-0000E12E0000}"/>
    <cellStyle name="Normal 3 3 3 2 3 4 3" xfId="13191" xr:uid="{00000000-0005-0000-0000-0000E22E0000}"/>
    <cellStyle name="Normal 3 3 3 2 3 5" xfId="13192" xr:uid="{00000000-0005-0000-0000-0000E32E0000}"/>
    <cellStyle name="Normal 3 3 3 2 3 6" xfId="13193" xr:uid="{00000000-0005-0000-0000-0000E42E0000}"/>
    <cellStyle name="Normal 3 3 3 2 3 6 2" xfId="26389" xr:uid="{9C2C22BA-F37B-4A4D-A06E-8CB9BF18CE03}"/>
    <cellStyle name="Normal 3 3 3 2 3 6 2 2" xfId="41352" xr:uid="{30A41025-ECBC-423D-B147-2E230E01EE43}"/>
    <cellStyle name="Normal 3 3 3 2 3 6 3" xfId="33757" xr:uid="{C4243D98-BA36-47AC-9325-514A3D9AE47C}"/>
    <cellStyle name="Normal 3 3 3 2 3 7" xfId="13194" xr:uid="{00000000-0005-0000-0000-0000E52E0000}"/>
    <cellStyle name="Normal 3 3 3 2 3 7 2" xfId="26390" xr:uid="{98F678FD-FF66-4163-B9D0-D1E972671532}"/>
    <cellStyle name="Normal 3 3 3 2 3 7 2 2" xfId="41353" xr:uid="{E0F10357-5526-498D-ABED-B40645B24079}"/>
    <cellStyle name="Normal 3 3 3 2 3 7 3" xfId="33758" xr:uid="{6557119F-81E5-4AE9-A66B-246B5B56C7E6}"/>
    <cellStyle name="Normal 3 3 3 2 3 8" xfId="13195" xr:uid="{00000000-0005-0000-0000-0000E62E0000}"/>
    <cellStyle name="Normal 3 3 3 2 4" xfId="13196" xr:uid="{00000000-0005-0000-0000-0000E72E0000}"/>
    <cellStyle name="Normal 3 3 3 2 4 2" xfId="13197" xr:uid="{00000000-0005-0000-0000-0000E82E0000}"/>
    <cellStyle name="Normal 3 3 3 2 4 2 2" xfId="13198" xr:uid="{00000000-0005-0000-0000-0000E92E0000}"/>
    <cellStyle name="Normal 3 3 3 2 4 2 3" xfId="13199" xr:uid="{00000000-0005-0000-0000-0000EA2E0000}"/>
    <cellStyle name="Normal 3 3 3 2 4 2 3 2" xfId="26391" xr:uid="{33F23EDE-2B29-4D82-8481-90D91C784762}"/>
    <cellStyle name="Normal 3 3 3 2 4 2 3 2 2" xfId="41354" xr:uid="{FE981EC7-6A89-463C-938C-90DB103C2779}"/>
    <cellStyle name="Normal 3 3 3 2 4 2 3 3" xfId="33759" xr:uid="{1E5443C8-193A-4B9C-AC76-BDEBFD3C868B}"/>
    <cellStyle name="Normal 3 3 3 2 4 2 4" xfId="13200" xr:uid="{00000000-0005-0000-0000-0000EB2E0000}"/>
    <cellStyle name="Normal 3 3 3 2 4 3" xfId="13201" xr:uid="{00000000-0005-0000-0000-0000EC2E0000}"/>
    <cellStyle name="Normal 3 3 3 2 4 4" xfId="13202" xr:uid="{00000000-0005-0000-0000-0000ED2E0000}"/>
    <cellStyle name="Normal 3 3 3 2 4 4 2" xfId="26392" xr:uid="{7BAB9758-E3D3-4010-A696-72874F1BB8DA}"/>
    <cellStyle name="Normal 3 3 3 2 4 4 2 2" xfId="41355" xr:uid="{7C0EE1A6-BA14-446A-B052-0C17A0743C9E}"/>
    <cellStyle name="Normal 3 3 3 2 4 4 3" xfId="33760" xr:uid="{B8669FB6-79F1-407B-95F0-47C8776B47F3}"/>
    <cellStyle name="Normal 3 3 3 2 4 5" xfId="13203" xr:uid="{00000000-0005-0000-0000-0000EE2E0000}"/>
    <cellStyle name="Normal 3 3 3 2 4 5 2" xfId="26393" xr:uid="{6C11BAB0-022E-4D90-BBF9-1700ADB53F1D}"/>
    <cellStyle name="Normal 3 3 3 2 4 5 2 2" xfId="41356" xr:uid="{B2861914-F537-4EDE-8087-1E516C1854B7}"/>
    <cellStyle name="Normal 3 3 3 2 4 5 3" xfId="33761" xr:uid="{4E667726-0485-4498-8769-807714FE4880}"/>
    <cellStyle name="Normal 3 3 3 2 4 6" xfId="13204" xr:uid="{00000000-0005-0000-0000-0000EF2E0000}"/>
    <cellStyle name="Normal 3 3 3 2 5" xfId="13205" xr:uid="{00000000-0005-0000-0000-0000F02E0000}"/>
    <cellStyle name="Normal 3 3 3 2 5 2" xfId="13206" xr:uid="{00000000-0005-0000-0000-0000F12E0000}"/>
    <cellStyle name="Normal 3 3 3 2 5 2 2" xfId="13207" xr:uid="{00000000-0005-0000-0000-0000F22E0000}"/>
    <cellStyle name="Normal 3 3 3 2 5 2 3" xfId="13208" xr:uid="{00000000-0005-0000-0000-0000F32E0000}"/>
    <cellStyle name="Normal 3 3 3 2 5 3" xfId="13209" xr:uid="{00000000-0005-0000-0000-0000F42E0000}"/>
    <cellStyle name="Normal 3 3 3 2 5 4" xfId="13210" xr:uid="{00000000-0005-0000-0000-0000F52E0000}"/>
    <cellStyle name="Normal 3 3 3 2 5 4 2" xfId="26394" xr:uid="{C49EBCE5-1897-4AB9-8707-B0F565E8F5D3}"/>
    <cellStyle name="Normal 3 3 3 2 5 4 2 2" xfId="41357" xr:uid="{5164627E-77EC-4574-B625-056AACE45B24}"/>
    <cellStyle name="Normal 3 3 3 2 5 4 3" xfId="33762" xr:uid="{8DDC295B-E34E-42AF-A3AE-2D30B2DD862E}"/>
    <cellStyle name="Normal 3 3 3 2 5 5" xfId="13211" xr:uid="{00000000-0005-0000-0000-0000F62E0000}"/>
    <cellStyle name="Normal 3 3 3 2 5 5 2" xfId="26395" xr:uid="{6DCBE9D7-0AEE-4C89-80E3-3B4345A49D7C}"/>
    <cellStyle name="Normal 3 3 3 2 5 5 2 2" xfId="41358" xr:uid="{6CC8C961-3E47-4FED-B2C5-78DFD55CD8CC}"/>
    <cellStyle name="Normal 3 3 3 2 5 5 3" xfId="33763" xr:uid="{F10806E1-A927-47B1-A3B3-D39D9900C3EF}"/>
    <cellStyle name="Normal 3 3 3 2 5 6" xfId="13212" xr:uid="{00000000-0005-0000-0000-0000F72E0000}"/>
    <cellStyle name="Normal 3 3 3 2 6" xfId="13213" xr:uid="{00000000-0005-0000-0000-0000F82E0000}"/>
    <cellStyle name="Normal 3 3 3 2 6 2" xfId="13214" xr:uid="{00000000-0005-0000-0000-0000F92E0000}"/>
    <cellStyle name="Normal 3 3 3 2 6 3" xfId="13215" xr:uid="{00000000-0005-0000-0000-0000FA2E0000}"/>
    <cellStyle name="Normal 3 3 3 2 7" xfId="13216" xr:uid="{00000000-0005-0000-0000-0000FB2E0000}"/>
    <cellStyle name="Normal 3 3 3 2 8" xfId="13217" xr:uid="{00000000-0005-0000-0000-0000FC2E0000}"/>
    <cellStyle name="Normal 3 3 3 2 8 2" xfId="26396" xr:uid="{028245A4-76ED-4DE9-B90A-93BB6F438C3E}"/>
    <cellStyle name="Normal 3 3 3 2 8 2 2" xfId="41359" xr:uid="{085CBEA2-8202-4597-80A3-8590700AB4D4}"/>
    <cellStyle name="Normal 3 3 3 2 8 3" xfId="33764" xr:uid="{DFB50913-AAEF-4145-BDEA-F9D20E77F585}"/>
    <cellStyle name="Normal 3 3 3 2 9" xfId="13218" xr:uid="{00000000-0005-0000-0000-0000FD2E0000}"/>
    <cellStyle name="Normal 3 3 3 2 9 2" xfId="26397" xr:uid="{AF19D21B-A225-4618-B5E5-AB6346BF0AE7}"/>
    <cellStyle name="Normal 3 3 3 2 9 2 2" xfId="41360" xr:uid="{6B916EDF-5BF6-4047-B8A9-0BD4AD8E7346}"/>
    <cellStyle name="Normal 3 3 3 2 9 3" xfId="33765" xr:uid="{225A5E2C-50D5-4859-B290-0F04AE42B7D4}"/>
    <cellStyle name="Normal 3 3 3 3" xfId="13219" xr:uid="{00000000-0005-0000-0000-0000FE2E0000}"/>
    <cellStyle name="Normal 3 3 3 3 2" xfId="13220" xr:uid="{00000000-0005-0000-0000-0000FF2E0000}"/>
    <cellStyle name="Normal 3 3 3 3 2 2" xfId="13221" xr:uid="{00000000-0005-0000-0000-0000002F0000}"/>
    <cellStyle name="Normal 3 3 3 3 2 2 2" xfId="13222" xr:uid="{00000000-0005-0000-0000-0000012F0000}"/>
    <cellStyle name="Normal 3 3 3 3 2 2 2 2" xfId="13223" xr:uid="{00000000-0005-0000-0000-0000022F0000}"/>
    <cellStyle name="Normal 3 3 3 3 2 2 2 3" xfId="13224" xr:uid="{00000000-0005-0000-0000-0000032F0000}"/>
    <cellStyle name="Normal 3 3 3 3 2 2 3" xfId="13225" xr:uid="{00000000-0005-0000-0000-0000042F0000}"/>
    <cellStyle name="Normal 3 3 3 3 2 2 4" xfId="13226" xr:uid="{00000000-0005-0000-0000-0000052F0000}"/>
    <cellStyle name="Normal 3 3 3 3 2 2 4 2" xfId="26398" xr:uid="{5C1F5C3B-DDF1-4794-8538-EE394865AF4E}"/>
    <cellStyle name="Normal 3 3 3 3 2 2 4 2 2" xfId="41361" xr:uid="{D0D82753-0170-4BF7-AD29-0D8256C89296}"/>
    <cellStyle name="Normal 3 3 3 3 2 2 4 3" xfId="33766" xr:uid="{07199EE7-EBAE-4B8B-928A-82254EC153AF}"/>
    <cellStyle name="Normal 3 3 3 3 2 2 5" xfId="13227" xr:uid="{00000000-0005-0000-0000-0000062F0000}"/>
    <cellStyle name="Normal 3 3 3 3 2 2 5 2" xfId="26399" xr:uid="{386BE89A-ECB8-43C1-893A-C8AC7EDCCD57}"/>
    <cellStyle name="Normal 3 3 3 3 2 2 5 2 2" xfId="41362" xr:uid="{ACE40286-CBC4-4C92-A374-894FA1109509}"/>
    <cellStyle name="Normal 3 3 3 3 2 2 5 3" xfId="33767" xr:uid="{753D0DF1-F346-4638-B196-678E78B49B8D}"/>
    <cellStyle name="Normal 3 3 3 3 2 2 6" xfId="13228" xr:uid="{00000000-0005-0000-0000-0000072F0000}"/>
    <cellStyle name="Normal 3 3 3 3 2 3" xfId="13229" xr:uid="{00000000-0005-0000-0000-0000082F0000}"/>
    <cellStyle name="Normal 3 3 3 3 2 3 2" xfId="13230" xr:uid="{00000000-0005-0000-0000-0000092F0000}"/>
    <cellStyle name="Normal 3 3 3 3 2 3 2 2" xfId="13231" xr:uid="{00000000-0005-0000-0000-00000A2F0000}"/>
    <cellStyle name="Normal 3 3 3 3 2 3 2 3" xfId="13232" xr:uid="{00000000-0005-0000-0000-00000B2F0000}"/>
    <cellStyle name="Normal 3 3 3 3 2 3 3" xfId="13233" xr:uid="{00000000-0005-0000-0000-00000C2F0000}"/>
    <cellStyle name="Normal 3 3 3 3 2 3 3 2" xfId="13234" xr:uid="{00000000-0005-0000-0000-00000D2F0000}"/>
    <cellStyle name="Normal 3 3 3 3 2 3 3 3" xfId="26400" xr:uid="{226EBB18-98FA-431C-84A5-312CD0D2BA7C}"/>
    <cellStyle name="Normal 3 3 3 3 2 3 3 3 2" xfId="41363" xr:uid="{82C092AC-5F8F-4555-9E0A-EC05B66BA323}"/>
    <cellStyle name="Normal 3 3 3 3 2 3 3 4" xfId="33768" xr:uid="{4E7C81D7-7FFF-4857-85BD-C64F6068E0F1}"/>
    <cellStyle name="Normal 3 3 3 3 2 3 4" xfId="13235" xr:uid="{00000000-0005-0000-0000-00000E2F0000}"/>
    <cellStyle name="Normal 3 3 3 3 2 4" xfId="13236" xr:uid="{00000000-0005-0000-0000-00000F2F0000}"/>
    <cellStyle name="Normal 3 3 3 3 2 4 2" xfId="13237" xr:uid="{00000000-0005-0000-0000-0000102F0000}"/>
    <cellStyle name="Normal 3 3 3 3 2 4 3" xfId="13238" xr:uid="{00000000-0005-0000-0000-0000112F0000}"/>
    <cellStyle name="Normal 3 3 3 3 2 5" xfId="13239" xr:uid="{00000000-0005-0000-0000-0000122F0000}"/>
    <cellStyle name="Normal 3 3 3 3 2 6" xfId="13240" xr:uid="{00000000-0005-0000-0000-0000132F0000}"/>
    <cellStyle name="Normal 3 3 3 3 2 6 2" xfId="26401" xr:uid="{A82DAB21-A033-424C-9BAD-9AE23D9D5DD1}"/>
    <cellStyle name="Normal 3 3 3 3 2 6 2 2" xfId="41364" xr:uid="{20723AE7-E21A-4627-876F-A54B8693FE0E}"/>
    <cellStyle name="Normal 3 3 3 3 2 6 3" xfId="33769" xr:uid="{CC29382D-F015-45F6-A7F3-12BD2ACABF98}"/>
    <cellStyle name="Normal 3 3 3 3 2 7" xfId="13241" xr:uid="{00000000-0005-0000-0000-0000142F0000}"/>
    <cellStyle name="Normal 3 3 3 3 2 7 2" xfId="26402" xr:uid="{62F5B67C-4BCB-47A2-8B0F-210370759D86}"/>
    <cellStyle name="Normal 3 3 3 3 2 7 2 2" xfId="41365" xr:uid="{B3739F36-8B3D-4AE2-B1DC-2AF956DCE935}"/>
    <cellStyle name="Normal 3 3 3 3 2 7 3" xfId="33770" xr:uid="{883794E3-7F1E-4184-9012-0A7E1B309C57}"/>
    <cellStyle name="Normal 3 3 3 3 2 8" xfId="13242" xr:uid="{00000000-0005-0000-0000-0000152F0000}"/>
    <cellStyle name="Normal 3 3 3 3 3" xfId="13243" xr:uid="{00000000-0005-0000-0000-0000162F0000}"/>
    <cellStyle name="Normal 3 3 3 3 3 2" xfId="13244" xr:uid="{00000000-0005-0000-0000-0000172F0000}"/>
    <cellStyle name="Normal 3 3 3 3 3 2 2" xfId="13245" xr:uid="{00000000-0005-0000-0000-0000182F0000}"/>
    <cellStyle name="Normal 3 3 3 3 3 2 3" xfId="13246" xr:uid="{00000000-0005-0000-0000-0000192F0000}"/>
    <cellStyle name="Normal 3 3 3 3 3 3" xfId="13247" xr:uid="{00000000-0005-0000-0000-00001A2F0000}"/>
    <cellStyle name="Normal 3 3 3 3 3 4" xfId="13248" xr:uid="{00000000-0005-0000-0000-00001B2F0000}"/>
    <cellStyle name="Normal 3 3 3 3 3 4 2" xfId="26403" xr:uid="{14697691-9906-49E9-AD44-444EDDAFB6FC}"/>
    <cellStyle name="Normal 3 3 3 3 3 4 2 2" xfId="41366" xr:uid="{B7A9CF11-0B38-4FBB-8EA3-1199502D4F2F}"/>
    <cellStyle name="Normal 3 3 3 3 3 4 3" xfId="33771" xr:uid="{AB54448E-451A-4AD2-A14C-1E996CC0213F}"/>
    <cellStyle name="Normal 3 3 3 3 3 5" xfId="13249" xr:uid="{00000000-0005-0000-0000-00001C2F0000}"/>
    <cellStyle name="Normal 3 3 3 3 3 5 2" xfId="26404" xr:uid="{92C1D1A3-29D8-4B5E-8AD1-BCBC378AA5C0}"/>
    <cellStyle name="Normal 3 3 3 3 3 5 2 2" xfId="41367" xr:uid="{0727E89A-721D-4480-B3D1-9C7F4C446AE3}"/>
    <cellStyle name="Normal 3 3 3 3 3 5 3" xfId="33772" xr:uid="{53E9CF1F-843C-49FE-8D31-6B04B4A8C332}"/>
    <cellStyle name="Normal 3 3 3 3 3 6" xfId="13250" xr:uid="{00000000-0005-0000-0000-00001D2F0000}"/>
    <cellStyle name="Normal 3 3 3 3 4" xfId="13251" xr:uid="{00000000-0005-0000-0000-00001E2F0000}"/>
    <cellStyle name="Normal 3 3 3 3 4 2" xfId="13252" xr:uid="{00000000-0005-0000-0000-00001F2F0000}"/>
    <cellStyle name="Normal 3 3 3 3 4 2 2" xfId="13253" xr:uid="{00000000-0005-0000-0000-0000202F0000}"/>
    <cellStyle name="Normal 3 3 3 3 4 2 3" xfId="13254" xr:uid="{00000000-0005-0000-0000-0000212F0000}"/>
    <cellStyle name="Normal 3 3 3 3 4 3" xfId="13255" xr:uid="{00000000-0005-0000-0000-0000222F0000}"/>
    <cellStyle name="Normal 3 3 3 3 4 3 2" xfId="13256" xr:uid="{00000000-0005-0000-0000-0000232F0000}"/>
    <cellStyle name="Normal 3 3 3 3 4 3 3" xfId="26405" xr:uid="{527CE3A7-741F-4880-8E8C-11AED67E8C98}"/>
    <cellStyle name="Normal 3 3 3 3 4 3 3 2" xfId="41368" xr:uid="{FFA577F6-AE39-4419-9904-7E724CBC4BC7}"/>
    <cellStyle name="Normal 3 3 3 3 4 3 4" xfId="33773" xr:uid="{30A1132D-9A91-4603-8FF8-D386C3F468D2}"/>
    <cellStyle name="Normal 3 3 3 3 4 4" xfId="13257" xr:uid="{00000000-0005-0000-0000-0000242F0000}"/>
    <cellStyle name="Normal 3 3 3 3 5" xfId="13258" xr:uid="{00000000-0005-0000-0000-0000252F0000}"/>
    <cellStyle name="Normal 3 3 3 3 5 2" xfId="13259" xr:uid="{00000000-0005-0000-0000-0000262F0000}"/>
    <cellStyle name="Normal 3 3 3 3 5 3" xfId="13260" xr:uid="{00000000-0005-0000-0000-0000272F0000}"/>
    <cellStyle name="Normal 3 3 3 3 6" xfId="13261" xr:uid="{00000000-0005-0000-0000-0000282F0000}"/>
    <cellStyle name="Normal 3 3 3 3 7" xfId="13262" xr:uid="{00000000-0005-0000-0000-0000292F0000}"/>
    <cellStyle name="Normal 3 3 3 3 7 2" xfId="26406" xr:uid="{823E2518-5675-4A40-9314-EDE6257DFB28}"/>
    <cellStyle name="Normal 3 3 3 3 7 2 2" xfId="41369" xr:uid="{DF993263-89F7-475F-9A12-F4FEB7834950}"/>
    <cellStyle name="Normal 3 3 3 3 7 3" xfId="33774" xr:uid="{89DBD20F-FF30-45C7-AB66-BB8DC940F9E3}"/>
    <cellStyle name="Normal 3 3 3 3 8" xfId="13263" xr:uid="{00000000-0005-0000-0000-00002A2F0000}"/>
    <cellStyle name="Normal 3 3 3 3 8 2" xfId="26407" xr:uid="{E1FCB998-FAE2-4371-80E9-72660F7A7316}"/>
    <cellStyle name="Normal 3 3 3 3 8 2 2" xfId="41370" xr:uid="{C3F6AA53-F293-4E8D-832E-BEB53B1110E7}"/>
    <cellStyle name="Normal 3 3 3 3 8 3" xfId="33775" xr:uid="{BE3418CA-6734-4A5C-A0E7-C7AF34165741}"/>
    <cellStyle name="Normal 3 3 3 3 9" xfId="13264" xr:uid="{00000000-0005-0000-0000-00002B2F0000}"/>
    <cellStyle name="Normal 3 3 3 4" xfId="13265" xr:uid="{00000000-0005-0000-0000-00002C2F0000}"/>
    <cellStyle name="Normal 3 3 3 4 2" xfId="13266" xr:uid="{00000000-0005-0000-0000-00002D2F0000}"/>
    <cellStyle name="Normal 3 3 3 4 2 2" xfId="13267" xr:uid="{00000000-0005-0000-0000-00002E2F0000}"/>
    <cellStyle name="Normal 3 3 3 4 2 2 2" xfId="13268" xr:uid="{00000000-0005-0000-0000-00002F2F0000}"/>
    <cellStyle name="Normal 3 3 3 4 2 2 3" xfId="13269" xr:uid="{00000000-0005-0000-0000-0000302F0000}"/>
    <cellStyle name="Normal 3 3 3 4 2 2 3 2" xfId="26408" xr:uid="{DF6404A7-D899-4012-809F-A5FC27ED39F2}"/>
    <cellStyle name="Normal 3 3 3 4 2 2 3 2 2" xfId="41371" xr:uid="{168E6B46-8EB4-497C-AF86-6FF9D05D1C24}"/>
    <cellStyle name="Normal 3 3 3 4 2 2 3 3" xfId="33776" xr:uid="{2ADF4FE4-886C-4E33-A8CD-216B31A40A95}"/>
    <cellStyle name="Normal 3 3 3 4 2 2 4" xfId="13270" xr:uid="{00000000-0005-0000-0000-0000312F0000}"/>
    <cellStyle name="Normal 3 3 3 4 2 3" xfId="13271" xr:uid="{00000000-0005-0000-0000-0000322F0000}"/>
    <cellStyle name="Normal 3 3 3 4 2 4" xfId="13272" xr:uid="{00000000-0005-0000-0000-0000332F0000}"/>
    <cellStyle name="Normal 3 3 3 4 2 4 2" xfId="26409" xr:uid="{D4652D93-4973-40AF-9B64-DF0B5B54CD8A}"/>
    <cellStyle name="Normal 3 3 3 4 2 4 2 2" xfId="41372" xr:uid="{68623D0E-C00A-4428-AEBC-8B5635B57BBE}"/>
    <cellStyle name="Normal 3 3 3 4 2 4 3" xfId="33777" xr:uid="{A25A12EA-963F-4E50-82C3-20D40EEAD24D}"/>
    <cellStyle name="Normal 3 3 3 4 2 5" xfId="13273" xr:uid="{00000000-0005-0000-0000-0000342F0000}"/>
    <cellStyle name="Normal 3 3 3 4 2 5 2" xfId="26410" xr:uid="{FFB2E5D0-F669-41E4-BAF8-41B896D50CC1}"/>
    <cellStyle name="Normal 3 3 3 4 2 5 2 2" xfId="41373" xr:uid="{FC1E9280-FEDB-45F0-94D7-409C7652C650}"/>
    <cellStyle name="Normal 3 3 3 4 2 5 3" xfId="33778" xr:uid="{B43EA1AA-B2C0-4274-B919-36DCA7361CFF}"/>
    <cellStyle name="Normal 3 3 3 4 2 6" xfId="13274" xr:uid="{00000000-0005-0000-0000-0000352F0000}"/>
    <cellStyle name="Normal 3 3 3 4 3" xfId="13275" xr:uid="{00000000-0005-0000-0000-0000362F0000}"/>
    <cellStyle name="Normal 3 3 3 4 3 2" xfId="13276" xr:uid="{00000000-0005-0000-0000-0000372F0000}"/>
    <cellStyle name="Normal 3 3 3 4 3 2 2" xfId="13277" xr:uid="{00000000-0005-0000-0000-0000382F0000}"/>
    <cellStyle name="Normal 3 3 3 4 3 2 3" xfId="13278" xr:uid="{00000000-0005-0000-0000-0000392F0000}"/>
    <cellStyle name="Normal 3 3 3 4 3 3" xfId="13279" xr:uid="{00000000-0005-0000-0000-00003A2F0000}"/>
    <cellStyle name="Normal 3 3 3 4 3 4" xfId="13280" xr:uid="{00000000-0005-0000-0000-00003B2F0000}"/>
    <cellStyle name="Normal 3 3 3 4 3 4 2" xfId="26411" xr:uid="{BDB45854-E68C-485D-8656-45AD201C6958}"/>
    <cellStyle name="Normal 3 3 3 4 3 4 2 2" xfId="41374" xr:uid="{DEE2676F-CDC3-44F8-92A2-79EC304E9BE8}"/>
    <cellStyle name="Normal 3 3 3 4 3 4 3" xfId="33779" xr:uid="{BB9E6BAF-EF7D-40C4-997C-AD445D3BB066}"/>
    <cellStyle name="Normal 3 3 3 4 3 5" xfId="13281" xr:uid="{00000000-0005-0000-0000-00003C2F0000}"/>
    <cellStyle name="Normal 3 3 3 4 3 5 2" xfId="26412" xr:uid="{2CEB931B-9BE1-404A-9509-218751E67777}"/>
    <cellStyle name="Normal 3 3 3 4 3 5 2 2" xfId="41375" xr:uid="{820B7F4C-9CBD-44B3-96B4-0BB39243F99F}"/>
    <cellStyle name="Normal 3 3 3 4 3 5 3" xfId="33780" xr:uid="{A5FDC8FF-5BE1-417F-83B5-BA2920B8A752}"/>
    <cellStyle name="Normal 3 3 3 4 3 6" xfId="13282" xr:uid="{00000000-0005-0000-0000-00003D2F0000}"/>
    <cellStyle name="Normal 3 3 3 4 4" xfId="13283" xr:uid="{00000000-0005-0000-0000-00003E2F0000}"/>
    <cellStyle name="Normal 3 3 3 4 4 2" xfId="13284" xr:uid="{00000000-0005-0000-0000-00003F2F0000}"/>
    <cellStyle name="Normal 3 3 3 4 4 3" xfId="13285" xr:uid="{00000000-0005-0000-0000-0000402F0000}"/>
    <cellStyle name="Normal 3 3 3 4 5" xfId="13286" xr:uid="{00000000-0005-0000-0000-0000412F0000}"/>
    <cellStyle name="Normal 3 3 3 4 6" xfId="13287" xr:uid="{00000000-0005-0000-0000-0000422F0000}"/>
    <cellStyle name="Normal 3 3 3 4 6 2" xfId="26413" xr:uid="{421C024B-85B2-4715-B81C-1A6DB5122B64}"/>
    <cellStyle name="Normal 3 3 3 4 6 2 2" xfId="41376" xr:uid="{E0CB9AC1-9A28-46B9-8F37-534589097955}"/>
    <cellStyle name="Normal 3 3 3 4 6 3" xfId="33781" xr:uid="{B4FC7BA8-49E7-4DC3-B704-CF701B4033E3}"/>
    <cellStyle name="Normal 3 3 3 4 7" xfId="13288" xr:uid="{00000000-0005-0000-0000-0000432F0000}"/>
    <cellStyle name="Normal 3 3 3 4 7 2" xfId="26414" xr:uid="{00EED9D3-3F93-48CE-B693-113D872E34F0}"/>
    <cellStyle name="Normal 3 3 3 4 7 2 2" xfId="41377" xr:uid="{E6BA9B44-EA2C-4922-ADC4-47851BE11A4D}"/>
    <cellStyle name="Normal 3 3 3 4 7 3" xfId="33782" xr:uid="{261BF44E-6E72-4123-B48A-5004911575DC}"/>
    <cellStyle name="Normal 3 3 3 4 8" xfId="13289" xr:uid="{00000000-0005-0000-0000-0000442F0000}"/>
    <cellStyle name="Normal 3 3 3 5" xfId="13290" xr:uid="{00000000-0005-0000-0000-0000452F0000}"/>
    <cellStyle name="Normal 3 3 3 5 2" xfId="13291" xr:uid="{00000000-0005-0000-0000-0000462F0000}"/>
    <cellStyle name="Normal 3 3 3 5 2 2" xfId="13292" xr:uid="{00000000-0005-0000-0000-0000472F0000}"/>
    <cellStyle name="Normal 3 3 3 5 2 3" xfId="26415" xr:uid="{89B00B82-EFE7-4834-9B50-945AD9E3308F}"/>
    <cellStyle name="Normal 3 3 3 5 2 3 2" xfId="41378" xr:uid="{E401198C-F7F5-4721-B6FA-2F466FFAEB2B}"/>
    <cellStyle name="Normal 3 3 3 5 2 4" xfId="33783" xr:uid="{C182093D-604A-45E8-937E-6B677F809E8A}"/>
    <cellStyle name="Normal 3 3 3 5 3" xfId="13293" xr:uid="{00000000-0005-0000-0000-0000482F0000}"/>
    <cellStyle name="Normal 3 3 3 5 4" xfId="13294" xr:uid="{00000000-0005-0000-0000-0000492F0000}"/>
    <cellStyle name="Normal 3 3 3 5 4 2" xfId="26416" xr:uid="{BCFCF763-B489-4691-9B80-9663655DADA3}"/>
    <cellStyle name="Normal 3 3 3 5 4 2 2" xfId="41379" xr:uid="{7BD6ADDB-FB7D-4F94-A717-2EE62D12F82B}"/>
    <cellStyle name="Normal 3 3 3 5 4 3" xfId="33784" xr:uid="{6314EA93-821B-4D36-BA21-FC8085997B77}"/>
    <cellStyle name="Normal 3 3 3 5 5" xfId="13295" xr:uid="{00000000-0005-0000-0000-00004A2F0000}"/>
    <cellStyle name="Normal 3 3 3 6" xfId="13296" xr:uid="{00000000-0005-0000-0000-00004B2F0000}"/>
    <cellStyle name="Normal 3 3 3 6 2" xfId="13297" xr:uid="{00000000-0005-0000-0000-00004C2F0000}"/>
    <cellStyle name="Normal 3 3 3 6 2 2" xfId="13298" xr:uid="{00000000-0005-0000-0000-00004D2F0000}"/>
    <cellStyle name="Normal 3 3 3 6 2 3" xfId="13299" xr:uid="{00000000-0005-0000-0000-00004E2F0000}"/>
    <cellStyle name="Normal 3 3 3 6 3" xfId="13300" xr:uid="{00000000-0005-0000-0000-00004F2F0000}"/>
    <cellStyle name="Normal 3 3 3 6 4" xfId="13301" xr:uid="{00000000-0005-0000-0000-0000502F0000}"/>
    <cellStyle name="Normal 3 3 3 6 4 2" xfId="26417" xr:uid="{16D1512B-5EF6-4F68-9423-6C792AA6C0A5}"/>
    <cellStyle name="Normal 3 3 3 6 4 2 2" xfId="41380" xr:uid="{A15974B8-3597-4A53-9DF5-F49C9AD38027}"/>
    <cellStyle name="Normal 3 3 3 6 4 3" xfId="33785" xr:uid="{5EE309B6-D7CF-4CCA-8872-049F366F77F3}"/>
    <cellStyle name="Normal 3 3 3 6 5" xfId="13302" xr:uid="{00000000-0005-0000-0000-0000512F0000}"/>
    <cellStyle name="Normal 3 3 3 6 5 2" xfId="26418" xr:uid="{FCD240B3-5EC5-4CFD-969E-3557E88D86ED}"/>
    <cellStyle name="Normal 3 3 3 6 5 2 2" xfId="41381" xr:uid="{B7C8BBD1-1E07-4106-A576-8E42A12B4FFF}"/>
    <cellStyle name="Normal 3 3 3 6 5 3" xfId="33786" xr:uid="{B2F17380-F080-4717-88C7-CBBB76E13131}"/>
    <cellStyle name="Normal 3 3 3 6 6" xfId="13303" xr:uid="{00000000-0005-0000-0000-0000522F0000}"/>
    <cellStyle name="Normal 3 3 3 7" xfId="13304" xr:uid="{00000000-0005-0000-0000-0000532F0000}"/>
    <cellStyle name="Normal 3 3 3 7 2" xfId="13305" xr:uid="{00000000-0005-0000-0000-0000542F0000}"/>
    <cellStyle name="Normal 3 3 3 7 2 2" xfId="13306" xr:uid="{00000000-0005-0000-0000-0000552F0000}"/>
    <cellStyle name="Normal 3 3 3 7 2 3" xfId="13307" xr:uid="{00000000-0005-0000-0000-0000562F0000}"/>
    <cellStyle name="Normal 3 3 3 7 3" xfId="13308" xr:uid="{00000000-0005-0000-0000-0000572F0000}"/>
    <cellStyle name="Normal 3 3 3 7 4" xfId="13309" xr:uid="{00000000-0005-0000-0000-0000582F0000}"/>
    <cellStyle name="Normal 3 3 3 7 4 2" xfId="26419" xr:uid="{00BC3D32-714F-4B66-8D6A-4E9BC35000B2}"/>
    <cellStyle name="Normal 3 3 3 7 4 2 2" xfId="41382" xr:uid="{266C03F3-99AE-4333-83B3-5BEA2ACB6601}"/>
    <cellStyle name="Normal 3 3 3 7 4 3" xfId="33787" xr:uid="{E860CD86-7C73-49C6-8BB0-C8EF4E3BF748}"/>
    <cellStyle name="Normal 3 3 3 7 5" xfId="13310" xr:uid="{00000000-0005-0000-0000-0000592F0000}"/>
    <cellStyle name="Normal 3 3 3 7 5 2" xfId="26420" xr:uid="{52D4CC77-A27C-44D3-814B-7A3DEE5C3C20}"/>
    <cellStyle name="Normal 3 3 3 7 5 2 2" xfId="41383" xr:uid="{365A40F6-16FB-44C8-B320-240254BEF0CB}"/>
    <cellStyle name="Normal 3 3 3 7 5 3" xfId="33788" xr:uid="{CD38BC45-DF7E-4687-AFCA-A69799AF5415}"/>
    <cellStyle name="Normal 3 3 3 7 6" xfId="13311" xr:uid="{00000000-0005-0000-0000-00005A2F0000}"/>
    <cellStyle name="Normal 3 3 3 8" xfId="13312" xr:uid="{00000000-0005-0000-0000-00005B2F0000}"/>
    <cellStyle name="Normal 3 3 3 8 2" xfId="13313" xr:uid="{00000000-0005-0000-0000-00005C2F0000}"/>
    <cellStyle name="Normal 3 3 3 8 3" xfId="13314" xr:uid="{00000000-0005-0000-0000-00005D2F0000}"/>
    <cellStyle name="Normal 3 3 3 9" xfId="13315" xr:uid="{00000000-0005-0000-0000-00005E2F0000}"/>
    <cellStyle name="Normal 3 3 30" xfId="5362" xr:uid="{00000000-0005-0000-0000-0000CF2C0000}"/>
    <cellStyle name="Normal 3 3 31" xfId="20746" xr:uid="{E3E4C5F6-53D2-412A-96B8-AEA1BA9EEFB0}"/>
    <cellStyle name="Normal 3 3 31 2" xfId="35739" xr:uid="{334C0F0E-7B45-4403-92AE-6F19D524C994}"/>
    <cellStyle name="Normal 3 3 32" xfId="28063" xr:uid="{5B3451F0-5BFD-4F06-8171-EE3260BA14B0}"/>
    <cellStyle name="Normal 3 3 4" xfId="2191" xr:uid="{00000000-0005-0000-0000-00003E080000}"/>
    <cellStyle name="Normal 3 3 4 10" xfId="13316" xr:uid="{00000000-0005-0000-0000-0000602F0000}"/>
    <cellStyle name="Normal 3 3 4 2" xfId="13317" xr:uid="{00000000-0005-0000-0000-0000612F0000}"/>
    <cellStyle name="Normal 3 3 4 2 2" xfId="13318" xr:uid="{00000000-0005-0000-0000-0000622F0000}"/>
    <cellStyle name="Normal 3 3 4 2 2 2" xfId="13319" xr:uid="{00000000-0005-0000-0000-0000632F0000}"/>
    <cellStyle name="Normal 3 3 4 2 2 2 2" xfId="13320" xr:uid="{00000000-0005-0000-0000-0000642F0000}"/>
    <cellStyle name="Normal 3 3 4 2 2 2 2 2" xfId="13321" xr:uid="{00000000-0005-0000-0000-0000652F0000}"/>
    <cellStyle name="Normal 3 3 4 2 2 2 2 3" xfId="13322" xr:uid="{00000000-0005-0000-0000-0000662F0000}"/>
    <cellStyle name="Normal 3 3 4 2 2 2 3" xfId="13323" xr:uid="{00000000-0005-0000-0000-0000672F0000}"/>
    <cellStyle name="Normal 3 3 4 2 2 2 4" xfId="13324" xr:uid="{00000000-0005-0000-0000-0000682F0000}"/>
    <cellStyle name="Normal 3 3 4 2 2 2 4 2" xfId="26421" xr:uid="{45850BED-29B1-4AB6-8890-E54F47666583}"/>
    <cellStyle name="Normal 3 3 4 2 2 2 4 2 2" xfId="41384" xr:uid="{68B89DCE-17BF-4922-B9DA-A1723F2AC0C9}"/>
    <cellStyle name="Normal 3 3 4 2 2 2 4 3" xfId="33789" xr:uid="{33B5D9E9-905C-45B8-ABD2-D15B207077BF}"/>
    <cellStyle name="Normal 3 3 4 2 2 2 5" xfId="13325" xr:uid="{00000000-0005-0000-0000-0000692F0000}"/>
    <cellStyle name="Normal 3 3 4 2 2 2 5 2" xfId="26422" xr:uid="{FB392F87-9F66-4E50-903C-4581BCDFEF99}"/>
    <cellStyle name="Normal 3 3 4 2 2 2 5 2 2" xfId="41385" xr:uid="{1768E611-00D3-4970-BE98-528EC3490580}"/>
    <cellStyle name="Normal 3 3 4 2 2 2 5 3" xfId="33790" xr:uid="{BA3F91BA-0C20-4A1D-9A62-F7647F274957}"/>
    <cellStyle name="Normal 3 3 4 2 2 2 6" xfId="13326" xr:uid="{00000000-0005-0000-0000-00006A2F0000}"/>
    <cellStyle name="Normal 3 3 4 2 2 3" xfId="13327" xr:uid="{00000000-0005-0000-0000-00006B2F0000}"/>
    <cellStyle name="Normal 3 3 4 2 2 3 2" xfId="13328" xr:uid="{00000000-0005-0000-0000-00006C2F0000}"/>
    <cellStyle name="Normal 3 3 4 2 2 3 2 2" xfId="13329" xr:uid="{00000000-0005-0000-0000-00006D2F0000}"/>
    <cellStyle name="Normal 3 3 4 2 2 3 2 3" xfId="13330" xr:uid="{00000000-0005-0000-0000-00006E2F0000}"/>
    <cellStyle name="Normal 3 3 4 2 2 3 3" xfId="13331" xr:uid="{00000000-0005-0000-0000-00006F2F0000}"/>
    <cellStyle name="Normal 3 3 4 2 2 3 3 2" xfId="13332" xr:uid="{00000000-0005-0000-0000-0000702F0000}"/>
    <cellStyle name="Normal 3 3 4 2 2 3 3 3" xfId="26423" xr:uid="{FB0D9C82-20B1-459F-B0BD-18774E40A1FD}"/>
    <cellStyle name="Normal 3 3 4 2 2 3 3 3 2" xfId="41386" xr:uid="{D88C9CE1-85E0-4DCA-A247-8B8F0148167D}"/>
    <cellStyle name="Normal 3 3 4 2 2 3 3 4" xfId="33791" xr:uid="{497F0A96-2AE4-4D4B-B05B-EFD32F966777}"/>
    <cellStyle name="Normal 3 3 4 2 2 3 4" xfId="13333" xr:uid="{00000000-0005-0000-0000-0000712F0000}"/>
    <cellStyle name="Normal 3 3 4 2 2 4" xfId="13334" xr:uid="{00000000-0005-0000-0000-0000722F0000}"/>
    <cellStyle name="Normal 3 3 4 2 2 4 2" xfId="13335" xr:uid="{00000000-0005-0000-0000-0000732F0000}"/>
    <cellStyle name="Normal 3 3 4 2 2 4 3" xfId="13336" xr:uid="{00000000-0005-0000-0000-0000742F0000}"/>
    <cellStyle name="Normal 3 3 4 2 2 5" xfId="13337" xr:uid="{00000000-0005-0000-0000-0000752F0000}"/>
    <cellStyle name="Normal 3 3 4 2 2 6" xfId="13338" xr:uid="{00000000-0005-0000-0000-0000762F0000}"/>
    <cellStyle name="Normal 3 3 4 2 2 6 2" xfId="26424" xr:uid="{9279CE3C-1AFE-4D32-AD45-ADCB6A66864D}"/>
    <cellStyle name="Normal 3 3 4 2 2 6 2 2" xfId="41387" xr:uid="{6E2C3149-CCB5-4E08-9D99-46438BDB5D3F}"/>
    <cellStyle name="Normal 3 3 4 2 2 6 3" xfId="33792" xr:uid="{3C521A9D-171C-4916-8368-C69AA07E364B}"/>
    <cellStyle name="Normal 3 3 4 2 2 7" xfId="13339" xr:uid="{00000000-0005-0000-0000-0000772F0000}"/>
    <cellStyle name="Normal 3 3 4 2 2 7 2" xfId="26425" xr:uid="{9AADCD7A-A496-455F-955F-1BEC79AF83DB}"/>
    <cellStyle name="Normal 3 3 4 2 2 7 2 2" xfId="41388" xr:uid="{0CB1BE24-85D1-491A-AB0C-9F04EA6D95BA}"/>
    <cellStyle name="Normal 3 3 4 2 2 7 3" xfId="33793" xr:uid="{19DC4D02-0BCB-40A9-9ADB-76E47A796AD0}"/>
    <cellStyle name="Normal 3 3 4 2 2 8" xfId="13340" xr:uid="{00000000-0005-0000-0000-0000782F0000}"/>
    <cellStyle name="Normal 3 3 4 2 3" xfId="13341" xr:uid="{00000000-0005-0000-0000-0000792F0000}"/>
    <cellStyle name="Normal 3 3 4 2 3 2" xfId="13342" xr:uid="{00000000-0005-0000-0000-00007A2F0000}"/>
    <cellStyle name="Normal 3 3 4 2 3 2 2" xfId="13343" xr:uid="{00000000-0005-0000-0000-00007B2F0000}"/>
    <cellStyle name="Normal 3 3 4 2 3 2 3" xfId="13344" xr:uid="{00000000-0005-0000-0000-00007C2F0000}"/>
    <cellStyle name="Normal 3 3 4 2 3 3" xfId="13345" xr:uid="{00000000-0005-0000-0000-00007D2F0000}"/>
    <cellStyle name="Normal 3 3 4 2 3 4" xfId="13346" xr:uid="{00000000-0005-0000-0000-00007E2F0000}"/>
    <cellStyle name="Normal 3 3 4 2 3 4 2" xfId="26426" xr:uid="{786E04D9-BBF4-4CFC-B18E-AEF63D73B1EC}"/>
    <cellStyle name="Normal 3 3 4 2 3 4 2 2" xfId="41389" xr:uid="{10BAABF2-9B65-4805-B819-5009FA16F69E}"/>
    <cellStyle name="Normal 3 3 4 2 3 4 3" xfId="33794" xr:uid="{C779926F-7B00-4C49-B9E0-72004F6CCB87}"/>
    <cellStyle name="Normal 3 3 4 2 3 5" xfId="13347" xr:uid="{00000000-0005-0000-0000-00007F2F0000}"/>
    <cellStyle name="Normal 3 3 4 2 3 5 2" xfId="26427" xr:uid="{C8C333D8-36C1-44C8-9A4A-8A9B00184625}"/>
    <cellStyle name="Normal 3 3 4 2 3 5 2 2" xfId="41390" xr:uid="{AC4B8928-7284-4E0A-905B-8D5E8B2C0366}"/>
    <cellStyle name="Normal 3 3 4 2 3 5 3" xfId="33795" xr:uid="{9143BB8D-52C3-4688-B7AC-223287AC5680}"/>
    <cellStyle name="Normal 3 3 4 2 3 6" xfId="13348" xr:uid="{00000000-0005-0000-0000-0000802F0000}"/>
    <cellStyle name="Normal 3 3 4 2 4" xfId="13349" xr:uid="{00000000-0005-0000-0000-0000812F0000}"/>
    <cellStyle name="Normal 3 3 4 2 4 2" xfId="13350" xr:uid="{00000000-0005-0000-0000-0000822F0000}"/>
    <cellStyle name="Normal 3 3 4 2 4 2 2" xfId="13351" xr:uid="{00000000-0005-0000-0000-0000832F0000}"/>
    <cellStyle name="Normal 3 3 4 2 4 2 3" xfId="13352" xr:uid="{00000000-0005-0000-0000-0000842F0000}"/>
    <cellStyle name="Normal 3 3 4 2 4 3" xfId="13353" xr:uid="{00000000-0005-0000-0000-0000852F0000}"/>
    <cellStyle name="Normal 3 3 4 2 4 3 2" xfId="13354" xr:uid="{00000000-0005-0000-0000-0000862F0000}"/>
    <cellStyle name="Normal 3 3 4 2 4 3 3" xfId="26428" xr:uid="{71C9F715-28F2-4F34-A7B9-334DCFE1736C}"/>
    <cellStyle name="Normal 3 3 4 2 4 3 3 2" xfId="41391" xr:uid="{B8BB628B-3EDB-45D9-9C0F-4FC0A3258BDE}"/>
    <cellStyle name="Normal 3 3 4 2 4 3 4" xfId="33796" xr:uid="{966FDB71-8554-4212-897B-39DBC9869E47}"/>
    <cellStyle name="Normal 3 3 4 2 4 4" xfId="13355" xr:uid="{00000000-0005-0000-0000-0000872F0000}"/>
    <cellStyle name="Normal 3 3 4 2 5" xfId="13356" xr:uid="{00000000-0005-0000-0000-0000882F0000}"/>
    <cellStyle name="Normal 3 3 4 2 5 2" xfId="13357" xr:uid="{00000000-0005-0000-0000-0000892F0000}"/>
    <cellStyle name="Normal 3 3 4 2 5 3" xfId="13358" xr:uid="{00000000-0005-0000-0000-00008A2F0000}"/>
    <cellStyle name="Normal 3 3 4 2 6" xfId="13359" xr:uid="{00000000-0005-0000-0000-00008B2F0000}"/>
    <cellStyle name="Normal 3 3 4 2 7" xfId="13360" xr:uid="{00000000-0005-0000-0000-00008C2F0000}"/>
    <cellStyle name="Normal 3 3 4 2 7 2" xfId="26429" xr:uid="{5C772C14-9A51-48F5-8444-1A850D7EDCA1}"/>
    <cellStyle name="Normal 3 3 4 2 7 2 2" xfId="41392" xr:uid="{A5F3DDCA-2C1B-41B8-B225-527B99EB1B86}"/>
    <cellStyle name="Normal 3 3 4 2 7 3" xfId="33797" xr:uid="{D9667E98-A3D7-44E7-90EF-77C937C9D329}"/>
    <cellStyle name="Normal 3 3 4 2 8" xfId="13361" xr:uid="{00000000-0005-0000-0000-00008D2F0000}"/>
    <cellStyle name="Normal 3 3 4 2 8 2" xfId="26430" xr:uid="{A49CFF0E-267A-4B86-8029-5ACA80F063FB}"/>
    <cellStyle name="Normal 3 3 4 2 8 2 2" xfId="41393" xr:uid="{FBAF44C3-25B2-41A6-A16D-6BDD11373F92}"/>
    <cellStyle name="Normal 3 3 4 2 8 3" xfId="33798" xr:uid="{B3D65AB1-297B-46FF-BD1D-0DEDC8B3B3BC}"/>
    <cellStyle name="Normal 3 3 4 2 9" xfId="13362" xr:uid="{00000000-0005-0000-0000-00008E2F0000}"/>
    <cellStyle name="Normal 3 3 4 3" xfId="13363" xr:uid="{00000000-0005-0000-0000-00008F2F0000}"/>
    <cellStyle name="Normal 3 3 4 3 2" xfId="13364" xr:uid="{00000000-0005-0000-0000-0000902F0000}"/>
    <cellStyle name="Normal 3 3 4 3 2 2" xfId="13365" xr:uid="{00000000-0005-0000-0000-0000912F0000}"/>
    <cellStyle name="Normal 3 3 4 3 2 2 2" xfId="13366" xr:uid="{00000000-0005-0000-0000-0000922F0000}"/>
    <cellStyle name="Normal 3 3 4 3 2 2 3" xfId="13367" xr:uid="{00000000-0005-0000-0000-0000932F0000}"/>
    <cellStyle name="Normal 3 3 4 3 2 2 3 2" xfId="26431" xr:uid="{A23DC145-F698-4B0A-A1C1-650DC53A0AA3}"/>
    <cellStyle name="Normal 3 3 4 3 2 2 3 2 2" xfId="41394" xr:uid="{732602C9-7730-4249-A540-849DD1489B55}"/>
    <cellStyle name="Normal 3 3 4 3 2 2 3 3" xfId="33799" xr:uid="{C1B170C6-68BD-4931-A704-060DFFE44DE9}"/>
    <cellStyle name="Normal 3 3 4 3 2 2 4" xfId="13368" xr:uid="{00000000-0005-0000-0000-0000942F0000}"/>
    <cellStyle name="Normal 3 3 4 3 2 3" xfId="13369" xr:uid="{00000000-0005-0000-0000-0000952F0000}"/>
    <cellStyle name="Normal 3 3 4 3 2 4" xfId="13370" xr:uid="{00000000-0005-0000-0000-0000962F0000}"/>
    <cellStyle name="Normal 3 3 4 3 2 4 2" xfId="26432" xr:uid="{673F4AB2-F80D-4B51-9D3D-6F2395D10711}"/>
    <cellStyle name="Normal 3 3 4 3 2 4 2 2" xfId="41395" xr:uid="{0DC90345-AF8E-4566-93D7-37942014109D}"/>
    <cellStyle name="Normal 3 3 4 3 2 4 3" xfId="33800" xr:uid="{55637134-C84C-4728-AFD4-C73EC2C273E6}"/>
    <cellStyle name="Normal 3 3 4 3 2 5" xfId="13371" xr:uid="{00000000-0005-0000-0000-0000972F0000}"/>
    <cellStyle name="Normal 3 3 4 3 2 5 2" xfId="26433" xr:uid="{25CDD050-7764-4F6F-B3B2-CE0E1715599F}"/>
    <cellStyle name="Normal 3 3 4 3 2 5 2 2" xfId="41396" xr:uid="{FFD27959-E80A-4D3E-9C1E-774260BF846A}"/>
    <cellStyle name="Normal 3 3 4 3 2 5 3" xfId="33801" xr:uid="{A0A54065-65FF-4B49-81EE-C50D3C414B67}"/>
    <cellStyle name="Normal 3 3 4 3 2 6" xfId="13372" xr:uid="{00000000-0005-0000-0000-0000982F0000}"/>
    <cellStyle name="Normal 3 3 4 3 3" xfId="13373" xr:uid="{00000000-0005-0000-0000-0000992F0000}"/>
    <cellStyle name="Normal 3 3 4 3 3 2" xfId="13374" xr:uid="{00000000-0005-0000-0000-00009A2F0000}"/>
    <cellStyle name="Normal 3 3 4 3 3 2 2" xfId="13375" xr:uid="{00000000-0005-0000-0000-00009B2F0000}"/>
    <cellStyle name="Normal 3 3 4 3 3 2 3" xfId="13376" xr:uid="{00000000-0005-0000-0000-00009C2F0000}"/>
    <cellStyle name="Normal 3 3 4 3 3 3" xfId="13377" xr:uid="{00000000-0005-0000-0000-00009D2F0000}"/>
    <cellStyle name="Normal 3 3 4 3 3 4" xfId="13378" xr:uid="{00000000-0005-0000-0000-00009E2F0000}"/>
    <cellStyle name="Normal 3 3 4 3 3 4 2" xfId="26434" xr:uid="{C70FBB06-A39D-45E0-8D80-C71193965FC6}"/>
    <cellStyle name="Normal 3 3 4 3 3 4 2 2" xfId="41397" xr:uid="{940FEBBC-A35B-41D6-83AD-2DA09F818EF5}"/>
    <cellStyle name="Normal 3 3 4 3 3 4 3" xfId="33802" xr:uid="{EF68B324-72CF-4880-9ED8-45EEABC26BD6}"/>
    <cellStyle name="Normal 3 3 4 3 3 5" xfId="13379" xr:uid="{00000000-0005-0000-0000-00009F2F0000}"/>
    <cellStyle name="Normal 3 3 4 3 3 5 2" xfId="26435" xr:uid="{CB6D53C2-B56F-41C3-A9F6-84145979E753}"/>
    <cellStyle name="Normal 3 3 4 3 3 5 2 2" xfId="41398" xr:uid="{11FFB281-EC66-4508-B572-01B45E30232C}"/>
    <cellStyle name="Normal 3 3 4 3 3 5 3" xfId="33803" xr:uid="{9788A88C-4CD1-4993-926F-4B77790C44E9}"/>
    <cellStyle name="Normal 3 3 4 3 3 6" xfId="13380" xr:uid="{00000000-0005-0000-0000-0000A02F0000}"/>
    <cellStyle name="Normal 3 3 4 3 4" xfId="13381" xr:uid="{00000000-0005-0000-0000-0000A12F0000}"/>
    <cellStyle name="Normal 3 3 4 3 4 2" xfId="13382" xr:uid="{00000000-0005-0000-0000-0000A22F0000}"/>
    <cellStyle name="Normal 3 3 4 3 4 3" xfId="13383" xr:uid="{00000000-0005-0000-0000-0000A32F0000}"/>
    <cellStyle name="Normal 3 3 4 3 5" xfId="13384" xr:uid="{00000000-0005-0000-0000-0000A42F0000}"/>
    <cellStyle name="Normal 3 3 4 3 6" xfId="13385" xr:uid="{00000000-0005-0000-0000-0000A52F0000}"/>
    <cellStyle name="Normal 3 3 4 3 6 2" xfId="26436" xr:uid="{A37000C1-F2D9-4EA6-ACF8-EC6DE4890430}"/>
    <cellStyle name="Normal 3 3 4 3 6 2 2" xfId="41399" xr:uid="{DA0B1647-CF5F-4050-BE2B-6EEF80DD2C70}"/>
    <cellStyle name="Normal 3 3 4 3 6 3" xfId="33804" xr:uid="{C83D419E-738C-428D-B935-E2BDB41A1B86}"/>
    <cellStyle name="Normal 3 3 4 3 7" xfId="13386" xr:uid="{00000000-0005-0000-0000-0000A62F0000}"/>
    <cellStyle name="Normal 3 3 4 3 7 2" xfId="26437" xr:uid="{DD5AF75D-C7B0-4305-9E02-750D8D36873B}"/>
    <cellStyle name="Normal 3 3 4 3 7 2 2" xfId="41400" xr:uid="{FEB4CCB3-29E4-44B2-A702-E6283D98EC27}"/>
    <cellStyle name="Normal 3 3 4 3 7 3" xfId="33805" xr:uid="{A8F73202-FA9A-4F04-AF4B-4DDB6D814A2F}"/>
    <cellStyle name="Normal 3 3 4 3 8" xfId="13387" xr:uid="{00000000-0005-0000-0000-0000A72F0000}"/>
    <cellStyle name="Normal 3 3 4 4" xfId="13388" xr:uid="{00000000-0005-0000-0000-0000A82F0000}"/>
    <cellStyle name="Normal 3 3 4 4 2" xfId="13389" xr:uid="{00000000-0005-0000-0000-0000A92F0000}"/>
    <cellStyle name="Normal 3 3 4 4 2 2" xfId="13390" xr:uid="{00000000-0005-0000-0000-0000AA2F0000}"/>
    <cellStyle name="Normal 3 3 4 4 2 3" xfId="26438" xr:uid="{8FFBB2F4-DC07-4A14-90EF-1E1F3C9058E1}"/>
    <cellStyle name="Normal 3 3 4 4 2 3 2" xfId="41401" xr:uid="{1C6B4F3E-1C2A-481B-AD98-0ED1ECB66900}"/>
    <cellStyle name="Normal 3 3 4 4 2 4" xfId="33806" xr:uid="{E0DAF718-87E3-4738-A301-300D953E5B6E}"/>
    <cellStyle name="Normal 3 3 4 4 3" xfId="13391" xr:uid="{00000000-0005-0000-0000-0000AB2F0000}"/>
    <cellStyle name="Normal 3 3 4 4 4" xfId="13392" xr:uid="{00000000-0005-0000-0000-0000AC2F0000}"/>
    <cellStyle name="Normal 3 3 4 4 4 2" xfId="26439" xr:uid="{9EBAD9BA-E8E4-45D8-9575-F77184B00177}"/>
    <cellStyle name="Normal 3 3 4 4 4 2 2" xfId="41402" xr:uid="{30152A04-6CE5-4039-B189-E4CE0B0E1B78}"/>
    <cellStyle name="Normal 3 3 4 4 4 3" xfId="33807" xr:uid="{3E580519-F658-4E91-A5EB-C683BBD8743B}"/>
    <cellStyle name="Normal 3 3 4 4 5" xfId="13393" xr:uid="{00000000-0005-0000-0000-0000AD2F0000}"/>
    <cellStyle name="Normal 3 3 4 5" xfId="13394" xr:uid="{00000000-0005-0000-0000-0000AE2F0000}"/>
    <cellStyle name="Normal 3 3 4 5 2" xfId="13395" xr:uid="{00000000-0005-0000-0000-0000AF2F0000}"/>
    <cellStyle name="Normal 3 3 4 5 2 2" xfId="13396" xr:uid="{00000000-0005-0000-0000-0000B02F0000}"/>
    <cellStyle name="Normal 3 3 4 5 2 3" xfId="13397" xr:uid="{00000000-0005-0000-0000-0000B12F0000}"/>
    <cellStyle name="Normal 3 3 4 5 3" xfId="13398" xr:uid="{00000000-0005-0000-0000-0000B22F0000}"/>
    <cellStyle name="Normal 3 3 4 5 4" xfId="13399" xr:uid="{00000000-0005-0000-0000-0000B32F0000}"/>
    <cellStyle name="Normal 3 3 4 5 4 2" xfId="26440" xr:uid="{18D8029B-DDB2-482C-AD4F-4AD4262B9BF4}"/>
    <cellStyle name="Normal 3 3 4 5 4 2 2" xfId="41403" xr:uid="{971C162E-F208-473A-8734-31437E2C9542}"/>
    <cellStyle name="Normal 3 3 4 5 4 3" xfId="33808" xr:uid="{7F8D5A3A-520F-4450-8978-66B3AAA592BE}"/>
    <cellStyle name="Normal 3 3 4 5 5" xfId="13400" xr:uid="{00000000-0005-0000-0000-0000B42F0000}"/>
    <cellStyle name="Normal 3 3 4 5 5 2" xfId="26441" xr:uid="{27DE5B1A-54F7-46FB-A388-9BF1F978DF1F}"/>
    <cellStyle name="Normal 3 3 4 5 5 2 2" xfId="41404" xr:uid="{CB2ECA16-CB9A-4DD5-A101-23010EABDBC3}"/>
    <cellStyle name="Normal 3 3 4 5 5 3" xfId="33809" xr:uid="{A49C235B-8F1C-4DD8-B8B2-A9B796CAB672}"/>
    <cellStyle name="Normal 3 3 4 5 6" xfId="13401" xr:uid="{00000000-0005-0000-0000-0000B52F0000}"/>
    <cellStyle name="Normal 3 3 4 6" xfId="13402" xr:uid="{00000000-0005-0000-0000-0000B62F0000}"/>
    <cellStyle name="Normal 3 3 4 6 2" xfId="13403" xr:uid="{00000000-0005-0000-0000-0000B72F0000}"/>
    <cellStyle name="Normal 3 3 4 6 2 2" xfId="13404" xr:uid="{00000000-0005-0000-0000-0000B82F0000}"/>
    <cellStyle name="Normal 3 3 4 6 2 3" xfId="13405" xr:uid="{00000000-0005-0000-0000-0000B92F0000}"/>
    <cellStyle name="Normal 3 3 4 6 3" xfId="13406" xr:uid="{00000000-0005-0000-0000-0000BA2F0000}"/>
    <cellStyle name="Normal 3 3 4 6 4" xfId="13407" xr:uid="{00000000-0005-0000-0000-0000BB2F0000}"/>
    <cellStyle name="Normal 3 3 4 6 4 2" xfId="26442" xr:uid="{52101909-0DA1-4F73-82A3-0802B1E76B93}"/>
    <cellStyle name="Normal 3 3 4 6 4 2 2" xfId="41405" xr:uid="{B8C695EA-ABEB-48C8-B383-CED8AB81E527}"/>
    <cellStyle name="Normal 3 3 4 6 4 3" xfId="33810" xr:uid="{DAFA15DC-2FCC-4DC7-8B3E-2D6E096C1340}"/>
    <cellStyle name="Normal 3 3 4 6 5" xfId="13408" xr:uid="{00000000-0005-0000-0000-0000BC2F0000}"/>
    <cellStyle name="Normal 3 3 4 6 5 2" xfId="26443" xr:uid="{1933AB8B-2303-4375-975C-DE4C51682ABD}"/>
    <cellStyle name="Normal 3 3 4 6 5 2 2" xfId="41406" xr:uid="{34F2AE3A-103C-4338-97F6-CC45668BA062}"/>
    <cellStyle name="Normal 3 3 4 6 5 3" xfId="33811" xr:uid="{5F548758-EC59-4585-9D5C-48566C689CD6}"/>
    <cellStyle name="Normal 3 3 4 6 6" xfId="13409" xr:uid="{00000000-0005-0000-0000-0000BD2F0000}"/>
    <cellStyle name="Normal 3 3 4 7" xfId="13410" xr:uid="{00000000-0005-0000-0000-0000BE2F0000}"/>
    <cellStyle name="Normal 3 3 4 7 2" xfId="13411" xr:uid="{00000000-0005-0000-0000-0000BF2F0000}"/>
    <cellStyle name="Normal 3 3 4 7 3" xfId="13412" xr:uid="{00000000-0005-0000-0000-0000C02F0000}"/>
    <cellStyle name="Normal 3 3 4 8" xfId="13413" xr:uid="{00000000-0005-0000-0000-0000C12F0000}"/>
    <cellStyle name="Normal 3 3 4 9" xfId="13414" xr:uid="{00000000-0005-0000-0000-0000C22F0000}"/>
    <cellStyle name="Normal 3 3 4 9 2" xfId="26444" xr:uid="{46FFCD09-64AB-44A8-977E-8D88412B1BD8}"/>
    <cellStyle name="Normal 3 3 4 9 2 2" xfId="41407" xr:uid="{87EC5313-6EF0-49CF-9C5C-2405F0D1725B}"/>
    <cellStyle name="Normal 3 3 4 9 3" xfId="33812" xr:uid="{162B3548-290C-4EE7-9CD0-8589FB32C741}"/>
    <cellStyle name="Normal 3 3 5" xfId="2192" xr:uid="{00000000-0005-0000-0000-00003F080000}"/>
    <cellStyle name="Normal 3 3 5 2" xfId="13415" xr:uid="{00000000-0005-0000-0000-0000C42F0000}"/>
    <cellStyle name="Normal 3 3 5 2 2" xfId="13416" xr:uid="{00000000-0005-0000-0000-0000C52F0000}"/>
    <cellStyle name="Normal 3 3 5 2 2 2" xfId="13417" xr:uid="{00000000-0005-0000-0000-0000C62F0000}"/>
    <cellStyle name="Normal 3 3 5 2 2 2 2" xfId="13418" xr:uid="{00000000-0005-0000-0000-0000C72F0000}"/>
    <cellStyle name="Normal 3 3 5 2 2 2 2 2" xfId="13419" xr:uid="{00000000-0005-0000-0000-0000C82F0000}"/>
    <cellStyle name="Normal 3 3 5 2 2 2 2 3" xfId="13420" xr:uid="{00000000-0005-0000-0000-0000C92F0000}"/>
    <cellStyle name="Normal 3 3 5 2 2 2 3" xfId="13421" xr:uid="{00000000-0005-0000-0000-0000CA2F0000}"/>
    <cellStyle name="Normal 3 3 5 2 2 2 3 2" xfId="13422" xr:uid="{00000000-0005-0000-0000-0000CB2F0000}"/>
    <cellStyle name="Normal 3 3 5 2 2 2 3 3" xfId="26445" xr:uid="{AC355FFC-5B6D-4314-875D-F68981C071D6}"/>
    <cellStyle name="Normal 3 3 5 2 2 2 3 3 2" xfId="41408" xr:uid="{C8ED79B7-C5E0-4D4F-9A4B-696C336E90AE}"/>
    <cellStyle name="Normal 3 3 5 2 2 2 3 4" xfId="33813" xr:uid="{C355D4FB-F779-489F-BC59-516F0407F707}"/>
    <cellStyle name="Normal 3 3 5 2 2 2 4" xfId="13423" xr:uid="{00000000-0005-0000-0000-0000CC2F0000}"/>
    <cellStyle name="Normal 3 3 5 2 2 3" xfId="13424" xr:uid="{00000000-0005-0000-0000-0000CD2F0000}"/>
    <cellStyle name="Normal 3 3 5 2 2 3 2" xfId="13425" xr:uid="{00000000-0005-0000-0000-0000CE2F0000}"/>
    <cellStyle name="Normal 3 3 5 2 2 3 3" xfId="13426" xr:uid="{00000000-0005-0000-0000-0000CF2F0000}"/>
    <cellStyle name="Normal 3 3 5 2 2 4" xfId="13427" xr:uid="{00000000-0005-0000-0000-0000D02F0000}"/>
    <cellStyle name="Normal 3 3 5 2 2 5" xfId="13428" xr:uid="{00000000-0005-0000-0000-0000D12F0000}"/>
    <cellStyle name="Normal 3 3 5 2 2 5 2" xfId="26446" xr:uid="{E52998CA-7126-4A2B-8122-6B54CB752DEF}"/>
    <cellStyle name="Normal 3 3 5 2 2 5 2 2" xfId="41409" xr:uid="{F369C2CF-40D5-499F-B07A-5D4EF1A9F31B}"/>
    <cellStyle name="Normal 3 3 5 2 2 5 3" xfId="33814" xr:uid="{D2976AEB-961B-418E-8C14-7088FA3EB278}"/>
    <cellStyle name="Normal 3 3 5 2 2 6" xfId="13429" xr:uid="{00000000-0005-0000-0000-0000D22F0000}"/>
    <cellStyle name="Normal 3 3 5 2 2 6 2" xfId="26447" xr:uid="{714BA949-7F3D-4683-90B0-0500C48A761E}"/>
    <cellStyle name="Normal 3 3 5 2 2 6 2 2" xfId="41410" xr:uid="{BFF02E4D-DB33-4AD8-B065-4C15A45F38BE}"/>
    <cellStyle name="Normal 3 3 5 2 2 6 3" xfId="33815" xr:uid="{4BCA4B24-41B4-4D44-A229-B0D02EA2EFA7}"/>
    <cellStyle name="Normal 3 3 5 2 2 7" xfId="13430" xr:uid="{00000000-0005-0000-0000-0000D32F0000}"/>
    <cellStyle name="Normal 3 3 5 2 3" xfId="13431" xr:uid="{00000000-0005-0000-0000-0000D42F0000}"/>
    <cellStyle name="Normal 3 3 5 2 3 2" xfId="13432" xr:uid="{00000000-0005-0000-0000-0000D52F0000}"/>
    <cellStyle name="Normal 3 3 5 2 3 2 2" xfId="13433" xr:uid="{00000000-0005-0000-0000-0000D62F0000}"/>
    <cellStyle name="Normal 3 3 5 2 3 2 3" xfId="13434" xr:uid="{00000000-0005-0000-0000-0000D72F0000}"/>
    <cellStyle name="Normal 3 3 5 2 3 3" xfId="13435" xr:uid="{00000000-0005-0000-0000-0000D82F0000}"/>
    <cellStyle name="Normal 3 3 5 2 3 3 2" xfId="13436" xr:uid="{00000000-0005-0000-0000-0000D92F0000}"/>
    <cellStyle name="Normal 3 3 5 2 3 3 3" xfId="26448" xr:uid="{4AF594EE-3074-49C8-A41A-9881C4D35EFC}"/>
    <cellStyle name="Normal 3 3 5 2 3 3 3 2" xfId="41411" xr:uid="{DE5C33A4-ED92-435B-AB67-3E7845391A48}"/>
    <cellStyle name="Normal 3 3 5 2 3 3 4" xfId="33816" xr:uid="{A26DCA37-E7E6-4491-8B23-D9F9515E960A}"/>
    <cellStyle name="Normal 3 3 5 2 3 4" xfId="13437" xr:uid="{00000000-0005-0000-0000-0000DA2F0000}"/>
    <cellStyle name="Normal 3 3 5 2 4" xfId="13438" xr:uid="{00000000-0005-0000-0000-0000DB2F0000}"/>
    <cellStyle name="Normal 3 3 5 2 5" xfId="13439" xr:uid="{00000000-0005-0000-0000-0000DC2F0000}"/>
    <cellStyle name="Normal 3 3 5 2 5 2" xfId="26449" xr:uid="{A0C6146C-5240-4BE2-8502-BC4836B6C4FE}"/>
    <cellStyle name="Normal 3 3 5 2 5 2 2" xfId="41412" xr:uid="{5BDF2967-B6F8-4983-8FFA-1A3C61E42AA5}"/>
    <cellStyle name="Normal 3 3 5 2 5 3" xfId="33817" xr:uid="{A724D647-F8DA-491F-A16F-AC55B8691D74}"/>
    <cellStyle name="Normal 3 3 5 2 6" xfId="13440" xr:uid="{00000000-0005-0000-0000-0000DD2F0000}"/>
    <cellStyle name="Normal 3 3 5 3" xfId="13441" xr:uid="{00000000-0005-0000-0000-0000DE2F0000}"/>
    <cellStyle name="Normal 3 3 5 3 2" xfId="13442" xr:uid="{00000000-0005-0000-0000-0000DF2F0000}"/>
    <cellStyle name="Normal 3 3 5 3 2 2" xfId="13443" xr:uid="{00000000-0005-0000-0000-0000E02F0000}"/>
    <cellStyle name="Normal 3 3 5 3 2 3" xfId="13444" xr:uid="{00000000-0005-0000-0000-0000E12F0000}"/>
    <cellStyle name="Normal 3 3 5 3 2 3 2" xfId="26450" xr:uid="{417D17D0-C7DD-41A3-A810-4622CEA6D993}"/>
    <cellStyle name="Normal 3 3 5 3 2 3 2 2" xfId="41413" xr:uid="{39EB9E2C-2076-4230-9276-C7F41AD1E3D3}"/>
    <cellStyle name="Normal 3 3 5 3 2 3 3" xfId="33818" xr:uid="{20639D5E-A046-402A-85E3-3F91747223D1}"/>
    <cellStyle name="Normal 3 3 5 3 2 4" xfId="13445" xr:uid="{00000000-0005-0000-0000-0000E22F0000}"/>
    <cellStyle name="Normal 3 3 5 3 3" xfId="13446" xr:uid="{00000000-0005-0000-0000-0000E32F0000}"/>
    <cellStyle name="Normal 3 3 5 3 4" xfId="13447" xr:uid="{00000000-0005-0000-0000-0000E42F0000}"/>
    <cellStyle name="Normal 3 3 5 3 4 2" xfId="26451" xr:uid="{1E503BF2-5772-41BF-9950-2E1E5882CBFB}"/>
    <cellStyle name="Normal 3 3 5 3 4 2 2" xfId="41414" xr:uid="{F203872C-6F5F-4182-8CD4-662CF1290052}"/>
    <cellStyle name="Normal 3 3 5 3 4 3" xfId="33819" xr:uid="{C4B685FA-0E0D-4545-B9B2-6E718964D1B2}"/>
    <cellStyle name="Normal 3 3 5 3 5" xfId="13448" xr:uid="{00000000-0005-0000-0000-0000E52F0000}"/>
    <cellStyle name="Normal 3 3 5 3 5 2" xfId="26452" xr:uid="{EE504E76-C3DC-444B-BB85-80C4EBDC7A04}"/>
    <cellStyle name="Normal 3 3 5 3 5 2 2" xfId="41415" xr:uid="{E0CF3228-9AB0-471D-AFBB-685EF08AF1CE}"/>
    <cellStyle name="Normal 3 3 5 3 5 3" xfId="33820" xr:uid="{323147DA-7BB4-4C1D-AB7D-D9A4B96DD577}"/>
    <cellStyle name="Normal 3 3 5 3 6" xfId="13449" xr:uid="{00000000-0005-0000-0000-0000E62F0000}"/>
    <cellStyle name="Normal 3 3 5 4" xfId="13450" xr:uid="{00000000-0005-0000-0000-0000E72F0000}"/>
    <cellStyle name="Normal 3 3 5 4 2" xfId="13451" xr:uid="{00000000-0005-0000-0000-0000E82F0000}"/>
    <cellStyle name="Normal 3 3 5 4 2 2" xfId="13452" xr:uid="{00000000-0005-0000-0000-0000E92F0000}"/>
    <cellStyle name="Normal 3 3 5 4 2 3" xfId="13453" xr:uid="{00000000-0005-0000-0000-0000EA2F0000}"/>
    <cellStyle name="Normal 3 3 5 4 3" xfId="13454" xr:uid="{00000000-0005-0000-0000-0000EB2F0000}"/>
    <cellStyle name="Normal 3 3 5 4 4" xfId="13455" xr:uid="{00000000-0005-0000-0000-0000EC2F0000}"/>
    <cellStyle name="Normal 3 3 5 4 4 2" xfId="26453" xr:uid="{B7BE9876-4915-451D-8A53-8A02D45F0405}"/>
    <cellStyle name="Normal 3 3 5 4 4 2 2" xfId="41416" xr:uid="{7806FCFE-D190-4E6D-9AB3-3689D9722906}"/>
    <cellStyle name="Normal 3 3 5 4 4 3" xfId="33821" xr:uid="{ABA67CCC-5834-464F-8575-AE82B416EFD4}"/>
    <cellStyle name="Normal 3 3 5 4 5" xfId="13456" xr:uid="{00000000-0005-0000-0000-0000ED2F0000}"/>
    <cellStyle name="Normal 3 3 5 4 5 2" xfId="26454" xr:uid="{39E1ED02-EA85-460A-B353-80189FB6B9D9}"/>
    <cellStyle name="Normal 3 3 5 4 5 2 2" xfId="41417" xr:uid="{C00DAA08-FEAE-453D-A153-6759E674B5BD}"/>
    <cellStyle name="Normal 3 3 5 4 5 3" xfId="33822" xr:uid="{FF836BC7-5671-41FC-A677-72529C73F4F7}"/>
    <cellStyle name="Normal 3 3 5 4 6" xfId="13457" xr:uid="{00000000-0005-0000-0000-0000EE2F0000}"/>
    <cellStyle name="Normal 3 3 5 5" xfId="13458" xr:uid="{00000000-0005-0000-0000-0000EF2F0000}"/>
    <cellStyle name="Normal 3 3 5 5 2" xfId="13459" xr:uid="{00000000-0005-0000-0000-0000F02F0000}"/>
    <cellStyle name="Normal 3 3 5 5 3" xfId="13460" xr:uid="{00000000-0005-0000-0000-0000F12F0000}"/>
    <cellStyle name="Normal 3 3 5 5 3 2" xfId="26455" xr:uid="{27E00C9A-480C-4CB5-B024-40307546E3A3}"/>
    <cellStyle name="Normal 3 3 5 5 3 2 2" xfId="41418" xr:uid="{49229A6A-A001-4E9D-B4E4-C919F4971F58}"/>
    <cellStyle name="Normal 3 3 5 5 3 3" xfId="33823" xr:uid="{B33FEE2D-C557-4020-B28E-9DB57D797662}"/>
    <cellStyle name="Normal 3 3 5 5 4" xfId="13461" xr:uid="{00000000-0005-0000-0000-0000F22F0000}"/>
    <cellStyle name="Normal 3 3 5 6" xfId="13462" xr:uid="{00000000-0005-0000-0000-0000F32F0000}"/>
    <cellStyle name="Normal 3 3 5 7" xfId="13463" xr:uid="{00000000-0005-0000-0000-0000F42F0000}"/>
    <cellStyle name="Normal 3 3 5 7 2" xfId="26456" xr:uid="{A390FE3D-A4DD-4ABA-AACF-E4B0812F2848}"/>
    <cellStyle name="Normal 3 3 5 7 2 2" xfId="41419" xr:uid="{F972C10F-4C7C-40D0-AC0D-B0EE8F6E6036}"/>
    <cellStyle name="Normal 3 3 5 7 3" xfId="33824" xr:uid="{4AE82CEE-B13D-4700-812F-7A5647A6C6D0}"/>
    <cellStyle name="Normal 3 3 5 8" xfId="13464" xr:uid="{00000000-0005-0000-0000-0000F52F0000}"/>
    <cellStyle name="Normal 3 3 6" xfId="2193" xr:uid="{00000000-0005-0000-0000-000040080000}"/>
    <cellStyle name="Normal 3 3 6 2" xfId="13465" xr:uid="{00000000-0005-0000-0000-0000F72F0000}"/>
    <cellStyle name="Normal 3 3 6 2 2" xfId="13466" xr:uid="{00000000-0005-0000-0000-0000F82F0000}"/>
    <cellStyle name="Normal 3 3 6 2 2 2" xfId="13467" xr:uid="{00000000-0005-0000-0000-0000F92F0000}"/>
    <cellStyle name="Normal 3 3 6 2 2 3" xfId="26457" xr:uid="{D5DC2AD1-7F76-4019-802D-7DA24539AA11}"/>
    <cellStyle name="Normal 3 3 6 2 2 3 2" xfId="41420" xr:uid="{D64522BC-AE59-4314-891E-82178C0833C5}"/>
    <cellStyle name="Normal 3 3 6 2 2 4" xfId="33825" xr:uid="{5D7E8FE8-BB2D-46B9-B6F4-729792BFE6AD}"/>
    <cellStyle name="Normal 3 3 6 2 3" xfId="13468" xr:uid="{00000000-0005-0000-0000-0000FA2F0000}"/>
    <cellStyle name="Normal 3 3 6 2 4" xfId="13469" xr:uid="{00000000-0005-0000-0000-0000FB2F0000}"/>
    <cellStyle name="Normal 3 3 6 2 4 2" xfId="26458" xr:uid="{08BDE1B5-5F37-4B87-857C-E1650FD91C74}"/>
    <cellStyle name="Normal 3 3 6 2 4 2 2" xfId="41421" xr:uid="{5A48DED7-5A8B-4A7B-B32C-A76757C2FCFD}"/>
    <cellStyle name="Normal 3 3 6 2 4 3" xfId="33826" xr:uid="{F3DB0375-3A23-433C-8919-285F269E0DE3}"/>
    <cellStyle name="Normal 3 3 6 2 5" xfId="13470" xr:uid="{00000000-0005-0000-0000-0000FC2F0000}"/>
    <cellStyle name="Normal 3 3 6 3" xfId="13471" xr:uid="{00000000-0005-0000-0000-0000FD2F0000}"/>
    <cellStyle name="Normal 3 3 6 3 2" xfId="13472" xr:uid="{00000000-0005-0000-0000-0000FE2F0000}"/>
    <cellStyle name="Normal 3 3 6 3 2 2" xfId="13473" xr:uid="{00000000-0005-0000-0000-0000FF2F0000}"/>
    <cellStyle name="Normal 3 3 6 3 2 3" xfId="13474" xr:uid="{00000000-0005-0000-0000-000000300000}"/>
    <cellStyle name="Normal 3 3 6 3 3" xfId="13475" xr:uid="{00000000-0005-0000-0000-000001300000}"/>
    <cellStyle name="Normal 3 3 6 3 4" xfId="13476" xr:uid="{00000000-0005-0000-0000-000002300000}"/>
    <cellStyle name="Normal 3 3 6 3 4 2" xfId="26459" xr:uid="{1029D830-49AD-4C49-ACFB-C0FB8AAD9465}"/>
    <cellStyle name="Normal 3 3 6 3 4 2 2" xfId="41422" xr:uid="{43ACBD69-3472-4819-B686-99B26623E54F}"/>
    <cellStyle name="Normal 3 3 6 3 4 3" xfId="33827" xr:uid="{336E4C3B-C690-4450-A6A3-E7DF57E323ED}"/>
    <cellStyle name="Normal 3 3 6 3 5" xfId="13477" xr:uid="{00000000-0005-0000-0000-000003300000}"/>
    <cellStyle name="Normal 3 3 6 3 5 2" xfId="26460" xr:uid="{09DEFD87-9228-40A9-BD8E-557312B173B8}"/>
    <cellStyle name="Normal 3 3 6 3 5 2 2" xfId="41423" xr:uid="{63C717A3-87CA-4D3F-B7C7-C01A2FAB920A}"/>
    <cellStyle name="Normal 3 3 6 3 5 3" xfId="33828" xr:uid="{C0F52093-720B-4C94-94BA-0B362CD532DF}"/>
    <cellStyle name="Normal 3 3 6 3 6" xfId="13478" xr:uid="{00000000-0005-0000-0000-000004300000}"/>
    <cellStyle name="Normal 3 3 6 4" xfId="13479" xr:uid="{00000000-0005-0000-0000-000005300000}"/>
    <cellStyle name="Normal 3 3 6 4 2" xfId="13480" xr:uid="{00000000-0005-0000-0000-000006300000}"/>
    <cellStyle name="Normal 3 3 6 4 2 2" xfId="13481" xr:uid="{00000000-0005-0000-0000-000007300000}"/>
    <cellStyle name="Normal 3 3 6 4 2 3" xfId="13482" xr:uid="{00000000-0005-0000-0000-000008300000}"/>
    <cellStyle name="Normal 3 3 6 4 3" xfId="13483" xr:uid="{00000000-0005-0000-0000-000009300000}"/>
    <cellStyle name="Normal 3 3 6 4 4" xfId="13484" xr:uid="{00000000-0005-0000-0000-00000A300000}"/>
    <cellStyle name="Normal 3 3 6 4 4 2" xfId="26461" xr:uid="{3877601C-BDC6-41D0-998A-6C561E95C8C0}"/>
    <cellStyle name="Normal 3 3 6 4 4 2 2" xfId="41424" xr:uid="{23166B99-E7CC-4289-BECD-F77E0CB13B61}"/>
    <cellStyle name="Normal 3 3 6 4 4 3" xfId="33829" xr:uid="{B0B0E000-BCD9-4E7D-876A-ECD1C3E8274F}"/>
    <cellStyle name="Normal 3 3 6 4 5" xfId="13485" xr:uid="{00000000-0005-0000-0000-00000B300000}"/>
    <cellStyle name="Normal 3 3 6 4 5 2" xfId="26462" xr:uid="{0EBFE4FA-ABB2-4617-8E77-CA19EB00F797}"/>
    <cellStyle name="Normal 3 3 6 4 5 2 2" xfId="41425" xr:uid="{B1721304-5E9B-402F-ACAD-A788970B9E05}"/>
    <cellStyle name="Normal 3 3 6 4 5 3" xfId="33830" xr:uid="{B4E9E80A-6ABA-4D9F-8334-9D49503E8FCA}"/>
    <cellStyle name="Normal 3 3 6 4 6" xfId="13486" xr:uid="{00000000-0005-0000-0000-00000C300000}"/>
    <cellStyle name="Normal 3 3 6 5" xfId="13487" xr:uid="{00000000-0005-0000-0000-00000D300000}"/>
    <cellStyle name="Normal 3 3 6 5 2" xfId="13488" xr:uid="{00000000-0005-0000-0000-00000E300000}"/>
    <cellStyle name="Normal 3 3 6 5 3" xfId="13489" xr:uid="{00000000-0005-0000-0000-00000F300000}"/>
    <cellStyle name="Normal 3 3 6 6" xfId="13490" xr:uid="{00000000-0005-0000-0000-000010300000}"/>
    <cellStyle name="Normal 3 3 6 7" xfId="13491" xr:uid="{00000000-0005-0000-0000-000011300000}"/>
    <cellStyle name="Normal 3 3 6 7 2" xfId="26463" xr:uid="{F65BB534-50F8-49D9-B8AB-B5D5AE4B7C91}"/>
    <cellStyle name="Normal 3 3 6 7 2 2" xfId="41426" xr:uid="{EC6D3DD9-B719-4B49-AF0B-E2FE21B584E4}"/>
    <cellStyle name="Normal 3 3 6 7 3" xfId="33831" xr:uid="{C7C434AE-11DF-4A80-AAEA-6D85BCBC16DF}"/>
    <cellStyle name="Normal 3 3 6 8" xfId="13492" xr:uid="{00000000-0005-0000-0000-000012300000}"/>
    <cellStyle name="Normal 3 3 7" xfId="2194" xr:uid="{00000000-0005-0000-0000-000041080000}"/>
    <cellStyle name="Normal 3 3 7 2" xfId="13493" xr:uid="{00000000-0005-0000-0000-000014300000}"/>
    <cellStyle name="Normal 3 3 7 2 2" xfId="13494" xr:uid="{00000000-0005-0000-0000-000015300000}"/>
    <cellStyle name="Normal 3 3 7 2 3" xfId="26464" xr:uid="{9EF44130-8176-4DAE-98A0-ED4D28D3D162}"/>
    <cellStyle name="Normal 3 3 7 2 3 2" xfId="41427" xr:uid="{594C91EC-470C-40DE-BDFC-3AE0473EBB86}"/>
    <cellStyle name="Normal 3 3 7 2 4" xfId="33832" xr:uid="{90256E25-5E12-43A0-B099-F2837F3F380A}"/>
    <cellStyle name="Normal 3 3 7 3" xfId="13495" xr:uid="{00000000-0005-0000-0000-000016300000}"/>
    <cellStyle name="Normal 3 3 7 3 2" xfId="26465" xr:uid="{15BA6403-4ABA-440F-9046-CD45E90143FC}"/>
    <cellStyle name="Normal 3 3 7 3 2 2" xfId="41428" xr:uid="{2B29C276-FA35-4315-88CD-03A24A51488B}"/>
    <cellStyle name="Normal 3 3 7 3 3" xfId="33833" xr:uid="{BF1508DD-96CB-492F-8408-55BB2B3B5CBE}"/>
    <cellStyle name="Normal 3 3 7 4" xfId="13496" xr:uid="{00000000-0005-0000-0000-000017300000}"/>
    <cellStyle name="Normal 3 3 7 5" xfId="13497" xr:uid="{00000000-0005-0000-0000-000018300000}"/>
    <cellStyle name="Normal 3 3 8" xfId="2195" xr:uid="{00000000-0005-0000-0000-000042080000}"/>
    <cellStyle name="Normal 3 3 8 2" xfId="13498" xr:uid="{00000000-0005-0000-0000-00001A300000}"/>
    <cellStyle name="Normal 3 3 8 3" xfId="13499" xr:uid="{00000000-0005-0000-0000-00001B300000}"/>
    <cellStyle name="Normal 3 3 9" xfId="2196" xr:uid="{00000000-0005-0000-0000-000043080000}"/>
    <cellStyle name="Normal 3 3 9 2" xfId="13500" xr:uid="{00000000-0005-0000-0000-00001D300000}"/>
    <cellStyle name="Normal 3 3 9 3" xfId="13501" xr:uid="{00000000-0005-0000-0000-00001E300000}"/>
    <cellStyle name="Normal 3 3_App b.3 Unspent_" xfId="2197" xr:uid="{00000000-0005-0000-0000-000044080000}"/>
    <cellStyle name="Normal 3 30" xfId="2198" xr:uid="{00000000-0005-0000-0000-000045080000}"/>
    <cellStyle name="Normal 3 30 10" xfId="2199" xr:uid="{00000000-0005-0000-0000-000046080000}"/>
    <cellStyle name="Normal 3 30 10 2" xfId="13502" xr:uid="{00000000-0005-0000-0000-000021300000}"/>
    <cellStyle name="Normal 3 30 10 3" xfId="13503" xr:uid="{00000000-0005-0000-0000-000022300000}"/>
    <cellStyle name="Normal 3 30 11" xfId="2200" xr:uid="{00000000-0005-0000-0000-000047080000}"/>
    <cellStyle name="Normal 3 30 11 2" xfId="13504" xr:uid="{00000000-0005-0000-0000-000024300000}"/>
    <cellStyle name="Normal 3 30 11 3" xfId="13505" xr:uid="{00000000-0005-0000-0000-000025300000}"/>
    <cellStyle name="Normal 3 30 12" xfId="2201" xr:uid="{00000000-0005-0000-0000-000048080000}"/>
    <cellStyle name="Normal 3 30 12 2" xfId="13506" xr:uid="{00000000-0005-0000-0000-000027300000}"/>
    <cellStyle name="Normal 3 30 12 3" xfId="13507" xr:uid="{00000000-0005-0000-0000-000028300000}"/>
    <cellStyle name="Normal 3 30 13" xfId="2202" xr:uid="{00000000-0005-0000-0000-000049080000}"/>
    <cellStyle name="Normal 3 30 13 2" xfId="13508" xr:uid="{00000000-0005-0000-0000-00002A300000}"/>
    <cellStyle name="Normal 3 30 13 3" xfId="13509" xr:uid="{00000000-0005-0000-0000-00002B300000}"/>
    <cellStyle name="Normal 3 30 14" xfId="2203" xr:uid="{00000000-0005-0000-0000-00004A080000}"/>
    <cellStyle name="Normal 3 30 14 2" xfId="13510" xr:uid="{00000000-0005-0000-0000-00002D300000}"/>
    <cellStyle name="Normal 3 30 14 3" xfId="13511" xr:uid="{00000000-0005-0000-0000-00002E300000}"/>
    <cellStyle name="Normal 3 30 15" xfId="2204" xr:uid="{00000000-0005-0000-0000-00004B080000}"/>
    <cellStyle name="Normal 3 30 15 2" xfId="13512" xr:uid="{00000000-0005-0000-0000-000030300000}"/>
    <cellStyle name="Normal 3 30 15 3" xfId="13513" xr:uid="{00000000-0005-0000-0000-000031300000}"/>
    <cellStyle name="Normal 3 30 16" xfId="2205" xr:uid="{00000000-0005-0000-0000-00004C080000}"/>
    <cellStyle name="Normal 3 30 16 2" xfId="13514" xr:uid="{00000000-0005-0000-0000-000033300000}"/>
    <cellStyle name="Normal 3 30 16 3" xfId="13515" xr:uid="{00000000-0005-0000-0000-000034300000}"/>
    <cellStyle name="Normal 3 30 17" xfId="2206" xr:uid="{00000000-0005-0000-0000-00004D080000}"/>
    <cellStyle name="Normal 3 30 17 2" xfId="13516" xr:uid="{00000000-0005-0000-0000-000036300000}"/>
    <cellStyle name="Normal 3 30 17 3" xfId="13517" xr:uid="{00000000-0005-0000-0000-000037300000}"/>
    <cellStyle name="Normal 3 30 18" xfId="2207" xr:uid="{00000000-0005-0000-0000-00004E080000}"/>
    <cellStyle name="Normal 3 30 18 2" xfId="13518" xr:uid="{00000000-0005-0000-0000-000039300000}"/>
    <cellStyle name="Normal 3 30 18 3" xfId="13519" xr:uid="{00000000-0005-0000-0000-00003A300000}"/>
    <cellStyle name="Normal 3 30 19" xfId="2208" xr:uid="{00000000-0005-0000-0000-00004F080000}"/>
    <cellStyle name="Normal 3 30 19 2" xfId="13520" xr:uid="{00000000-0005-0000-0000-00003C300000}"/>
    <cellStyle name="Normal 3 30 19 3" xfId="13521" xr:uid="{00000000-0005-0000-0000-00003D300000}"/>
    <cellStyle name="Normal 3 30 2" xfId="2209" xr:uid="{00000000-0005-0000-0000-000050080000}"/>
    <cellStyle name="Normal 3 30 2 2" xfId="13522" xr:uid="{00000000-0005-0000-0000-00003F300000}"/>
    <cellStyle name="Normal 3 30 2 3" xfId="13523" xr:uid="{00000000-0005-0000-0000-000040300000}"/>
    <cellStyle name="Normal 3 30 20" xfId="2210" xr:uid="{00000000-0005-0000-0000-000051080000}"/>
    <cellStyle name="Normal 3 30 20 2" xfId="13524" xr:uid="{00000000-0005-0000-0000-000042300000}"/>
    <cellStyle name="Normal 3 30 20 3" xfId="13525" xr:uid="{00000000-0005-0000-0000-000043300000}"/>
    <cellStyle name="Normal 3 30 21" xfId="2211" xr:uid="{00000000-0005-0000-0000-000052080000}"/>
    <cellStyle name="Normal 3 30 21 2" xfId="13526" xr:uid="{00000000-0005-0000-0000-000045300000}"/>
    <cellStyle name="Normal 3 30 21 3" xfId="13527" xr:uid="{00000000-0005-0000-0000-000046300000}"/>
    <cellStyle name="Normal 3 30 22" xfId="2212" xr:uid="{00000000-0005-0000-0000-000053080000}"/>
    <cellStyle name="Normal 3 30 22 2" xfId="13528" xr:uid="{00000000-0005-0000-0000-000048300000}"/>
    <cellStyle name="Normal 3 30 22 3" xfId="13529" xr:uid="{00000000-0005-0000-0000-000049300000}"/>
    <cellStyle name="Normal 3 30 23" xfId="2213" xr:uid="{00000000-0005-0000-0000-000054080000}"/>
    <cellStyle name="Normal 3 30 23 2" xfId="13530" xr:uid="{00000000-0005-0000-0000-00004B300000}"/>
    <cellStyle name="Normal 3 30 23 3" xfId="13531" xr:uid="{00000000-0005-0000-0000-00004C300000}"/>
    <cellStyle name="Normal 3 30 24" xfId="13532" xr:uid="{00000000-0005-0000-0000-00004D300000}"/>
    <cellStyle name="Normal 3 30 25" xfId="13533" xr:uid="{00000000-0005-0000-0000-00004E300000}"/>
    <cellStyle name="Normal 3 30 3" xfId="2214" xr:uid="{00000000-0005-0000-0000-000055080000}"/>
    <cellStyle name="Normal 3 30 3 2" xfId="13534" xr:uid="{00000000-0005-0000-0000-000050300000}"/>
    <cellStyle name="Normal 3 30 3 3" xfId="13535" xr:uid="{00000000-0005-0000-0000-000051300000}"/>
    <cellStyle name="Normal 3 30 4" xfId="2215" xr:uid="{00000000-0005-0000-0000-000056080000}"/>
    <cellStyle name="Normal 3 30 4 2" xfId="13536" xr:uid="{00000000-0005-0000-0000-000053300000}"/>
    <cellStyle name="Normal 3 30 4 3" xfId="13537" xr:uid="{00000000-0005-0000-0000-000054300000}"/>
    <cellStyle name="Normal 3 30 5" xfId="2216" xr:uid="{00000000-0005-0000-0000-000057080000}"/>
    <cellStyle name="Normal 3 30 5 2" xfId="13538" xr:uid="{00000000-0005-0000-0000-000056300000}"/>
    <cellStyle name="Normal 3 30 5 3" xfId="13539" xr:uid="{00000000-0005-0000-0000-000057300000}"/>
    <cellStyle name="Normal 3 30 6" xfId="2217" xr:uid="{00000000-0005-0000-0000-000058080000}"/>
    <cellStyle name="Normal 3 30 6 2" xfId="13540" xr:uid="{00000000-0005-0000-0000-000059300000}"/>
    <cellStyle name="Normal 3 30 6 3" xfId="13541" xr:uid="{00000000-0005-0000-0000-00005A300000}"/>
    <cellStyle name="Normal 3 30 7" xfId="2218" xr:uid="{00000000-0005-0000-0000-000059080000}"/>
    <cellStyle name="Normal 3 30 7 2" xfId="13542" xr:uid="{00000000-0005-0000-0000-00005C300000}"/>
    <cellStyle name="Normal 3 30 7 3" xfId="13543" xr:uid="{00000000-0005-0000-0000-00005D300000}"/>
    <cellStyle name="Normal 3 30 8" xfId="2219" xr:uid="{00000000-0005-0000-0000-00005A080000}"/>
    <cellStyle name="Normal 3 30 8 2" xfId="13544" xr:uid="{00000000-0005-0000-0000-00005F300000}"/>
    <cellStyle name="Normal 3 30 8 3" xfId="13545" xr:uid="{00000000-0005-0000-0000-000060300000}"/>
    <cellStyle name="Normal 3 30 9" xfId="2220" xr:uid="{00000000-0005-0000-0000-00005B080000}"/>
    <cellStyle name="Normal 3 30 9 2" xfId="13546" xr:uid="{00000000-0005-0000-0000-000062300000}"/>
    <cellStyle name="Normal 3 30 9 3" xfId="13547" xr:uid="{00000000-0005-0000-0000-000063300000}"/>
    <cellStyle name="Normal 3 31" xfId="2221" xr:uid="{00000000-0005-0000-0000-00005C080000}"/>
    <cellStyle name="Normal 3 31 10" xfId="2222" xr:uid="{00000000-0005-0000-0000-00005D080000}"/>
    <cellStyle name="Normal 3 31 10 2" xfId="13548" xr:uid="{00000000-0005-0000-0000-000066300000}"/>
    <cellStyle name="Normal 3 31 10 3" xfId="13549" xr:uid="{00000000-0005-0000-0000-000067300000}"/>
    <cellStyle name="Normal 3 31 11" xfId="2223" xr:uid="{00000000-0005-0000-0000-00005E080000}"/>
    <cellStyle name="Normal 3 31 11 2" xfId="13550" xr:uid="{00000000-0005-0000-0000-000069300000}"/>
    <cellStyle name="Normal 3 31 11 3" xfId="13551" xr:uid="{00000000-0005-0000-0000-00006A300000}"/>
    <cellStyle name="Normal 3 31 12" xfId="2224" xr:uid="{00000000-0005-0000-0000-00005F080000}"/>
    <cellStyle name="Normal 3 31 12 2" xfId="13552" xr:uid="{00000000-0005-0000-0000-00006C300000}"/>
    <cellStyle name="Normal 3 31 12 3" xfId="13553" xr:uid="{00000000-0005-0000-0000-00006D300000}"/>
    <cellStyle name="Normal 3 31 13" xfId="2225" xr:uid="{00000000-0005-0000-0000-000060080000}"/>
    <cellStyle name="Normal 3 31 13 2" xfId="13554" xr:uid="{00000000-0005-0000-0000-00006F300000}"/>
    <cellStyle name="Normal 3 31 13 3" xfId="13555" xr:uid="{00000000-0005-0000-0000-000070300000}"/>
    <cellStyle name="Normal 3 31 14" xfId="2226" xr:uid="{00000000-0005-0000-0000-000061080000}"/>
    <cellStyle name="Normal 3 31 14 2" xfId="13556" xr:uid="{00000000-0005-0000-0000-000072300000}"/>
    <cellStyle name="Normal 3 31 14 3" xfId="13557" xr:uid="{00000000-0005-0000-0000-000073300000}"/>
    <cellStyle name="Normal 3 31 15" xfId="2227" xr:uid="{00000000-0005-0000-0000-000062080000}"/>
    <cellStyle name="Normal 3 31 15 2" xfId="13558" xr:uid="{00000000-0005-0000-0000-000075300000}"/>
    <cellStyle name="Normal 3 31 15 3" xfId="13559" xr:uid="{00000000-0005-0000-0000-000076300000}"/>
    <cellStyle name="Normal 3 31 16" xfId="2228" xr:uid="{00000000-0005-0000-0000-000063080000}"/>
    <cellStyle name="Normal 3 31 16 2" xfId="13560" xr:uid="{00000000-0005-0000-0000-000078300000}"/>
    <cellStyle name="Normal 3 31 16 3" xfId="13561" xr:uid="{00000000-0005-0000-0000-000079300000}"/>
    <cellStyle name="Normal 3 31 17" xfId="2229" xr:uid="{00000000-0005-0000-0000-000064080000}"/>
    <cellStyle name="Normal 3 31 17 2" xfId="13562" xr:uid="{00000000-0005-0000-0000-00007B300000}"/>
    <cellStyle name="Normal 3 31 17 3" xfId="13563" xr:uid="{00000000-0005-0000-0000-00007C300000}"/>
    <cellStyle name="Normal 3 31 18" xfId="2230" xr:uid="{00000000-0005-0000-0000-000065080000}"/>
    <cellStyle name="Normal 3 31 18 2" xfId="13564" xr:uid="{00000000-0005-0000-0000-00007E300000}"/>
    <cellStyle name="Normal 3 31 18 3" xfId="13565" xr:uid="{00000000-0005-0000-0000-00007F300000}"/>
    <cellStyle name="Normal 3 31 19" xfId="2231" xr:uid="{00000000-0005-0000-0000-000066080000}"/>
    <cellStyle name="Normal 3 31 19 2" xfId="13566" xr:uid="{00000000-0005-0000-0000-000081300000}"/>
    <cellStyle name="Normal 3 31 19 3" xfId="13567" xr:uid="{00000000-0005-0000-0000-000082300000}"/>
    <cellStyle name="Normal 3 31 2" xfId="2232" xr:uid="{00000000-0005-0000-0000-000067080000}"/>
    <cellStyle name="Normal 3 31 2 2" xfId="13568" xr:uid="{00000000-0005-0000-0000-000084300000}"/>
    <cellStyle name="Normal 3 31 2 3" xfId="13569" xr:uid="{00000000-0005-0000-0000-000085300000}"/>
    <cellStyle name="Normal 3 31 20" xfId="2233" xr:uid="{00000000-0005-0000-0000-000068080000}"/>
    <cellStyle name="Normal 3 31 20 2" xfId="13570" xr:uid="{00000000-0005-0000-0000-000087300000}"/>
    <cellStyle name="Normal 3 31 20 3" xfId="13571" xr:uid="{00000000-0005-0000-0000-000088300000}"/>
    <cellStyle name="Normal 3 31 21" xfId="2234" xr:uid="{00000000-0005-0000-0000-000069080000}"/>
    <cellStyle name="Normal 3 31 21 2" xfId="13572" xr:uid="{00000000-0005-0000-0000-00008A300000}"/>
    <cellStyle name="Normal 3 31 21 3" xfId="13573" xr:uid="{00000000-0005-0000-0000-00008B300000}"/>
    <cellStyle name="Normal 3 31 22" xfId="2235" xr:uid="{00000000-0005-0000-0000-00006A080000}"/>
    <cellStyle name="Normal 3 31 22 2" xfId="13574" xr:uid="{00000000-0005-0000-0000-00008D300000}"/>
    <cellStyle name="Normal 3 31 22 3" xfId="13575" xr:uid="{00000000-0005-0000-0000-00008E300000}"/>
    <cellStyle name="Normal 3 31 23" xfId="2236" xr:uid="{00000000-0005-0000-0000-00006B080000}"/>
    <cellStyle name="Normal 3 31 23 2" xfId="13576" xr:uid="{00000000-0005-0000-0000-000090300000}"/>
    <cellStyle name="Normal 3 31 23 3" xfId="13577" xr:uid="{00000000-0005-0000-0000-000091300000}"/>
    <cellStyle name="Normal 3 31 24" xfId="13578" xr:uid="{00000000-0005-0000-0000-000092300000}"/>
    <cellStyle name="Normal 3 31 25" xfId="13579" xr:uid="{00000000-0005-0000-0000-000093300000}"/>
    <cellStyle name="Normal 3 31 3" xfId="2237" xr:uid="{00000000-0005-0000-0000-00006C080000}"/>
    <cellStyle name="Normal 3 31 3 2" xfId="13580" xr:uid="{00000000-0005-0000-0000-000095300000}"/>
    <cellStyle name="Normal 3 31 3 3" xfId="13581" xr:uid="{00000000-0005-0000-0000-000096300000}"/>
    <cellStyle name="Normal 3 31 4" xfId="2238" xr:uid="{00000000-0005-0000-0000-00006D080000}"/>
    <cellStyle name="Normal 3 31 4 2" xfId="13582" xr:uid="{00000000-0005-0000-0000-000098300000}"/>
    <cellStyle name="Normal 3 31 4 3" xfId="13583" xr:uid="{00000000-0005-0000-0000-000099300000}"/>
    <cellStyle name="Normal 3 31 5" xfId="2239" xr:uid="{00000000-0005-0000-0000-00006E080000}"/>
    <cellStyle name="Normal 3 31 5 2" xfId="13584" xr:uid="{00000000-0005-0000-0000-00009B300000}"/>
    <cellStyle name="Normal 3 31 5 3" xfId="13585" xr:uid="{00000000-0005-0000-0000-00009C300000}"/>
    <cellStyle name="Normal 3 31 6" xfId="2240" xr:uid="{00000000-0005-0000-0000-00006F080000}"/>
    <cellStyle name="Normal 3 31 6 2" xfId="13586" xr:uid="{00000000-0005-0000-0000-00009E300000}"/>
    <cellStyle name="Normal 3 31 6 3" xfId="13587" xr:uid="{00000000-0005-0000-0000-00009F300000}"/>
    <cellStyle name="Normal 3 31 7" xfId="2241" xr:uid="{00000000-0005-0000-0000-000070080000}"/>
    <cellStyle name="Normal 3 31 7 2" xfId="13588" xr:uid="{00000000-0005-0000-0000-0000A1300000}"/>
    <cellStyle name="Normal 3 31 7 3" xfId="13589" xr:uid="{00000000-0005-0000-0000-0000A2300000}"/>
    <cellStyle name="Normal 3 31 8" xfId="2242" xr:uid="{00000000-0005-0000-0000-000071080000}"/>
    <cellStyle name="Normal 3 31 8 2" xfId="13590" xr:uid="{00000000-0005-0000-0000-0000A4300000}"/>
    <cellStyle name="Normal 3 31 8 3" xfId="13591" xr:uid="{00000000-0005-0000-0000-0000A5300000}"/>
    <cellStyle name="Normal 3 31 9" xfId="2243" xr:uid="{00000000-0005-0000-0000-000072080000}"/>
    <cellStyle name="Normal 3 31 9 2" xfId="13592" xr:uid="{00000000-0005-0000-0000-0000A7300000}"/>
    <cellStyle name="Normal 3 31 9 3" xfId="13593" xr:uid="{00000000-0005-0000-0000-0000A8300000}"/>
    <cellStyle name="Normal 3 32" xfId="2244" xr:uid="{00000000-0005-0000-0000-000073080000}"/>
    <cellStyle name="Normal 3 32 10" xfId="2245" xr:uid="{00000000-0005-0000-0000-000074080000}"/>
    <cellStyle name="Normal 3 32 10 2" xfId="13595" xr:uid="{00000000-0005-0000-0000-0000AB300000}"/>
    <cellStyle name="Normal 3 32 10 3" xfId="13596" xr:uid="{00000000-0005-0000-0000-0000AC300000}"/>
    <cellStyle name="Normal 3 32 11" xfId="2246" xr:uid="{00000000-0005-0000-0000-000075080000}"/>
    <cellStyle name="Normal 3 32 11 2" xfId="13597" xr:uid="{00000000-0005-0000-0000-0000AE300000}"/>
    <cellStyle name="Normal 3 32 11 3" xfId="13598" xr:uid="{00000000-0005-0000-0000-0000AF300000}"/>
    <cellStyle name="Normal 3 32 12" xfId="2247" xr:uid="{00000000-0005-0000-0000-000076080000}"/>
    <cellStyle name="Normal 3 32 12 2" xfId="13600" xr:uid="{00000000-0005-0000-0000-0000B1300000}"/>
    <cellStyle name="Normal 3 32 12 3" xfId="13601" xr:uid="{00000000-0005-0000-0000-0000B2300000}"/>
    <cellStyle name="Normal 3 32 13" xfId="2248" xr:uid="{00000000-0005-0000-0000-000077080000}"/>
    <cellStyle name="Normal 3 32 13 2" xfId="13603" xr:uid="{00000000-0005-0000-0000-0000B4300000}"/>
    <cellStyle name="Normal 3 32 13 3" xfId="13604" xr:uid="{00000000-0005-0000-0000-0000B5300000}"/>
    <cellStyle name="Normal 3 32 14" xfId="2249" xr:uid="{00000000-0005-0000-0000-000078080000}"/>
    <cellStyle name="Normal 3 32 14 2" xfId="13605" xr:uid="{00000000-0005-0000-0000-0000B7300000}"/>
    <cellStyle name="Normal 3 32 14 3" xfId="13606" xr:uid="{00000000-0005-0000-0000-0000B8300000}"/>
    <cellStyle name="Normal 3 32 15" xfId="2250" xr:uid="{00000000-0005-0000-0000-000079080000}"/>
    <cellStyle name="Normal 3 32 15 2" xfId="13607" xr:uid="{00000000-0005-0000-0000-0000BA300000}"/>
    <cellStyle name="Normal 3 32 15 3" xfId="13608" xr:uid="{00000000-0005-0000-0000-0000BB300000}"/>
    <cellStyle name="Normal 3 32 16" xfId="2251" xr:uid="{00000000-0005-0000-0000-00007A080000}"/>
    <cellStyle name="Normal 3 32 16 2" xfId="13609" xr:uid="{00000000-0005-0000-0000-0000BD300000}"/>
    <cellStyle name="Normal 3 32 16 3" xfId="13610" xr:uid="{00000000-0005-0000-0000-0000BE300000}"/>
    <cellStyle name="Normal 3 32 17" xfId="2252" xr:uid="{00000000-0005-0000-0000-00007B080000}"/>
    <cellStyle name="Normal 3 32 17 2" xfId="13611" xr:uid="{00000000-0005-0000-0000-0000C0300000}"/>
    <cellStyle name="Normal 3 32 17 3" xfId="13612" xr:uid="{00000000-0005-0000-0000-0000C1300000}"/>
    <cellStyle name="Normal 3 32 18" xfId="2253" xr:uid="{00000000-0005-0000-0000-00007C080000}"/>
    <cellStyle name="Normal 3 32 18 2" xfId="13613" xr:uid="{00000000-0005-0000-0000-0000C3300000}"/>
    <cellStyle name="Normal 3 32 18 3" xfId="13614" xr:uid="{00000000-0005-0000-0000-0000C4300000}"/>
    <cellStyle name="Normal 3 32 19" xfId="2254" xr:uid="{00000000-0005-0000-0000-00007D080000}"/>
    <cellStyle name="Normal 3 32 19 2" xfId="13616" xr:uid="{00000000-0005-0000-0000-0000C6300000}"/>
    <cellStyle name="Normal 3 32 19 3" xfId="13617" xr:uid="{00000000-0005-0000-0000-0000C7300000}"/>
    <cellStyle name="Normal 3 32 2" xfId="2255" xr:uid="{00000000-0005-0000-0000-00007E080000}"/>
    <cellStyle name="Normal 3 32 2 2" xfId="13619" xr:uid="{00000000-0005-0000-0000-0000C9300000}"/>
    <cellStyle name="Normal 3 32 2 3" xfId="13620" xr:uid="{00000000-0005-0000-0000-0000CA300000}"/>
    <cellStyle name="Normal 3 32 20" xfId="2256" xr:uid="{00000000-0005-0000-0000-00007F080000}"/>
    <cellStyle name="Normal 3 32 20 2" xfId="13622" xr:uid="{00000000-0005-0000-0000-0000CC300000}"/>
    <cellStyle name="Normal 3 32 20 3" xfId="13623" xr:uid="{00000000-0005-0000-0000-0000CD300000}"/>
    <cellStyle name="Normal 3 32 21" xfId="2257" xr:uid="{00000000-0005-0000-0000-000080080000}"/>
    <cellStyle name="Normal 3 32 21 2" xfId="13624" xr:uid="{00000000-0005-0000-0000-0000CF300000}"/>
    <cellStyle name="Normal 3 32 21 3" xfId="13625" xr:uid="{00000000-0005-0000-0000-0000D0300000}"/>
    <cellStyle name="Normal 3 32 22" xfId="2258" xr:uid="{00000000-0005-0000-0000-000081080000}"/>
    <cellStyle name="Normal 3 32 22 2" xfId="13626" xr:uid="{00000000-0005-0000-0000-0000D2300000}"/>
    <cellStyle name="Normal 3 32 22 3" xfId="13627" xr:uid="{00000000-0005-0000-0000-0000D3300000}"/>
    <cellStyle name="Normal 3 32 23" xfId="2259" xr:uid="{00000000-0005-0000-0000-000082080000}"/>
    <cellStyle name="Normal 3 32 23 2" xfId="13628" xr:uid="{00000000-0005-0000-0000-0000D5300000}"/>
    <cellStyle name="Normal 3 32 23 3" xfId="13629" xr:uid="{00000000-0005-0000-0000-0000D6300000}"/>
    <cellStyle name="Normal 3 32 24" xfId="13630" xr:uid="{00000000-0005-0000-0000-0000D7300000}"/>
    <cellStyle name="Normal 3 32 25" xfId="13631" xr:uid="{00000000-0005-0000-0000-0000D8300000}"/>
    <cellStyle name="Normal 3 32 3" xfId="2260" xr:uid="{00000000-0005-0000-0000-000083080000}"/>
    <cellStyle name="Normal 3 32 3 2" xfId="13632" xr:uid="{00000000-0005-0000-0000-0000DA300000}"/>
    <cellStyle name="Normal 3 32 3 3" xfId="13633" xr:uid="{00000000-0005-0000-0000-0000DB300000}"/>
    <cellStyle name="Normal 3 32 4" xfId="2261" xr:uid="{00000000-0005-0000-0000-000084080000}"/>
    <cellStyle name="Normal 3 32 4 2" xfId="13634" xr:uid="{00000000-0005-0000-0000-0000DD300000}"/>
    <cellStyle name="Normal 3 32 4 3" xfId="13635" xr:uid="{00000000-0005-0000-0000-0000DE300000}"/>
    <cellStyle name="Normal 3 32 5" xfId="2262" xr:uid="{00000000-0005-0000-0000-000085080000}"/>
    <cellStyle name="Normal 3 32 5 2" xfId="13636" xr:uid="{00000000-0005-0000-0000-0000E0300000}"/>
    <cellStyle name="Normal 3 32 5 3" xfId="13637" xr:uid="{00000000-0005-0000-0000-0000E1300000}"/>
    <cellStyle name="Normal 3 32 6" xfId="2263" xr:uid="{00000000-0005-0000-0000-000086080000}"/>
    <cellStyle name="Normal 3 32 6 2" xfId="13638" xr:uid="{00000000-0005-0000-0000-0000E3300000}"/>
    <cellStyle name="Normal 3 32 6 3" xfId="13639" xr:uid="{00000000-0005-0000-0000-0000E4300000}"/>
    <cellStyle name="Normal 3 32 7" xfId="2264" xr:uid="{00000000-0005-0000-0000-000087080000}"/>
    <cellStyle name="Normal 3 32 7 2" xfId="13640" xr:uid="{00000000-0005-0000-0000-0000E6300000}"/>
    <cellStyle name="Normal 3 32 7 3" xfId="13641" xr:uid="{00000000-0005-0000-0000-0000E7300000}"/>
    <cellStyle name="Normal 3 32 8" xfId="2265" xr:uid="{00000000-0005-0000-0000-000088080000}"/>
    <cellStyle name="Normal 3 32 8 2" xfId="13642" xr:uid="{00000000-0005-0000-0000-0000E9300000}"/>
    <cellStyle name="Normal 3 32 8 3" xfId="13643" xr:uid="{00000000-0005-0000-0000-0000EA300000}"/>
    <cellStyle name="Normal 3 32 9" xfId="2266" xr:uid="{00000000-0005-0000-0000-000089080000}"/>
    <cellStyle name="Normal 3 32 9 2" xfId="13644" xr:uid="{00000000-0005-0000-0000-0000EC300000}"/>
    <cellStyle name="Normal 3 32 9 3" xfId="13645" xr:uid="{00000000-0005-0000-0000-0000ED300000}"/>
    <cellStyle name="Normal 3 33" xfId="2267" xr:uid="{00000000-0005-0000-0000-00008A080000}"/>
    <cellStyle name="Normal 3 33 10" xfId="2268" xr:uid="{00000000-0005-0000-0000-00008B080000}"/>
    <cellStyle name="Normal 3 33 10 2" xfId="13646" xr:uid="{00000000-0005-0000-0000-0000F0300000}"/>
    <cellStyle name="Normal 3 33 10 3" xfId="13647" xr:uid="{00000000-0005-0000-0000-0000F1300000}"/>
    <cellStyle name="Normal 3 33 11" xfId="2269" xr:uid="{00000000-0005-0000-0000-00008C080000}"/>
    <cellStyle name="Normal 3 33 11 2" xfId="13648" xr:uid="{00000000-0005-0000-0000-0000F3300000}"/>
    <cellStyle name="Normal 3 33 11 3" xfId="13649" xr:uid="{00000000-0005-0000-0000-0000F4300000}"/>
    <cellStyle name="Normal 3 33 12" xfId="2270" xr:uid="{00000000-0005-0000-0000-00008D080000}"/>
    <cellStyle name="Normal 3 33 12 2" xfId="13650" xr:uid="{00000000-0005-0000-0000-0000F6300000}"/>
    <cellStyle name="Normal 3 33 12 3" xfId="13651" xr:uid="{00000000-0005-0000-0000-0000F7300000}"/>
    <cellStyle name="Normal 3 33 13" xfId="2271" xr:uid="{00000000-0005-0000-0000-00008E080000}"/>
    <cellStyle name="Normal 3 33 13 2" xfId="13652" xr:uid="{00000000-0005-0000-0000-0000F9300000}"/>
    <cellStyle name="Normal 3 33 13 3" xfId="13653" xr:uid="{00000000-0005-0000-0000-0000FA300000}"/>
    <cellStyle name="Normal 3 33 14" xfId="2272" xr:uid="{00000000-0005-0000-0000-00008F080000}"/>
    <cellStyle name="Normal 3 33 14 2" xfId="13654" xr:uid="{00000000-0005-0000-0000-0000FC300000}"/>
    <cellStyle name="Normal 3 33 14 3" xfId="13655" xr:uid="{00000000-0005-0000-0000-0000FD300000}"/>
    <cellStyle name="Normal 3 33 15" xfId="2273" xr:uid="{00000000-0005-0000-0000-000090080000}"/>
    <cellStyle name="Normal 3 33 15 2" xfId="13656" xr:uid="{00000000-0005-0000-0000-0000FF300000}"/>
    <cellStyle name="Normal 3 33 15 3" xfId="13657" xr:uid="{00000000-0005-0000-0000-000000310000}"/>
    <cellStyle name="Normal 3 33 16" xfId="2274" xr:uid="{00000000-0005-0000-0000-000091080000}"/>
    <cellStyle name="Normal 3 33 16 2" xfId="13658" xr:uid="{00000000-0005-0000-0000-000002310000}"/>
    <cellStyle name="Normal 3 33 16 3" xfId="13659" xr:uid="{00000000-0005-0000-0000-000003310000}"/>
    <cellStyle name="Normal 3 33 17" xfId="2275" xr:uid="{00000000-0005-0000-0000-000092080000}"/>
    <cellStyle name="Normal 3 33 17 2" xfId="13660" xr:uid="{00000000-0005-0000-0000-000005310000}"/>
    <cellStyle name="Normal 3 33 17 3" xfId="13661" xr:uid="{00000000-0005-0000-0000-000006310000}"/>
    <cellStyle name="Normal 3 33 18" xfId="2276" xr:uid="{00000000-0005-0000-0000-000093080000}"/>
    <cellStyle name="Normal 3 33 18 2" xfId="13662" xr:uid="{00000000-0005-0000-0000-000008310000}"/>
    <cellStyle name="Normal 3 33 18 3" xfId="13663" xr:uid="{00000000-0005-0000-0000-000009310000}"/>
    <cellStyle name="Normal 3 33 19" xfId="2277" xr:uid="{00000000-0005-0000-0000-000094080000}"/>
    <cellStyle name="Normal 3 33 19 2" xfId="13664" xr:uid="{00000000-0005-0000-0000-00000B310000}"/>
    <cellStyle name="Normal 3 33 19 3" xfId="13665" xr:uid="{00000000-0005-0000-0000-00000C310000}"/>
    <cellStyle name="Normal 3 33 2" xfId="2278" xr:uid="{00000000-0005-0000-0000-000095080000}"/>
    <cellStyle name="Normal 3 33 2 2" xfId="13666" xr:uid="{00000000-0005-0000-0000-00000E310000}"/>
    <cellStyle name="Normal 3 33 2 3" xfId="13667" xr:uid="{00000000-0005-0000-0000-00000F310000}"/>
    <cellStyle name="Normal 3 33 20" xfId="2279" xr:uid="{00000000-0005-0000-0000-000096080000}"/>
    <cellStyle name="Normal 3 33 20 2" xfId="13668" xr:uid="{00000000-0005-0000-0000-000011310000}"/>
    <cellStyle name="Normal 3 33 20 3" xfId="13669" xr:uid="{00000000-0005-0000-0000-000012310000}"/>
    <cellStyle name="Normal 3 33 21" xfId="2280" xr:uid="{00000000-0005-0000-0000-000097080000}"/>
    <cellStyle name="Normal 3 33 21 2" xfId="13670" xr:uid="{00000000-0005-0000-0000-000014310000}"/>
    <cellStyle name="Normal 3 33 21 3" xfId="13671" xr:uid="{00000000-0005-0000-0000-000015310000}"/>
    <cellStyle name="Normal 3 33 22" xfId="2281" xr:uid="{00000000-0005-0000-0000-000098080000}"/>
    <cellStyle name="Normal 3 33 22 2" xfId="13672" xr:uid="{00000000-0005-0000-0000-000017310000}"/>
    <cellStyle name="Normal 3 33 22 3" xfId="13673" xr:uid="{00000000-0005-0000-0000-000018310000}"/>
    <cellStyle name="Normal 3 33 23" xfId="2282" xr:uid="{00000000-0005-0000-0000-000099080000}"/>
    <cellStyle name="Normal 3 33 23 2" xfId="13674" xr:uid="{00000000-0005-0000-0000-00001A310000}"/>
    <cellStyle name="Normal 3 33 23 3" xfId="13675" xr:uid="{00000000-0005-0000-0000-00001B310000}"/>
    <cellStyle name="Normal 3 33 24" xfId="13676" xr:uid="{00000000-0005-0000-0000-00001C310000}"/>
    <cellStyle name="Normal 3 33 25" xfId="13677" xr:uid="{00000000-0005-0000-0000-00001D310000}"/>
    <cellStyle name="Normal 3 33 3" xfId="2283" xr:uid="{00000000-0005-0000-0000-00009A080000}"/>
    <cellStyle name="Normal 3 33 3 2" xfId="13678" xr:uid="{00000000-0005-0000-0000-00001F310000}"/>
    <cellStyle name="Normal 3 33 3 3" xfId="13679" xr:uid="{00000000-0005-0000-0000-000020310000}"/>
    <cellStyle name="Normal 3 33 4" xfId="2284" xr:uid="{00000000-0005-0000-0000-00009B080000}"/>
    <cellStyle name="Normal 3 33 4 2" xfId="13680" xr:uid="{00000000-0005-0000-0000-000022310000}"/>
    <cellStyle name="Normal 3 33 4 3" xfId="13681" xr:uid="{00000000-0005-0000-0000-000023310000}"/>
    <cellStyle name="Normal 3 33 5" xfId="2285" xr:uid="{00000000-0005-0000-0000-00009C080000}"/>
    <cellStyle name="Normal 3 33 5 2" xfId="13682" xr:uid="{00000000-0005-0000-0000-000025310000}"/>
    <cellStyle name="Normal 3 33 5 3" xfId="13683" xr:uid="{00000000-0005-0000-0000-000026310000}"/>
    <cellStyle name="Normal 3 33 6" xfId="2286" xr:uid="{00000000-0005-0000-0000-00009D080000}"/>
    <cellStyle name="Normal 3 33 6 2" xfId="13684" xr:uid="{00000000-0005-0000-0000-000028310000}"/>
    <cellStyle name="Normal 3 33 6 3" xfId="13685" xr:uid="{00000000-0005-0000-0000-000029310000}"/>
    <cellStyle name="Normal 3 33 7" xfId="2287" xr:uid="{00000000-0005-0000-0000-00009E080000}"/>
    <cellStyle name="Normal 3 33 7 2" xfId="13686" xr:uid="{00000000-0005-0000-0000-00002B310000}"/>
    <cellStyle name="Normal 3 33 7 3" xfId="13687" xr:uid="{00000000-0005-0000-0000-00002C310000}"/>
    <cellStyle name="Normal 3 33 8" xfId="2288" xr:uid="{00000000-0005-0000-0000-00009F080000}"/>
    <cellStyle name="Normal 3 33 8 2" xfId="13688" xr:uid="{00000000-0005-0000-0000-00002E310000}"/>
    <cellStyle name="Normal 3 33 8 3" xfId="13689" xr:uid="{00000000-0005-0000-0000-00002F310000}"/>
    <cellStyle name="Normal 3 33 9" xfId="2289" xr:uid="{00000000-0005-0000-0000-0000A0080000}"/>
    <cellStyle name="Normal 3 33 9 2" xfId="13690" xr:uid="{00000000-0005-0000-0000-000031310000}"/>
    <cellStyle name="Normal 3 33 9 3" xfId="13691" xr:uid="{00000000-0005-0000-0000-000032310000}"/>
    <cellStyle name="Normal 3 34" xfId="2290" xr:uid="{00000000-0005-0000-0000-0000A1080000}"/>
    <cellStyle name="Normal 3 34 2" xfId="13692" xr:uid="{00000000-0005-0000-0000-000034310000}"/>
    <cellStyle name="Normal 3 34 3" xfId="13693" xr:uid="{00000000-0005-0000-0000-000035310000}"/>
    <cellStyle name="Normal 3 35" xfId="2291" xr:uid="{00000000-0005-0000-0000-0000A2080000}"/>
    <cellStyle name="Normal 3 35 2" xfId="13694" xr:uid="{00000000-0005-0000-0000-000037310000}"/>
    <cellStyle name="Normal 3 35 3" xfId="13695" xr:uid="{00000000-0005-0000-0000-000038310000}"/>
    <cellStyle name="Normal 3 36" xfId="2292" xr:uid="{00000000-0005-0000-0000-0000A3080000}"/>
    <cellStyle name="Normal 3 36 2" xfId="13696" xr:uid="{00000000-0005-0000-0000-00003A310000}"/>
    <cellStyle name="Normal 3 36 3" xfId="13697" xr:uid="{00000000-0005-0000-0000-00003B310000}"/>
    <cellStyle name="Normal 3 37" xfId="2293" xr:uid="{00000000-0005-0000-0000-0000A4080000}"/>
    <cellStyle name="Normal 3 37 2" xfId="13698" xr:uid="{00000000-0005-0000-0000-00003D310000}"/>
    <cellStyle name="Normal 3 37 3" xfId="13699" xr:uid="{00000000-0005-0000-0000-00003E310000}"/>
    <cellStyle name="Normal 3 38" xfId="2294" xr:uid="{00000000-0005-0000-0000-0000A5080000}"/>
    <cellStyle name="Normal 3 38 2" xfId="13700" xr:uid="{00000000-0005-0000-0000-000040310000}"/>
    <cellStyle name="Normal 3 38 3" xfId="13701" xr:uid="{00000000-0005-0000-0000-000041310000}"/>
    <cellStyle name="Normal 3 39" xfId="2295" xr:uid="{00000000-0005-0000-0000-0000A6080000}"/>
    <cellStyle name="Normal 3 39 2" xfId="13702" xr:uid="{00000000-0005-0000-0000-000043310000}"/>
    <cellStyle name="Normal 3 39 3" xfId="13703" xr:uid="{00000000-0005-0000-0000-000044310000}"/>
    <cellStyle name="Normal 3 4" xfId="2296" xr:uid="{00000000-0005-0000-0000-0000A7080000}"/>
    <cellStyle name="Normal 3 4 10" xfId="2297" xr:uid="{00000000-0005-0000-0000-0000A8080000}"/>
    <cellStyle name="Normal 3 4 10 2" xfId="13704" xr:uid="{00000000-0005-0000-0000-000047310000}"/>
    <cellStyle name="Normal 3 4 10 3" xfId="13705" xr:uid="{00000000-0005-0000-0000-000048310000}"/>
    <cellStyle name="Normal 3 4 11" xfId="2298" xr:uid="{00000000-0005-0000-0000-0000A9080000}"/>
    <cellStyle name="Normal 3 4 11 2" xfId="13706" xr:uid="{00000000-0005-0000-0000-00004A310000}"/>
    <cellStyle name="Normal 3 4 11 3" xfId="13707" xr:uid="{00000000-0005-0000-0000-00004B310000}"/>
    <cellStyle name="Normal 3 4 12" xfId="2299" xr:uid="{00000000-0005-0000-0000-0000AA080000}"/>
    <cellStyle name="Normal 3 4 12 2" xfId="13708" xr:uid="{00000000-0005-0000-0000-00004D310000}"/>
    <cellStyle name="Normal 3 4 12 3" xfId="13709" xr:uid="{00000000-0005-0000-0000-00004E310000}"/>
    <cellStyle name="Normal 3 4 13" xfId="2300" xr:uid="{00000000-0005-0000-0000-0000AB080000}"/>
    <cellStyle name="Normal 3 4 13 2" xfId="13710" xr:uid="{00000000-0005-0000-0000-000050310000}"/>
    <cellStyle name="Normal 3 4 13 3" xfId="13711" xr:uid="{00000000-0005-0000-0000-000051310000}"/>
    <cellStyle name="Normal 3 4 14" xfId="2301" xr:uid="{00000000-0005-0000-0000-0000AC080000}"/>
    <cellStyle name="Normal 3 4 14 2" xfId="13712" xr:uid="{00000000-0005-0000-0000-000053310000}"/>
    <cellStyle name="Normal 3 4 14 3" xfId="13713" xr:uid="{00000000-0005-0000-0000-000054310000}"/>
    <cellStyle name="Normal 3 4 15" xfId="2302" xr:uid="{00000000-0005-0000-0000-0000AD080000}"/>
    <cellStyle name="Normal 3 4 15 2" xfId="13714" xr:uid="{00000000-0005-0000-0000-000056310000}"/>
    <cellStyle name="Normal 3 4 15 3" xfId="13715" xr:uid="{00000000-0005-0000-0000-000057310000}"/>
    <cellStyle name="Normal 3 4 16" xfId="2303" xr:uid="{00000000-0005-0000-0000-0000AE080000}"/>
    <cellStyle name="Normal 3 4 16 2" xfId="13716" xr:uid="{00000000-0005-0000-0000-000059310000}"/>
    <cellStyle name="Normal 3 4 16 3" xfId="13717" xr:uid="{00000000-0005-0000-0000-00005A310000}"/>
    <cellStyle name="Normal 3 4 17" xfId="2304" xr:uid="{00000000-0005-0000-0000-0000AF080000}"/>
    <cellStyle name="Normal 3 4 17 2" xfId="13718" xr:uid="{00000000-0005-0000-0000-00005C310000}"/>
    <cellStyle name="Normal 3 4 17 3" xfId="13719" xr:uid="{00000000-0005-0000-0000-00005D310000}"/>
    <cellStyle name="Normal 3 4 18" xfId="2305" xr:uid="{00000000-0005-0000-0000-0000B0080000}"/>
    <cellStyle name="Normal 3 4 18 2" xfId="13720" xr:uid="{00000000-0005-0000-0000-00005F310000}"/>
    <cellStyle name="Normal 3 4 18 3" xfId="13721" xr:uid="{00000000-0005-0000-0000-000060310000}"/>
    <cellStyle name="Normal 3 4 19" xfId="2306" xr:uid="{00000000-0005-0000-0000-0000B1080000}"/>
    <cellStyle name="Normal 3 4 19 2" xfId="13722" xr:uid="{00000000-0005-0000-0000-000062310000}"/>
    <cellStyle name="Normal 3 4 19 3" xfId="13723" xr:uid="{00000000-0005-0000-0000-000063310000}"/>
    <cellStyle name="Normal 3 4 2" xfId="2307" xr:uid="{00000000-0005-0000-0000-0000B2080000}"/>
    <cellStyle name="Normal 3 4 2 2" xfId="13724" xr:uid="{00000000-0005-0000-0000-000065310000}"/>
    <cellStyle name="Normal 3 4 2 3" xfId="13725" xr:uid="{00000000-0005-0000-0000-000066310000}"/>
    <cellStyle name="Normal 3 4 20" xfId="2308" xr:uid="{00000000-0005-0000-0000-0000B3080000}"/>
    <cellStyle name="Normal 3 4 20 2" xfId="13726" xr:uid="{00000000-0005-0000-0000-000068310000}"/>
    <cellStyle name="Normal 3 4 20 3" xfId="13727" xr:uid="{00000000-0005-0000-0000-000069310000}"/>
    <cellStyle name="Normal 3 4 21" xfId="2309" xr:uid="{00000000-0005-0000-0000-0000B4080000}"/>
    <cellStyle name="Normal 3 4 21 2" xfId="13728" xr:uid="{00000000-0005-0000-0000-00006B310000}"/>
    <cellStyle name="Normal 3 4 21 3" xfId="13729" xr:uid="{00000000-0005-0000-0000-00006C310000}"/>
    <cellStyle name="Normal 3 4 22" xfId="2310" xr:uid="{00000000-0005-0000-0000-0000B5080000}"/>
    <cellStyle name="Normal 3 4 22 2" xfId="13730" xr:uid="{00000000-0005-0000-0000-00006E310000}"/>
    <cellStyle name="Normal 3 4 22 3" xfId="13731" xr:uid="{00000000-0005-0000-0000-00006F310000}"/>
    <cellStyle name="Normal 3 4 23" xfId="2311" xr:uid="{00000000-0005-0000-0000-0000B6080000}"/>
    <cellStyle name="Normal 3 4 23 2" xfId="13732" xr:uid="{00000000-0005-0000-0000-000071310000}"/>
    <cellStyle name="Normal 3 4 23 3" xfId="13733" xr:uid="{00000000-0005-0000-0000-000072310000}"/>
    <cellStyle name="Normal 3 4 24" xfId="13734" xr:uid="{00000000-0005-0000-0000-000073310000}"/>
    <cellStyle name="Normal 3 4 24 2" xfId="13735" xr:uid="{00000000-0005-0000-0000-000074310000}"/>
    <cellStyle name="Normal 3 4 24 3" xfId="13736" xr:uid="{00000000-0005-0000-0000-000075310000}"/>
    <cellStyle name="Normal 3 4 24 4" xfId="13737" xr:uid="{00000000-0005-0000-0000-000076310000}"/>
    <cellStyle name="Normal 3 4 25" xfId="13738" xr:uid="{00000000-0005-0000-0000-000077310000}"/>
    <cellStyle name="Normal 3 4 26" xfId="13739" xr:uid="{00000000-0005-0000-0000-000078310000}"/>
    <cellStyle name="Normal 3 4 27" xfId="5360" xr:uid="{00000000-0005-0000-0000-000045310000}"/>
    <cellStyle name="Normal 3 4 3" xfId="2312" xr:uid="{00000000-0005-0000-0000-0000B7080000}"/>
    <cellStyle name="Normal 3 4 3 2" xfId="13740" xr:uid="{00000000-0005-0000-0000-00007A310000}"/>
    <cellStyle name="Normal 3 4 3 3" xfId="13741" xr:uid="{00000000-0005-0000-0000-00007B310000}"/>
    <cellStyle name="Normal 3 4 4" xfId="2313" xr:uid="{00000000-0005-0000-0000-0000B8080000}"/>
    <cellStyle name="Normal 3 4 4 2" xfId="13742" xr:uid="{00000000-0005-0000-0000-00007D310000}"/>
    <cellStyle name="Normal 3 4 4 3" xfId="13743" xr:uid="{00000000-0005-0000-0000-00007E310000}"/>
    <cellStyle name="Normal 3 4 5" xfId="2314" xr:uid="{00000000-0005-0000-0000-0000B9080000}"/>
    <cellStyle name="Normal 3 4 5 2" xfId="13744" xr:uid="{00000000-0005-0000-0000-000080310000}"/>
    <cellStyle name="Normal 3 4 5 3" xfId="13745" xr:uid="{00000000-0005-0000-0000-000081310000}"/>
    <cellStyle name="Normal 3 4 6" xfId="2315" xr:uid="{00000000-0005-0000-0000-0000BA080000}"/>
    <cellStyle name="Normal 3 4 6 2" xfId="13746" xr:uid="{00000000-0005-0000-0000-000083310000}"/>
    <cellStyle name="Normal 3 4 6 3" xfId="13747" xr:uid="{00000000-0005-0000-0000-000084310000}"/>
    <cellStyle name="Normal 3 4 7" xfId="2316" xr:uid="{00000000-0005-0000-0000-0000BB080000}"/>
    <cellStyle name="Normal 3 4 7 2" xfId="13748" xr:uid="{00000000-0005-0000-0000-000086310000}"/>
    <cellStyle name="Normal 3 4 7 3" xfId="13749" xr:uid="{00000000-0005-0000-0000-000087310000}"/>
    <cellStyle name="Normal 3 4 8" xfId="2317" xr:uid="{00000000-0005-0000-0000-0000BC080000}"/>
    <cellStyle name="Normal 3 4 8 2" xfId="13750" xr:uid="{00000000-0005-0000-0000-000089310000}"/>
    <cellStyle name="Normal 3 4 8 3" xfId="13751" xr:uid="{00000000-0005-0000-0000-00008A310000}"/>
    <cellStyle name="Normal 3 4 9" xfId="2318" xr:uid="{00000000-0005-0000-0000-0000BD080000}"/>
    <cellStyle name="Normal 3 4 9 2" xfId="13752" xr:uid="{00000000-0005-0000-0000-00008C310000}"/>
    <cellStyle name="Normal 3 4 9 3" xfId="13753" xr:uid="{00000000-0005-0000-0000-00008D310000}"/>
    <cellStyle name="Normal 3 40" xfId="2319" xr:uid="{00000000-0005-0000-0000-0000BE080000}"/>
    <cellStyle name="Normal 3 40 2" xfId="13754" xr:uid="{00000000-0005-0000-0000-00008F310000}"/>
    <cellStyle name="Normal 3 40 3" xfId="13755" xr:uid="{00000000-0005-0000-0000-000090310000}"/>
    <cellStyle name="Normal 3 41" xfId="2320" xr:uid="{00000000-0005-0000-0000-0000BF080000}"/>
    <cellStyle name="Normal 3 41 2" xfId="13756" xr:uid="{00000000-0005-0000-0000-000092310000}"/>
    <cellStyle name="Normal 3 41 3" xfId="13757" xr:uid="{00000000-0005-0000-0000-000093310000}"/>
    <cellStyle name="Normal 3 42" xfId="2321" xr:uid="{00000000-0005-0000-0000-0000C0080000}"/>
    <cellStyle name="Normal 3 42 2" xfId="13758" xr:uid="{00000000-0005-0000-0000-000095310000}"/>
    <cellStyle name="Normal 3 42 3" xfId="13759" xr:uid="{00000000-0005-0000-0000-000096310000}"/>
    <cellStyle name="Normal 3 43" xfId="2322" xr:uid="{00000000-0005-0000-0000-0000C1080000}"/>
    <cellStyle name="Normal 3 43 2" xfId="13760" xr:uid="{00000000-0005-0000-0000-000098310000}"/>
    <cellStyle name="Normal 3 43 3" xfId="13761" xr:uid="{00000000-0005-0000-0000-000099310000}"/>
    <cellStyle name="Normal 3 44" xfId="2323" xr:uid="{00000000-0005-0000-0000-0000C2080000}"/>
    <cellStyle name="Normal 3 44 2" xfId="13762" xr:uid="{00000000-0005-0000-0000-00009B310000}"/>
    <cellStyle name="Normal 3 44 3" xfId="13763" xr:uid="{00000000-0005-0000-0000-00009C310000}"/>
    <cellStyle name="Normal 3 45" xfId="2324" xr:uid="{00000000-0005-0000-0000-0000C3080000}"/>
    <cellStyle name="Normal 3 45 2" xfId="13764" xr:uid="{00000000-0005-0000-0000-00009E310000}"/>
    <cellStyle name="Normal 3 45 3" xfId="13765" xr:uid="{00000000-0005-0000-0000-00009F310000}"/>
    <cellStyle name="Normal 3 46" xfId="2325" xr:uid="{00000000-0005-0000-0000-0000C4080000}"/>
    <cellStyle name="Normal 3 46 2" xfId="13766" xr:uid="{00000000-0005-0000-0000-0000A1310000}"/>
    <cellStyle name="Normal 3 46 3" xfId="13767" xr:uid="{00000000-0005-0000-0000-0000A2310000}"/>
    <cellStyle name="Normal 3 47" xfId="2326" xr:uid="{00000000-0005-0000-0000-0000C5080000}"/>
    <cellStyle name="Normal 3 47 2" xfId="13768" xr:uid="{00000000-0005-0000-0000-0000A4310000}"/>
    <cellStyle name="Normal 3 47 3" xfId="13769" xr:uid="{00000000-0005-0000-0000-0000A5310000}"/>
    <cellStyle name="Normal 3 48" xfId="2327" xr:uid="{00000000-0005-0000-0000-0000C6080000}"/>
    <cellStyle name="Normal 3 48 2" xfId="13770" xr:uid="{00000000-0005-0000-0000-0000A7310000}"/>
    <cellStyle name="Normal 3 48 3" xfId="13771" xr:uid="{00000000-0005-0000-0000-0000A8310000}"/>
    <cellStyle name="Normal 3 49" xfId="2328" xr:uid="{00000000-0005-0000-0000-0000C7080000}"/>
    <cellStyle name="Normal 3 49 2" xfId="13772" xr:uid="{00000000-0005-0000-0000-0000AA310000}"/>
    <cellStyle name="Normal 3 49 3" xfId="13773" xr:uid="{00000000-0005-0000-0000-0000AB310000}"/>
    <cellStyle name="Normal 3 5" xfId="2329" xr:uid="{00000000-0005-0000-0000-0000C8080000}"/>
    <cellStyle name="Normal 3 5 10" xfId="2330" xr:uid="{00000000-0005-0000-0000-0000C9080000}"/>
    <cellStyle name="Normal 3 5 10 2" xfId="13774" xr:uid="{00000000-0005-0000-0000-0000AE310000}"/>
    <cellStyle name="Normal 3 5 10 3" xfId="13775" xr:uid="{00000000-0005-0000-0000-0000AF310000}"/>
    <cellStyle name="Normal 3 5 11" xfId="2331" xr:uid="{00000000-0005-0000-0000-0000CA080000}"/>
    <cellStyle name="Normal 3 5 11 2" xfId="13776" xr:uid="{00000000-0005-0000-0000-0000B1310000}"/>
    <cellStyle name="Normal 3 5 11 3" xfId="13777" xr:uid="{00000000-0005-0000-0000-0000B2310000}"/>
    <cellStyle name="Normal 3 5 12" xfId="2332" xr:uid="{00000000-0005-0000-0000-0000CB080000}"/>
    <cellStyle name="Normal 3 5 12 2" xfId="13778" xr:uid="{00000000-0005-0000-0000-0000B4310000}"/>
    <cellStyle name="Normal 3 5 12 3" xfId="13779" xr:uid="{00000000-0005-0000-0000-0000B5310000}"/>
    <cellStyle name="Normal 3 5 13" xfId="2333" xr:uid="{00000000-0005-0000-0000-0000CC080000}"/>
    <cellStyle name="Normal 3 5 13 2" xfId="13780" xr:uid="{00000000-0005-0000-0000-0000B7310000}"/>
    <cellStyle name="Normal 3 5 13 3" xfId="13781" xr:uid="{00000000-0005-0000-0000-0000B8310000}"/>
    <cellStyle name="Normal 3 5 14" xfId="2334" xr:uid="{00000000-0005-0000-0000-0000CD080000}"/>
    <cellStyle name="Normal 3 5 14 2" xfId="13782" xr:uid="{00000000-0005-0000-0000-0000BA310000}"/>
    <cellStyle name="Normal 3 5 14 3" xfId="13783" xr:uid="{00000000-0005-0000-0000-0000BB310000}"/>
    <cellStyle name="Normal 3 5 15" xfId="2335" xr:uid="{00000000-0005-0000-0000-0000CE080000}"/>
    <cellStyle name="Normal 3 5 15 2" xfId="13784" xr:uid="{00000000-0005-0000-0000-0000BD310000}"/>
    <cellStyle name="Normal 3 5 15 3" xfId="13785" xr:uid="{00000000-0005-0000-0000-0000BE310000}"/>
    <cellStyle name="Normal 3 5 16" xfId="2336" xr:uid="{00000000-0005-0000-0000-0000CF080000}"/>
    <cellStyle name="Normal 3 5 16 2" xfId="13786" xr:uid="{00000000-0005-0000-0000-0000C0310000}"/>
    <cellStyle name="Normal 3 5 16 3" xfId="13787" xr:uid="{00000000-0005-0000-0000-0000C1310000}"/>
    <cellStyle name="Normal 3 5 17" xfId="2337" xr:uid="{00000000-0005-0000-0000-0000D0080000}"/>
    <cellStyle name="Normal 3 5 17 2" xfId="13788" xr:uid="{00000000-0005-0000-0000-0000C3310000}"/>
    <cellStyle name="Normal 3 5 17 3" xfId="13789" xr:uid="{00000000-0005-0000-0000-0000C4310000}"/>
    <cellStyle name="Normal 3 5 18" xfId="2338" xr:uid="{00000000-0005-0000-0000-0000D1080000}"/>
    <cellStyle name="Normal 3 5 18 2" xfId="13790" xr:uid="{00000000-0005-0000-0000-0000C6310000}"/>
    <cellStyle name="Normal 3 5 18 3" xfId="13791" xr:uid="{00000000-0005-0000-0000-0000C7310000}"/>
    <cellStyle name="Normal 3 5 19" xfId="2339" xr:uid="{00000000-0005-0000-0000-0000D2080000}"/>
    <cellStyle name="Normal 3 5 19 2" xfId="13792" xr:uid="{00000000-0005-0000-0000-0000C9310000}"/>
    <cellStyle name="Normal 3 5 19 3" xfId="13793" xr:uid="{00000000-0005-0000-0000-0000CA310000}"/>
    <cellStyle name="Normal 3 5 2" xfId="2340" xr:uid="{00000000-0005-0000-0000-0000D3080000}"/>
    <cellStyle name="Normal 3 5 2 2" xfId="13794" xr:uid="{00000000-0005-0000-0000-0000CC310000}"/>
    <cellStyle name="Normal 3 5 2 3" xfId="13795" xr:uid="{00000000-0005-0000-0000-0000CD310000}"/>
    <cellStyle name="Normal 3 5 20" xfId="2341" xr:uid="{00000000-0005-0000-0000-0000D4080000}"/>
    <cellStyle name="Normal 3 5 20 2" xfId="13796" xr:uid="{00000000-0005-0000-0000-0000CF310000}"/>
    <cellStyle name="Normal 3 5 20 3" xfId="13797" xr:uid="{00000000-0005-0000-0000-0000D0310000}"/>
    <cellStyle name="Normal 3 5 21" xfId="2342" xr:uid="{00000000-0005-0000-0000-0000D5080000}"/>
    <cellStyle name="Normal 3 5 21 2" xfId="13798" xr:uid="{00000000-0005-0000-0000-0000D2310000}"/>
    <cellStyle name="Normal 3 5 21 3" xfId="13799" xr:uid="{00000000-0005-0000-0000-0000D3310000}"/>
    <cellStyle name="Normal 3 5 22" xfId="2343" xr:uid="{00000000-0005-0000-0000-0000D6080000}"/>
    <cellStyle name="Normal 3 5 22 2" xfId="13800" xr:uid="{00000000-0005-0000-0000-0000D5310000}"/>
    <cellStyle name="Normal 3 5 22 3" xfId="13801" xr:uid="{00000000-0005-0000-0000-0000D6310000}"/>
    <cellStyle name="Normal 3 5 23" xfId="2344" xr:uid="{00000000-0005-0000-0000-0000D7080000}"/>
    <cellStyle name="Normal 3 5 23 2" xfId="13802" xr:uid="{00000000-0005-0000-0000-0000D8310000}"/>
    <cellStyle name="Normal 3 5 23 3" xfId="13803" xr:uid="{00000000-0005-0000-0000-0000D9310000}"/>
    <cellStyle name="Normal 3 5 24" xfId="13804" xr:uid="{00000000-0005-0000-0000-0000DA310000}"/>
    <cellStyle name="Normal 3 5 24 2" xfId="13805" xr:uid="{00000000-0005-0000-0000-0000DB310000}"/>
    <cellStyle name="Normal 3 5 24 3" xfId="13806" xr:uid="{00000000-0005-0000-0000-0000DC310000}"/>
    <cellStyle name="Normal 3 5 24 4" xfId="13807" xr:uid="{00000000-0005-0000-0000-0000DD310000}"/>
    <cellStyle name="Normal 3 5 25" xfId="13808" xr:uid="{00000000-0005-0000-0000-0000DE310000}"/>
    <cellStyle name="Normal 3 5 26" xfId="13809" xr:uid="{00000000-0005-0000-0000-0000DF310000}"/>
    <cellStyle name="Normal 3 5 3" xfId="2345" xr:uid="{00000000-0005-0000-0000-0000D8080000}"/>
    <cellStyle name="Normal 3 5 3 2" xfId="13810" xr:uid="{00000000-0005-0000-0000-0000E1310000}"/>
    <cellStyle name="Normal 3 5 3 3" xfId="13811" xr:uid="{00000000-0005-0000-0000-0000E2310000}"/>
    <cellStyle name="Normal 3 5 4" xfId="2346" xr:uid="{00000000-0005-0000-0000-0000D9080000}"/>
    <cellStyle name="Normal 3 5 4 2" xfId="13812" xr:uid="{00000000-0005-0000-0000-0000E4310000}"/>
    <cellStyle name="Normal 3 5 4 3" xfId="13813" xr:uid="{00000000-0005-0000-0000-0000E5310000}"/>
    <cellStyle name="Normal 3 5 5" xfId="2347" xr:uid="{00000000-0005-0000-0000-0000DA080000}"/>
    <cellStyle name="Normal 3 5 5 2" xfId="13814" xr:uid="{00000000-0005-0000-0000-0000E7310000}"/>
    <cellStyle name="Normal 3 5 5 3" xfId="13815" xr:uid="{00000000-0005-0000-0000-0000E8310000}"/>
    <cellStyle name="Normal 3 5 6" xfId="2348" xr:uid="{00000000-0005-0000-0000-0000DB080000}"/>
    <cellStyle name="Normal 3 5 6 2" xfId="13816" xr:uid="{00000000-0005-0000-0000-0000EA310000}"/>
    <cellStyle name="Normal 3 5 6 3" xfId="13817" xr:uid="{00000000-0005-0000-0000-0000EB310000}"/>
    <cellStyle name="Normal 3 5 7" xfId="2349" xr:uid="{00000000-0005-0000-0000-0000DC080000}"/>
    <cellStyle name="Normal 3 5 7 2" xfId="13818" xr:uid="{00000000-0005-0000-0000-0000ED310000}"/>
    <cellStyle name="Normal 3 5 7 3" xfId="13819" xr:uid="{00000000-0005-0000-0000-0000EE310000}"/>
    <cellStyle name="Normal 3 5 8" xfId="2350" xr:uid="{00000000-0005-0000-0000-0000DD080000}"/>
    <cellStyle name="Normal 3 5 8 2" xfId="13820" xr:uid="{00000000-0005-0000-0000-0000F0310000}"/>
    <cellStyle name="Normal 3 5 8 3" xfId="13821" xr:uid="{00000000-0005-0000-0000-0000F1310000}"/>
    <cellStyle name="Normal 3 5 9" xfId="2351" xr:uid="{00000000-0005-0000-0000-0000DE080000}"/>
    <cellStyle name="Normal 3 5 9 2" xfId="13822" xr:uid="{00000000-0005-0000-0000-0000F3310000}"/>
    <cellStyle name="Normal 3 5 9 3" xfId="13823" xr:uid="{00000000-0005-0000-0000-0000F4310000}"/>
    <cellStyle name="Normal 3 50" xfId="2352" xr:uid="{00000000-0005-0000-0000-0000DF080000}"/>
    <cellStyle name="Normal 3 50 2" xfId="13824" xr:uid="{00000000-0005-0000-0000-0000F6310000}"/>
    <cellStyle name="Normal 3 50 3" xfId="13825" xr:uid="{00000000-0005-0000-0000-0000F7310000}"/>
    <cellStyle name="Normal 3 51" xfId="2353" xr:uid="{00000000-0005-0000-0000-0000E0080000}"/>
    <cellStyle name="Normal 3 51 2" xfId="13826" xr:uid="{00000000-0005-0000-0000-0000F9310000}"/>
    <cellStyle name="Normal 3 51 3" xfId="13827" xr:uid="{00000000-0005-0000-0000-0000FA310000}"/>
    <cellStyle name="Normal 3 52" xfId="2354" xr:uid="{00000000-0005-0000-0000-0000E1080000}"/>
    <cellStyle name="Normal 3 52 2" xfId="13828" xr:uid="{00000000-0005-0000-0000-0000FC310000}"/>
    <cellStyle name="Normal 3 52 3" xfId="13829" xr:uid="{00000000-0005-0000-0000-0000FD310000}"/>
    <cellStyle name="Normal 3 53" xfId="2355" xr:uid="{00000000-0005-0000-0000-0000E2080000}"/>
    <cellStyle name="Normal 3 53 2" xfId="13830" xr:uid="{00000000-0005-0000-0000-0000FF310000}"/>
    <cellStyle name="Normal 3 53 3" xfId="13831" xr:uid="{00000000-0005-0000-0000-000000320000}"/>
    <cellStyle name="Normal 3 54" xfId="2356" xr:uid="{00000000-0005-0000-0000-0000E3080000}"/>
    <cellStyle name="Normal 3 54 2" xfId="13832" xr:uid="{00000000-0005-0000-0000-000002320000}"/>
    <cellStyle name="Normal 3 54 3" xfId="13833" xr:uid="{00000000-0005-0000-0000-000003320000}"/>
    <cellStyle name="Normal 3 55" xfId="2357" xr:uid="{00000000-0005-0000-0000-0000E4080000}"/>
    <cellStyle name="Normal 3 55 2" xfId="13834" xr:uid="{00000000-0005-0000-0000-000005320000}"/>
    <cellStyle name="Normal 3 55 3" xfId="13835" xr:uid="{00000000-0005-0000-0000-000006320000}"/>
    <cellStyle name="Normal 3 56" xfId="2358" xr:uid="{00000000-0005-0000-0000-0000E5080000}"/>
    <cellStyle name="Normal 3 56 2" xfId="13836" xr:uid="{00000000-0005-0000-0000-000008320000}"/>
    <cellStyle name="Normal 3 56 3" xfId="13837" xr:uid="{00000000-0005-0000-0000-000009320000}"/>
    <cellStyle name="Normal 3 57" xfId="2359" xr:uid="{00000000-0005-0000-0000-0000E6080000}"/>
    <cellStyle name="Normal 3 57 2" xfId="13838" xr:uid="{00000000-0005-0000-0000-00000B320000}"/>
    <cellStyle name="Normal 3 57 3" xfId="13839" xr:uid="{00000000-0005-0000-0000-00000C320000}"/>
    <cellStyle name="Normal 3 58" xfId="2360" xr:uid="{00000000-0005-0000-0000-0000E7080000}"/>
    <cellStyle name="Normal 3 58 2" xfId="13840" xr:uid="{00000000-0005-0000-0000-00000E320000}"/>
    <cellStyle name="Normal 3 58 3" xfId="13841" xr:uid="{00000000-0005-0000-0000-00000F320000}"/>
    <cellStyle name="Normal 3 59" xfId="2361" xr:uid="{00000000-0005-0000-0000-0000E8080000}"/>
    <cellStyle name="Normal 3 59 2" xfId="13842" xr:uid="{00000000-0005-0000-0000-000011320000}"/>
    <cellStyle name="Normal 3 59 3" xfId="13843" xr:uid="{00000000-0005-0000-0000-000012320000}"/>
    <cellStyle name="Normal 3 6" xfId="2362" xr:uid="{00000000-0005-0000-0000-0000E9080000}"/>
    <cellStyle name="Normal 3 6 10" xfId="2363" xr:uid="{00000000-0005-0000-0000-0000EA080000}"/>
    <cellStyle name="Normal 3 6 10 2" xfId="13844" xr:uid="{00000000-0005-0000-0000-000015320000}"/>
    <cellStyle name="Normal 3 6 10 3" xfId="13845" xr:uid="{00000000-0005-0000-0000-000016320000}"/>
    <cellStyle name="Normal 3 6 11" xfId="2364" xr:uid="{00000000-0005-0000-0000-0000EB080000}"/>
    <cellStyle name="Normal 3 6 11 2" xfId="13846" xr:uid="{00000000-0005-0000-0000-000018320000}"/>
    <cellStyle name="Normal 3 6 11 3" xfId="13847" xr:uid="{00000000-0005-0000-0000-000019320000}"/>
    <cellStyle name="Normal 3 6 12" xfId="2365" xr:uid="{00000000-0005-0000-0000-0000EC080000}"/>
    <cellStyle name="Normal 3 6 12 2" xfId="13848" xr:uid="{00000000-0005-0000-0000-00001B320000}"/>
    <cellStyle name="Normal 3 6 12 3" xfId="13849" xr:uid="{00000000-0005-0000-0000-00001C320000}"/>
    <cellStyle name="Normal 3 6 13" xfId="2366" xr:uid="{00000000-0005-0000-0000-0000ED080000}"/>
    <cellStyle name="Normal 3 6 13 2" xfId="13850" xr:uid="{00000000-0005-0000-0000-00001E320000}"/>
    <cellStyle name="Normal 3 6 13 3" xfId="13851" xr:uid="{00000000-0005-0000-0000-00001F320000}"/>
    <cellStyle name="Normal 3 6 14" xfId="2367" xr:uid="{00000000-0005-0000-0000-0000EE080000}"/>
    <cellStyle name="Normal 3 6 14 2" xfId="13852" xr:uid="{00000000-0005-0000-0000-000021320000}"/>
    <cellStyle name="Normal 3 6 14 3" xfId="13853" xr:uid="{00000000-0005-0000-0000-000022320000}"/>
    <cellStyle name="Normal 3 6 15" xfId="2368" xr:uid="{00000000-0005-0000-0000-0000EF080000}"/>
    <cellStyle name="Normal 3 6 15 2" xfId="13854" xr:uid="{00000000-0005-0000-0000-000024320000}"/>
    <cellStyle name="Normal 3 6 15 3" xfId="13855" xr:uid="{00000000-0005-0000-0000-000025320000}"/>
    <cellStyle name="Normal 3 6 16" xfId="2369" xr:uid="{00000000-0005-0000-0000-0000F0080000}"/>
    <cellStyle name="Normal 3 6 16 2" xfId="13856" xr:uid="{00000000-0005-0000-0000-000027320000}"/>
    <cellStyle name="Normal 3 6 16 3" xfId="13857" xr:uid="{00000000-0005-0000-0000-000028320000}"/>
    <cellStyle name="Normal 3 6 17" xfId="2370" xr:uid="{00000000-0005-0000-0000-0000F1080000}"/>
    <cellStyle name="Normal 3 6 17 2" xfId="13858" xr:uid="{00000000-0005-0000-0000-00002A320000}"/>
    <cellStyle name="Normal 3 6 17 3" xfId="13859" xr:uid="{00000000-0005-0000-0000-00002B320000}"/>
    <cellStyle name="Normal 3 6 18" xfId="2371" xr:uid="{00000000-0005-0000-0000-0000F2080000}"/>
    <cellStyle name="Normal 3 6 18 2" xfId="13860" xr:uid="{00000000-0005-0000-0000-00002D320000}"/>
    <cellStyle name="Normal 3 6 18 3" xfId="13861" xr:uid="{00000000-0005-0000-0000-00002E320000}"/>
    <cellStyle name="Normal 3 6 19" xfId="2372" xr:uid="{00000000-0005-0000-0000-0000F3080000}"/>
    <cellStyle name="Normal 3 6 19 2" xfId="13862" xr:uid="{00000000-0005-0000-0000-000030320000}"/>
    <cellStyle name="Normal 3 6 19 3" xfId="13863" xr:uid="{00000000-0005-0000-0000-000031320000}"/>
    <cellStyle name="Normal 3 6 2" xfId="2373" xr:uid="{00000000-0005-0000-0000-0000F4080000}"/>
    <cellStyle name="Normal 3 6 2 2" xfId="13864" xr:uid="{00000000-0005-0000-0000-000033320000}"/>
    <cellStyle name="Normal 3 6 2 3" xfId="13865" xr:uid="{00000000-0005-0000-0000-000034320000}"/>
    <cellStyle name="Normal 3 6 20" xfId="2374" xr:uid="{00000000-0005-0000-0000-0000F5080000}"/>
    <cellStyle name="Normal 3 6 20 2" xfId="13866" xr:uid="{00000000-0005-0000-0000-000036320000}"/>
    <cellStyle name="Normal 3 6 20 3" xfId="13867" xr:uid="{00000000-0005-0000-0000-000037320000}"/>
    <cellStyle name="Normal 3 6 21" xfId="2375" xr:uid="{00000000-0005-0000-0000-0000F6080000}"/>
    <cellStyle name="Normal 3 6 21 2" xfId="13868" xr:uid="{00000000-0005-0000-0000-000039320000}"/>
    <cellStyle name="Normal 3 6 21 3" xfId="13869" xr:uid="{00000000-0005-0000-0000-00003A320000}"/>
    <cellStyle name="Normal 3 6 22" xfId="2376" xr:uid="{00000000-0005-0000-0000-0000F7080000}"/>
    <cellStyle name="Normal 3 6 22 2" xfId="13870" xr:uid="{00000000-0005-0000-0000-00003C320000}"/>
    <cellStyle name="Normal 3 6 22 3" xfId="13871" xr:uid="{00000000-0005-0000-0000-00003D320000}"/>
    <cellStyle name="Normal 3 6 23" xfId="2377" xr:uid="{00000000-0005-0000-0000-0000F8080000}"/>
    <cellStyle name="Normal 3 6 23 2" xfId="13872" xr:uid="{00000000-0005-0000-0000-00003F320000}"/>
    <cellStyle name="Normal 3 6 23 3" xfId="13873" xr:uid="{00000000-0005-0000-0000-000040320000}"/>
    <cellStyle name="Normal 3 6 24" xfId="13874" xr:uid="{00000000-0005-0000-0000-000041320000}"/>
    <cellStyle name="Normal 3 6 25" xfId="13875" xr:uid="{00000000-0005-0000-0000-000042320000}"/>
    <cellStyle name="Normal 3 6 3" xfId="2378" xr:uid="{00000000-0005-0000-0000-0000F9080000}"/>
    <cellStyle name="Normal 3 6 3 2" xfId="13876" xr:uid="{00000000-0005-0000-0000-000044320000}"/>
    <cellStyle name="Normal 3 6 3 3" xfId="13877" xr:uid="{00000000-0005-0000-0000-000045320000}"/>
    <cellStyle name="Normal 3 6 4" xfId="2379" xr:uid="{00000000-0005-0000-0000-0000FA080000}"/>
    <cellStyle name="Normal 3 6 4 2" xfId="13878" xr:uid="{00000000-0005-0000-0000-000047320000}"/>
    <cellStyle name="Normal 3 6 4 3" xfId="13879" xr:uid="{00000000-0005-0000-0000-000048320000}"/>
    <cellStyle name="Normal 3 6 5" xfId="2380" xr:uid="{00000000-0005-0000-0000-0000FB080000}"/>
    <cellStyle name="Normal 3 6 5 2" xfId="13880" xr:uid="{00000000-0005-0000-0000-00004A320000}"/>
    <cellStyle name="Normal 3 6 5 3" xfId="13881" xr:uid="{00000000-0005-0000-0000-00004B320000}"/>
    <cellStyle name="Normal 3 6 6" xfId="2381" xr:uid="{00000000-0005-0000-0000-0000FC080000}"/>
    <cellStyle name="Normal 3 6 6 2" xfId="13882" xr:uid="{00000000-0005-0000-0000-00004D320000}"/>
    <cellStyle name="Normal 3 6 6 3" xfId="13883" xr:uid="{00000000-0005-0000-0000-00004E320000}"/>
    <cellStyle name="Normal 3 6 7" xfId="2382" xr:uid="{00000000-0005-0000-0000-0000FD080000}"/>
    <cellStyle name="Normal 3 6 7 2" xfId="13885" xr:uid="{00000000-0005-0000-0000-000050320000}"/>
    <cellStyle name="Normal 3 6 7 3" xfId="13886" xr:uid="{00000000-0005-0000-0000-000051320000}"/>
    <cellStyle name="Normal 3 6 8" xfId="2383" xr:uid="{00000000-0005-0000-0000-0000FE080000}"/>
    <cellStyle name="Normal 3 6 8 2" xfId="13887" xr:uid="{00000000-0005-0000-0000-000053320000}"/>
    <cellStyle name="Normal 3 6 8 3" xfId="13888" xr:uid="{00000000-0005-0000-0000-000054320000}"/>
    <cellStyle name="Normal 3 6 9" xfId="2384" xr:uid="{00000000-0005-0000-0000-0000FF080000}"/>
    <cellStyle name="Normal 3 6 9 2" xfId="13889" xr:uid="{00000000-0005-0000-0000-000056320000}"/>
    <cellStyle name="Normal 3 6 9 3" xfId="13890" xr:uid="{00000000-0005-0000-0000-000057320000}"/>
    <cellStyle name="Normal 3 60" xfId="2385" xr:uid="{00000000-0005-0000-0000-000000090000}"/>
    <cellStyle name="Normal 3 60 2" xfId="13891" xr:uid="{00000000-0005-0000-0000-000059320000}"/>
    <cellStyle name="Normal 3 60 3" xfId="13892" xr:uid="{00000000-0005-0000-0000-00005A320000}"/>
    <cellStyle name="Normal 3 61" xfId="2386" xr:uid="{00000000-0005-0000-0000-000001090000}"/>
    <cellStyle name="Normal 3 61 2" xfId="13893" xr:uid="{00000000-0005-0000-0000-00005C320000}"/>
    <cellStyle name="Normal 3 61 3" xfId="13894" xr:uid="{00000000-0005-0000-0000-00005D320000}"/>
    <cellStyle name="Normal 3 62" xfId="2387" xr:uid="{00000000-0005-0000-0000-000002090000}"/>
    <cellStyle name="Normal 3 62 2" xfId="13895" xr:uid="{00000000-0005-0000-0000-00005F320000}"/>
    <cellStyle name="Normal 3 62 3" xfId="13896" xr:uid="{00000000-0005-0000-0000-000060320000}"/>
    <cellStyle name="Normal 3 63" xfId="2388" xr:uid="{00000000-0005-0000-0000-000003090000}"/>
    <cellStyle name="Normal 3 63 2" xfId="13897" xr:uid="{00000000-0005-0000-0000-000062320000}"/>
    <cellStyle name="Normal 3 63 3" xfId="13898" xr:uid="{00000000-0005-0000-0000-000063320000}"/>
    <cellStyle name="Normal 3 64" xfId="2389" xr:uid="{00000000-0005-0000-0000-000004090000}"/>
    <cellStyle name="Normal 3 64 2" xfId="13899" xr:uid="{00000000-0005-0000-0000-000065320000}"/>
    <cellStyle name="Normal 3 64 3" xfId="13900" xr:uid="{00000000-0005-0000-0000-000066320000}"/>
    <cellStyle name="Normal 3 65" xfId="2390" xr:uid="{00000000-0005-0000-0000-000005090000}"/>
    <cellStyle name="Normal 3 65 2" xfId="13901" xr:uid="{00000000-0005-0000-0000-000068320000}"/>
    <cellStyle name="Normal 3 65 3" xfId="13902" xr:uid="{00000000-0005-0000-0000-000069320000}"/>
    <cellStyle name="Normal 3 66" xfId="13903" xr:uid="{00000000-0005-0000-0000-00006A320000}"/>
    <cellStyle name="Normal 3 66 2" xfId="13904" xr:uid="{00000000-0005-0000-0000-00006B320000}"/>
    <cellStyle name="Normal 3 66 2 2" xfId="13905" xr:uid="{00000000-0005-0000-0000-00006C320000}"/>
    <cellStyle name="Normal 3 66 2 3" xfId="13906" xr:uid="{00000000-0005-0000-0000-00006D320000}"/>
    <cellStyle name="Normal 3 66 2 3 2" xfId="26468" xr:uid="{029CDD45-DAF1-425D-B40B-1D42746792DF}"/>
    <cellStyle name="Normal 3 66 2 3 2 2" xfId="41431" xr:uid="{8D5DD95C-7FC0-46BB-9F59-4DC40AEE2453}"/>
    <cellStyle name="Normal 3 66 2 3 3" xfId="33841" xr:uid="{02C67BA3-B880-4737-ADF9-0C6D301D5027}"/>
    <cellStyle name="Normal 3 66 2 4" xfId="13907" xr:uid="{00000000-0005-0000-0000-00006E320000}"/>
    <cellStyle name="Normal 3 66 3" xfId="13908" xr:uid="{00000000-0005-0000-0000-00006F320000}"/>
    <cellStyle name="Normal 3 66 4" xfId="13909" xr:uid="{00000000-0005-0000-0000-000070320000}"/>
    <cellStyle name="Normal 3 66 4 2" xfId="26469" xr:uid="{1DE76C02-F63B-4E8C-A6EF-4871984B0805}"/>
    <cellStyle name="Normal 3 66 4 2 2" xfId="41432" xr:uid="{9C936FAD-7EBA-49EF-AD75-C225745D79A1}"/>
    <cellStyle name="Normal 3 66 4 3" xfId="33842" xr:uid="{3B2C0B5B-A61C-4206-93E2-F8FAD6BBF709}"/>
    <cellStyle name="Normal 3 66 5" xfId="13910" xr:uid="{00000000-0005-0000-0000-000071320000}"/>
    <cellStyle name="Normal 3 66 5 2" xfId="26470" xr:uid="{3143B3DF-F99C-4D6F-93BB-A51BF098FCAF}"/>
    <cellStyle name="Normal 3 66 5 2 2" xfId="41433" xr:uid="{47F76C18-6F74-486B-ADAF-8DCE8D75BA1C}"/>
    <cellStyle name="Normal 3 66 5 3" xfId="33843" xr:uid="{BCFE8193-844B-4B11-ABE4-D04DEBEC6E13}"/>
    <cellStyle name="Normal 3 66 6" xfId="13911" xr:uid="{00000000-0005-0000-0000-000072320000}"/>
    <cellStyle name="Normal 3 67" xfId="13912" xr:uid="{00000000-0005-0000-0000-000073320000}"/>
    <cellStyle name="Normal 3 67 2" xfId="13913" xr:uid="{00000000-0005-0000-0000-000074320000}"/>
    <cellStyle name="Normal 3 67 2 2" xfId="13914" xr:uid="{00000000-0005-0000-0000-000075320000}"/>
    <cellStyle name="Normal 3 67 2 2 2" xfId="26472" xr:uid="{56421B74-47E2-4FEE-84BA-8707BEC157D8}"/>
    <cellStyle name="Normal 3 67 2 2 2 2" xfId="41435" xr:uid="{107E3941-EB9F-4291-A943-790E143816F4}"/>
    <cellStyle name="Normal 3 67 2 2 3" xfId="33845" xr:uid="{61D63E74-58AD-493B-9C43-25241698214D}"/>
    <cellStyle name="Normal 3 67 3" xfId="13915" xr:uid="{00000000-0005-0000-0000-000076320000}"/>
    <cellStyle name="Normal 3 67 3 2" xfId="26473" xr:uid="{7BCCD387-F2D5-4213-BDC9-DA8D84074C46}"/>
    <cellStyle name="Normal 3 67 3 2 2" xfId="41436" xr:uid="{64F61CFD-837E-444E-8E4C-AA99327FD196}"/>
    <cellStyle name="Normal 3 67 3 3" xfId="33846" xr:uid="{988E5061-87FD-4322-B8BF-18A60C0D8773}"/>
    <cellStyle name="Normal 3 67 4" xfId="26471" xr:uid="{92AA1192-3404-4FE9-8759-6A251EA53E19}"/>
    <cellStyle name="Normal 3 67 4 2" xfId="41434" xr:uid="{45487975-5228-46A0-B928-F487A188687A}"/>
    <cellStyle name="Normal 3 67 5" xfId="33844" xr:uid="{7A42462F-7046-42A9-A6DA-70B06FCA6C21}"/>
    <cellStyle name="Normal 3 68" xfId="13916" xr:uid="{00000000-0005-0000-0000-000077320000}"/>
    <cellStyle name="Normal 3 68 2" xfId="13917" xr:uid="{00000000-0005-0000-0000-000078320000}"/>
    <cellStyle name="Normal 3 68 2 2" xfId="26474" xr:uid="{34ECC9C9-7497-4EB3-B928-E2862DDADDEC}"/>
    <cellStyle name="Normal 3 68 2 2 2" xfId="41437" xr:uid="{618E5782-EF06-4900-897F-FA1E79A3D75E}"/>
    <cellStyle name="Normal 3 68 2 3" xfId="33847" xr:uid="{80931522-96AA-47B4-A8E6-230DE02939B1}"/>
    <cellStyle name="Normal 3 69" xfId="13918" xr:uid="{00000000-0005-0000-0000-000079320000}"/>
    <cellStyle name="Normal 3 69 2" xfId="13919" xr:uid="{00000000-0005-0000-0000-00007A320000}"/>
    <cellStyle name="Normal 3 7" xfId="2391" xr:uid="{00000000-0005-0000-0000-000006090000}"/>
    <cellStyle name="Normal 3 7 10" xfId="2392" xr:uid="{00000000-0005-0000-0000-000007090000}"/>
    <cellStyle name="Normal 3 7 10 2" xfId="13920" xr:uid="{00000000-0005-0000-0000-00007D320000}"/>
    <cellStyle name="Normal 3 7 10 3" xfId="13921" xr:uid="{00000000-0005-0000-0000-00007E320000}"/>
    <cellStyle name="Normal 3 7 11" xfId="2393" xr:uid="{00000000-0005-0000-0000-000008090000}"/>
    <cellStyle name="Normal 3 7 11 2" xfId="13922" xr:uid="{00000000-0005-0000-0000-000080320000}"/>
    <cellStyle name="Normal 3 7 11 3" xfId="13923" xr:uid="{00000000-0005-0000-0000-000081320000}"/>
    <cellStyle name="Normal 3 7 12" xfId="2394" xr:uid="{00000000-0005-0000-0000-000009090000}"/>
    <cellStyle name="Normal 3 7 12 2" xfId="13924" xr:uid="{00000000-0005-0000-0000-000083320000}"/>
    <cellStyle name="Normal 3 7 12 3" xfId="13925" xr:uid="{00000000-0005-0000-0000-000084320000}"/>
    <cellStyle name="Normal 3 7 13" xfId="2395" xr:uid="{00000000-0005-0000-0000-00000A090000}"/>
    <cellStyle name="Normal 3 7 13 2" xfId="13926" xr:uid="{00000000-0005-0000-0000-000086320000}"/>
    <cellStyle name="Normal 3 7 13 3" xfId="13927" xr:uid="{00000000-0005-0000-0000-000087320000}"/>
    <cellStyle name="Normal 3 7 14" xfId="2396" xr:uid="{00000000-0005-0000-0000-00000B090000}"/>
    <cellStyle name="Normal 3 7 14 2" xfId="13928" xr:uid="{00000000-0005-0000-0000-000089320000}"/>
    <cellStyle name="Normal 3 7 14 3" xfId="13929" xr:uid="{00000000-0005-0000-0000-00008A320000}"/>
    <cellStyle name="Normal 3 7 15" xfId="2397" xr:uid="{00000000-0005-0000-0000-00000C090000}"/>
    <cellStyle name="Normal 3 7 15 2" xfId="13930" xr:uid="{00000000-0005-0000-0000-00008C320000}"/>
    <cellStyle name="Normal 3 7 15 3" xfId="13931" xr:uid="{00000000-0005-0000-0000-00008D320000}"/>
    <cellStyle name="Normal 3 7 16" xfId="2398" xr:uid="{00000000-0005-0000-0000-00000D090000}"/>
    <cellStyle name="Normal 3 7 16 2" xfId="13932" xr:uid="{00000000-0005-0000-0000-00008F320000}"/>
    <cellStyle name="Normal 3 7 16 3" xfId="13933" xr:uid="{00000000-0005-0000-0000-000090320000}"/>
    <cellStyle name="Normal 3 7 17" xfId="2399" xr:uid="{00000000-0005-0000-0000-00000E090000}"/>
    <cellStyle name="Normal 3 7 17 2" xfId="13934" xr:uid="{00000000-0005-0000-0000-000092320000}"/>
    <cellStyle name="Normal 3 7 17 3" xfId="13935" xr:uid="{00000000-0005-0000-0000-000093320000}"/>
    <cellStyle name="Normal 3 7 18" xfId="2400" xr:uid="{00000000-0005-0000-0000-00000F090000}"/>
    <cellStyle name="Normal 3 7 18 2" xfId="13936" xr:uid="{00000000-0005-0000-0000-000095320000}"/>
    <cellStyle name="Normal 3 7 18 3" xfId="13937" xr:uid="{00000000-0005-0000-0000-000096320000}"/>
    <cellStyle name="Normal 3 7 19" xfId="2401" xr:uid="{00000000-0005-0000-0000-000010090000}"/>
    <cellStyle name="Normal 3 7 19 2" xfId="13938" xr:uid="{00000000-0005-0000-0000-000098320000}"/>
    <cellStyle name="Normal 3 7 19 3" xfId="13939" xr:uid="{00000000-0005-0000-0000-000099320000}"/>
    <cellStyle name="Normal 3 7 2" xfId="2402" xr:uid="{00000000-0005-0000-0000-000011090000}"/>
    <cellStyle name="Normal 3 7 2 2" xfId="13940" xr:uid="{00000000-0005-0000-0000-00009B320000}"/>
    <cellStyle name="Normal 3 7 2 3" xfId="13941" xr:uid="{00000000-0005-0000-0000-00009C320000}"/>
    <cellStyle name="Normal 3 7 20" xfId="2403" xr:uid="{00000000-0005-0000-0000-000012090000}"/>
    <cellStyle name="Normal 3 7 20 2" xfId="13942" xr:uid="{00000000-0005-0000-0000-00009E320000}"/>
    <cellStyle name="Normal 3 7 20 3" xfId="13943" xr:uid="{00000000-0005-0000-0000-00009F320000}"/>
    <cellStyle name="Normal 3 7 21" xfId="2404" xr:uid="{00000000-0005-0000-0000-000013090000}"/>
    <cellStyle name="Normal 3 7 21 2" xfId="13944" xr:uid="{00000000-0005-0000-0000-0000A1320000}"/>
    <cellStyle name="Normal 3 7 21 3" xfId="13945" xr:uid="{00000000-0005-0000-0000-0000A2320000}"/>
    <cellStyle name="Normal 3 7 22" xfId="2405" xr:uid="{00000000-0005-0000-0000-000014090000}"/>
    <cellStyle name="Normal 3 7 22 2" xfId="13946" xr:uid="{00000000-0005-0000-0000-0000A4320000}"/>
    <cellStyle name="Normal 3 7 22 3" xfId="13947" xr:uid="{00000000-0005-0000-0000-0000A5320000}"/>
    <cellStyle name="Normal 3 7 23" xfId="2406" xr:uid="{00000000-0005-0000-0000-000015090000}"/>
    <cellStyle name="Normal 3 7 23 2" xfId="13948" xr:uid="{00000000-0005-0000-0000-0000A7320000}"/>
    <cellStyle name="Normal 3 7 23 3" xfId="13949" xr:uid="{00000000-0005-0000-0000-0000A8320000}"/>
    <cellStyle name="Normal 3 7 24" xfId="13950" xr:uid="{00000000-0005-0000-0000-0000A9320000}"/>
    <cellStyle name="Normal 3 7 24 2" xfId="13951" xr:uid="{00000000-0005-0000-0000-0000AA320000}"/>
    <cellStyle name="Normal 3 7 25" xfId="13952" xr:uid="{00000000-0005-0000-0000-0000AB320000}"/>
    <cellStyle name="Normal 3 7 3" xfId="2407" xr:uid="{00000000-0005-0000-0000-000016090000}"/>
    <cellStyle name="Normal 3 7 3 2" xfId="13953" xr:uid="{00000000-0005-0000-0000-0000AD320000}"/>
    <cellStyle name="Normal 3 7 3 3" xfId="13954" xr:uid="{00000000-0005-0000-0000-0000AE320000}"/>
    <cellStyle name="Normal 3 7 4" xfId="2408" xr:uid="{00000000-0005-0000-0000-000017090000}"/>
    <cellStyle name="Normal 3 7 4 2" xfId="13955" xr:uid="{00000000-0005-0000-0000-0000B0320000}"/>
    <cellStyle name="Normal 3 7 4 3" xfId="13956" xr:uid="{00000000-0005-0000-0000-0000B1320000}"/>
    <cellStyle name="Normal 3 7 5" xfId="2409" xr:uid="{00000000-0005-0000-0000-000018090000}"/>
    <cellStyle name="Normal 3 7 5 2" xfId="13957" xr:uid="{00000000-0005-0000-0000-0000B3320000}"/>
    <cellStyle name="Normal 3 7 5 3" xfId="13958" xr:uid="{00000000-0005-0000-0000-0000B4320000}"/>
    <cellStyle name="Normal 3 7 6" xfId="2410" xr:uid="{00000000-0005-0000-0000-000019090000}"/>
    <cellStyle name="Normal 3 7 6 2" xfId="13959" xr:uid="{00000000-0005-0000-0000-0000B6320000}"/>
    <cellStyle name="Normal 3 7 6 3" xfId="13960" xr:uid="{00000000-0005-0000-0000-0000B7320000}"/>
    <cellStyle name="Normal 3 7 7" xfId="2411" xr:uid="{00000000-0005-0000-0000-00001A090000}"/>
    <cellStyle name="Normal 3 7 7 2" xfId="13961" xr:uid="{00000000-0005-0000-0000-0000B9320000}"/>
    <cellStyle name="Normal 3 7 7 3" xfId="13962" xr:uid="{00000000-0005-0000-0000-0000BA320000}"/>
    <cellStyle name="Normal 3 7 8" xfId="2412" xr:uid="{00000000-0005-0000-0000-00001B090000}"/>
    <cellStyle name="Normal 3 7 8 2" xfId="13963" xr:uid="{00000000-0005-0000-0000-0000BC320000}"/>
    <cellStyle name="Normal 3 7 8 3" xfId="13964" xr:uid="{00000000-0005-0000-0000-0000BD320000}"/>
    <cellStyle name="Normal 3 7 9" xfId="2413" xr:uid="{00000000-0005-0000-0000-00001C090000}"/>
    <cellStyle name="Normal 3 7 9 2" xfId="13965" xr:uid="{00000000-0005-0000-0000-0000BF320000}"/>
    <cellStyle name="Normal 3 7 9 3" xfId="13966" xr:uid="{00000000-0005-0000-0000-0000C0320000}"/>
    <cellStyle name="Normal 3 70" xfId="13967" xr:uid="{00000000-0005-0000-0000-0000C1320000}"/>
    <cellStyle name="Normal 3 70 2" xfId="13968" xr:uid="{00000000-0005-0000-0000-0000C2320000}"/>
    <cellStyle name="Normal 3 71" xfId="13969" xr:uid="{00000000-0005-0000-0000-0000C3320000}"/>
    <cellStyle name="Normal 3 71 2" xfId="13970" xr:uid="{00000000-0005-0000-0000-0000C4320000}"/>
    <cellStyle name="Normal 3 72" xfId="13971" xr:uid="{00000000-0005-0000-0000-0000C5320000}"/>
    <cellStyle name="Normal 3 72 2" xfId="13972" xr:uid="{00000000-0005-0000-0000-0000C6320000}"/>
    <cellStyle name="Normal 3 72 3" xfId="26475" xr:uid="{60BD8D7D-AAA1-40D8-9239-21EFF899C269}"/>
    <cellStyle name="Normal 3 72 3 2" xfId="41438" xr:uid="{0400BA1C-5D93-410A-BD9B-218828030B8B}"/>
    <cellStyle name="Normal 3 72 4" xfId="33848" xr:uid="{CFE0EFE8-6832-4992-9756-FFB318FA9187}"/>
    <cellStyle name="Normal 3 73" xfId="13973" xr:uid="{00000000-0005-0000-0000-0000C7320000}"/>
    <cellStyle name="Normal 3 74" xfId="13974" xr:uid="{00000000-0005-0000-0000-0000C8320000}"/>
    <cellStyle name="Normal 3 75" xfId="13975" xr:uid="{00000000-0005-0000-0000-0000C9320000}"/>
    <cellStyle name="Normal 3 76" xfId="13976" xr:uid="{00000000-0005-0000-0000-0000CA320000}"/>
    <cellStyle name="Normal 3 77" xfId="13977" xr:uid="{00000000-0005-0000-0000-0000CB320000}"/>
    <cellStyle name="Normal 3 78" xfId="13978" xr:uid="{00000000-0005-0000-0000-0000CC320000}"/>
    <cellStyle name="Normal 3 79" xfId="13979" xr:uid="{00000000-0005-0000-0000-0000CD320000}"/>
    <cellStyle name="Normal 3 8" xfId="2414" xr:uid="{00000000-0005-0000-0000-00001D090000}"/>
    <cellStyle name="Normal 3 8 10" xfId="2415" xr:uid="{00000000-0005-0000-0000-00001E090000}"/>
    <cellStyle name="Normal 3 8 10 2" xfId="13980" xr:uid="{00000000-0005-0000-0000-0000D0320000}"/>
    <cellStyle name="Normal 3 8 10 3" xfId="13981" xr:uid="{00000000-0005-0000-0000-0000D1320000}"/>
    <cellStyle name="Normal 3 8 11" xfId="2416" xr:uid="{00000000-0005-0000-0000-00001F090000}"/>
    <cellStyle name="Normal 3 8 11 2" xfId="13982" xr:uid="{00000000-0005-0000-0000-0000D3320000}"/>
    <cellStyle name="Normal 3 8 11 3" xfId="13983" xr:uid="{00000000-0005-0000-0000-0000D4320000}"/>
    <cellStyle name="Normal 3 8 12" xfId="2417" xr:uid="{00000000-0005-0000-0000-000020090000}"/>
    <cellStyle name="Normal 3 8 12 2" xfId="13984" xr:uid="{00000000-0005-0000-0000-0000D6320000}"/>
    <cellStyle name="Normal 3 8 12 3" xfId="13985" xr:uid="{00000000-0005-0000-0000-0000D7320000}"/>
    <cellStyle name="Normal 3 8 13" xfId="2418" xr:uid="{00000000-0005-0000-0000-000021090000}"/>
    <cellStyle name="Normal 3 8 13 2" xfId="13986" xr:uid="{00000000-0005-0000-0000-0000D9320000}"/>
    <cellStyle name="Normal 3 8 13 3" xfId="13987" xr:uid="{00000000-0005-0000-0000-0000DA320000}"/>
    <cellStyle name="Normal 3 8 14" xfId="2419" xr:uid="{00000000-0005-0000-0000-000022090000}"/>
    <cellStyle name="Normal 3 8 14 2" xfId="13988" xr:uid="{00000000-0005-0000-0000-0000DC320000}"/>
    <cellStyle name="Normal 3 8 14 3" xfId="13989" xr:uid="{00000000-0005-0000-0000-0000DD320000}"/>
    <cellStyle name="Normal 3 8 15" xfId="2420" xr:uid="{00000000-0005-0000-0000-000023090000}"/>
    <cellStyle name="Normal 3 8 15 2" xfId="13990" xr:uid="{00000000-0005-0000-0000-0000DF320000}"/>
    <cellStyle name="Normal 3 8 15 3" xfId="13991" xr:uid="{00000000-0005-0000-0000-0000E0320000}"/>
    <cellStyle name="Normal 3 8 16" xfId="2421" xr:uid="{00000000-0005-0000-0000-000024090000}"/>
    <cellStyle name="Normal 3 8 16 2" xfId="13992" xr:uid="{00000000-0005-0000-0000-0000E2320000}"/>
    <cellStyle name="Normal 3 8 16 3" xfId="13993" xr:uid="{00000000-0005-0000-0000-0000E3320000}"/>
    <cellStyle name="Normal 3 8 17" xfId="2422" xr:uid="{00000000-0005-0000-0000-000025090000}"/>
    <cellStyle name="Normal 3 8 17 2" xfId="13994" xr:uid="{00000000-0005-0000-0000-0000E5320000}"/>
    <cellStyle name="Normal 3 8 17 3" xfId="13995" xr:uid="{00000000-0005-0000-0000-0000E6320000}"/>
    <cellStyle name="Normal 3 8 18" xfId="2423" xr:uid="{00000000-0005-0000-0000-000026090000}"/>
    <cellStyle name="Normal 3 8 18 2" xfId="13996" xr:uid="{00000000-0005-0000-0000-0000E8320000}"/>
    <cellStyle name="Normal 3 8 18 3" xfId="13997" xr:uid="{00000000-0005-0000-0000-0000E9320000}"/>
    <cellStyle name="Normal 3 8 19" xfId="2424" xr:uid="{00000000-0005-0000-0000-000027090000}"/>
    <cellStyle name="Normal 3 8 19 2" xfId="13998" xr:uid="{00000000-0005-0000-0000-0000EB320000}"/>
    <cellStyle name="Normal 3 8 19 3" xfId="13999" xr:uid="{00000000-0005-0000-0000-0000EC320000}"/>
    <cellStyle name="Normal 3 8 2" xfId="2425" xr:uid="{00000000-0005-0000-0000-000028090000}"/>
    <cellStyle name="Normal 3 8 2 2" xfId="14000" xr:uid="{00000000-0005-0000-0000-0000EE320000}"/>
    <cellStyle name="Normal 3 8 2 3" xfId="14001" xr:uid="{00000000-0005-0000-0000-0000EF320000}"/>
    <cellStyle name="Normal 3 8 20" xfId="2426" xr:uid="{00000000-0005-0000-0000-000029090000}"/>
    <cellStyle name="Normal 3 8 20 2" xfId="14002" xr:uid="{00000000-0005-0000-0000-0000F1320000}"/>
    <cellStyle name="Normal 3 8 20 3" xfId="14003" xr:uid="{00000000-0005-0000-0000-0000F2320000}"/>
    <cellStyle name="Normal 3 8 21" xfId="2427" xr:uid="{00000000-0005-0000-0000-00002A090000}"/>
    <cellStyle name="Normal 3 8 21 2" xfId="14004" xr:uid="{00000000-0005-0000-0000-0000F4320000}"/>
    <cellStyle name="Normal 3 8 21 3" xfId="14005" xr:uid="{00000000-0005-0000-0000-0000F5320000}"/>
    <cellStyle name="Normal 3 8 22" xfId="2428" xr:uid="{00000000-0005-0000-0000-00002B090000}"/>
    <cellStyle name="Normal 3 8 22 2" xfId="14006" xr:uid="{00000000-0005-0000-0000-0000F7320000}"/>
    <cellStyle name="Normal 3 8 22 3" xfId="14007" xr:uid="{00000000-0005-0000-0000-0000F8320000}"/>
    <cellStyle name="Normal 3 8 23" xfId="2429" xr:uid="{00000000-0005-0000-0000-00002C090000}"/>
    <cellStyle name="Normal 3 8 23 2" xfId="14008" xr:uid="{00000000-0005-0000-0000-0000FA320000}"/>
    <cellStyle name="Normal 3 8 23 3" xfId="14009" xr:uid="{00000000-0005-0000-0000-0000FB320000}"/>
    <cellStyle name="Normal 3 8 24" xfId="14010" xr:uid="{00000000-0005-0000-0000-0000FC320000}"/>
    <cellStyle name="Normal 3 8 25" xfId="14011" xr:uid="{00000000-0005-0000-0000-0000FD320000}"/>
    <cellStyle name="Normal 3 8 3" xfId="2430" xr:uid="{00000000-0005-0000-0000-00002D090000}"/>
    <cellStyle name="Normal 3 8 3 2" xfId="14012" xr:uid="{00000000-0005-0000-0000-0000FF320000}"/>
    <cellStyle name="Normal 3 8 3 3" xfId="14013" xr:uid="{00000000-0005-0000-0000-000000330000}"/>
    <cellStyle name="Normal 3 8 4" xfId="2431" xr:uid="{00000000-0005-0000-0000-00002E090000}"/>
    <cellStyle name="Normal 3 8 4 2" xfId="14014" xr:uid="{00000000-0005-0000-0000-000002330000}"/>
    <cellStyle name="Normal 3 8 4 3" xfId="14015" xr:uid="{00000000-0005-0000-0000-000003330000}"/>
    <cellStyle name="Normal 3 8 5" xfId="2432" xr:uid="{00000000-0005-0000-0000-00002F090000}"/>
    <cellStyle name="Normal 3 8 5 2" xfId="14016" xr:uid="{00000000-0005-0000-0000-000005330000}"/>
    <cellStyle name="Normal 3 8 5 3" xfId="14017" xr:uid="{00000000-0005-0000-0000-000006330000}"/>
    <cellStyle name="Normal 3 8 6" xfId="2433" xr:uid="{00000000-0005-0000-0000-000030090000}"/>
    <cellStyle name="Normal 3 8 6 2" xfId="14018" xr:uid="{00000000-0005-0000-0000-000008330000}"/>
    <cellStyle name="Normal 3 8 6 3" xfId="14019" xr:uid="{00000000-0005-0000-0000-000009330000}"/>
    <cellStyle name="Normal 3 8 7" xfId="2434" xr:uid="{00000000-0005-0000-0000-000031090000}"/>
    <cellStyle name="Normal 3 8 7 2" xfId="14020" xr:uid="{00000000-0005-0000-0000-00000B330000}"/>
    <cellStyle name="Normal 3 8 7 3" xfId="14021" xr:uid="{00000000-0005-0000-0000-00000C330000}"/>
    <cellStyle name="Normal 3 8 8" xfId="2435" xr:uid="{00000000-0005-0000-0000-000032090000}"/>
    <cellStyle name="Normal 3 8 8 2" xfId="14022" xr:uid="{00000000-0005-0000-0000-00000E330000}"/>
    <cellStyle name="Normal 3 8 8 3" xfId="14023" xr:uid="{00000000-0005-0000-0000-00000F330000}"/>
    <cellStyle name="Normal 3 8 9" xfId="2436" xr:uid="{00000000-0005-0000-0000-000033090000}"/>
    <cellStyle name="Normal 3 8 9 2" xfId="14024" xr:uid="{00000000-0005-0000-0000-000011330000}"/>
    <cellStyle name="Normal 3 8 9 3" xfId="14025" xr:uid="{00000000-0005-0000-0000-000012330000}"/>
    <cellStyle name="Normal 3 80" xfId="14026" xr:uid="{00000000-0005-0000-0000-000013330000}"/>
    <cellStyle name="Normal 3 81" xfId="14027" xr:uid="{00000000-0005-0000-0000-000014330000}"/>
    <cellStyle name="Normal 3 82" xfId="14028" xr:uid="{00000000-0005-0000-0000-000015330000}"/>
    <cellStyle name="Normal 3 83" xfId="14029" xr:uid="{00000000-0005-0000-0000-000016330000}"/>
    <cellStyle name="Normal 3 84" xfId="14030" xr:uid="{00000000-0005-0000-0000-000017330000}"/>
    <cellStyle name="Normal 3 85" xfId="14031" xr:uid="{00000000-0005-0000-0000-000018330000}"/>
    <cellStyle name="Normal 3 86" xfId="14032" xr:uid="{00000000-0005-0000-0000-000019330000}"/>
    <cellStyle name="Normal 3 87" xfId="14033" xr:uid="{00000000-0005-0000-0000-00001A330000}"/>
    <cellStyle name="Normal 3 88" xfId="14034" xr:uid="{00000000-0005-0000-0000-00001B330000}"/>
    <cellStyle name="Normal 3 89" xfId="14035" xr:uid="{00000000-0005-0000-0000-00001C330000}"/>
    <cellStyle name="Normal 3 9" xfId="2437" xr:uid="{00000000-0005-0000-0000-000034090000}"/>
    <cellStyle name="Normal 3 9 10" xfId="2438" xr:uid="{00000000-0005-0000-0000-000035090000}"/>
    <cellStyle name="Normal 3 9 10 2" xfId="14036" xr:uid="{00000000-0005-0000-0000-00001F330000}"/>
    <cellStyle name="Normal 3 9 10 3" xfId="14037" xr:uid="{00000000-0005-0000-0000-000020330000}"/>
    <cellStyle name="Normal 3 9 11" xfId="2439" xr:uid="{00000000-0005-0000-0000-000036090000}"/>
    <cellStyle name="Normal 3 9 11 2" xfId="14038" xr:uid="{00000000-0005-0000-0000-000022330000}"/>
    <cellStyle name="Normal 3 9 11 3" xfId="14039" xr:uid="{00000000-0005-0000-0000-000023330000}"/>
    <cellStyle name="Normal 3 9 12" xfId="2440" xr:uid="{00000000-0005-0000-0000-000037090000}"/>
    <cellStyle name="Normal 3 9 12 2" xfId="14040" xr:uid="{00000000-0005-0000-0000-000025330000}"/>
    <cellStyle name="Normal 3 9 12 3" xfId="14041" xr:uid="{00000000-0005-0000-0000-000026330000}"/>
    <cellStyle name="Normal 3 9 13" xfId="2441" xr:uid="{00000000-0005-0000-0000-000038090000}"/>
    <cellStyle name="Normal 3 9 13 2" xfId="14042" xr:uid="{00000000-0005-0000-0000-000028330000}"/>
    <cellStyle name="Normal 3 9 13 3" xfId="14043" xr:uid="{00000000-0005-0000-0000-000029330000}"/>
    <cellStyle name="Normal 3 9 14" xfId="2442" xr:uid="{00000000-0005-0000-0000-000039090000}"/>
    <cellStyle name="Normal 3 9 14 2" xfId="14044" xr:uid="{00000000-0005-0000-0000-00002B330000}"/>
    <cellStyle name="Normal 3 9 14 3" xfId="14045" xr:uid="{00000000-0005-0000-0000-00002C330000}"/>
    <cellStyle name="Normal 3 9 15" xfId="2443" xr:uid="{00000000-0005-0000-0000-00003A090000}"/>
    <cellStyle name="Normal 3 9 15 2" xfId="14046" xr:uid="{00000000-0005-0000-0000-00002E330000}"/>
    <cellStyle name="Normal 3 9 15 3" xfId="14047" xr:uid="{00000000-0005-0000-0000-00002F330000}"/>
    <cellStyle name="Normal 3 9 16" xfId="2444" xr:uid="{00000000-0005-0000-0000-00003B090000}"/>
    <cellStyle name="Normal 3 9 16 2" xfId="14048" xr:uid="{00000000-0005-0000-0000-000031330000}"/>
    <cellStyle name="Normal 3 9 16 3" xfId="14049" xr:uid="{00000000-0005-0000-0000-000032330000}"/>
    <cellStyle name="Normal 3 9 17" xfId="2445" xr:uid="{00000000-0005-0000-0000-00003C090000}"/>
    <cellStyle name="Normal 3 9 17 2" xfId="14050" xr:uid="{00000000-0005-0000-0000-000034330000}"/>
    <cellStyle name="Normal 3 9 17 3" xfId="14051" xr:uid="{00000000-0005-0000-0000-000035330000}"/>
    <cellStyle name="Normal 3 9 18" xfId="2446" xr:uid="{00000000-0005-0000-0000-00003D090000}"/>
    <cellStyle name="Normal 3 9 18 2" xfId="14052" xr:uid="{00000000-0005-0000-0000-000037330000}"/>
    <cellStyle name="Normal 3 9 18 3" xfId="14053" xr:uid="{00000000-0005-0000-0000-000038330000}"/>
    <cellStyle name="Normal 3 9 19" xfId="2447" xr:uid="{00000000-0005-0000-0000-00003E090000}"/>
    <cellStyle name="Normal 3 9 19 2" xfId="14054" xr:uid="{00000000-0005-0000-0000-00003A330000}"/>
    <cellStyle name="Normal 3 9 19 3" xfId="14055" xr:uid="{00000000-0005-0000-0000-00003B330000}"/>
    <cellStyle name="Normal 3 9 2" xfId="2448" xr:uid="{00000000-0005-0000-0000-00003F090000}"/>
    <cellStyle name="Normal 3 9 2 2" xfId="14056" xr:uid="{00000000-0005-0000-0000-00003D330000}"/>
    <cellStyle name="Normal 3 9 2 3" xfId="14057" xr:uid="{00000000-0005-0000-0000-00003E330000}"/>
    <cellStyle name="Normal 3 9 20" xfId="2449" xr:uid="{00000000-0005-0000-0000-000040090000}"/>
    <cellStyle name="Normal 3 9 20 2" xfId="14058" xr:uid="{00000000-0005-0000-0000-000040330000}"/>
    <cellStyle name="Normal 3 9 20 3" xfId="14059" xr:uid="{00000000-0005-0000-0000-000041330000}"/>
    <cellStyle name="Normal 3 9 21" xfId="2450" xr:uid="{00000000-0005-0000-0000-000041090000}"/>
    <cellStyle name="Normal 3 9 21 2" xfId="14060" xr:uid="{00000000-0005-0000-0000-000043330000}"/>
    <cellStyle name="Normal 3 9 21 3" xfId="14061" xr:uid="{00000000-0005-0000-0000-000044330000}"/>
    <cellStyle name="Normal 3 9 22" xfId="2451" xr:uid="{00000000-0005-0000-0000-000042090000}"/>
    <cellStyle name="Normal 3 9 22 2" xfId="14062" xr:uid="{00000000-0005-0000-0000-000046330000}"/>
    <cellStyle name="Normal 3 9 22 3" xfId="14063" xr:uid="{00000000-0005-0000-0000-000047330000}"/>
    <cellStyle name="Normal 3 9 23" xfId="2452" xr:uid="{00000000-0005-0000-0000-000043090000}"/>
    <cellStyle name="Normal 3 9 23 2" xfId="14064" xr:uid="{00000000-0005-0000-0000-000049330000}"/>
    <cellStyle name="Normal 3 9 23 3" xfId="14065" xr:uid="{00000000-0005-0000-0000-00004A330000}"/>
    <cellStyle name="Normal 3 9 24" xfId="14066" xr:uid="{00000000-0005-0000-0000-00004B330000}"/>
    <cellStyle name="Normal 3 9 25" xfId="14067" xr:uid="{00000000-0005-0000-0000-00004C330000}"/>
    <cellStyle name="Normal 3 9 3" xfId="2453" xr:uid="{00000000-0005-0000-0000-000044090000}"/>
    <cellStyle name="Normal 3 9 3 2" xfId="14068" xr:uid="{00000000-0005-0000-0000-00004E330000}"/>
    <cellStyle name="Normal 3 9 3 3" xfId="14069" xr:uid="{00000000-0005-0000-0000-00004F330000}"/>
    <cellStyle name="Normal 3 9 4" xfId="2454" xr:uid="{00000000-0005-0000-0000-000045090000}"/>
    <cellStyle name="Normal 3 9 4 2" xfId="14070" xr:uid="{00000000-0005-0000-0000-000051330000}"/>
    <cellStyle name="Normal 3 9 4 3" xfId="14071" xr:uid="{00000000-0005-0000-0000-000052330000}"/>
    <cellStyle name="Normal 3 9 5" xfId="2455" xr:uid="{00000000-0005-0000-0000-000046090000}"/>
    <cellStyle name="Normal 3 9 5 2" xfId="14072" xr:uid="{00000000-0005-0000-0000-000054330000}"/>
    <cellStyle name="Normal 3 9 5 3" xfId="14073" xr:uid="{00000000-0005-0000-0000-000055330000}"/>
    <cellStyle name="Normal 3 9 6" xfId="2456" xr:uid="{00000000-0005-0000-0000-000047090000}"/>
    <cellStyle name="Normal 3 9 6 2" xfId="14074" xr:uid="{00000000-0005-0000-0000-000057330000}"/>
    <cellStyle name="Normal 3 9 6 3" xfId="14075" xr:uid="{00000000-0005-0000-0000-000058330000}"/>
    <cellStyle name="Normal 3 9 7" xfId="2457" xr:uid="{00000000-0005-0000-0000-000048090000}"/>
    <cellStyle name="Normal 3 9 7 2" xfId="14076" xr:uid="{00000000-0005-0000-0000-00005A330000}"/>
    <cellStyle name="Normal 3 9 7 3" xfId="14077" xr:uid="{00000000-0005-0000-0000-00005B330000}"/>
    <cellStyle name="Normal 3 9 8" xfId="2458" xr:uid="{00000000-0005-0000-0000-000049090000}"/>
    <cellStyle name="Normal 3 9 8 2" xfId="14078" xr:uid="{00000000-0005-0000-0000-00005D330000}"/>
    <cellStyle name="Normal 3 9 8 3" xfId="14079" xr:uid="{00000000-0005-0000-0000-00005E330000}"/>
    <cellStyle name="Normal 3 9 9" xfId="2459" xr:uid="{00000000-0005-0000-0000-00004A090000}"/>
    <cellStyle name="Normal 3 9 9 2" xfId="14080" xr:uid="{00000000-0005-0000-0000-000060330000}"/>
    <cellStyle name="Normal 3 9 9 3" xfId="14081" xr:uid="{00000000-0005-0000-0000-000061330000}"/>
    <cellStyle name="Normal 3 90" xfId="14082" xr:uid="{00000000-0005-0000-0000-000062330000}"/>
    <cellStyle name="Normal 3 91" xfId="14083" xr:uid="{00000000-0005-0000-0000-000063330000}"/>
    <cellStyle name="Normal 3 92" xfId="14084" xr:uid="{00000000-0005-0000-0000-000064330000}"/>
    <cellStyle name="Normal 3 93" xfId="14085" xr:uid="{00000000-0005-0000-0000-000065330000}"/>
    <cellStyle name="Normal 3 94" xfId="14086" xr:uid="{00000000-0005-0000-0000-000066330000}"/>
    <cellStyle name="Normal 3 95" xfId="14087" xr:uid="{00000000-0005-0000-0000-000067330000}"/>
    <cellStyle name="Normal 3 96" xfId="14088" xr:uid="{00000000-0005-0000-0000-000068330000}"/>
    <cellStyle name="Normal 3 97" xfId="14089" xr:uid="{00000000-0005-0000-0000-000069330000}"/>
    <cellStyle name="Normal 3 98" xfId="14090" xr:uid="{00000000-0005-0000-0000-00006A330000}"/>
    <cellStyle name="Normal 3 99" xfId="14091" xr:uid="{00000000-0005-0000-0000-00006B330000}"/>
    <cellStyle name="Normal 3_Commitments" xfId="14092" xr:uid="{00000000-0005-0000-0000-00006C330000}"/>
    <cellStyle name="Normal 30" xfId="2919" xr:uid="{00000000-0005-0000-0000-00004C090000}"/>
    <cellStyle name="Normal 30 2" xfId="14093" xr:uid="{00000000-0005-0000-0000-00006E330000}"/>
    <cellStyle name="Normal 30 3" xfId="30" xr:uid="{00000000-0005-0000-0000-000020000000}"/>
    <cellStyle name="Normal 30 3 2" xfId="132" xr:uid="{00000000-0005-0000-0000-000020000000}"/>
    <cellStyle name="Normal 30 3 2 2" xfId="20679" xr:uid="{57FF117B-A2E3-45BF-BDA3-D8C3BC6AF93E}"/>
    <cellStyle name="Normal 30 3 2 2 2" xfId="35680" xr:uid="{6FEBA263-74AF-4211-A744-F10E9E6AE14F}"/>
    <cellStyle name="Normal 30 3 2 3" xfId="27983" xr:uid="{50A1C1BA-E832-4A6C-AFCE-57AF9A80AF30}"/>
    <cellStyle name="Normal 30 3 3" xfId="14094" xr:uid="{00000000-0005-0000-0000-00006F330000}"/>
    <cellStyle name="Normal 30 3 4" xfId="20609" xr:uid="{A7CF9496-9BB1-4078-AB08-7DDD251D4852}"/>
    <cellStyle name="Normal 30 3 4 2" xfId="35610" xr:uid="{9C4E1692-9B7E-4259-9D9B-FFA3945A8457}"/>
    <cellStyle name="Normal 30 3 5" xfId="27913" xr:uid="{F4E33E64-CE67-4222-BD1B-5715A911D262}"/>
    <cellStyle name="Normal 30 4" xfId="14095" xr:uid="{00000000-0005-0000-0000-000070330000}"/>
    <cellStyle name="Normal 30 5" xfId="14096" xr:uid="{00000000-0005-0000-0000-000071330000}"/>
    <cellStyle name="Normal 30 6" xfId="5359" xr:uid="{00000000-0005-0000-0000-00006D330000}"/>
    <cellStyle name="Normal 30 7" xfId="20875" xr:uid="{76DE596E-AB0C-458A-8A00-839CDACB641A}"/>
    <cellStyle name="Normal 30 7 2" xfId="35851" xr:uid="{49655F60-0A55-42B0-921C-E0BB547934CE}"/>
    <cellStyle name="Normal 30 8" xfId="28247" xr:uid="{FC090B68-441D-4FFF-B30E-632F5A84E093}"/>
    <cellStyle name="Normal 31" xfId="2918" xr:uid="{00000000-0005-0000-0000-00004D090000}"/>
    <cellStyle name="Normal 31 2" xfId="14097" xr:uid="{00000000-0005-0000-0000-000073330000}"/>
    <cellStyle name="Normal 31 3" xfId="14098" xr:uid="{00000000-0005-0000-0000-000074330000}"/>
    <cellStyle name="Normal 31 4" xfId="14099" xr:uid="{00000000-0005-0000-0000-000075330000}"/>
    <cellStyle name="Normal 31 5" xfId="14100" xr:uid="{00000000-0005-0000-0000-000076330000}"/>
    <cellStyle name="Normal 31 6" xfId="5358" xr:uid="{00000000-0005-0000-0000-000072330000}"/>
    <cellStyle name="Normal 31 7" xfId="20874" xr:uid="{99290FC1-2928-4596-9E8E-C18175761186}"/>
    <cellStyle name="Normal 31 7 2" xfId="35850" xr:uid="{8C871932-C4F2-462E-8047-453ACA1D67BD}"/>
    <cellStyle name="Normal 31 8" xfId="28246" xr:uid="{BBDA5E06-FBA2-4E21-892F-DC22303A5719}"/>
    <cellStyle name="Normal 32" xfId="2996" xr:uid="{00000000-0005-0000-0000-00004E090000}"/>
    <cellStyle name="Normal 32 2" xfId="14101" xr:uid="{00000000-0005-0000-0000-000078330000}"/>
    <cellStyle name="Normal 32 3" xfId="14102" xr:uid="{00000000-0005-0000-0000-000079330000}"/>
    <cellStyle name="Normal 32 4" xfId="14103" xr:uid="{00000000-0005-0000-0000-00007A330000}"/>
    <cellStyle name="Normal 32 5" xfId="14104" xr:uid="{00000000-0005-0000-0000-00007B330000}"/>
    <cellStyle name="Normal 32 6" xfId="5357" xr:uid="{00000000-0005-0000-0000-000077330000}"/>
    <cellStyle name="Normal 32 7" xfId="20952" xr:uid="{AAD1EEB8-0D54-4613-95CC-B2FE5D33E397}"/>
    <cellStyle name="Normal 32 7 2" xfId="35928" xr:uid="{FCB9EB9B-F568-4D82-8037-70249BF8D4E7}"/>
    <cellStyle name="Normal 32 8" xfId="28324" xr:uid="{06FE5E7E-3A4B-4BDB-AE98-3A89F7F8492E}"/>
    <cellStyle name="Normal 33" xfId="2993" xr:uid="{00000000-0005-0000-0000-00004F090000}"/>
    <cellStyle name="Normal 33 2" xfId="14105" xr:uid="{00000000-0005-0000-0000-00007D330000}"/>
    <cellStyle name="Normal 33 2 2" xfId="14106" xr:uid="{00000000-0005-0000-0000-00007E330000}"/>
    <cellStyle name="Normal 33 2 3" xfId="14107" xr:uid="{00000000-0005-0000-0000-00007F330000}"/>
    <cellStyle name="Normal 33 3" xfId="46" xr:uid="{00000000-0005-0000-0000-000021000000}"/>
    <cellStyle name="Normal 33 3 2" xfId="148" xr:uid="{00000000-0005-0000-0000-000021000000}"/>
    <cellStyle name="Normal 33 3 2 2" xfId="20695" xr:uid="{5D8FFEE0-321C-4EEC-8F91-F5A7BB00A4A9}"/>
    <cellStyle name="Normal 33 3 2 2 2" xfId="35696" xr:uid="{3EEE56B0-B405-42DD-B5E6-AB9C9F98D01D}"/>
    <cellStyle name="Normal 33 3 2 3" xfId="27999" xr:uid="{F4D49664-7ED2-413E-A83A-29AB60530700}"/>
    <cellStyle name="Normal 33 3 3" xfId="14108" xr:uid="{00000000-0005-0000-0000-000080330000}"/>
    <cellStyle name="Normal 33 3 4" xfId="20625" xr:uid="{938A6D39-3446-4BBD-98D1-39219E7070C3}"/>
    <cellStyle name="Normal 33 3 4 2" xfId="35626" xr:uid="{F73E018F-83C0-45B8-8CA6-56F123FC18C4}"/>
    <cellStyle name="Normal 33 3 5" xfId="27929" xr:uid="{2D838A7F-4EB2-4337-A318-3EBBD186F98C}"/>
    <cellStyle name="Normal 33 4" xfId="14109" xr:uid="{00000000-0005-0000-0000-000081330000}"/>
    <cellStyle name="Normal 33 5" xfId="14110" xr:uid="{00000000-0005-0000-0000-000082330000}"/>
    <cellStyle name="Normal 33 6" xfId="14111" xr:uid="{00000000-0005-0000-0000-000083330000}"/>
    <cellStyle name="Normal 33 7" xfId="5356" xr:uid="{00000000-0005-0000-0000-00007C330000}"/>
    <cellStyle name="Normal 33 8" xfId="20949" xr:uid="{12977455-CFB8-4B36-914D-9760C1409087}"/>
    <cellStyle name="Normal 33 8 2" xfId="35925" xr:uid="{681ED8DC-0A65-4030-8725-9EF1735A6101}"/>
    <cellStyle name="Normal 33 9" xfId="28321" xr:uid="{ABF3050C-828A-4659-A902-FDA8A0079436}"/>
    <cellStyle name="Normal 34" xfId="2992" xr:uid="{00000000-0005-0000-0000-000050090000}"/>
    <cellStyle name="Normal 34 2" xfId="14112" xr:uid="{00000000-0005-0000-0000-000085330000}"/>
    <cellStyle name="Normal 34 3" xfId="47" xr:uid="{00000000-0005-0000-0000-000022000000}"/>
    <cellStyle name="Normal 34 3 2" xfId="149" xr:uid="{00000000-0005-0000-0000-000022000000}"/>
    <cellStyle name="Normal 34 3 2 2" xfId="20696" xr:uid="{E343FCB3-9BBA-49AC-A7E6-82A0F76B59B3}"/>
    <cellStyle name="Normal 34 3 2 2 2" xfId="35697" xr:uid="{980D1EFE-EB84-48BC-9DA5-F5288C8749E5}"/>
    <cellStyle name="Normal 34 3 2 3" xfId="28000" xr:uid="{7F9B6575-8EE7-4395-BAEA-0437598EDC2B}"/>
    <cellStyle name="Normal 34 3 3" xfId="14113" xr:uid="{00000000-0005-0000-0000-000086330000}"/>
    <cellStyle name="Normal 34 3 4" xfId="20626" xr:uid="{690C0E7C-6612-4655-BC00-D4AE988D52D2}"/>
    <cellStyle name="Normal 34 3 4 2" xfId="35627" xr:uid="{86EBAC54-972F-4E60-AEF4-C32106A42837}"/>
    <cellStyle name="Normal 34 3 5" xfId="27930" xr:uid="{927CD16B-25CF-4553-8CB5-5DA2DA72EC41}"/>
    <cellStyle name="Normal 34 4" xfId="14114" xr:uid="{00000000-0005-0000-0000-000087330000}"/>
    <cellStyle name="Normal 34 5" xfId="14115" xr:uid="{00000000-0005-0000-0000-000088330000}"/>
    <cellStyle name="Normal 34 6" xfId="5355" xr:uid="{00000000-0005-0000-0000-000084330000}"/>
    <cellStyle name="Normal 34 7" xfId="20948" xr:uid="{8359D287-03EB-4473-A1C1-CC8FCAC60431}"/>
    <cellStyle name="Normal 34 7 2" xfId="35924" xr:uid="{2AD90F31-D4C8-48E5-88C6-8D11D5AC0110}"/>
    <cellStyle name="Normal 34 8" xfId="28320" xr:uid="{AA0F0D8A-8EEC-4E38-A352-44C7A05A7F7D}"/>
    <cellStyle name="Normal 344 6" xfId="20569" xr:uid="{C796EF72-A3AD-49B7-A90F-CDCDC6477B26}"/>
    <cellStyle name="Normal 344 6 2" xfId="27864" xr:uid="{922AF88A-5AEB-408F-B900-FB00269C26C6}"/>
    <cellStyle name="Normal 344 6 2 2" xfId="42801" xr:uid="{F685BA68-C736-4384-BC1D-DC7450DD594A}"/>
    <cellStyle name="Normal 344 6 3" xfId="35573" xr:uid="{3204302B-022B-4B61-905F-C3F9935B8084}"/>
    <cellStyle name="Normal 35" xfId="2989" xr:uid="{00000000-0005-0000-0000-000051090000}"/>
    <cellStyle name="Normal 35 2" xfId="14116" xr:uid="{00000000-0005-0000-0000-00008A330000}"/>
    <cellStyle name="Normal 35 3" xfId="48" xr:uid="{00000000-0005-0000-0000-000023000000}"/>
    <cellStyle name="Normal 35 3 2" xfId="150" xr:uid="{00000000-0005-0000-0000-000023000000}"/>
    <cellStyle name="Normal 35 3 2 2" xfId="20697" xr:uid="{DE50AC1F-571B-4283-9ACA-F2899543423C}"/>
    <cellStyle name="Normal 35 3 2 2 2" xfId="35698" xr:uid="{EC1BC787-F1D2-48BE-B3B4-AAB00F66A3CE}"/>
    <cellStyle name="Normal 35 3 2 3" xfId="28001" xr:uid="{FBB668FF-C2DF-4E35-987F-E9D54D48C00E}"/>
    <cellStyle name="Normal 35 3 3" xfId="14117" xr:uid="{00000000-0005-0000-0000-00008B330000}"/>
    <cellStyle name="Normal 35 3 4" xfId="20627" xr:uid="{80F5A4B3-8EC7-44E2-B93D-BB37106B7A09}"/>
    <cellStyle name="Normal 35 3 4 2" xfId="35628" xr:uid="{EBAE80DE-C770-4579-B1DE-CD124AB03BA0}"/>
    <cellStyle name="Normal 35 3 5" xfId="27931" xr:uid="{975EF8E6-9851-4D6B-A2E6-C53DAC0744B1}"/>
    <cellStyle name="Normal 35 4" xfId="14118" xr:uid="{00000000-0005-0000-0000-00008C330000}"/>
    <cellStyle name="Normal 35 5" xfId="14119" xr:uid="{00000000-0005-0000-0000-00008D330000}"/>
    <cellStyle name="Normal 35 6" xfId="5354" xr:uid="{00000000-0005-0000-0000-000089330000}"/>
    <cellStyle name="Normal 35 7" xfId="20945" xr:uid="{BEBCC4D5-C01E-4331-BA11-1D9CC05DC073}"/>
    <cellStyle name="Normal 35 7 2" xfId="35921" xr:uid="{0E5A234C-CC0F-4106-888C-8B2BB0697EEF}"/>
    <cellStyle name="Normal 35 8" xfId="28317" xr:uid="{72386EFD-02E9-43B8-B5B1-B67D60534C08}"/>
    <cellStyle name="Normal 36" xfId="2986" xr:uid="{00000000-0005-0000-0000-000052090000}"/>
    <cellStyle name="Normal 36 2" xfId="14120" xr:uid="{00000000-0005-0000-0000-00008F330000}"/>
    <cellStyle name="Normal 36 3" xfId="14121" xr:uid="{00000000-0005-0000-0000-000090330000}"/>
    <cellStyle name="Normal 36 4" xfId="14122" xr:uid="{00000000-0005-0000-0000-000091330000}"/>
    <cellStyle name="Normal 36 5" xfId="14123" xr:uid="{00000000-0005-0000-0000-000092330000}"/>
    <cellStyle name="Normal 36 6" xfId="5353" xr:uid="{00000000-0005-0000-0000-00008E330000}"/>
    <cellStyle name="Normal 36 7" xfId="20942" xr:uid="{DE13242E-6A83-4CEA-AEB3-5C9F1F2935CA}"/>
    <cellStyle name="Normal 36 7 2" xfId="35918" xr:uid="{CDA26637-E90B-4AF3-A652-F041D301B6E3}"/>
    <cellStyle name="Normal 36 8" xfId="28314" xr:uid="{5052CACA-841C-416B-B13C-19D41681D1EC}"/>
    <cellStyle name="Normal 37" xfId="2983" xr:uid="{00000000-0005-0000-0000-000053090000}"/>
    <cellStyle name="Normal 37 2" xfId="14124" xr:uid="{00000000-0005-0000-0000-000094330000}"/>
    <cellStyle name="Normal 37 3" xfId="14125" xr:uid="{00000000-0005-0000-0000-000095330000}"/>
    <cellStyle name="Normal 37 4" xfId="14126" xr:uid="{00000000-0005-0000-0000-000096330000}"/>
    <cellStyle name="Normal 37 5" xfId="14127" xr:uid="{00000000-0005-0000-0000-000097330000}"/>
    <cellStyle name="Normal 37 6" xfId="5352" xr:uid="{00000000-0005-0000-0000-000093330000}"/>
    <cellStyle name="Normal 37 7" xfId="20939" xr:uid="{8CC44804-2037-484A-BBA4-8E081DEBF51B}"/>
    <cellStyle name="Normal 37 7 2" xfId="35915" xr:uid="{311FADD2-5615-4DB5-B652-ABF43A2CAB75}"/>
    <cellStyle name="Normal 37 8" xfId="28311" xr:uid="{97A8AF4B-F3E6-4430-B4D2-B98BBBD44146}"/>
    <cellStyle name="Normal 38" xfId="2980" xr:uid="{00000000-0005-0000-0000-000054090000}"/>
    <cellStyle name="Normal 38 2" xfId="14128" xr:uid="{00000000-0005-0000-0000-000099330000}"/>
    <cellStyle name="Normal 38 3" xfId="32" xr:uid="{00000000-0005-0000-0000-000024000000}"/>
    <cellStyle name="Normal 38 3 2" xfId="134" xr:uid="{00000000-0005-0000-0000-000024000000}"/>
    <cellStyle name="Normal 38 3 2 2" xfId="20681" xr:uid="{F5163D10-577A-48F4-9F34-178B6CDD4863}"/>
    <cellStyle name="Normal 38 3 2 2 2" xfId="35682" xr:uid="{B1612EB8-D890-4147-B059-D60983C7DD7A}"/>
    <cellStyle name="Normal 38 3 2 3" xfId="27985" xr:uid="{095F0B34-701D-459F-8DBA-07B35403791F}"/>
    <cellStyle name="Normal 38 3 3" xfId="14129" xr:uid="{00000000-0005-0000-0000-00009A330000}"/>
    <cellStyle name="Normal 38 3 4" xfId="20611" xr:uid="{278BAAFC-2D9F-4C27-9773-EE9CA02BEF7D}"/>
    <cellStyle name="Normal 38 3 4 2" xfId="35612" xr:uid="{7F137BD3-75F4-4D10-9528-00B1267950AB}"/>
    <cellStyle name="Normal 38 3 5" xfId="27915" xr:uid="{DA482AD0-2EFE-4CB2-B071-6B9027F2C24E}"/>
    <cellStyle name="Normal 38 4" xfId="14130" xr:uid="{00000000-0005-0000-0000-00009B330000}"/>
    <cellStyle name="Normal 38 5" xfId="14131" xr:uid="{00000000-0005-0000-0000-00009C330000}"/>
    <cellStyle name="Normal 38 6" xfId="5351" xr:uid="{00000000-0005-0000-0000-000098330000}"/>
    <cellStyle name="Normal 38 7" xfId="20936" xr:uid="{3199C6C9-F19A-4292-8DAA-B92B9C960E91}"/>
    <cellStyle name="Normal 38 7 2" xfId="35912" xr:uid="{DE3D26AE-BDEC-4952-B1C1-6623178348BB}"/>
    <cellStyle name="Normal 38 8" xfId="28308" xr:uid="{F7A1F81D-633A-4DF8-897E-D326896BA1DE}"/>
    <cellStyle name="Normal 39" xfId="2977" xr:uid="{00000000-0005-0000-0000-000055090000}"/>
    <cellStyle name="Normal 39 2" xfId="14132" xr:uid="{00000000-0005-0000-0000-00009E330000}"/>
    <cellStyle name="Normal 39 2 2" xfId="14133" xr:uid="{00000000-0005-0000-0000-00009F330000}"/>
    <cellStyle name="Normal 39 2 2 2" xfId="14134" xr:uid="{00000000-0005-0000-0000-0000A0330000}"/>
    <cellStyle name="Normal 39 2 3" xfId="14135" xr:uid="{00000000-0005-0000-0000-0000A1330000}"/>
    <cellStyle name="Normal 39 3" xfId="33" xr:uid="{00000000-0005-0000-0000-000025000000}"/>
    <cellStyle name="Normal 39 3 2" xfId="135" xr:uid="{00000000-0005-0000-0000-000025000000}"/>
    <cellStyle name="Normal 39 3 2 2" xfId="20682" xr:uid="{961ABD3F-98DA-44EE-9C54-3257F4029F0F}"/>
    <cellStyle name="Normal 39 3 2 2 2" xfId="35683" xr:uid="{9B8A94AF-0605-495D-BDE8-7F57BC61D69E}"/>
    <cellStyle name="Normal 39 3 2 3" xfId="27986" xr:uid="{0BC4589D-98D6-4297-8817-6007E2BB1B74}"/>
    <cellStyle name="Normal 39 3 3" xfId="14136" xr:uid="{00000000-0005-0000-0000-0000A2330000}"/>
    <cellStyle name="Normal 39 3 4" xfId="20612" xr:uid="{EB4AA69A-7A09-43C8-A88A-F14EE78E3D3E}"/>
    <cellStyle name="Normal 39 3 4 2" xfId="35613" xr:uid="{13EA9691-A2DA-4491-B8E1-204ADA9DD527}"/>
    <cellStyle name="Normal 39 3 5" xfId="27916" xr:uid="{BE0CCAB8-E880-4827-88E3-76D969AF4147}"/>
    <cellStyle name="Normal 39 4" xfId="14137" xr:uid="{00000000-0005-0000-0000-0000A3330000}"/>
    <cellStyle name="Normal 39 5" xfId="14138" xr:uid="{00000000-0005-0000-0000-0000A4330000}"/>
    <cellStyle name="Normal 39 6" xfId="14139" xr:uid="{00000000-0005-0000-0000-0000A5330000}"/>
    <cellStyle name="Normal 39 7" xfId="5350" xr:uid="{00000000-0005-0000-0000-00009D330000}"/>
    <cellStyle name="Normal 39 8" xfId="20933" xr:uid="{7193EA17-2BA6-445B-8483-3A76E3586BDB}"/>
    <cellStyle name="Normal 39 8 2" xfId="35909" xr:uid="{EECA283A-3569-4AB6-972F-9A6717A67D9B}"/>
    <cellStyle name="Normal 39 9" xfId="28305" xr:uid="{B2B2A684-D2B7-484D-9590-5B6FB9F6F651}"/>
    <cellStyle name="Normal 4" xfId="2460" xr:uid="{00000000-0005-0000-0000-000056090000}"/>
    <cellStyle name="Normal 4 10" xfId="14140" xr:uid="{00000000-0005-0000-0000-0000A7330000}"/>
    <cellStyle name="Normal 4 10 2" xfId="14141" xr:uid="{00000000-0005-0000-0000-0000A8330000}"/>
    <cellStyle name="Normal 4 10 2 2" xfId="14142" xr:uid="{00000000-0005-0000-0000-0000A9330000}"/>
    <cellStyle name="Normal 4 10 2 2 2" xfId="14143" xr:uid="{00000000-0005-0000-0000-0000AA330000}"/>
    <cellStyle name="Normal 4 10 2 2 3" xfId="14144" xr:uid="{00000000-0005-0000-0000-0000AB330000}"/>
    <cellStyle name="Normal 4 10 2 3" xfId="14145" xr:uid="{00000000-0005-0000-0000-0000AC330000}"/>
    <cellStyle name="Normal 4 10 2 4" xfId="14146" xr:uid="{00000000-0005-0000-0000-0000AD330000}"/>
    <cellStyle name="Normal 4 10 2 4 2" xfId="26476" xr:uid="{E65155B3-5E5D-443D-AE17-039D707C8247}"/>
    <cellStyle name="Normal 4 10 2 4 2 2" xfId="41439" xr:uid="{83D16317-8A96-4DE6-83E1-39FA542A333A}"/>
    <cellStyle name="Normal 4 10 2 4 3" xfId="33849" xr:uid="{0EBD713F-383B-4A9A-8C06-4DD4CD5E5EA4}"/>
    <cellStyle name="Normal 4 10 2 5" xfId="14147" xr:uid="{00000000-0005-0000-0000-0000AE330000}"/>
    <cellStyle name="Normal 4 10 2 5 2" xfId="26477" xr:uid="{ADD79E6E-C2B7-4B7B-A595-EF5AF57BAE97}"/>
    <cellStyle name="Normal 4 10 2 5 2 2" xfId="41440" xr:uid="{DD37B32A-5D47-4D92-9A83-BA3848323581}"/>
    <cellStyle name="Normal 4 10 2 5 3" xfId="33850" xr:uid="{0710D203-186B-4A18-AE95-F3DEF30DDB9A}"/>
    <cellStyle name="Normal 4 10 2 6" xfId="14148" xr:uid="{00000000-0005-0000-0000-0000AF330000}"/>
    <cellStyle name="Normal 4 10 3" xfId="14149" xr:uid="{00000000-0005-0000-0000-0000B0330000}"/>
    <cellStyle name="Normal 4 10 3 2" xfId="14150" xr:uid="{00000000-0005-0000-0000-0000B1330000}"/>
    <cellStyle name="Normal 4 10 3 3" xfId="14151" xr:uid="{00000000-0005-0000-0000-0000B2330000}"/>
    <cellStyle name="Normal 4 10 4" xfId="14152" xr:uid="{00000000-0005-0000-0000-0000B3330000}"/>
    <cellStyle name="Normal 4 10 5" xfId="14153" xr:uid="{00000000-0005-0000-0000-0000B4330000}"/>
    <cellStyle name="Normal 4 10 5 2" xfId="26478" xr:uid="{EDA2DFE3-734B-494A-B0D7-B3004630F421}"/>
    <cellStyle name="Normal 4 10 5 2 2" xfId="41441" xr:uid="{E392554B-EACB-4A99-8A67-400E2EE0D6EB}"/>
    <cellStyle name="Normal 4 10 5 3" xfId="33851" xr:uid="{B44CA5D7-51D3-4AE8-8769-7E9F7C3BA2E3}"/>
    <cellStyle name="Normal 4 10 6" xfId="14154" xr:uid="{00000000-0005-0000-0000-0000B5330000}"/>
    <cellStyle name="Normal 4 10 6 2" xfId="26479" xr:uid="{CA210803-D316-4CC8-A74A-3CB8EF5F28C1}"/>
    <cellStyle name="Normal 4 10 6 2 2" xfId="41442" xr:uid="{A94A158E-C33D-44DA-8248-F5F5830E14C5}"/>
    <cellStyle name="Normal 4 10 6 3" xfId="33852" xr:uid="{8A109F7E-7226-431E-8CE8-B382C79C86CA}"/>
    <cellStyle name="Normal 4 10 7" xfId="14155" xr:uid="{00000000-0005-0000-0000-0000B6330000}"/>
    <cellStyle name="Normal 4 11" xfId="14156" xr:uid="{00000000-0005-0000-0000-0000B7330000}"/>
    <cellStyle name="Normal 4 11 2" xfId="14157" xr:uid="{00000000-0005-0000-0000-0000B8330000}"/>
    <cellStyle name="Normal 4 11 2 2" xfId="14158" xr:uid="{00000000-0005-0000-0000-0000B9330000}"/>
    <cellStyle name="Normal 4 11 2 2 2" xfId="14159" xr:uid="{00000000-0005-0000-0000-0000BA330000}"/>
    <cellStyle name="Normal 4 11 2 2 3" xfId="14160" xr:uid="{00000000-0005-0000-0000-0000BB330000}"/>
    <cellStyle name="Normal 4 11 2 3" xfId="14161" xr:uid="{00000000-0005-0000-0000-0000BC330000}"/>
    <cellStyle name="Normal 4 11 2 4" xfId="14162" xr:uid="{00000000-0005-0000-0000-0000BD330000}"/>
    <cellStyle name="Normal 4 11 2 4 2" xfId="26480" xr:uid="{7081A705-9225-4AF9-9E73-041B4B3D2A4E}"/>
    <cellStyle name="Normal 4 11 2 4 2 2" xfId="41443" xr:uid="{0AB5F845-6698-41F6-A43D-270ADBAD015A}"/>
    <cellStyle name="Normal 4 11 2 4 3" xfId="33853" xr:uid="{466E55A2-F3BE-4AF0-9876-23088E399FAA}"/>
    <cellStyle name="Normal 4 11 2 5" xfId="14163" xr:uid="{00000000-0005-0000-0000-0000BE330000}"/>
    <cellStyle name="Normal 4 11 2 5 2" xfId="26481" xr:uid="{3C059F52-021F-4561-AF18-584D06D46725}"/>
    <cellStyle name="Normal 4 11 2 5 2 2" xfId="41444" xr:uid="{5F87296D-ED0A-4EB2-9F72-C3D0755BEFD8}"/>
    <cellStyle name="Normal 4 11 2 5 3" xfId="33854" xr:uid="{ED0E0E3A-A22B-4CDC-96E8-1DD337D5C6F5}"/>
    <cellStyle name="Normal 4 11 2 6" xfId="14164" xr:uid="{00000000-0005-0000-0000-0000BF330000}"/>
    <cellStyle name="Normal 4 11 3" xfId="14165" xr:uid="{00000000-0005-0000-0000-0000C0330000}"/>
    <cellStyle name="Normal 4 11 3 2" xfId="14166" xr:uid="{00000000-0005-0000-0000-0000C1330000}"/>
    <cellStyle name="Normal 4 11 3 3" xfId="14167" xr:uid="{00000000-0005-0000-0000-0000C2330000}"/>
    <cellStyle name="Normal 4 11 4" xfId="14168" xr:uid="{00000000-0005-0000-0000-0000C3330000}"/>
    <cellStyle name="Normal 4 11 5" xfId="14169" xr:uid="{00000000-0005-0000-0000-0000C4330000}"/>
    <cellStyle name="Normal 4 11 5 2" xfId="26482" xr:uid="{18D8F756-1C3D-4178-82F7-4DC6AF6BB04D}"/>
    <cellStyle name="Normal 4 11 5 2 2" xfId="41445" xr:uid="{B5CE8FAE-E05B-4193-8D8E-A39DEDABE412}"/>
    <cellStyle name="Normal 4 11 5 3" xfId="33855" xr:uid="{D908951B-E2C2-4303-801B-A12F1A662A76}"/>
    <cellStyle name="Normal 4 11 6" xfId="14170" xr:uid="{00000000-0005-0000-0000-0000C5330000}"/>
    <cellStyle name="Normal 4 11 6 2" xfId="26483" xr:uid="{035F4485-3979-41F7-90AD-440773B9CE82}"/>
    <cellStyle name="Normal 4 11 6 2 2" xfId="41446" xr:uid="{4DCEC993-F273-40E9-AA3D-5E7B4EF18A4C}"/>
    <cellStyle name="Normal 4 11 6 3" xfId="33856" xr:uid="{63199FCE-BFD1-4A86-803E-0034676736F1}"/>
    <cellStyle name="Normal 4 11 7" xfId="14171" xr:uid="{00000000-0005-0000-0000-0000C6330000}"/>
    <cellStyle name="Normal 4 12" xfId="14172" xr:uid="{00000000-0005-0000-0000-0000C7330000}"/>
    <cellStyle name="Normal 4 12 2" xfId="14173" xr:uid="{00000000-0005-0000-0000-0000C8330000}"/>
    <cellStyle name="Normal 4 12 2 2" xfId="14174" xr:uid="{00000000-0005-0000-0000-0000C9330000}"/>
    <cellStyle name="Normal 4 12 2 2 2" xfId="14175" xr:uid="{00000000-0005-0000-0000-0000CA330000}"/>
    <cellStyle name="Normal 4 12 2 2 3" xfId="14176" xr:uid="{00000000-0005-0000-0000-0000CB330000}"/>
    <cellStyle name="Normal 4 12 2 3" xfId="14177" xr:uid="{00000000-0005-0000-0000-0000CC330000}"/>
    <cellStyle name="Normal 4 12 2 4" xfId="14178" xr:uid="{00000000-0005-0000-0000-0000CD330000}"/>
    <cellStyle name="Normal 4 12 2 4 2" xfId="26484" xr:uid="{24F1FCDA-4C26-4AC2-BD04-83164201847B}"/>
    <cellStyle name="Normal 4 12 2 4 2 2" xfId="41447" xr:uid="{55D6FDBE-B8BA-4745-B9C5-CA1D3EC98122}"/>
    <cellStyle name="Normal 4 12 2 4 3" xfId="33857" xr:uid="{944027EE-79A9-4B05-AB41-1D02827092AA}"/>
    <cellStyle name="Normal 4 12 2 5" xfId="14179" xr:uid="{00000000-0005-0000-0000-0000CE330000}"/>
    <cellStyle name="Normal 4 12 2 5 2" xfId="26485" xr:uid="{50A20034-2E47-4063-AA19-24FAEB5175E2}"/>
    <cellStyle name="Normal 4 12 2 5 2 2" xfId="41448" xr:uid="{C712C89D-94A9-493D-AAE3-FD9FDE523E5C}"/>
    <cellStyle name="Normal 4 12 2 5 3" xfId="33858" xr:uid="{8961BBCA-75EB-4F8A-908F-F8E3BEF2F1DD}"/>
    <cellStyle name="Normal 4 12 2 6" xfId="14180" xr:uid="{00000000-0005-0000-0000-0000CF330000}"/>
    <cellStyle name="Normal 4 12 3" xfId="14181" xr:uid="{00000000-0005-0000-0000-0000D0330000}"/>
    <cellStyle name="Normal 4 12 3 2" xfId="14182" xr:uid="{00000000-0005-0000-0000-0000D1330000}"/>
    <cellStyle name="Normal 4 12 3 3" xfId="14183" xr:uid="{00000000-0005-0000-0000-0000D2330000}"/>
    <cellStyle name="Normal 4 12 4" xfId="14184" xr:uid="{00000000-0005-0000-0000-0000D3330000}"/>
    <cellStyle name="Normal 4 12 5" xfId="14185" xr:uid="{00000000-0005-0000-0000-0000D4330000}"/>
    <cellStyle name="Normal 4 12 5 2" xfId="26486" xr:uid="{52A34B2C-60C6-4B14-B172-FB3F7B301DF9}"/>
    <cellStyle name="Normal 4 12 5 2 2" xfId="41449" xr:uid="{EFAF8929-A171-41C1-87DD-9DAF3CC550ED}"/>
    <cellStyle name="Normal 4 12 5 3" xfId="33859" xr:uid="{41F5B1EA-0EE5-47A6-AAE7-5FEB9AB000B9}"/>
    <cellStyle name="Normal 4 12 6" xfId="14186" xr:uid="{00000000-0005-0000-0000-0000D5330000}"/>
    <cellStyle name="Normal 4 12 6 2" xfId="26487" xr:uid="{D08BD905-5855-465B-969F-86F553B7715E}"/>
    <cellStyle name="Normal 4 12 6 2 2" xfId="41450" xr:uid="{1C96A543-EA47-4D9E-ABEE-AF681EA24AD3}"/>
    <cellStyle name="Normal 4 12 6 3" xfId="33860" xr:uid="{D1A2FDB8-525E-4EC4-A0EE-B245E9EAB107}"/>
    <cellStyle name="Normal 4 12 7" xfId="14187" xr:uid="{00000000-0005-0000-0000-0000D6330000}"/>
    <cellStyle name="Normal 4 13" xfId="14188" xr:uid="{00000000-0005-0000-0000-0000D7330000}"/>
    <cellStyle name="Normal 4 13 2" xfId="14189" xr:uid="{00000000-0005-0000-0000-0000D8330000}"/>
    <cellStyle name="Normal 4 13 2 2" xfId="14190" xr:uid="{00000000-0005-0000-0000-0000D9330000}"/>
    <cellStyle name="Normal 4 13 2 3" xfId="14191" xr:uid="{00000000-0005-0000-0000-0000DA330000}"/>
    <cellStyle name="Normal 4 13 3" xfId="14192" xr:uid="{00000000-0005-0000-0000-0000DB330000}"/>
    <cellStyle name="Normal 4 13 4" xfId="14193" xr:uid="{00000000-0005-0000-0000-0000DC330000}"/>
    <cellStyle name="Normal 4 13 4 2" xfId="26488" xr:uid="{8CB07AA6-E6A3-4A46-BE30-8B1704E61737}"/>
    <cellStyle name="Normal 4 13 4 2 2" xfId="41451" xr:uid="{363B95DE-F541-45C5-8E3A-DC032D04E494}"/>
    <cellStyle name="Normal 4 13 4 3" xfId="33861" xr:uid="{EF02CA77-63FE-4196-9596-F9D74DDAE3E9}"/>
    <cellStyle name="Normal 4 13 5" xfId="14194" xr:uid="{00000000-0005-0000-0000-0000DD330000}"/>
    <cellStyle name="Normal 4 13 6" xfId="14195" xr:uid="{00000000-0005-0000-0000-0000DE330000}"/>
    <cellStyle name="Normal 4 14" xfId="14196" xr:uid="{00000000-0005-0000-0000-0000DF330000}"/>
    <cellStyle name="Normal 4 14 2" xfId="14197" xr:uid="{00000000-0005-0000-0000-0000E0330000}"/>
    <cellStyle name="Normal 4 14 2 2" xfId="14198" xr:uid="{00000000-0005-0000-0000-0000E1330000}"/>
    <cellStyle name="Normal 4 14 2 3" xfId="14199" xr:uid="{00000000-0005-0000-0000-0000E2330000}"/>
    <cellStyle name="Normal 4 14 3" xfId="14200" xr:uid="{00000000-0005-0000-0000-0000E3330000}"/>
    <cellStyle name="Normal 4 14 4" xfId="14201" xr:uid="{00000000-0005-0000-0000-0000E4330000}"/>
    <cellStyle name="Normal 4 14 4 2" xfId="26489" xr:uid="{1CEDFC7D-04E3-408F-B613-BD15437C9C19}"/>
    <cellStyle name="Normal 4 14 4 2 2" xfId="41452" xr:uid="{E7D43ABB-90DC-47EC-A3FB-EA0495D96F4C}"/>
    <cellStyle name="Normal 4 14 4 3" xfId="33862" xr:uid="{ACC5F378-6D99-4925-9059-300888B7585E}"/>
    <cellStyle name="Normal 4 14 5" xfId="14202" xr:uid="{00000000-0005-0000-0000-0000E5330000}"/>
    <cellStyle name="Normal 4 14 5 2" xfId="26490" xr:uid="{660117DA-FEC7-4A1A-8CE1-3072D4C6AE8E}"/>
    <cellStyle name="Normal 4 14 5 2 2" xfId="41453" xr:uid="{FF666A4E-FC40-4ADD-8C3A-1E9C0E300151}"/>
    <cellStyle name="Normal 4 14 5 3" xfId="33863" xr:uid="{7B2AF5C0-C97F-48F2-A49A-EAE7ABFBF08A}"/>
    <cellStyle name="Normal 4 14 6" xfId="14203" xr:uid="{00000000-0005-0000-0000-0000E6330000}"/>
    <cellStyle name="Normal 4 15" xfId="14204" xr:uid="{00000000-0005-0000-0000-0000E7330000}"/>
    <cellStyle name="Normal 4 15 2" xfId="14205" xr:uid="{00000000-0005-0000-0000-0000E8330000}"/>
    <cellStyle name="Normal 4 15 2 2" xfId="14206" xr:uid="{00000000-0005-0000-0000-0000E9330000}"/>
    <cellStyle name="Normal 4 15 2 3" xfId="14207" xr:uid="{00000000-0005-0000-0000-0000EA330000}"/>
    <cellStyle name="Normal 4 15 3" xfId="14208" xr:uid="{00000000-0005-0000-0000-0000EB330000}"/>
    <cellStyle name="Normal 4 15 3 2" xfId="14209" xr:uid="{00000000-0005-0000-0000-0000EC330000}"/>
    <cellStyle name="Normal 4 15 3 3" xfId="26491" xr:uid="{B4F5B4A1-F12B-4208-8D52-32967545B00D}"/>
    <cellStyle name="Normal 4 15 3 3 2" xfId="41454" xr:uid="{060BF643-3762-4569-BF8E-3AFA96B69DB1}"/>
    <cellStyle name="Normal 4 15 3 4" xfId="33864" xr:uid="{E430F350-0816-4FF0-B164-171AA762A9AD}"/>
    <cellStyle name="Normal 4 15 4" xfId="14210" xr:uid="{00000000-0005-0000-0000-0000ED330000}"/>
    <cellStyle name="Normal 4 16" xfId="14211" xr:uid="{00000000-0005-0000-0000-0000EE330000}"/>
    <cellStyle name="Normal 4 16 2" xfId="14212" xr:uid="{00000000-0005-0000-0000-0000EF330000}"/>
    <cellStyle name="Normal 4 16 3" xfId="14213" xr:uid="{00000000-0005-0000-0000-0000F0330000}"/>
    <cellStyle name="Normal 4 17" xfId="14214" xr:uid="{00000000-0005-0000-0000-0000F1330000}"/>
    <cellStyle name="Normal 4 17 2" xfId="14215" xr:uid="{00000000-0005-0000-0000-0000F2330000}"/>
    <cellStyle name="Normal 4 17 2 2" xfId="26493" xr:uid="{A97A6C20-D035-413A-8626-970B0BF21552}"/>
    <cellStyle name="Normal 4 17 2 2 2" xfId="41456" xr:uid="{0ABDA5B4-4217-4D61-A2F0-E1E4126555EE}"/>
    <cellStyle name="Normal 4 17 2 3" xfId="33866" xr:uid="{25EA193D-BC3E-4F94-BD50-5D2634E5882C}"/>
    <cellStyle name="Normal 4 17 3" xfId="14216" xr:uid="{00000000-0005-0000-0000-0000F3330000}"/>
    <cellStyle name="Normal 4 17 3 2" xfId="26494" xr:uid="{591A4BEA-2361-4D7D-B9C1-896A2F42C5EC}"/>
    <cellStyle name="Normal 4 17 3 2 2" xfId="41457" xr:uid="{976416B2-90BF-452F-86BA-FF2C90E17EFC}"/>
    <cellStyle name="Normal 4 17 3 3" xfId="33867" xr:uid="{E7D47B13-B967-43A4-BBF5-9A2D7F8D9203}"/>
    <cellStyle name="Normal 4 17 4" xfId="26492" xr:uid="{75A5BDE3-8AF7-4E82-A223-511990480349}"/>
    <cellStyle name="Normal 4 17 4 2" xfId="41455" xr:uid="{E7AA3BB1-C008-43EA-AF46-E2E3FFA4D597}"/>
    <cellStyle name="Normal 4 17 5" xfId="33865" xr:uid="{28FB5015-4650-44CE-85D3-A694B85B31E5}"/>
    <cellStyle name="Normal 4 18" xfId="14217" xr:uid="{00000000-0005-0000-0000-0000F4330000}"/>
    <cellStyle name="Normal 4 18 2" xfId="14218" xr:uid="{00000000-0005-0000-0000-0000F5330000}"/>
    <cellStyle name="Normal 4 18 2 2" xfId="26495" xr:uid="{CEC983A2-2908-438C-932D-57F1CADB39AD}"/>
    <cellStyle name="Normal 4 18 2 2 2" xfId="41458" xr:uid="{FA0C8AC4-24A3-4876-BFAA-F926FF252723}"/>
    <cellStyle name="Normal 4 18 2 3" xfId="33868" xr:uid="{1EF85ED0-482C-4979-80F5-146D0C2B9D06}"/>
    <cellStyle name="Normal 4 19" xfId="14219" xr:uid="{00000000-0005-0000-0000-0000F6330000}"/>
    <cellStyle name="Normal 4 2" xfId="2461" xr:uid="{00000000-0005-0000-0000-000057090000}"/>
    <cellStyle name="Normal 4 2 10" xfId="14220" xr:uid="{00000000-0005-0000-0000-0000F8330000}"/>
    <cellStyle name="Normal 4 2 10 2" xfId="26496" xr:uid="{79ED7795-125A-497A-8CE9-A7BDACE5CB17}"/>
    <cellStyle name="Normal 4 2 10 2 2" xfId="41459" xr:uid="{F44D0632-906B-4B92-8766-132CF6E73E3D}"/>
    <cellStyle name="Normal 4 2 10 3" xfId="33869" xr:uid="{A8FBD1B8-AA11-4C25-B1A6-9F6C3F25B0BD}"/>
    <cellStyle name="Normal 4 2 11" xfId="14221" xr:uid="{00000000-0005-0000-0000-0000F9330000}"/>
    <cellStyle name="Normal 4 2 11 2" xfId="26497" xr:uid="{D4C53007-5E4E-4A83-A0E3-BE42AED656A4}"/>
    <cellStyle name="Normal 4 2 11 2 2" xfId="41460" xr:uid="{0C7E5A41-7543-452E-B0E2-77A5DC4B2159}"/>
    <cellStyle name="Normal 4 2 11 3" xfId="33870" xr:uid="{20AA6E8F-E35A-4CEA-A56B-2EBE7D15BD71}"/>
    <cellStyle name="Normal 4 2 12" xfId="14222" xr:uid="{00000000-0005-0000-0000-0000FA330000}"/>
    <cellStyle name="Normal 4 2 12 2" xfId="26498" xr:uid="{7D8D13EE-3CB0-4690-8752-D8F2C846602C}"/>
    <cellStyle name="Normal 4 2 12 2 2" xfId="41461" xr:uid="{06BC37A9-8E66-44AC-8295-04C09020CFBE}"/>
    <cellStyle name="Normal 4 2 12 3" xfId="33871" xr:uid="{469BAB2B-6738-4BB7-BA86-2AB52DDD1FF5}"/>
    <cellStyle name="Normal 4 2 13" xfId="14223" xr:uid="{00000000-0005-0000-0000-0000FB330000}"/>
    <cellStyle name="Normal 4 2 14" xfId="20747" xr:uid="{E4981FDA-FC42-46D9-9CC1-55663FAE5515}"/>
    <cellStyle name="Normal 4 2 14 2" xfId="35740" xr:uid="{C5CCB570-60A7-4792-AD06-629F3529AFDE}"/>
    <cellStyle name="Normal 4 2 15" xfId="28064" xr:uid="{B71C5820-37EC-43E1-9EA6-5C1346D6CF28}"/>
    <cellStyle name="Normal 4 2 2" xfId="2462" xr:uid="{00000000-0005-0000-0000-000058090000}"/>
    <cellStyle name="Normal 4 2 2 2" xfId="14224" xr:uid="{00000000-0005-0000-0000-0000FD330000}"/>
    <cellStyle name="Normal 4 2 2 2 2" xfId="14225" xr:uid="{00000000-0005-0000-0000-0000FE330000}"/>
    <cellStyle name="Normal 4 2 2 2 2 2" xfId="26499" xr:uid="{36CA1E2A-09F8-4B1E-AAC4-DF094CB8CF7F}"/>
    <cellStyle name="Normal 4 2 2 2 2 2 2" xfId="41462" xr:uid="{21F7D865-09F2-40B1-B124-B3F19924C566}"/>
    <cellStyle name="Normal 4 2 2 2 2 3" xfId="33872" xr:uid="{EBAE988D-DD8C-4BE9-9AE8-49071F48BB4E}"/>
    <cellStyle name="Normal 4 2 2 3" xfId="14226" xr:uid="{00000000-0005-0000-0000-0000FF330000}"/>
    <cellStyle name="Normal 4 2 2 3 2" xfId="14227" xr:uid="{00000000-0005-0000-0000-000000340000}"/>
    <cellStyle name="Normal 4 2 2 3 2 2" xfId="26501" xr:uid="{3767EDDE-0228-4CA8-99F4-C7B22F60D1DA}"/>
    <cellStyle name="Normal 4 2 2 3 2 2 2" xfId="41464" xr:uid="{CFB81498-3BDA-46A9-A29B-2439D7CC2671}"/>
    <cellStyle name="Normal 4 2 2 3 2 3" xfId="33874" xr:uid="{58AFE6E8-C88A-4621-86CA-C843FCE0C8CB}"/>
    <cellStyle name="Normal 4 2 2 3 3" xfId="26500" xr:uid="{13407FFD-91A4-4425-89C7-CC39EAA6475A}"/>
    <cellStyle name="Normal 4 2 2 3 3 2" xfId="41463" xr:uid="{8DF3861D-1E49-4928-A140-61529179C572}"/>
    <cellStyle name="Normal 4 2 2 3 4" xfId="33873" xr:uid="{A6E20B9A-5963-4354-B3C5-F0A1A96A05B6}"/>
    <cellStyle name="Normal 4 2 2 4" xfId="14228" xr:uid="{00000000-0005-0000-0000-000001340000}"/>
    <cellStyle name="Normal 4 2 2 4 2" xfId="26502" xr:uid="{8C7F6944-CC48-4992-8A19-F13925340864}"/>
    <cellStyle name="Normal 4 2 2 4 2 2" xfId="41465" xr:uid="{51081CF4-0A61-4D2C-84D2-39702C94C5CB}"/>
    <cellStyle name="Normal 4 2 2 4 3" xfId="33875" xr:uid="{98D02EAA-9E0F-4282-9FF9-7170C4463FF9}"/>
    <cellStyle name="Normal 4 2 2 5" xfId="14229" xr:uid="{00000000-0005-0000-0000-000002340000}"/>
    <cellStyle name="Normal 4 2 2 5 2" xfId="26503" xr:uid="{B9CA8B9B-B96A-4CBB-8A8B-D9FDCCCC32BB}"/>
    <cellStyle name="Normal 4 2 2 5 2 2" xfId="41466" xr:uid="{B644F23A-B447-4CA1-BBAB-87DC1F7B3CB3}"/>
    <cellStyle name="Normal 4 2 2 5 3" xfId="33876" xr:uid="{FF58A675-228C-409F-A65A-0331DED113EA}"/>
    <cellStyle name="Normal 4 2 2 6" xfId="14230" xr:uid="{00000000-0005-0000-0000-000003340000}"/>
    <cellStyle name="Normal 4 2 3" xfId="2890" xr:uid="{00000000-0005-0000-0000-000059090000}"/>
    <cellStyle name="Normal 4 2 3 10" xfId="28218" xr:uid="{05A6BC86-8CC6-4798-BB4A-8AC903A84CC6}"/>
    <cellStyle name="Normal 4 2 3 2" xfId="14232" xr:uid="{00000000-0005-0000-0000-000005340000}"/>
    <cellStyle name="Normal 4 2 3 2 2" xfId="14233" xr:uid="{00000000-0005-0000-0000-000006340000}"/>
    <cellStyle name="Normal 4 2 3 2 2 2" xfId="14234" xr:uid="{00000000-0005-0000-0000-000007340000}"/>
    <cellStyle name="Normal 4 2 3 2 2 2 2" xfId="26505" xr:uid="{A752E76D-EFAA-4A3C-A8AF-583A1CB9C626}"/>
    <cellStyle name="Normal 4 2 3 2 2 2 2 2" xfId="41468" xr:uid="{02FC1F9F-958F-4C43-B7F7-97C376DE1A77}"/>
    <cellStyle name="Normal 4 2 3 2 2 2 3" xfId="33878" xr:uid="{51E6FC4F-C4BF-4A7D-95C4-6D88BA746C71}"/>
    <cellStyle name="Normal 4 2 3 2 2 3" xfId="14235" xr:uid="{00000000-0005-0000-0000-000008340000}"/>
    <cellStyle name="Normal 4 2 3 2 2 4" xfId="26504" xr:uid="{146170D3-5EA4-46ED-8DC5-D80DC9AF1C3B}"/>
    <cellStyle name="Normal 4 2 3 2 2 4 2" xfId="41467" xr:uid="{CFB4D531-A16F-4BDE-96F1-A33C0C406748}"/>
    <cellStyle name="Normal 4 2 3 2 2 5" xfId="33877" xr:uid="{D2C2856D-C7E4-4F11-9536-F5EBF896CFFF}"/>
    <cellStyle name="Normal 4 2 3 2 3" xfId="14236" xr:uid="{00000000-0005-0000-0000-000009340000}"/>
    <cellStyle name="Normal 4 2 3 2 4" xfId="14237" xr:uid="{00000000-0005-0000-0000-00000A340000}"/>
    <cellStyle name="Normal 4 2 3 2 4 2" xfId="26506" xr:uid="{92E29D95-02F5-4A00-9342-03DA9382867D}"/>
    <cellStyle name="Normal 4 2 3 2 4 2 2" xfId="41469" xr:uid="{04294658-0119-42A6-9281-4685487F3398}"/>
    <cellStyle name="Normal 4 2 3 2 4 3" xfId="33879" xr:uid="{CBB1DB63-B378-4291-B3FF-12D4A9E87E56}"/>
    <cellStyle name="Normal 4 2 3 2 5" xfId="14238" xr:uid="{00000000-0005-0000-0000-00000B340000}"/>
    <cellStyle name="Normal 4 2 3 3" xfId="14239" xr:uid="{00000000-0005-0000-0000-00000C340000}"/>
    <cellStyle name="Normal 4 2 3 3 2" xfId="14240" xr:uid="{00000000-0005-0000-0000-00000D340000}"/>
    <cellStyle name="Normal 4 2 3 3 2 2" xfId="26508" xr:uid="{6E28A2E7-5715-4AE9-80F4-E5CA36E5CE22}"/>
    <cellStyle name="Normal 4 2 3 3 2 2 2" xfId="41471" xr:uid="{0B0D6311-BAA5-48B0-973E-33C7D8AAFCBD}"/>
    <cellStyle name="Normal 4 2 3 3 2 3" xfId="33881" xr:uid="{F0EEFF0D-58E4-4B79-B677-259F23FBAA0E}"/>
    <cellStyle name="Normal 4 2 3 3 3" xfId="14241" xr:uid="{00000000-0005-0000-0000-00000E340000}"/>
    <cellStyle name="Normal 4 2 3 3 4" xfId="26507" xr:uid="{55076416-FD63-43BC-8EE6-590F55CC14F8}"/>
    <cellStyle name="Normal 4 2 3 3 4 2" xfId="41470" xr:uid="{1B0322E9-6425-4F71-901A-C362AC036F24}"/>
    <cellStyle name="Normal 4 2 3 3 5" xfId="33880" xr:uid="{B6E84760-AC8A-4288-BDA2-44CEE33041DE}"/>
    <cellStyle name="Normal 4 2 3 4" xfId="14242" xr:uid="{00000000-0005-0000-0000-00000F340000}"/>
    <cellStyle name="Normal 4 2 3 5" xfId="14243" xr:uid="{00000000-0005-0000-0000-000010340000}"/>
    <cellStyle name="Normal 4 2 3 5 2" xfId="26509" xr:uid="{0C59F4AC-D298-4813-B1C7-D6C31828BE5B}"/>
    <cellStyle name="Normal 4 2 3 5 2 2" xfId="41472" xr:uid="{1A60DCDD-C6DA-423D-8C2E-07F86FA44D4B}"/>
    <cellStyle name="Normal 4 2 3 5 3" xfId="33882" xr:uid="{1E381CD1-F9E4-49BC-8E65-5CF2093049FE}"/>
    <cellStyle name="Normal 4 2 3 6" xfId="14244" xr:uid="{00000000-0005-0000-0000-000011340000}"/>
    <cellStyle name="Normal 4 2 3 6 2" xfId="26510" xr:uid="{E6DE19B1-26D5-46BE-8911-9A8119415A05}"/>
    <cellStyle name="Normal 4 2 3 6 2 2" xfId="41473" xr:uid="{AF5F360B-8A3F-44CF-837C-851B2A30DA27}"/>
    <cellStyle name="Normal 4 2 3 6 3" xfId="33883" xr:uid="{6F8EED77-D12F-43F1-8BA9-08475F90C8A9}"/>
    <cellStyle name="Normal 4 2 3 7" xfId="14245" xr:uid="{00000000-0005-0000-0000-000012340000}"/>
    <cellStyle name="Normal 4 2 3 8" xfId="14231" xr:uid="{00000000-0005-0000-0000-000004340000}"/>
    <cellStyle name="Normal 4 2 3 9" xfId="20846" xr:uid="{DC4493B9-862D-4149-8967-9029BDB70AFE}"/>
    <cellStyle name="Normal 4 2 3 9 2" xfId="35822" xr:uid="{24B3A0C9-C021-416D-9492-A6CFF2A2982A}"/>
    <cellStyle name="Normal 4 2 4" xfId="2948" xr:uid="{00000000-0005-0000-0000-00005A090000}"/>
    <cellStyle name="Normal 4 2 4 2" xfId="14247" xr:uid="{00000000-0005-0000-0000-000014340000}"/>
    <cellStyle name="Normal 4 2 4 2 2" xfId="14248" xr:uid="{00000000-0005-0000-0000-000015340000}"/>
    <cellStyle name="Normal 4 2 4 2 3" xfId="26511" xr:uid="{C1708D59-C82C-4BC4-AB1E-B148C2FEA882}"/>
    <cellStyle name="Normal 4 2 4 2 3 2" xfId="41474" xr:uid="{12ADF06A-42BF-4D03-B598-4EA2F214D901}"/>
    <cellStyle name="Normal 4 2 4 2 4" xfId="33884" xr:uid="{06A831DA-C3E2-473A-B432-D63EFE1AD2E6}"/>
    <cellStyle name="Normal 4 2 4 3" xfId="14249" xr:uid="{00000000-0005-0000-0000-000016340000}"/>
    <cellStyle name="Normal 4 2 4 4" xfId="14250" xr:uid="{00000000-0005-0000-0000-000017340000}"/>
    <cellStyle name="Normal 4 2 4 4 2" xfId="26512" xr:uid="{89609503-CC2C-4C97-B8E1-5303141A915D}"/>
    <cellStyle name="Normal 4 2 4 4 2 2" xfId="41475" xr:uid="{F7A7E714-B886-42F1-8CAD-8F857D8D23DE}"/>
    <cellStyle name="Normal 4 2 4 4 3" xfId="33885" xr:uid="{670584B4-2EC1-4BB8-AFD9-F307BB08E060}"/>
    <cellStyle name="Normal 4 2 4 5" xfId="14251" xr:uid="{00000000-0005-0000-0000-000018340000}"/>
    <cellStyle name="Normal 4 2 4 6" xfId="14246" xr:uid="{00000000-0005-0000-0000-000013340000}"/>
    <cellStyle name="Normal 4 2 4 7" xfId="20904" xr:uid="{ADC1767E-0F4F-43AF-8BA9-8BAC50590085}"/>
    <cellStyle name="Normal 4 2 4 7 2" xfId="35880" xr:uid="{0DB9CE65-E08D-4116-A00B-AED913C5F217}"/>
    <cellStyle name="Normal 4 2 4 8" xfId="28276" xr:uid="{C1F3DABD-F4C1-4BAB-B3E1-2EBD6F95A50D}"/>
    <cellStyle name="Normal 4 2 5" xfId="14252" xr:uid="{00000000-0005-0000-0000-000019340000}"/>
    <cellStyle name="Normal 4 2 5 2" xfId="14253" xr:uid="{00000000-0005-0000-0000-00001A340000}"/>
    <cellStyle name="Normal 4 2 5 2 2" xfId="14254" xr:uid="{00000000-0005-0000-0000-00001B340000}"/>
    <cellStyle name="Normal 4 2 5 2 3" xfId="26513" xr:uid="{9A2054F3-3DB6-4C68-B299-67888B649AC8}"/>
    <cellStyle name="Normal 4 2 5 2 3 2" xfId="41476" xr:uid="{1875B46E-FD75-4F07-8C67-1500D8146047}"/>
    <cellStyle name="Normal 4 2 5 2 4" xfId="33886" xr:uid="{6D1AD43C-8571-48EA-B030-2ACF0B34D5C7}"/>
    <cellStyle name="Normal 4 2 5 3" xfId="14255" xr:uid="{00000000-0005-0000-0000-00001C340000}"/>
    <cellStyle name="Normal 4 2 5 4" xfId="14256" xr:uid="{00000000-0005-0000-0000-00001D340000}"/>
    <cellStyle name="Normal 4 2 5 4 2" xfId="26514" xr:uid="{5D3C8908-B49A-4355-95C4-744B7E1878AA}"/>
    <cellStyle name="Normal 4 2 5 4 2 2" xfId="41477" xr:uid="{665E4121-A1DE-44DD-A824-38F68609C7BE}"/>
    <cellStyle name="Normal 4 2 5 4 3" xfId="33887" xr:uid="{CFAD19CC-B9B9-427F-979C-AD2D30F8CC62}"/>
    <cellStyle name="Normal 4 2 5 5" xfId="14257" xr:uid="{00000000-0005-0000-0000-00001E340000}"/>
    <cellStyle name="Normal 4 2 6" xfId="14258" xr:uid="{00000000-0005-0000-0000-00001F340000}"/>
    <cellStyle name="Normal 4 2 6 2" xfId="14259" xr:uid="{00000000-0005-0000-0000-000020340000}"/>
    <cellStyle name="Normal 4 2 6 2 2" xfId="26516" xr:uid="{E2696BDC-F3B6-44D1-8DF4-0165B4D70684}"/>
    <cellStyle name="Normal 4 2 6 2 2 2" xfId="41479" xr:uid="{E38F3B03-BF00-492C-AC4E-0933D23338F2}"/>
    <cellStyle name="Normal 4 2 6 2 3" xfId="33889" xr:uid="{BFF1F30E-60B4-47AB-8C3C-9528E009782A}"/>
    <cellStyle name="Normal 4 2 6 3" xfId="14260" xr:uid="{00000000-0005-0000-0000-000021340000}"/>
    <cellStyle name="Normal 4 2 6 4" xfId="26515" xr:uid="{66EF0E4F-A51B-4F74-933C-2B002588738A}"/>
    <cellStyle name="Normal 4 2 6 4 2" xfId="41478" xr:uid="{A7A85EBA-D89F-450F-9382-D77A5EBF692C}"/>
    <cellStyle name="Normal 4 2 6 5" xfId="33888" xr:uid="{082FC8C0-A48E-4921-87C5-657C634BF7A0}"/>
    <cellStyle name="Normal 4 2 7" xfId="14261" xr:uid="{00000000-0005-0000-0000-000022340000}"/>
    <cellStyle name="Normal 4 2 7 2" xfId="14262" xr:uid="{00000000-0005-0000-0000-000023340000}"/>
    <cellStyle name="Normal 4 2 7 2 2" xfId="26518" xr:uid="{7C4C88B6-7161-4543-B7BD-C3E0B265961F}"/>
    <cellStyle name="Normal 4 2 7 2 2 2" xfId="41481" xr:uid="{A28FB7FA-A34B-4B68-BD0A-CC14DAF585F7}"/>
    <cellStyle name="Normal 4 2 7 2 3" xfId="33891" xr:uid="{3EC6BFAD-AA81-4EAE-B119-746713D13E6C}"/>
    <cellStyle name="Normal 4 2 7 3" xfId="26517" xr:uid="{8FC71F55-CCB3-4B6E-BB7A-5FEF28F53EEC}"/>
    <cellStyle name="Normal 4 2 7 3 2" xfId="41480" xr:uid="{A4D208EA-B3DB-4E8E-8D49-24247EEABC82}"/>
    <cellStyle name="Normal 4 2 7 4" xfId="33890" xr:uid="{D85FDCF8-5DAA-496A-8959-A643FB3973DB}"/>
    <cellStyle name="Normal 4 2 8" xfId="14263" xr:uid="{00000000-0005-0000-0000-000024340000}"/>
    <cellStyle name="Normal 4 2 8 2" xfId="26519" xr:uid="{4F0CE838-7630-47CC-902C-B1E3F6CB5901}"/>
    <cellStyle name="Normal 4 2 8 2 2" xfId="41482" xr:uid="{CCE370DC-FAA3-43BD-84C2-9B3C782C5093}"/>
    <cellStyle name="Normal 4 2 8 3" xfId="33892" xr:uid="{9EC2DD24-455F-482C-8680-9BBB93B5C624}"/>
    <cellStyle name="Normal 4 2 9" xfId="14264" xr:uid="{00000000-0005-0000-0000-000025340000}"/>
    <cellStyle name="Normal 4 2 9 2" xfId="26520" xr:uid="{6706D48C-EF6E-4919-B0A2-43487E03E94C}"/>
    <cellStyle name="Normal 4 2 9 2 2" xfId="41483" xr:uid="{1443BD6F-CDE6-4328-8F6A-3FE733F763B6}"/>
    <cellStyle name="Normal 4 2 9 3" xfId="33893" xr:uid="{82528C2E-672C-4102-946F-38AE334C7DB0}"/>
    <cellStyle name="Normal 4 2_App b.3 Unspent_" xfId="2463" xr:uid="{00000000-0005-0000-0000-00005B090000}"/>
    <cellStyle name="Normal 4 3" xfId="2464" xr:uid="{00000000-0005-0000-0000-00005C090000}"/>
    <cellStyle name="Normal 4 3 2" xfId="14265" xr:uid="{00000000-0005-0000-0000-000027340000}"/>
    <cellStyle name="Normal 4 3 2 2" xfId="14266" xr:uid="{00000000-0005-0000-0000-000028340000}"/>
    <cellStyle name="Normal 4 3 2 2 2" xfId="14267" xr:uid="{00000000-0005-0000-0000-000029340000}"/>
    <cellStyle name="Normal 4 3 2 2 2 2" xfId="14268" xr:uid="{00000000-0005-0000-0000-00002A340000}"/>
    <cellStyle name="Normal 4 3 2 2 2 3" xfId="14269" xr:uid="{00000000-0005-0000-0000-00002B340000}"/>
    <cellStyle name="Normal 4 3 2 2 2 3 2" xfId="26521" xr:uid="{80A1204D-6AC1-46EB-9B06-00E008CB38D9}"/>
    <cellStyle name="Normal 4 3 2 2 2 3 2 2" xfId="41484" xr:uid="{C49F073F-12EE-4074-A71F-1B8EF5D7BE68}"/>
    <cellStyle name="Normal 4 3 2 2 2 3 3" xfId="33894" xr:uid="{AB39A538-0A5F-4D76-AF90-033D26342614}"/>
    <cellStyle name="Normal 4 3 2 2 2 4" xfId="14270" xr:uid="{00000000-0005-0000-0000-00002C340000}"/>
    <cellStyle name="Normal 4 3 2 2 3" xfId="14271" xr:uid="{00000000-0005-0000-0000-00002D340000}"/>
    <cellStyle name="Normal 4 3 2 2 4" xfId="14272" xr:uid="{00000000-0005-0000-0000-00002E340000}"/>
    <cellStyle name="Normal 4 3 2 2 4 2" xfId="26522" xr:uid="{205A606E-5A34-4DD8-A7B8-14A0DD62E421}"/>
    <cellStyle name="Normal 4 3 2 2 4 2 2" xfId="41485" xr:uid="{950455ED-CED6-4ABA-98DE-622F11701736}"/>
    <cellStyle name="Normal 4 3 2 2 4 3" xfId="33895" xr:uid="{85B0B998-6606-4803-88B0-3F50E7C46488}"/>
    <cellStyle name="Normal 4 3 2 2 5" xfId="14273" xr:uid="{00000000-0005-0000-0000-00002F340000}"/>
    <cellStyle name="Normal 4 3 2 2 5 2" xfId="26523" xr:uid="{97BFD90C-638A-4B8C-974D-23053BF7A824}"/>
    <cellStyle name="Normal 4 3 2 2 5 2 2" xfId="41486" xr:uid="{4FBCF1A0-9D53-49CC-97D0-7A7F33322132}"/>
    <cellStyle name="Normal 4 3 2 2 5 3" xfId="33896" xr:uid="{57F7C9CD-44B4-4688-87F5-45ED0602AD5E}"/>
    <cellStyle name="Normal 4 3 2 2 6" xfId="14274" xr:uid="{00000000-0005-0000-0000-000030340000}"/>
    <cellStyle name="Normal 4 3 2 3" xfId="14275" xr:uid="{00000000-0005-0000-0000-000031340000}"/>
    <cellStyle name="Normal 4 3 2 3 2" xfId="14276" xr:uid="{00000000-0005-0000-0000-000032340000}"/>
    <cellStyle name="Normal 4 3 2 3 3" xfId="14277" xr:uid="{00000000-0005-0000-0000-000033340000}"/>
    <cellStyle name="Normal 4 3 2 4" xfId="14278" xr:uid="{00000000-0005-0000-0000-000034340000}"/>
    <cellStyle name="Normal 4 3 2 4 2" xfId="14279" xr:uid="{00000000-0005-0000-0000-000035340000}"/>
    <cellStyle name="Normal 4 3 2 4 3" xfId="26524" xr:uid="{1E60B873-6CB3-4B98-97E3-5D0C85A53CBE}"/>
    <cellStyle name="Normal 4 3 2 4 3 2" xfId="41487" xr:uid="{72F15121-F660-4DC1-B3B3-EF2EFA6AED16}"/>
    <cellStyle name="Normal 4 3 2 4 4" xfId="33897" xr:uid="{7530588A-51D6-4F6B-BEBA-78D17AC181BB}"/>
    <cellStyle name="Normal 4 3 2 5" xfId="14280" xr:uid="{00000000-0005-0000-0000-000036340000}"/>
    <cellStyle name="Normal 4 3 3" xfId="14281" xr:uid="{00000000-0005-0000-0000-000037340000}"/>
    <cellStyle name="Normal 4 3 3 2" xfId="14282" xr:uid="{00000000-0005-0000-0000-000038340000}"/>
    <cellStyle name="Normal 4 3 3 2 2" xfId="26526" xr:uid="{36044C77-16C2-42D5-961A-089DBBB72037}"/>
    <cellStyle name="Normal 4 3 3 2 2 2" xfId="41489" xr:uid="{A8756DF4-56E0-446B-B9AD-2DCE4E0A05E4}"/>
    <cellStyle name="Normal 4 3 3 2 3" xfId="33899" xr:uid="{884A4042-BE2A-4636-A733-B662B800800B}"/>
    <cellStyle name="Normal 4 3 3 3" xfId="14283" xr:uid="{00000000-0005-0000-0000-000039340000}"/>
    <cellStyle name="Normal 4 3 3 4" xfId="26525" xr:uid="{E5CE9607-E4E2-4A92-A298-4C7E0DE6BA39}"/>
    <cellStyle name="Normal 4 3 3 4 2" xfId="41488" xr:uid="{AF67D6D0-3436-405E-A856-AC4C1D1BDEB8}"/>
    <cellStyle name="Normal 4 3 3 5" xfId="33898" xr:uid="{70DEB3BE-8DA6-4EB5-B2DA-86C71E6B86DE}"/>
    <cellStyle name="Normal 4 3 4" xfId="14284" xr:uid="{00000000-0005-0000-0000-00003A340000}"/>
    <cellStyle name="Normal 4 3 4 2" xfId="14285" xr:uid="{00000000-0005-0000-0000-00003B340000}"/>
    <cellStyle name="Normal 4 3 4 2 2" xfId="26528" xr:uid="{8D95480A-86F8-4F4F-89CB-A3DA8C69BAFE}"/>
    <cellStyle name="Normal 4 3 4 2 2 2" xfId="41491" xr:uid="{AE909824-25FD-485A-89FF-C15B13A78CED}"/>
    <cellStyle name="Normal 4 3 4 2 3" xfId="33901" xr:uid="{D10C7923-6568-49B1-9BF4-31BC133B8860}"/>
    <cellStyle name="Normal 4 3 4 3" xfId="26527" xr:uid="{159EB34B-0062-4A9F-ADDE-2376AA477A89}"/>
    <cellStyle name="Normal 4 3 4 3 2" xfId="41490" xr:uid="{FAF56911-2A35-430C-9627-F48F8C73458D}"/>
    <cellStyle name="Normal 4 3 4 4" xfId="33900" xr:uid="{A9AA45C7-060A-4E35-A878-AE35E42FEECF}"/>
    <cellStyle name="Normal 4 3 5" xfId="14286" xr:uid="{00000000-0005-0000-0000-00003C340000}"/>
    <cellStyle name="Normal 4 3 6" xfId="14287" xr:uid="{00000000-0005-0000-0000-00003D340000}"/>
    <cellStyle name="Normal 4 4" xfId="2465" xr:uid="{00000000-0005-0000-0000-00005D090000}"/>
    <cellStyle name="Normal 4 4 10" xfId="14288" xr:uid="{00000000-0005-0000-0000-00003F340000}"/>
    <cellStyle name="Normal 4 4 11" xfId="20748" xr:uid="{4589178E-010D-452A-A07C-DF4C04D0274A}"/>
    <cellStyle name="Normal 4 4 11 2" xfId="35741" xr:uid="{AEED4C72-CE8B-4F81-A8ED-7A5DABAAB503}"/>
    <cellStyle name="Normal 4 4 12" xfId="28065" xr:uid="{6EA9E117-07FE-455D-B325-D0621AEAEE13}"/>
    <cellStyle name="Normal 4 4 2" xfId="2891" xr:uid="{00000000-0005-0000-0000-00005E090000}"/>
    <cellStyle name="Normal 4 4 2 2" xfId="14290" xr:uid="{00000000-0005-0000-0000-000041340000}"/>
    <cellStyle name="Normal 4 4 2 3" xfId="14291" xr:uid="{00000000-0005-0000-0000-000042340000}"/>
    <cellStyle name="Normal 4 4 2 4" xfId="14289" xr:uid="{00000000-0005-0000-0000-000040340000}"/>
    <cellStyle name="Normal 4 4 2 5" xfId="20847" xr:uid="{8C16791A-42E9-4DD2-98C5-ECBB71B0661C}"/>
    <cellStyle name="Normal 4 4 2 5 2" xfId="35823" xr:uid="{6004A577-9AE2-4000-874D-079BDAB98451}"/>
    <cellStyle name="Normal 4 4 2 6" xfId="28219" xr:uid="{2C309EBE-0D93-4EA9-B99F-2A0D5CB8F696}"/>
    <cellStyle name="Normal 4 4 3" xfId="2949" xr:uid="{00000000-0005-0000-0000-00005F090000}"/>
    <cellStyle name="Normal 4 4 3 2" xfId="14292" xr:uid="{00000000-0005-0000-0000-000043340000}"/>
    <cellStyle name="Normal 4 4 3 3" xfId="20905" xr:uid="{5DC5CCFE-10B7-4451-A00B-38CC5A185AFE}"/>
    <cellStyle name="Normal 4 4 3 3 2" xfId="35881" xr:uid="{5F136841-91CB-499E-9E7D-638AC50E4891}"/>
    <cellStyle name="Normal 4 4 3 4" xfId="28277" xr:uid="{6FCDBDFD-72A1-4165-94AB-CB24042A743A}"/>
    <cellStyle name="Normal 4 4 4" xfId="14293" xr:uid="{00000000-0005-0000-0000-000044340000}"/>
    <cellStyle name="Normal 4 4 4 2" xfId="14294" xr:uid="{00000000-0005-0000-0000-000045340000}"/>
    <cellStyle name="Normal 4 4 4 2 2" xfId="26530" xr:uid="{9BF427CE-91C4-406D-ACC2-8A2C7094AC8C}"/>
    <cellStyle name="Normal 4 4 4 2 2 2" xfId="41493" xr:uid="{2FAC9CE8-F5F2-4BF3-8726-652415BB905E}"/>
    <cellStyle name="Normal 4 4 4 2 3" xfId="33903" xr:uid="{9B9EE222-A7ED-4248-B668-AF173534F1F9}"/>
    <cellStyle name="Normal 4 4 4 3" xfId="26529" xr:uid="{BCED3590-AF65-49EE-AFB1-E86BA08F58A6}"/>
    <cellStyle name="Normal 4 4 4 3 2" xfId="41492" xr:uid="{ABFA7B05-F6C7-4A4C-BB15-4A9FA798B277}"/>
    <cellStyle name="Normal 4 4 4 4" xfId="33902" xr:uid="{C7A97F17-0B0D-4839-8022-F3AC2F691BF5}"/>
    <cellStyle name="Normal 4 4 5" xfId="14295" xr:uid="{00000000-0005-0000-0000-000046340000}"/>
    <cellStyle name="Normal 4 4 5 2" xfId="14296" xr:uid="{00000000-0005-0000-0000-000047340000}"/>
    <cellStyle name="Normal 4 4 5 2 2" xfId="26532" xr:uid="{12EF93A4-C6D3-4A2E-9BD7-15A94BE1CC4F}"/>
    <cellStyle name="Normal 4 4 5 2 2 2" xfId="41495" xr:uid="{99716F8F-582D-42F7-B488-E40E0E0AE210}"/>
    <cellStyle name="Normal 4 4 5 2 3" xfId="33905" xr:uid="{BC10AE08-5C28-4ED0-85E0-96A3B71C4728}"/>
    <cellStyle name="Normal 4 4 5 3" xfId="26531" xr:uid="{65C99378-FCB5-4791-A17F-163D33018379}"/>
    <cellStyle name="Normal 4 4 5 3 2" xfId="41494" xr:uid="{C360921B-F418-4573-92DE-73B65442DAF4}"/>
    <cellStyle name="Normal 4 4 5 4" xfId="33904" xr:uid="{C6545EB9-041D-4A56-B3BF-06FE5AAB3D11}"/>
    <cellStyle name="Normal 4 4 6" xfId="14297" xr:uid="{00000000-0005-0000-0000-000048340000}"/>
    <cellStyle name="Normal 4 4 6 2" xfId="26533" xr:uid="{569ABEB1-791E-441C-93FB-7CCD8E2C6472}"/>
    <cellStyle name="Normal 4 4 6 2 2" xfId="41496" xr:uid="{3F60DF27-1A7C-4017-8E7E-41940E720A76}"/>
    <cellStyle name="Normal 4 4 6 3" xfId="33906" xr:uid="{1FE6B267-21D8-47D6-BB29-D3D8FB4DE276}"/>
    <cellStyle name="Normal 4 4 7" xfId="14298" xr:uid="{00000000-0005-0000-0000-000049340000}"/>
    <cellStyle name="Normal 4 4 7 2" xfId="26534" xr:uid="{CB32E8D7-771E-4F1E-BAFA-0541B53F210C}"/>
    <cellStyle name="Normal 4 4 7 2 2" xfId="41497" xr:uid="{9FF2A1A8-2934-4B24-88D8-BF639C241C6C}"/>
    <cellStyle name="Normal 4 4 7 3" xfId="33907" xr:uid="{5DDE5A04-3251-4EE9-BE4C-EFB063FBDBF1}"/>
    <cellStyle name="Normal 4 4 8" xfId="14299" xr:uid="{00000000-0005-0000-0000-00004A340000}"/>
    <cellStyle name="Normal 4 4 8 2" xfId="26535" xr:uid="{3FFA4846-5AC9-4E35-9B59-0A69DE8C5543}"/>
    <cellStyle name="Normal 4 4 8 2 2" xfId="41498" xr:uid="{EA87823D-96C4-40F4-874E-C0F269B82F0B}"/>
    <cellStyle name="Normal 4 4 8 3" xfId="33908" xr:uid="{61FBC0F1-8B38-4EC5-B2A9-6297163F8EA8}"/>
    <cellStyle name="Normal 4 4 9" xfId="14300" xr:uid="{00000000-0005-0000-0000-00004B340000}"/>
    <cellStyle name="Normal 4 4 9 2" xfId="26536" xr:uid="{57C953CC-56BD-4963-BF9C-23B2D2E1992F}"/>
    <cellStyle name="Normal 4 4 9 2 2" xfId="41499" xr:uid="{67E36AD7-EDD4-4CB2-A4DD-FE7C8842744B}"/>
    <cellStyle name="Normal 4 4 9 3" xfId="33909" xr:uid="{F548B7E8-08F5-4C9F-9B46-1878BA213938}"/>
    <cellStyle name="Normal 4 5" xfId="2466" xr:uid="{00000000-0005-0000-0000-000060090000}"/>
    <cellStyle name="Normal 4 5 2" xfId="14301" xr:uid="{00000000-0005-0000-0000-00004D340000}"/>
    <cellStyle name="Normal 4 5 2 2" xfId="14302" xr:uid="{00000000-0005-0000-0000-00004E340000}"/>
    <cellStyle name="Normal 4 5 2 3" xfId="26537" xr:uid="{749A7B28-BDFD-42A8-A1AC-45F094879CF5}"/>
    <cellStyle name="Normal 4 5 2 3 2" xfId="41500" xr:uid="{DBB2A29F-96EE-4653-BE76-C30CFEFC0EB4}"/>
    <cellStyle name="Normal 4 5 2 4" xfId="33910" xr:uid="{1D5B19CE-F0FF-45C8-8D2B-862F577CA8E0}"/>
    <cellStyle name="Normal 4 5 3" xfId="14303" xr:uid="{00000000-0005-0000-0000-00004F340000}"/>
    <cellStyle name="Normal 4 5 3 2" xfId="26538" xr:uid="{90CE8876-C187-4673-A4DD-E515395777DB}"/>
    <cellStyle name="Normal 4 5 3 2 2" xfId="41501" xr:uid="{96DF3D12-10E6-40A1-A027-756A525962B8}"/>
    <cellStyle name="Normal 4 5 3 3" xfId="33911" xr:uid="{1CFAB1F4-BAE5-48A0-B662-595F1984DC3D}"/>
    <cellStyle name="Normal 4 5 4" xfId="14304" xr:uid="{00000000-0005-0000-0000-000050340000}"/>
    <cellStyle name="Normal 4 6" xfId="14305" xr:uid="{00000000-0005-0000-0000-000051340000}"/>
    <cellStyle name="Normal 4 6 10" xfId="14306" xr:uid="{00000000-0005-0000-0000-000052340000}"/>
    <cellStyle name="Normal 4 6 10 2" xfId="26539" xr:uid="{0DD2A501-EC44-4F5D-B1EF-AEA70897C8BB}"/>
    <cellStyle name="Normal 4 6 10 2 2" xfId="41502" xr:uid="{248097DE-F3D3-4A5E-8BC4-2E766F1CD38E}"/>
    <cellStyle name="Normal 4 6 10 3" xfId="33912" xr:uid="{6481BDC3-6A6A-4099-A737-053D4F313ECE}"/>
    <cellStyle name="Normal 4 6 11" xfId="14307" xr:uid="{00000000-0005-0000-0000-000053340000}"/>
    <cellStyle name="Normal 4 6 2" xfId="14308" xr:uid="{00000000-0005-0000-0000-000054340000}"/>
    <cellStyle name="Normal 4 6 2 10" xfId="14309" xr:uid="{00000000-0005-0000-0000-000055340000}"/>
    <cellStyle name="Normal 4 6 2 2" xfId="14310" xr:uid="{00000000-0005-0000-0000-000056340000}"/>
    <cellStyle name="Normal 4 6 2 2 2" xfId="14311" xr:uid="{00000000-0005-0000-0000-000057340000}"/>
    <cellStyle name="Normal 4 6 2 2 2 2" xfId="14312" xr:uid="{00000000-0005-0000-0000-000058340000}"/>
    <cellStyle name="Normal 4 6 2 2 2 2 2" xfId="14313" xr:uid="{00000000-0005-0000-0000-000059340000}"/>
    <cellStyle name="Normal 4 6 2 2 2 2 2 2" xfId="14314" xr:uid="{00000000-0005-0000-0000-00005A340000}"/>
    <cellStyle name="Normal 4 6 2 2 2 2 2 3" xfId="14315" xr:uid="{00000000-0005-0000-0000-00005B340000}"/>
    <cellStyle name="Normal 4 6 2 2 2 2 3" xfId="14316" xr:uid="{00000000-0005-0000-0000-00005C340000}"/>
    <cellStyle name="Normal 4 6 2 2 2 2 4" xfId="14317" xr:uid="{00000000-0005-0000-0000-00005D340000}"/>
    <cellStyle name="Normal 4 6 2 2 2 2 4 2" xfId="26540" xr:uid="{ED36A3CF-9153-4506-A3A1-F6A6F776433F}"/>
    <cellStyle name="Normal 4 6 2 2 2 2 4 2 2" xfId="41503" xr:uid="{82D65F7A-C0D0-4DEA-80A0-2018739F2C58}"/>
    <cellStyle name="Normal 4 6 2 2 2 2 4 3" xfId="33913" xr:uid="{65BA2D32-74C2-4669-90D9-7668015CE860}"/>
    <cellStyle name="Normal 4 6 2 2 2 2 5" xfId="14318" xr:uid="{00000000-0005-0000-0000-00005E340000}"/>
    <cellStyle name="Normal 4 6 2 2 2 2 5 2" xfId="26541" xr:uid="{04A5D6E2-B534-45B5-BFB0-40ED011CFAEE}"/>
    <cellStyle name="Normal 4 6 2 2 2 2 5 2 2" xfId="41504" xr:uid="{2D71798B-DA94-4D48-AEAF-363F7DC97B7A}"/>
    <cellStyle name="Normal 4 6 2 2 2 2 5 3" xfId="33914" xr:uid="{C6332BD3-9980-4989-B65D-2B3D8DB923D6}"/>
    <cellStyle name="Normal 4 6 2 2 2 2 6" xfId="14319" xr:uid="{00000000-0005-0000-0000-00005F340000}"/>
    <cellStyle name="Normal 4 6 2 2 2 3" xfId="14320" xr:uid="{00000000-0005-0000-0000-000060340000}"/>
    <cellStyle name="Normal 4 6 2 2 2 3 2" xfId="14321" xr:uid="{00000000-0005-0000-0000-000061340000}"/>
    <cellStyle name="Normal 4 6 2 2 2 3 2 2" xfId="14322" xr:uid="{00000000-0005-0000-0000-000062340000}"/>
    <cellStyle name="Normal 4 6 2 2 2 3 2 3" xfId="14323" xr:uid="{00000000-0005-0000-0000-000063340000}"/>
    <cellStyle name="Normal 4 6 2 2 2 3 3" xfId="14324" xr:uid="{00000000-0005-0000-0000-000064340000}"/>
    <cellStyle name="Normal 4 6 2 2 2 3 3 2" xfId="14325" xr:uid="{00000000-0005-0000-0000-000065340000}"/>
    <cellStyle name="Normal 4 6 2 2 2 3 3 3" xfId="26542" xr:uid="{5C0A21E9-6485-40DF-8E27-AD0DFB3A04D7}"/>
    <cellStyle name="Normal 4 6 2 2 2 3 3 3 2" xfId="41505" xr:uid="{BFE14FC0-14D0-4718-B968-DBE44F526702}"/>
    <cellStyle name="Normal 4 6 2 2 2 3 3 4" xfId="33915" xr:uid="{4CACEA56-246A-4207-8ECC-82702CF1B711}"/>
    <cellStyle name="Normal 4 6 2 2 2 3 4" xfId="14326" xr:uid="{00000000-0005-0000-0000-000066340000}"/>
    <cellStyle name="Normal 4 6 2 2 2 4" xfId="14327" xr:uid="{00000000-0005-0000-0000-000067340000}"/>
    <cellStyle name="Normal 4 6 2 2 2 4 2" xfId="14328" xr:uid="{00000000-0005-0000-0000-000068340000}"/>
    <cellStyle name="Normal 4 6 2 2 2 4 3" xfId="14329" xr:uid="{00000000-0005-0000-0000-000069340000}"/>
    <cellStyle name="Normal 4 6 2 2 2 5" xfId="14330" xr:uid="{00000000-0005-0000-0000-00006A340000}"/>
    <cellStyle name="Normal 4 6 2 2 2 6" xfId="14331" xr:uid="{00000000-0005-0000-0000-00006B340000}"/>
    <cellStyle name="Normal 4 6 2 2 2 6 2" xfId="26543" xr:uid="{E66E73EC-DB81-4434-8183-946E9DFA5CB6}"/>
    <cellStyle name="Normal 4 6 2 2 2 6 2 2" xfId="41506" xr:uid="{D15EEEE8-5B40-4F09-A4FF-3F21A16284C3}"/>
    <cellStyle name="Normal 4 6 2 2 2 6 3" xfId="33916" xr:uid="{DDD6F676-E630-49E1-9246-72F325EBAB48}"/>
    <cellStyle name="Normal 4 6 2 2 2 7" xfId="14332" xr:uid="{00000000-0005-0000-0000-00006C340000}"/>
    <cellStyle name="Normal 4 6 2 2 2 7 2" xfId="26544" xr:uid="{35CC5A7E-AF05-4CEF-9739-61894E9FFD26}"/>
    <cellStyle name="Normal 4 6 2 2 2 7 2 2" xfId="41507" xr:uid="{16D98333-AC47-46A8-ACC8-C66876797E85}"/>
    <cellStyle name="Normal 4 6 2 2 2 7 3" xfId="33917" xr:uid="{65B4875B-FEEF-4427-8310-AFC0C3B76F43}"/>
    <cellStyle name="Normal 4 6 2 2 2 8" xfId="14333" xr:uid="{00000000-0005-0000-0000-00006D340000}"/>
    <cellStyle name="Normal 4 6 2 2 3" xfId="14334" xr:uid="{00000000-0005-0000-0000-00006E340000}"/>
    <cellStyle name="Normal 4 6 2 2 3 2" xfId="14335" xr:uid="{00000000-0005-0000-0000-00006F340000}"/>
    <cellStyle name="Normal 4 6 2 2 3 2 2" xfId="14336" xr:uid="{00000000-0005-0000-0000-000070340000}"/>
    <cellStyle name="Normal 4 6 2 2 3 2 3" xfId="14337" xr:uid="{00000000-0005-0000-0000-000071340000}"/>
    <cellStyle name="Normal 4 6 2 2 3 3" xfId="14338" xr:uid="{00000000-0005-0000-0000-000072340000}"/>
    <cellStyle name="Normal 4 6 2 2 3 4" xfId="14339" xr:uid="{00000000-0005-0000-0000-000073340000}"/>
    <cellStyle name="Normal 4 6 2 2 3 4 2" xfId="26545" xr:uid="{0E29997D-478B-4510-8B5F-F2E1F8843DAB}"/>
    <cellStyle name="Normal 4 6 2 2 3 4 2 2" xfId="41508" xr:uid="{F0859FCE-A376-4CC8-A0FB-1C0370D9C923}"/>
    <cellStyle name="Normal 4 6 2 2 3 4 3" xfId="33918" xr:uid="{80E0542A-76FA-4246-AEF7-3ABA3AEA7ADA}"/>
    <cellStyle name="Normal 4 6 2 2 3 5" xfId="14340" xr:uid="{00000000-0005-0000-0000-000074340000}"/>
    <cellStyle name="Normal 4 6 2 2 3 5 2" xfId="26546" xr:uid="{CC06A384-AB14-4C32-9A24-BF88DF126EC1}"/>
    <cellStyle name="Normal 4 6 2 2 3 5 2 2" xfId="41509" xr:uid="{2E9C317D-CC09-4C34-8E0D-C59F3B665675}"/>
    <cellStyle name="Normal 4 6 2 2 3 5 3" xfId="33919" xr:uid="{157314A0-0BA7-4D74-841D-94F46C66F217}"/>
    <cellStyle name="Normal 4 6 2 2 3 6" xfId="14341" xr:uid="{00000000-0005-0000-0000-000075340000}"/>
    <cellStyle name="Normal 4 6 2 2 4" xfId="14342" xr:uid="{00000000-0005-0000-0000-000076340000}"/>
    <cellStyle name="Normal 4 6 2 2 4 2" xfId="14343" xr:uid="{00000000-0005-0000-0000-000077340000}"/>
    <cellStyle name="Normal 4 6 2 2 4 2 2" xfId="14344" xr:uid="{00000000-0005-0000-0000-000078340000}"/>
    <cellStyle name="Normal 4 6 2 2 4 2 3" xfId="14345" xr:uid="{00000000-0005-0000-0000-000079340000}"/>
    <cellStyle name="Normal 4 6 2 2 4 3" xfId="14346" xr:uid="{00000000-0005-0000-0000-00007A340000}"/>
    <cellStyle name="Normal 4 6 2 2 4 3 2" xfId="14347" xr:uid="{00000000-0005-0000-0000-00007B340000}"/>
    <cellStyle name="Normal 4 6 2 2 4 3 3" xfId="26547" xr:uid="{62A5E137-CF38-4735-A4D8-52243A71CD54}"/>
    <cellStyle name="Normal 4 6 2 2 4 3 3 2" xfId="41510" xr:uid="{3A29DEAE-5B69-4F05-8CB0-9F4E73C2C911}"/>
    <cellStyle name="Normal 4 6 2 2 4 3 4" xfId="33920" xr:uid="{A4F3BB88-61E1-41FA-A100-700CDA02C6F2}"/>
    <cellStyle name="Normal 4 6 2 2 4 4" xfId="14348" xr:uid="{00000000-0005-0000-0000-00007C340000}"/>
    <cellStyle name="Normal 4 6 2 2 5" xfId="14349" xr:uid="{00000000-0005-0000-0000-00007D340000}"/>
    <cellStyle name="Normal 4 6 2 2 5 2" xfId="14350" xr:uid="{00000000-0005-0000-0000-00007E340000}"/>
    <cellStyle name="Normal 4 6 2 2 5 3" xfId="14351" xr:uid="{00000000-0005-0000-0000-00007F340000}"/>
    <cellStyle name="Normal 4 6 2 2 6" xfId="14352" xr:uid="{00000000-0005-0000-0000-000080340000}"/>
    <cellStyle name="Normal 4 6 2 2 7" xfId="14353" xr:uid="{00000000-0005-0000-0000-000081340000}"/>
    <cellStyle name="Normal 4 6 2 2 7 2" xfId="26548" xr:uid="{533F3FE0-F85B-46E6-921A-F5381E4BF735}"/>
    <cellStyle name="Normal 4 6 2 2 7 2 2" xfId="41511" xr:uid="{7D44C264-ECA6-40AA-AA22-2B1F049C0C89}"/>
    <cellStyle name="Normal 4 6 2 2 7 3" xfId="33921" xr:uid="{460381C8-DE1A-4743-B114-D6C39A3FDDC0}"/>
    <cellStyle name="Normal 4 6 2 2 8" xfId="14354" xr:uid="{00000000-0005-0000-0000-000082340000}"/>
    <cellStyle name="Normal 4 6 2 2 8 2" xfId="26549" xr:uid="{7BBD97E8-C0F9-49DF-9008-C832F935E2C6}"/>
    <cellStyle name="Normal 4 6 2 2 8 2 2" xfId="41512" xr:uid="{6623AAFF-CD70-46AC-B98E-3AAF870C3A61}"/>
    <cellStyle name="Normal 4 6 2 2 8 3" xfId="33922" xr:uid="{DB71D08D-0C70-43F0-8FBE-9D8154957086}"/>
    <cellStyle name="Normal 4 6 2 2 9" xfId="14355" xr:uid="{00000000-0005-0000-0000-000083340000}"/>
    <cellStyle name="Normal 4 6 2 3" xfId="14356" xr:uid="{00000000-0005-0000-0000-000084340000}"/>
    <cellStyle name="Normal 4 6 2 3 2" xfId="14357" xr:uid="{00000000-0005-0000-0000-000085340000}"/>
    <cellStyle name="Normal 4 6 2 3 2 2" xfId="14358" xr:uid="{00000000-0005-0000-0000-000086340000}"/>
    <cellStyle name="Normal 4 6 2 3 2 2 2" xfId="14359" xr:uid="{00000000-0005-0000-0000-000087340000}"/>
    <cellStyle name="Normal 4 6 2 3 2 2 3" xfId="14360" xr:uid="{00000000-0005-0000-0000-000088340000}"/>
    <cellStyle name="Normal 4 6 2 3 2 2 3 2" xfId="26550" xr:uid="{A4454345-834C-4B75-A4E1-4A1ADDEFE671}"/>
    <cellStyle name="Normal 4 6 2 3 2 2 3 2 2" xfId="41513" xr:uid="{4FEE9852-9B81-43D9-8A0A-87C94159E4FB}"/>
    <cellStyle name="Normal 4 6 2 3 2 2 3 3" xfId="33923" xr:uid="{74869A5C-8B05-4BF3-A3D1-253400703761}"/>
    <cellStyle name="Normal 4 6 2 3 2 2 4" xfId="14361" xr:uid="{00000000-0005-0000-0000-000089340000}"/>
    <cellStyle name="Normal 4 6 2 3 2 3" xfId="14362" xr:uid="{00000000-0005-0000-0000-00008A340000}"/>
    <cellStyle name="Normal 4 6 2 3 2 4" xfId="14363" xr:uid="{00000000-0005-0000-0000-00008B340000}"/>
    <cellStyle name="Normal 4 6 2 3 2 4 2" xfId="26551" xr:uid="{6A4DE7C0-B463-4F9C-B7B2-6CC08DDF15FB}"/>
    <cellStyle name="Normal 4 6 2 3 2 4 2 2" xfId="41514" xr:uid="{03B97C2E-7EEB-4846-B08E-E5D72E351102}"/>
    <cellStyle name="Normal 4 6 2 3 2 4 3" xfId="33924" xr:uid="{E61D49AE-0DCB-4D4B-B4CD-F2115CC0C1BF}"/>
    <cellStyle name="Normal 4 6 2 3 2 5" xfId="14364" xr:uid="{00000000-0005-0000-0000-00008C340000}"/>
    <cellStyle name="Normal 4 6 2 3 2 5 2" xfId="26552" xr:uid="{38F112FD-6A2C-4C65-93FC-37D32136A1CB}"/>
    <cellStyle name="Normal 4 6 2 3 2 5 2 2" xfId="41515" xr:uid="{A886C70F-E2D4-49D0-9B51-224C47CA19B8}"/>
    <cellStyle name="Normal 4 6 2 3 2 5 3" xfId="33925" xr:uid="{14D18CE8-9468-40EC-B5C9-9790CEB02683}"/>
    <cellStyle name="Normal 4 6 2 3 2 6" xfId="14365" xr:uid="{00000000-0005-0000-0000-00008D340000}"/>
    <cellStyle name="Normal 4 6 2 3 3" xfId="14366" xr:uid="{00000000-0005-0000-0000-00008E340000}"/>
    <cellStyle name="Normal 4 6 2 3 3 2" xfId="14367" xr:uid="{00000000-0005-0000-0000-00008F340000}"/>
    <cellStyle name="Normal 4 6 2 3 3 2 2" xfId="14368" xr:uid="{00000000-0005-0000-0000-000090340000}"/>
    <cellStyle name="Normal 4 6 2 3 3 2 3" xfId="14369" xr:uid="{00000000-0005-0000-0000-000091340000}"/>
    <cellStyle name="Normal 4 6 2 3 3 3" xfId="14370" xr:uid="{00000000-0005-0000-0000-000092340000}"/>
    <cellStyle name="Normal 4 6 2 3 3 4" xfId="14371" xr:uid="{00000000-0005-0000-0000-000093340000}"/>
    <cellStyle name="Normal 4 6 2 3 3 4 2" xfId="26553" xr:uid="{9B88934D-22F7-4E6B-A127-2AAA810A7CA2}"/>
    <cellStyle name="Normal 4 6 2 3 3 4 2 2" xfId="41516" xr:uid="{0A09C3CC-D11F-4941-845E-E46F6E48FA5E}"/>
    <cellStyle name="Normal 4 6 2 3 3 4 3" xfId="33926" xr:uid="{21E2F269-42A9-4127-8B88-5FFB36FA95D1}"/>
    <cellStyle name="Normal 4 6 2 3 3 5" xfId="14372" xr:uid="{00000000-0005-0000-0000-000094340000}"/>
    <cellStyle name="Normal 4 6 2 3 3 5 2" xfId="26554" xr:uid="{78F3BD09-768E-4948-B5BB-65C045F6DF67}"/>
    <cellStyle name="Normal 4 6 2 3 3 5 2 2" xfId="41517" xr:uid="{89C8CC90-9403-4A11-A959-4259F5D49BE6}"/>
    <cellStyle name="Normal 4 6 2 3 3 5 3" xfId="33927" xr:uid="{7A94D0F2-1FA5-4233-9E15-4AEBE70E5228}"/>
    <cellStyle name="Normal 4 6 2 3 3 6" xfId="14373" xr:uid="{00000000-0005-0000-0000-000095340000}"/>
    <cellStyle name="Normal 4 6 2 3 4" xfId="14374" xr:uid="{00000000-0005-0000-0000-000096340000}"/>
    <cellStyle name="Normal 4 6 2 3 4 2" xfId="14375" xr:uid="{00000000-0005-0000-0000-000097340000}"/>
    <cellStyle name="Normal 4 6 2 3 4 3" xfId="14376" xr:uid="{00000000-0005-0000-0000-000098340000}"/>
    <cellStyle name="Normal 4 6 2 3 5" xfId="14377" xr:uid="{00000000-0005-0000-0000-000099340000}"/>
    <cellStyle name="Normal 4 6 2 3 6" xfId="14378" xr:uid="{00000000-0005-0000-0000-00009A340000}"/>
    <cellStyle name="Normal 4 6 2 3 6 2" xfId="26555" xr:uid="{11AC8A23-7F1E-4195-8E38-873867E1553C}"/>
    <cellStyle name="Normal 4 6 2 3 6 2 2" xfId="41518" xr:uid="{73418926-CFDB-414B-8A71-F87DA0E002DE}"/>
    <cellStyle name="Normal 4 6 2 3 6 3" xfId="33928" xr:uid="{A4691E72-ECEF-4563-9CDD-0D918E600F57}"/>
    <cellStyle name="Normal 4 6 2 3 7" xfId="14379" xr:uid="{00000000-0005-0000-0000-00009B340000}"/>
    <cellStyle name="Normal 4 6 2 3 7 2" xfId="26556" xr:uid="{895B46E6-CC88-4863-BB44-0F4120DB6D3E}"/>
    <cellStyle name="Normal 4 6 2 3 7 2 2" xfId="41519" xr:uid="{4481FACB-80EC-4D3F-B2B0-458063526CA8}"/>
    <cellStyle name="Normal 4 6 2 3 7 3" xfId="33929" xr:uid="{81F4F1F1-CF97-49EA-B11F-58B959FCCB9E}"/>
    <cellStyle name="Normal 4 6 2 3 8" xfId="14380" xr:uid="{00000000-0005-0000-0000-00009C340000}"/>
    <cellStyle name="Normal 4 6 2 4" xfId="14381" xr:uid="{00000000-0005-0000-0000-00009D340000}"/>
    <cellStyle name="Normal 4 6 2 4 2" xfId="14382" xr:uid="{00000000-0005-0000-0000-00009E340000}"/>
    <cellStyle name="Normal 4 6 2 4 2 2" xfId="14383" xr:uid="{00000000-0005-0000-0000-00009F340000}"/>
    <cellStyle name="Normal 4 6 2 4 2 3" xfId="14384" xr:uid="{00000000-0005-0000-0000-0000A0340000}"/>
    <cellStyle name="Normal 4 6 2 4 2 3 2" xfId="26557" xr:uid="{D6B98CAB-661F-4618-9EE2-6A1E9A41FF89}"/>
    <cellStyle name="Normal 4 6 2 4 2 3 2 2" xfId="41520" xr:uid="{523AC09F-0E8E-47AF-85C5-5778FD128528}"/>
    <cellStyle name="Normal 4 6 2 4 2 3 3" xfId="33930" xr:uid="{9B2A4B60-178A-4B61-B9C7-21A95B4F88A5}"/>
    <cellStyle name="Normal 4 6 2 4 2 4" xfId="14385" xr:uid="{00000000-0005-0000-0000-0000A1340000}"/>
    <cellStyle name="Normal 4 6 2 4 3" xfId="14386" xr:uid="{00000000-0005-0000-0000-0000A2340000}"/>
    <cellStyle name="Normal 4 6 2 4 4" xfId="14387" xr:uid="{00000000-0005-0000-0000-0000A3340000}"/>
    <cellStyle name="Normal 4 6 2 4 4 2" xfId="26558" xr:uid="{D43B8774-936E-42F4-82C7-2514915F84B2}"/>
    <cellStyle name="Normal 4 6 2 4 4 2 2" xfId="41521" xr:uid="{EE80E648-81A8-4BA8-9C2F-CB0FC4A53A86}"/>
    <cellStyle name="Normal 4 6 2 4 4 3" xfId="33931" xr:uid="{E5C27433-340D-449B-8F6C-581B298461AE}"/>
    <cellStyle name="Normal 4 6 2 4 5" xfId="14388" xr:uid="{00000000-0005-0000-0000-0000A4340000}"/>
    <cellStyle name="Normal 4 6 2 4 5 2" xfId="26559" xr:uid="{3E366539-B5E4-47E3-B6D9-11938187B980}"/>
    <cellStyle name="Normal 4 6 2 4 5 2 2" xfId="41522" xr:uid="{A68364A0-443A-4D16-B7D9-7CEE6791CA04}"/>
    <cellStyle name="Normal 4 6 2 4 5 3" xfId="33932" xr:uid="{941B152C-69D0-4C80-81C4-B1D593E48C1D}"/>
    <cellStyle name="Normal 4 6 2 4 6" xfId="14389" xr:uid="{00000000-0005-0000-0000-0000A5340000}"/>
    <cellStyle name="Normal 4 6 2 5" xfId="14390" xr:uid="{00000000-0005-0000-0000-0000A6340000}"/>
    <cellStyle name="Normal 4 6 2 5 2" xfId="14391" xr:uid="{00000000-0005-0000-0000-0000A7340000}"/>
    <cellStyle name="Normal 4 6 2 5 2 2" xfId="14392" xr:uid="{00000000-0005-0000-0000-0000A8340000}"/>
    <cellStyle name="Normal 4 6 2 5 2 3" xfId="14393" xr:uid="{00000000-0005-0000-0000-0000A9340000}"/>
    <cellStyle name="Normal 4 6 2 5 3" xfId="14394" xr:uid="{00000000-0005-0000-0000-0000AA340000}"/>
    <cellStyle name="Normal 4 6 2 5 4" xfId="14395" xr:uid="{00000000-0005-0000-0000-0000AB340000}"/>
    <cellStyle name="Normal 4 6 2 5 4 2" xfId="26560" xr:uid="{0E083CD1-B648-4895-9445-4243876AC469}"/>
    <cellStyle name="Normal 4 6 2 5 4 2 2" xfId="41523" xr:uid="{95AD987B-35AE-4271-B44B-1C052D4C7393}"/>
    <cellStyle name="Normal 4 6 2 5 4 3" xfId="33933" xr:uid="{DAB0696C-6142-4DF8-8657-25276E2DFE27}"/>
    <cellStyle name="Normal 4 6 2 5 5" xfId="14396" xr:uid="{00000000-0005-0000-0000-0000AC340000}"/>
    <cellStyle name="Normal 4 6 2 5 5 2" xfId="26561" xr:uid="{8B37423D-CEBD-42F1-9934-7EA58F3FBF2E}"/>
    <cellStyle name="Normal 4 6 2 5 5 2 2" xfId="41524" xr:uid="{F095E0CE-684F-445E-8516-94A10A5B0C92}"/>
    <cellStyle name="Normal 4 6 2 5 5 3" xfId="33934" xr:uid="{A9C07BD9-BE9F-45AA-B77F-1253F93F3683}"/>
    <cellStyle name="Normal 4 6 2 5 6" xfId="14397" xr:uid="{00000000-0005-0000-0000-0000AD340000}"/>
    <cellStyle name="Normal 4 6 2 6" xfId="14398" xr:uid="{00000000-0005-0000-0000-0000AE340000}"/>
    <cellStyle name="Normal 4 6 2 6 2" xfId="14399" xr:uid="{00000000-0005-0000-0000-0000AF340000}"/>
    <cellStyle name="Normal 4 6 2 6 3" xfId="14400" xr:uid="{00000000-0005-0000-0000-0000B0340000}"/>
    <cellStyle name="Normal 4 6 2 7" xfId="14401" xr:uid="{00000000-0005-0000-0000-0000B1340000}"/>
    <cellStyle name="Normal 4 6 2 8" xfId="14402" xr:uid="{00000000-0005-0000-0000-0000B2340000}"/>
    <cellStyle name="Normal 4 6 2 8 2" xfId="26562" xr:uid="{EFFBFE8A-120D-49D4-8986-1A0545EF2D84}"/>
    <cellStyle name="Normal 4 6 2 8 2 2" xfId="41525" xr:uid="{4964F8A6-4D25-4A04-8728-79411752268F}"/>
    <cellStyle name="Normal 4 6 2 8 3" xfId="33935" xr:uid="{7842C6FE-3224-4CC2-9A96-3FF8DEFA4439}"/>
    <cellStyle name="Normal 4 6 2 9" xfId="14403" xr:uid="{00000000-0005-0000-0000-0000B3340000}"/>
    <cellStyle name="Normal 4 6 2 9 2" xfId="26563" xr:uid="{4BAC3F57-C91B-4692-BB0E-0E5234350B9A}"/>
    <cellStyle name="Normal 4 6 2 9 2 2" xfId="41526" xr:uid="{3767FAE8-2247-46EE-8825-90280E44E259}"/>
    <cellStyle name="Normal 4 6 2 9 3" xfId="33936" xr:uid="{8F90FB1D-7147-43DB-8695-A821B5004510}"/>
    <cellStyle name="Normal 4 6 3" xfId="14404" xr:uid="{00000000-0005-0000-0000-0000B4340000}"/>
    <cellStyle name="Normal 4 6 3 2" xfId="14405" xr:uid="{00000000-0005-0000-0000-0000B5340000}"/>
    <cellStyle name="Normal 4 6 3 2 2" xfId="14406" xr:uid="{00000000-0005-0000-0000-0000B6340000}"/>
    <cellStyle name="Normal 4 6 3 2 2 2" xfId="14407" xr:uid="{00000000-0005-0000-0000-0000B7340000}"/>
    <cellStyle name="Normal 4 6 3 2 2 2 2" xfId="14408" xr:uid="{00000000-0005-0000-0000-0000B8340000}"/>
    <cellStyle name="Normal 4 6 3 2 2 2 3" xfId="14409" xr:uid="{00000000-0005-0000-0000-0000B9340000}"/>
    <cellStyle name="Normal 4 6 3 2 2 3" xfId="14410" xr:uid="{00000000-0005-0000-0000-0000BA340000}"/>
    <cellStyle name="Normal 4 6 3 2 2 4" xfId="14411" xr:uid="{00000000-0005-0000-0000-0000BB340000}"/>
    <cellStyle name="Normal 4 6 3 2 2 4 2" xfId="26564" xr:uid="{EEFC9E83-D735-4806-8804-8763AA7414E7}"/>
    <cellStyle name="Normal 4 6 3 2 2 4 2 2" xfId="41527" xr:uid="{477CFFED-9551-45B9-95A7-111997D13669}"/>
    <cellStyle name="Normal 4 6 3 2 2 4 3" xfId="33937" xr:uid="{DB2857F8-6E89-49D8-AC60-47F0FBDC66D6}"/>
    <cellStyle name="Normal 4 6 3 2 2 5" xfId="14412" xr:uid="{00000000-0005-0000-0000-0000BC340000}"/>
    <cellStyle name="Normal 4 6 3 2 2 5 2" xfId="26565" xr:uid="{7BB2BD87-CE47-429A-BA97-FF2B3E53E0FD}"/>
    <cellStyle name="Normal 4 6 3 2 2 5 2 2" xfId="41528" xr:uid="{3C525F95-8BC7-4D8D-BA67-A641C321F00E}"/>
    <cellStyle name="Normal 4 6 3 2 2 5 3" xfId="33938" xr:uid="{DE0665DD-D2BB-4106-9D50-D512012C5D3D}"/>
    <cellStyle name="Normal 4 6 3 2 2 6" xfId="14413" xr:uid="{00000000-0005-0000-0000-0000BD340000}"/>
    <cellStyle name="Normal 4 6 3 2 3" xfId="14414" xr:uid="{00000000-0005-0000-0000-0000BE340000}"/>
    <cellStyle name="Normal 4 6 3 2 3 2" xfId="14415" xr:uid="{00000000-0005-0000-0000-0000BF340000}"/>
    <cellStyle name="Normal 4 6 3 2 3 2 2" xfId="14416" xr:uid="{00000000-0005-0000-0000-0000C0340000}"/>
    <cellStyle name="Normal 4 6 3 2 3 2 3" xfId="14417" xr:uid="{00000000-0005-0000-0000-0000C1340000}"/>
    <cellStyle name="Normal 4 6 3 2 3 3" xfId="14418" xr:uid="{00000000-0005-0000-0000-0000C2340000}"/>
    <cellStyle name="Normal 4 6 3 2 3 3 2" xfId="14419" xr:uid="{00000000-0005-0000-0000-0000C3340000}"/>
    <cellStyle name="Normal 4 6 3 2 3 3 3" xfId="26566" xr:uid="{F06F5C7F-A3EA-42B0-BDB6-A2807413AA7F}"/>
    <cellStyle name="Normal 4 6 3 2 3 3 3 2" xfId="41529" xr:uid="{60DB85EF-5ECB-400B-9ED4-752D663CC435}"/>
    <cellStyle name="Normal 4 6 3 2 3 3 4" xfId="33939" xr:uid="{D3CCF6C8-5EED-4F49-BC73-12B59AE636C0}"/>
    <cellStyle name="Normal 4 6 3 2 3 4" xfId="14420" xr:uid="{00000000-0005-0000-0000-0000C4340000}"/>
    <cellStyle name="Normal 4 6 3 2 4" xfId="14421" xr:uid="{00000000-0005-0000-0000-0000C5340000}"/>
    <cellStyle name="Normal 4 6 3 2 4 2" xfId="14422" xr:uid="{00000000-0005-0000-0000-0000C6340000}"/>
    <cellStyle name="Normal 4 6 3 2 4 3" xfId="14423" xr:uid="{00000000-0005-0000-0000-0000C7340000}"/>
    <cellStyle name="Normal 4 6 3 2 5" xfId="14424" xr:uid="{00000000-0005-0000-0000-0000C8340000}"/>
    <cellStyle name="Normal 4 6 3 2 6" xfId="14425" xr:uid="{00000000-0005-0000-0000-0000C9340000}"/>
    <cellStyle name="Normal 4 6 3 2 6 2" xfId="26567" xr:uid="{B4D448BC-A68D-434F-8022-305775ACA632}"/>
    <cellStyle name="Normal 4 6 3 2 6 2 2" xfId="41530" xr:uid="{530DE2C2-53DB-4297-A7B4-DFEBDF6537DD}"/>
    <cellStyle name="Normal 4 6 3 2 6 3" xfId="33940" xr:uid="{36D807C5-BFE9-4D4B-9CB9-D7A63AA16EC0}"/>
    <cellStyle name="Normal 4 6 3 2 7" xfId="14426" xr:uid="{00000000-0005-0000-0000-0000CA340000}"/>
    <cellStyle name="Normal 4 6 3 2 7 2" xfId="26568" xr:uid="{7FC625BD-8F39-46D4-95F9-1F01F6D4682C}"/>
    <cellStyle name="Normal 4 6 3 2 7 2 2" xfId="41531" xr:uid="{F52FA79C-865C-4E8D-B0F6-C3CD957D0ED9}"/>
    <cellStyle name="Normal 4 6 3 2 7 3" xfId="33941" xr:uid="{9FADA9D2-E69B-4327-8785-3A63F318F6EE}"/>
    <cellStyle name="Normal 4 6 3 2 8" xfId="14427" xr:uid="{00000000-0005-0000-0000-0000CB340000}"/>
    <cellStyle name="Normal 4 6 3 3" xfId="14428" xr:uid="{00000000-0005-0000-0000-0000CC340000}"/>
    <cellStyle name="Normal 4 6 3 3 2" xfId="14429" xr:uid="{00000000-0005-0000-0000-0000CD340000}"/>
    <cellStyle name="Normal 4 6 3 3 2 2" xfId="14430" xr:uid="{00000000-0005-0000-0000-0000CE340000}"/>
    <cellStyle name="Normal 4 6 3 3 2 3" xfId="14431" xr:uid="{00000000-0005-0000-0000-0000CF340000}"/>
    <cellStyle name="Normal 4 6 3 3 3" xfId="14432" xr:uid="{00000000-0005-0000-0000-0000D0340000}"/>
    <cellStyle name="Normal 4 6 3 3 4" xfId="14433" xr:uid="{00000000-0005-0000-0000-0000D1340000}"/>
    <cellStyle name="Normal 4 6 3 3 4 2" xfId="26569" xr:uid="{62A4250C-1C2C-4A6E-8B78-BF1B2BA6FC67}"/>
    <cellStyle name="Normal 4 6 3 3 4 2 2" xfId="41532" xr:uid="{DFE3C9C8-4CEF-44C6-980C-280397FA1030}"/>
    <cellStyle name="Normal 4 6 3 3 4 3" xfId="33942" xr:uid="{EED758FF-9DE4-4764-877A-87265DBA604E}"/>
    <cellStyle name="Normal 4 6 3 3 5" xfId="14434" xr:uid="{00000000-0005-0000-0000-0000D2340000}"/>
    <cellStyle name="Normal 4 6 3 3 5 2" xfId="26570" xr:uid="{D8297225-DB17-4BCE-9876-E4757FA220DD}"/>
    <cellStyle name="Normal 4 6 3 3 5 2 2" xfId="41533" xr:uid="{29D027AA-755C-4B36-9EC9-86E2938BEB18}"/>
    <cellStyle name="Normal 4 6 3 3 5 3" xfId="33943" xr:uid="{39CC7423-9E86-4DBC-A3B0-4C2DD5F2F428}"/>
    <cellStyle name="Normal 4 6 3 3 6" xfId="14435" xr:uid="{00000000-0005-0000-0000-0000D3340000}"/>
    <cellStyle name="Normal 4 6 3 4" xfId="14436" xr:uid="{00000000-0005-0000-0000-0000D4340000}"/>
    <cellStyle name="Normal 4 6 3 4 2" xfId="14437" xr:uid="{00000000-0005-0000-0000-0000D5340000}"/>
    <cellStyle name="Normal 4 6 3 4 2 2" xfId="14438" xr:uid="{00000000-0005-0000-0000-0000D6340000}"/>
    <cellStyle name="Normal 4 6 3 4 2 3" xfId="14439" xr:uid="{00000000-0005-0000-0000-0000D7340000}"/>
    <cellStyle name="Normal 4 6 3 4 3" xfId="14440" xr:uid="{00000000-0005-0000-0000-0000D8340000}"/>
    <cellStyle name="Normal 4 6 3 4 3 2" xfId="14441" xr:uid="{00000000-0005-0000-0000-0000D9340000}"/>
    <cellStyle name="Normal 4 6 3 4 3 3" xfId="26571" xr:uid="{285AF523-0A98-410F-8147-8EAB251D021F}"/>
    <cellStyle name="Normal 4 6 3 4 3 3 2" xfId="41534" xr:uid="{12346075-F1F6-4C66-8E56-F4CEAEE78868}"/>
    <cellStyle name="Normal 4 6 3 4 3 4" xfId="33944" xr:uid="{AF442BBA-A1C5-4C3B-8F43-38DEEB9F0486}"/>
    <cellStyle name="Normal 4 6 3 4 4" xfId="14442" xr:uid="{00000000-0005-0000-0000-0000DA340000}"/>
    <cellStyle name="Normal 4 6 3 5" xfId="14443" xr:uid="{00000000-0005-0000-0000-0000DB340000}"/>
    <cellStyle name="Normal 4 6 3 5 2" xfId="14444" xr:uid="{00000000-0005-0000-0000-0000DC340000}"/>
    <cellStyle name="Normal 4 6 3 5 3" xfId="14445" xr:uid="{00000000-0005-0000-0000-0000DD340000}"/>
    <cellStyle name="Normal 4 6 3 6" xfId="14446" xr:uid="{00000000-0005-0000-0000-0000DE340000}"/>
    <cellStyle name="Normal 4 6 3 7" xfId="14447" xr:uid="{00000000-0005-0000-0000-0000DF340000}"/>
    <cellStyle name="Normal 4 6 3 7 2" xfId="26572" xr:uid="{CC18EB48-4818-42C0-A814-CD4E702DEAB9}"/>
    <cellStyle name="Normal 4 6 3 7 2 2" xfId="41535" xr:uid="{66AE0213-AA48-4913-A241-E573C6595865}"/>
    <cellStyle name="Normal 4 6 3 7 3" xfId="33945" xr:uid="{4F499262-0BE2-49ED-A522-B2F6E2A870C7}"/>
    <cellStyle name="Normal 4 6 3 8" xfId="14448" xr:uid="{00000000-0005-0000-0000-0000E0340000}"/>
    <cellStyle name="Normal 4 6 3 8 2" xfId="26573" xr:uid="{97EDC1B2-9ECF-4E33-9F52-88DA4CA53928}"/>
    <cellStyle name="Normal 4 6 3 8 2 2" xfId="41536" xr:uid="{D049E0FB-500D-40B6-B53B-456216AACC89}"/>
    <cellStyle name="Normal 4 6 3 8 3" xfId="33946" xr:uid="{31E25615-8CF4-41BF-85F2-BEAE76F1DC24}"/>
    <cellStyle name="Normal 4 6 3 9" xfId="14449" xr:uid="{00000000-0005-0000-0000-0000E1340000}"/>
    <cellStyle name="Normal 4 6 4" xfId="14450" xr:uid="{00000000-0005-0000-0000-0000E2340000}"/>
    <cellStyle name="Normal 4 6 4 2" xfId="14451" xr:uid="{00000000-0005-0000-0000-0000E3340000}"/>
    <cellStyle name="Normal 4 6 4 2 2" xfId="14452" xr:uid="{00000000-0005-0000-0000-0000E4340000}"/>
    <cellStyle name="Normal 4 6 4 2 2 2" xfId="14453" xr:uid="{00000000-0005-0000-0000-0000E5340000}"/>
    <cellStyle name="Normal 4 6 4 2 2 3" xfId="14454" xr:uid="{00000000-0005-0000-0000-0000E6340000}"/>
    <cellStyle name="Normal 4 6 4 2 2 3 2" xfId="26574" xr:uid="{95AAF994-69FE-44AD-AAD4-835EFFEBC2D2}"/>
    <cellStyle name="Normal 4 6 4 2 2 3 2 2" xfId="41537" xr:uid="{BEA3BDB8-81A1-4CC3-9594-D61749B620B8}"/>
    <cellStyle name="Normal 4 6 4 2 2 3 3" xfId="33947" xr:uid="{3BF0462D-6D24-469A-8805-23A056B38CD5}"/>
    <cellStyle name="Normal 4 6 4 2 2 4" xfId="14455" xr:uid="{00000000-0005-0000-0000-0000E7340000}"/>
    <cellStyle name="Normal 4 6 4 2 3" xfId="14456" xr:uid="{00000000-0005-0000-0000-0000E8340000}"/>
    <cellStyle name="Normal 4 6 4 2 4" xfId="14457" xr:uid="{00000000-0005-0000-0000-0000E9340000}"/>
    <cellStyle name="Normal 4 6 4 2 4 2" xfId="26575" xr:uid="{01DC8F6E-ED44-49BB-9EA4-013BA09328DD}"/>
    <cellStyle name="Normal 4 6 4 2 4 2 2" xfId="41538" xr:uid="{207AC9D8-3201-4985-B9C6-497955F73B0A}"/>
    <cellStyle name="Normal 4 6 4 2 4 3" xfId="33948" xr:uid="{8485D060-8352-4BA3-BADF-C4CD0D813CA5}"/>
    <cellStyle name="Normal 4 6 4 2 5" xfId="14458" xr:uid="{00000000-0005-0000-0000-0000EA340000}"/>
    <cellStyle name="Normal 4 6 4 2 5 2" xfId="26576" xr:uid="{4012B715-254B-4F4F-BAEC-D6747E7E2457}"/>
    <cellStyle name="Normal 4 6 4 2 5 2 2" xfId="41539" xr:uid="{B3D62C77-481B-40F7-89BA-A3FF67281E82}"/>
    <cellStyle name="Normal 4 6 4 2 5 3" xfId="33949" xr:uid="{BF70C96E-2402-4999-B842-2010CD13C158}"/>
    <cellStyle name="Normal 4 6 4 2 6" xfId="14459" xr:uid="{00000000-0005-0000-0000-0000EB340000}"/>
    <cellStyle name="Normal 4 6 4 3" xfId="14460" xr:uid="{00000000-0005-0000-0000-0000EC340000}"/>
    <cellStyle name="Normal 4 6 4 3 2" xfId="14461" xr:uid="{00000000-0005-0000-0000-0000ED340000}"/>
    <cellStyle name="Normal 4 6 4 3 2 2" xfId="14462" xr:uid="{00000000-0005-0000-0000-0000EE340000}"/>
    <cellStyle name="Normal 4 6 4 3 2 3" xfId="14463" xr:uid="{00000000-0005-0000-0000-0000EF340000}"/>
    <cellStyle name="Normal 4 6 4 3 3" xfId="14464" xr:uid="{00000000-0005-0000-0000-0000F0340000}"/>
    <cellStyle name="Normal 4 6 4 3 4" xfId="14465" xr:uid="{00000000-0005-0000-0000-0000F1340000}"/>
    <cellStyle name="Normal 4 6 4 3 4 2" xfId="26577" xr:uid="{441B215F-2A35-4F0B-8602-DDF868B2B89C}"/>
    <cellStyle name="Normal 4 6 4 3 4 2 2" xfId="41540" xr:uid="{5AF9EDB5-090B-44C3-9B97-B85A9B94F216}"/>
    <cellStyle name="Normal 4 6 4 3 4 3" xfId="33950" xr:uid="{2AD5521D-DE0F-4A25-99C8-DAD4FBCA50EB}"/>
    <cellStyle name="Normal 4 6 4 3 5" xfId="14466" xr:uid="{00000000-0005-0000-0000-0000F2340000}"/>
    <cellStyle name="Normal 4 6 4 3 5 2" xfId="26578" xr:uid="{92865B18-B2ED-45FE-B6A1-5B0962CA4BBB}"/>
    <cellStyle name="Normal 4 6 4 3 5 2 2" xfId="41541" xr:uid="{BB13D6AD-DA20-4B91-A894-D3808106DAAB}"/>
    <cellStyle name="Normal 4 6 4 3 5 3" xfId="33951" xr:uid="{CB461633-A003-4E19-AA1B-CF55A1081619}"/>
    <cellStyle name="Normal 4 6 4 3 6" xfId="14467" xr:uid="{00000000-0005-0000-0000-0000F3340000}"/>
    <cellStyle name="Normal 4 6 4 4" xfId="14468" xr:uid="{00000000-0005-0000-0000-0000F4340000}"/>
    <cellStyle name="Normal 4 6 4 4 2" xfId="14469" xr:uid="{00000000-0005-0000-0000-0000F5340000}"/>
    <cellStyle name="Normal 4 6 4 4 3" xfId="14470" xr:uid="{00000000-0005-0000-0000-0000F6340000}"/>
    <cellStyle name="Normal 4 6 4 5" xfId="14471" xr:uid="{00000000-0005-0000-0000-0000F7340000}"/>
    <cellStyle name="Normal 4 6 4 6" xfId="14472" xr:uid="{00000000-0005-0000-0000-0000F8340000}"/>
    <cellStyle name="Normal 4 6 4 6 2" xfId="26579" xr:uid="{131814F3-1CEB-4531-AF5D-53FCD7A73907}"/>
    <cellStyle name="Normal 4 6 4 6 2 2" xfId="41542" xr:uid="{1D4DE4C3-DF3B-4243-89C5-90D59096FD0E}"/>
    <cellStyle name="Normal 4 6 4 6 3" xfId="33952" xr:uid="{F5C1CC87-BF87-486A-BEEF-61D59273D313}"/>
    <cellStyle name="Normal 4 6 4 7" xfId="14473" xr:uid="{00000000-0005-0000-0000-0000F9340000}"/>
    <cellStyle name="Normal 4 6 4 7 2" xfId="26580" xr:uid="{1332EACE-D9D0-48DC-AB16-D07D3FBC5A72}"/>
    <cellStyle name="Normal 4 6 4 7 2 2" xfId="41543" xr:uid="{81F6E955-4455-4D42-8E1F-5CC9E7A8D69F}"/>
    <cellStyle name="Normal 4 6 4 7 3" xfId="33953" xr:uid="{99E6E913-FF38-4262-9254-56E9AA622E5B}"/>
    <cellStyle name="Normal 4 6 4 8" xfId="14474" xr:uid="{00000000-0005-0000-0000-0000FA340000}"/>
    <cellStyle name="Normal 4 6 5" xfId="14475" xr:uid="{00000000-0005-0000-0000-0000FB340000}"/>
    <cellStyle name="Normal 4 6 5 2" xfId="14476" xr:uid="{00000000-0005-0000-0000-0000FC340000}"/>
    <cellStyle name="Normal 4 6 5 2 2" xfId="14477" xr:uid="{00000000-0005-0000-0000-0000FD340000}"/>
    <cellStyle name="Normal 4 6 5 2 3" xfId="14478" xr:uid="{00000000-0005-0000-0000-0000FE340000}"/>
    <cellStyle name="Normal 4 6 5 2 3 2" xfId="26581" xr:uid="{52DBF2D8-8341-4B0E-B7ED-D6A0A004A251}"/>
    <cellStyle name="Normal 4 6 5 2 3 2 2" xfId="41544" xr:uid="{49FA42FC-6473-49DE-9A16-790006D84FBE}"/>
    <cellStyle name="Normal 4 6 5 2 3 3" xfId="33954" xr:uid="{AB78BC92-E69A-4E4A-9D75-8B91FE3D0448}"/>
    <cellStyle name="Normal 4 6 5 2 4" xfId="14479" xr:uid="{00000000-0005-0000-0000-0000FF340000}"/>
    <cellStyle name="Normal 4 6 5 3" xfId="14480" xr:uid="{00000000-0005-0000-0000-000000350000}"/>
    <cellStyle name="Normal 4 6 5 4" xfId="14481" xr:uid="{00000000-0005-0000-0000-000001350000}"/>
    <cellStyle name="Normal 4 6 5 4 2" xfId="26582" xr:uid="{59C07840-E41E-4541-B5CA-6B89F8F2414E}"/>
    <cellStyle name="Normal 4 6 5 4 2 2" xfId="41545" xr:uid="{F8F2CFDC-BB71-4294-903A-42EE23048F88}"/>
    <cellStyle name="Normal 4 6 5 4 3" xfId="33955" xr:uid="{F8B92A39-CF66-42A2-B941-304828508871}"/>
    <cellStyle name="Normal 4 6 5 5" xfId="14482" xr:uid="{00000000-0005-0000-0000-000002350000}"/>
    <cellStyle name="Normal 4 6 5 5 2" xfId="26583" xr:uid="{1D9808BC-F2B3-486D-849C-C30414C0708D}"/>
    <cellStyle name="Normal 4 6 5 5 2 2" xfId="41546" xr:uid="{60EFEBE4-DF16-44E9-99A6-862D8ED566DC}"/>
    <cellStyle name="Normal 4 6 5 5 3" xfId="33956" xr:uid="{24802197-B223-4A49-A7A8-8824BB840993}"/>
    <cellStyle name="Normal 4 6 5 6" xfId="14483" xr:uid="{00000000-0005-0000-0000-000003350000}"/>
    <cellStyle name="Normal 4 6 6" xfId="14484" xr:uid="{00000000-0005-0000-0000-000004350000}"/>
    <cellStyle name="Normal 4 6 6 2" xfId="14485" xr:uid="{00000000-0005-0000-0000-000005350000}"/>
    <cellStyle name="Normal 4 6 6 2 2" xfId="14486" xr:uid="{00000000-0005-0000-0000-000006350000}"/>
    <cellStyle name="Normal 4 6 6 2 3" xfId="14487" xr:uid="{00000000-0005-0000-0000-000007350000}"/>
    <cellStyle name="Normal 4 6 6 3" xfId="14488" xr:uid="{00000000-0005-0000-0000-000008350000}"/>
    <cellStyle name="Normal 4 6 6 4" xfId="14489" xr:uid="{00000000-0005-0000-0000-000009350000}"/>
    <cellStyle name="Normal 4 6 6 4 2" xfId="26584" xr:uid="{9A1F82BD-4D8F-4637-99A3-DBA09D1C32AE}"/>
    <cellStyle name="Normal 4 6 6 4 2 2" xfId="41547" xr:uid="{4C47E04C-D05B-4104-9016-CD340BD5070A}"/>
    <cellStyle name="Normal 4 6 6 4 3" xfId="33957" xr:uid="{C069C4C0-F5FE-4EA5-B2C4-DE5B70DB922B}"/>
    <cellStyle name="Normal 4 6 6 5" xfId="14490" xr:uid="{00000000-0005-0000-0000-00000A350000}"/>
    <cellStyle name="Normal 4 6 6 5 2" xfId="26585" xr:uid="{C13374AE-0C6E-4282-A041-CD7D46A2FFC1}"/>
    <cellStyle name="Normal 4 6 6 5 2 2" xfId="41548" xr:uid="{08E7C783-9A80-435C-B446-5A9ACB337407}"/>
    <cellStyle name="Normal 4 6 6 5 3" xfId="33958" xr:uid="{16710F8F-4D29-4E64-8800-F17EC2994CA2}"/>
    <cellStyle name="Normal 4 6 6 6" xfId="14491" xr:uid="{00000000-0005-0000-0000-00000B350000}"/>
    <cellStyle name="Normal 4 6 7" xfId="14492" xr:uid="{00000000-0005-0000-0000-00000C350000}"/>
    <cellStyle name="Normal 4 6 7 2" xfId="14493" xr:uid="{00000000-0005-0000-0000-00000D350000}"/>
    <cellStyle name="Normal 4 6 7 3" xfId="14494" xr:uid="{00000000-0005-0000-0000-00000E350000}"/>
    <cellStyle name="Normal 4 6 8" xfId="14495" xr:uid="{00000000-0005-0000-0000-00000F350000}"/>
    <cellStyle name="Normal 4 6 9" xfId="14496" xr:uid="{00000000-0005-0000-0000-000010350000}"/>
    <cellStyle name="Normal 4 6 9 2" xfId="26586" xr:uid="{385DAF54-454B-41CF-B1BF-1E780A8C0044}"/>
    <cellStyle name="Normal 4 6 9 2 2" xfId="41549" xr:uid="{AD0B5315-DD63-4A31-ACD5-298CC95BA926}"/>
    <cellStyle name="Normal 4 6 9 3" xfId="33959" xr:uid="{0EB968A4-A930-4291-8381-A9B919B98A07}"/>
    <cellStyle name="Normal 4 7" xfId="14497" xr:uid="{00000000-0005-0000-0000-000011350000}"/>
    <cellStyle name="Normal 4 7 10" xfId="14498" xr:uid="{00000000-0005-0000-0000-000012350000}"/>
    <cellStyle name="Normal 4 7 2" xfId="14499" xr:uid="{00000000-0005-0000-0000-000013350000}"/>
    <cellStyle name="Normal 4 7 2 2" xfId="14500" xr:uid="{00000000-0005-0000-0000-000014350000}"/>
    <cellStyle name="Normal 4 7 2 2 2" xfId="14501" xr:uid="{00000000-0005-0000-0000-000015350000}"/>
    <cellStyle name="Normal 4 7 2 2 2 2" xfId="14502" xr:uid="{00000000-0005-0000-0000-000016350000}"/>
    <cellStyle name="Normal 4 7 2 2 2 2 2" xfId="14503" xr:uid="{00000000-0005-0000-0000-000017350000}"/>
    <cellStyle name="Normal 4 7 2 2 2 2 3" xfId="14504" xr:uid="{00000000-0005-0000-0000-000018350000}"/>
    <cellStyle name="Normal 4 7 2 2 2 3" xfId="14505" xr:uid="{00000000-0005-0000-0000-000019350000}"/>
    <cellStyle name="Normal 4 7 2 2 2 4" xfId="14506" xr:uid="{00000000-0005-0000-0000-00001A350000}"/>
    <cellStyle name="Normal 4 7 2 2 2 4 2" xfId="26587" xr:uid="{B2B7E9CD-5C86-47DD-960A-780EBEFD133D}"/>
    <cellStyle name="Normal 4 7 2 2 2 4 2 2" xfId="41550" xr:uid="{33AF97B8-191A-4CB1-9133-C10D30ACA2B6}"/>
    <cellStyle name="Normal 4 7 2 2 2 4 3" xfId="33960" xr:uid="{966491D7-B0B3-4156-BF6D-A7B768D059DC}"/>
    <cellStyle name="Normal 4 7 2 2 2 5" xfId="14507" xr:uid="{00000000-0005-0000-0000-00001B350000}"/>
    <cellStyle name="Normal 4 7 2 2 2 5 2" xfId="26588" xr:uid="{67CE67F9-D55E-421F-BB99-D38E5B4B2F8A}"/>
    <cellStyle name="Normal 4 7 2 2 2 5 2 2" xfId="41551" xr:uid="{1B4F128D-F315-439D-89C5-B027955A4823}"/>
    <cellStyle name="Normal 4 7 2 2 2 5 3" xfId="33961" xr:uid="{7B29E69C-4FA9-44FC-91FE-704B816A6FCB}"/>
    <cellStyle name="Normal 4 7 2 2 2 6" xfId="14508" xr:uid="{00000000-0005-0000-0000-00001C350000}"/>
    <cellStyle name="Normal 4 7 2 2 3" xfId="14509" xr:uid="{00000000-0005-0000-0000-00001D350000}"/>
    <cellStyle name="Normal 4 7 2 2 3 2" xfId="14510" xr:uid="{00000000-0005-0000-0000-00001E350000}"/>
    <cellStyle name="Normal 4 7 2 2 3 2 2" xfId="14511" xr:uid="{00000000-0005-0000-0000-00001F350000}"/>
    <cellStyle name="Normal 4 7 2 2 3 2 3" xfId="14512" xr:uid="{00000000-0005-0000-0000-000020350000}"/>
    <cellStyle name="Normal 4 7 2 2 3 3" xfId="14513" xr:uid="{00000000-0005-0000-0000-000021350000}"/>
    <cellStyle name="Normal 4 7 2 2 3 3 2" xfId="14514" xr:uid="{00000000-0005-0000-0000-000022350000}"/>
    <cellStyle name="Normal 4 7 2 2 3 3 3" xfId="26589" xr:uid="{406C495B-42B4-461B-8B8E-616E1B5D7EC2}"/>
    <cellStyle name="Normal 4 7 2 2 3 3 3 2" xfId="41552" xr:uid="{956821FC-A4B1-46C5-85E7-4EE5262DB09C}"/>
    <cellStyle name="Normal 4 7 2 2 3 3 4" xfId="33962" xr:uid="{214315AD-A8B7-4E3B-97DD-3E30B3E53EF0}"/>
    <cellStyle name="Normal 4 7 2 2 3 4" xfId="14515" xr:uid="{00000000-0005-0000-0000-000023350000}"/>
    <cellStyle name="Normal 4 7 2 2 4" xfId="14516" xr:uid="{00000000-0005-0000-0000-000024350000}"/>
    <cellStyle name="Normal 4 7 2 2 4 2" xfId="14517" xr:uid="{00000000-0005-0000-0000-000025350000}"/>
    <cellStyle name="Normal 4 7 2 2 4 3" xfId="14518" xr:uid="{00000000-0005-0000-0000-000026350000}"/>
    <cellStyle name="Normal 4 7 2 2 5" xfId="14519" xr:uid="{00000000-0005-0000-0000-000027350000}"/>
    <cellStyle name="Normal 4 7 2 2 6" xfId="14520" xr:uid="{00000000-0005-0000-0000-000028350000}"/>
    <cellStyle name="Normal 4 7 2 2 6 2" xfId="26590" xr:uid="{0685D354-0BD8-4911-B7C0-E72AB1C9F5AC}"/>
    <cellStyle name="Normal 4 7 2 2 6 2 2" xfId="41553" xr:uid="{4F665EB8-68B6-4A09-A88A-F578ED69AD7F}"/>
    <cellStyle name="Normal 4 7 2 2 6 3" xfId="33963" xr:uid="{D29A2073-20D7-4583-9728-F3DA82EC579A}"/>
    <cellStyle name="Normal 4 7 2 2 7" xfId="14521" xr:uid="{00000000-0005-0000-0000-000029350000}"/>
    <cellStyle name="Normal 4 7 2 2 7 2" xfId="26591" xr:uid="{2C469857-0511-403A-91CF-D18862703C91}"/>
    <cellStyle name="Normal 4 7 2 2 7 2 2" xfId="41554" xr:uid="{5C023EAB-A393-4132-8E38-6B3E9C94DFF5}"/>
    <cellStyle name="Normal 4 7 2 2 7 3" xfId="33964" xr:uid="{650C1D34-4790-4816-9721-B1F1FCD252DA}"/>
    <cellStyle name="Normal 4 7 2 2 8" xfId="14522" xr:uid="{00000000-0005-0000-0000-00002A350000}"/>
    <cellStyle name="Normal 4 7 2 3" xfId="14523" xr:uid="{00000000-0005-0000-0000-00002B350000}"/>
    <cellStyle name="Normal 4 7 2 3 2" xfId="14524" xr:uid="{00000000-0005-0000-0000-00002C350000}"/>
    <cellStyle name="Normal 4 7 2 3 2 2" xfId="14525" xr:uid="{00000000-0005-0000-0000-00002D350000}"/>
    <cellStyle name="Normal 4 7 2 3 2 3" xfId="14526" xr:uid="{00000000-0005-0000-0000-00002E350000}"/>
    <cellStyle name="Normal 4 7 2 3 3" xfId="14527" xr:uid="{00000000-0005-0000-0000-00002F350000}"/>
    <cellStyle name="Normal 4 7 2 3 4" xfId="14528" xr:uid="{00000000-0005-0000-0000-000030350000}"/>
    <cellStyle name="Normal 4 7 2 3 4 2" xfId="26592" xr:uid="{F6E9B279-D3D2-4547-9F85-3945802D6157}"/>
    <cellStyle name="Normal 4 7 2 3 4 2 2" xfId="41555" xr:uid="{E5B52F39-96CE-46C4-8DCC-BEAB452F92C9}"/>
    <cellStyle name="Normal 4 7 2 3 4 3" xfId="33965" xr:uid="{4D47F3E1-0171-425A-BAC0-9E14C9BE4ABD}"/>
    <cellStyle name="Normal 4 7 2 3 5" xfId="14529" xr:uid="{00000000-0005-0000-0000-000031350000}"/>
    <cellStyle name="Normal 4 7 2 3 5 2" xfId="26593" xr:uid="{1D786123-F6A1-465E-8083-737EF108E86E}"/>
    <cellStyle name="Normal 4 7 2 3 5 2 2" xfId="41556" xr:uid="{BD98F8F5-939F-4D27-9AC9-557E05815B11}"/>
    <cellStyle name="Normal 4 7 2 3 5 3" xfId="33966" xr:uid="{D0D957C6-FE44-4323-BE98-C0DC1A314BCD}"/>
    <cellStyle name="Normal 4 7 2 3 6" xfId="14530" xr:uid="{00000000-0005-0000-0000-000032350000}"/>
    <cellStyle name="Normal 4 7 2 4" xfId="14531" xr:uid="{00000000-0005-0000-0000-000033350000}"/>
    <cellStyle name="Normal 4 7 2 4 2" xfId="14532" xr:uid="{00000000-0005-0000-0000-000034350000}"/>
    <cellStyle name="Normal 4 7 2 4 2 2" xfId="14533" xr:uid="{00000000-0005-0000-0000-000035350000}"/>
    <cellStyle name="Normal 4 7 2 4 2 3" xfId="14534" xr:uid="{00000000-0005-0000-0000-000036350000}"/>
    <cellStyle name="Normal 4 7 2 4 3" xfId="14535" xr:uid="{00000000-0005-0000-0000-000037350000}"/>
    <cellStyle name="Normal 4 7 2 4 3 2" xfId="14536" xr:uid="{00000000-0005-0000-0000-000038350000}"/>
    <cellStyle name="Normal 4 7 2 4 3 3" xfId="26594" xr:uid="{E1947176-17F0-4043-BE28-082054EC2AD8}"/>
    <cellStyle name="Normal 4 7 2 4 3 3 2" xfId="41557" xr:uid="{ABCC78BF-EAEB-4E28-AB42-E798C47B3941}"/>
    <cellStyle name="Normal 4 7 2 4 3 4" xfId="33967" xr:uid="{1453EE2A-9CE8-4B1A-B580-367DD9945764}"/>
    <cellStyle name="Normal 4 7 2 4 4" xfId="14537" xr:uid="{00000000-0005-0000-0000-000039350000}"/>
    <cellStyle name="Normal 4 7 2 5" xfId="14538" xr:uid="{00000000-0005-0000-0000-00003A350000}"/>
    <cellStyle name="Normal 4 7 2 5 2" xfId="14539" xr:uid="{00000000-0005-0000-0000-00003B350000}"/>
    <cellStyle name="Normal 4 7 2 5 3" xfId="14540" xr:uid="{00000000-0005-0000-0000-00003C350000}"/>
    <cellStyle name="Normal 4 7 2 6" xfId="14541" xr:uid="{00000000-0005-0000-0000-00003D350000}"/>
    <cellStyle name="Normal 4 7 2 7" xfId="14542" xr:uid="{00000000-0005-0000-0000-00003E350000}"/>
    <cellStyle name="Normal 4 7 2 7 2" xfId="26595" xr:uid="{94E1D5AB-6DF4-40E5-8477-78994FBF2AF1}"/>
    <cellStyle name="Normal 4 7 2 7 2 2" xfId="41558" xr:uid="{C7D5FF53-9D00-48BB-A047-7537BC588BEE}"/>
    <cellStyle name="Normal 4 7 2 7 3" xfId="33968" xr:uid="{6E9741E9-33BD-4CB0-A397-9C5C29AF768E}"/>
    <cellStyle name="Normal 4 7 2 8" xfId="14543" xr:uid="{00000000-0005-0000-0000-00003F350000}"/>
    <cellStyle name="Normal 4 7 2 8 2" xfId="26596" xr:uid="{BC2310F9-A764-4135-802E-ADE2FDCD3470}"/>
    <cellStyle name="Normal 4 7 2 8 2 2" xfId="41559" xr:uid="{137B82EB-21A8-4456-9440-05766DE9AF67}"/>
    <cellStyle name="Normal 4 7 2 8 3" xfId="33969" xr:uid="{64CBA4EC-6603-434A-8AEB-D8A6713AA5AC}"/>
    <cellStyle name="Normal 4 7 2 9" xfId="14544" xr:uid="{00000000-0005-0000-0000-000040350000}"/>
    <cellStyle name="Normal 4 7 3" xfId="14545" xr:uid="{00000000-0005-0000-0000-000041350000}"/>
    <cellStyle name="Normal 4 7 3 2" xfId="14546" xr:uid="{00000000-0005-0000-0000-000042350000}"/>
    <cellStyle name="Normal 4 7 3 2 2" xfId="14547" xr:uid="{00000000-0005-0000-0000-000043350000}"/>
    <cellStyle name="Normal 4 7 3 2 2 2" xfId="14548" xr:uid="{00000000-0005-0000-0000-000044350000}"/>
    <cellStyle name="Normal 4 7 3 2 2 3" xfId="14549" xr:uid="{00000000-0005-0000-0000-000045350000}"/>
    <cellStyle name="Normal 4 7 3 2 2 3 2" xfId="26597" xr:uid="{2D5B71E2-E841-488A-BC72-23BF75219223}"/>
    <cellStyle name="Normal 4 7 3 2 2 3 2 2" xfId="41560" xr:uid="{23328449-6158-4534-BA10-1F5C31204C93}"/>
    <cellStyle name="Normal 4 7 3 2 2 3 3" xfId="33970" xr:uid="{A739D87E-0974-4EAD-BCE1-3A572EC2C1ED}"/>
    <cellStyle name="Normal 4 7 3 2 2 4" xfId="14550" xr:uid="{00000000-0005-0000-0000-000046350000}"/>
    <cellStyle name="Normal 4 7 3 2 3" xfId="14551" xr:uid="{00000000-0005-0000-0000-000047350000}"/>
    <cellStyle name="Normal 4 7 3 2 4" xfId="14552" xr:uid="{00000000-0005-0000-0000-000048350000}"/>
    <cellStyle name="Normal 4 7 3 2 4 2" xfId="26598" xr:uid="{1273C17A-3F11-43AF-96B4-D65E1BD78623}"/>
    <cellStyle name="Normal 4 7 3 2 4 2 2" xfId="41561" xr:uid="{D1B114A3-5A2B-47FD-921D-81F28577226E}"/>
    <cellStyle name="Normal 4 7 3 2 4 3" xfId="33971" xr:uid="{A1858CC0-2159-4B6A-9956-483EFC01E7C9}"/>
    <cellStyle name="Normal 4 7 3 2 5" xfId="14553" xr:uid="{00000000-0005-0000-0000-000049350000}"/>
    <cellStyle name="Normal 4 7 3 2 5 2" xfId="26599" xr:uid="{B4842A9B-D701-40EF-B7A0-B8B55FF4B810}"/>
    <cellStyle name="Normal 4 7 3 2 5 2 2" xfId="41562" xr:uid="{610C8321-DE30-4104-8E0E-2A3BA419A3C1}"/>
    <cellStyle name="Normal 4 7 3 2 5 3" xfId="33972" xr:uid="{DEF03786-8B8D-4B7C-A321-3EE4B4062807}"/>
    <cellStyle name="Normal 4 7 3 2 6" xfId="14554" xr:uid="{00000000-0005-0000-0000-00004A350000}"/>
    <cellStyle name="Normal 4 7 3 3" xfId="14555" xr:uid="{00000000-0005-0000-0000-00004B350000}"/>
    <cellStyle name="Normal 4 7 3 3 2" xfId="14556" xr:uid="{00000000-0005-0000-0000-00004C350000}"/>
    <cellStyle name="Normal 4 7 3 3 2 2" xfId="14557" xr:uid="{00000000-0005-0000-0000-00004D350000}"/>
    <cellStyle name="Normal 4 7 3 3 2 3" xfId="14558" xr:uid="{00000000-0005-0000-0000-00004E350000}"/>
    <cellStyle name="Normal 4 7 3 3 3" xfId="14559" xr:uid="{00000000-0005-0000-0000-00004F350000}"/>
    <cellStyle name="Normal 4 7 3 3 4" xfId="14560" xr:uid="{00000000-0005-0000-0000-000050350000}"/>
    <cellStyle name="Normal 4 7 3 3 4 2" xfId="26600" xr:uid="{E62F78FF-BBC6-4602-97D5-D7C64EB6DC3C}"/>
    <cellStyle name="Normal 4 7 3 3 4 2 2" xfId="41563" xr:uid="{9EFF09F1-D761-478B-B481-53BA66C6B640}"/>
    <cellStyle name="Normal 4 7 3 3 4 3" xfId="33973" xr:uid="{2DD47170-01E6-4A8C-AE5B-A261791FAC81}"/>
    <cellStyle name="Normal 4 7 3 3 5" xfId="14561" xr:uid="{00000000-0005-0000-0000-000051350000}"/>
    <cellStyle name="Normal 4 7 3 3 5 2" xfId="26601" xr:uid="{105CA664-BC5D-47CC-9BE1-A4B8B0B8BBAF}"/>
    <cellStyle name="Normal 4 7 3 3 5 2 2" xfId="41564" xr:uid="{4C6A2CB9-DDB5-4CE7-8A90-BF08AF73947E}"/>
    <cellStyle name="Normal 4 7 3 3 5 3" xfId="33974" xr:uid="{A5845FC5-309B-4930-B238-440548A3EA7E}"/>
    <cellStyle name="Normal 4 7 3 3 6" xfId="14562" xr:uid="{00000000-0005-0000-0000-000052350000}"/>
    <cellStyle name="Normal 4 7 3 4" xfId="14563" xr:uid="{00000000-0005-0000-0000-000053350000}"/>
    <cellStyle name="Normal 4 7 3 4 2" xfId="14564" xr:uid="{00000000-0005-0000-0000-000054350000}"/>
    <cellStyle name="Normal 4 7 3 4 3" xfId="14565" xr:uid="{00000000-0005-0000-0000-000055350000}"/>
    <cellStyle name="Normal 4 7 3 5" xfId="14566" xr:uid="{00000000-0005-0000-0000-000056350000}"/>
    <cellStyle name="Normal 4 7 3 6" xfId="14567" xr:uid="{00000000-0005-0000-0000-000057350000}"/>
    <cellStyle name="Normal 4 7 3 6 2" xfId="26602" xr:uid="{A1336C92-0228-4C91-82B6-E457E6A79D28}"/>
    <cellStyle name="Normal 4 7 3 6 2 2" xfId="41565" xr:uid="{BA899714-C6DE-44AA-8D0B-81676E822C06}"/>
    <cellStyle name="Normal 4 7 3 6 3" xfId="33975" xr:uid="{30853531-40F3-48D6-AFA8-E2659D32BD0C}"/>
    <cellStyle name="Normal 4 7 3 7" xfId="14568" xr:uid="{00000000-0005-0000-0000-000058350000}"/>
    <cellStyle name="Normal 4 7 3 7 2" xfId="26603" xr:uid="{4D91BA00-72B9-4BDA-BE3A-04DBA3E0090E}"/>
    <cellStyle name="Normal 4 7 3 7 2 2" xfId="41566" xr:uid="{E5529A88-62FB-4AE8-AB93-E8CE97C78E6F}"/>
    <cellStyle name="Normal 4 7 3 7 3" xfId="33976" xr:uid="{D1253856-0B4E-4C61-827F-F4986509B674}"/>
    <cellStyle name="Normal 4 7 3 8" xfId="14569" xr:uid="{00000000-0005-0000-0000-000059350000}"/>
    <cellStyle name="Normal 4 7 4" xfId="14570" xr:uid="{00000000-0005-0000-0000-00005A350000}"/>
    <cellStyle name="Normal 4 7 4 2" xfId="14571" xr:uid="{00000000-0005-0000-0000-00005B350000}"/>
    <cellStyle name="Normal 4 7 4 2 2" xfId="14572" xr:uid="{00000000-0005-0000-0000-00005C350000}"/>
    <cellStyle name="Normal 4 7 4 2 3" xfId="14573" xr:uid="{00000000-0005-0000-0000-00005D350000}"/>
    <cellStyle name="Normal 4 7 4 2 3 2" xfId="26604" xr:uid="{F9F35FB9-FDDF-442D-86EE-AA37610EC468}"/>
    <cellStyle name="Normal 4 7 4 2 3 2 2" xfId="41567" xr:uid="{46FAC318-A078-45D0-9453-0743CB485226}"/>
    <cellStyle name="Normal 4 7 4 2 3 3" xfId="33977" xr:uid="{1D031A25-8334-4333-9E51-BB7647DE8B98}"/>
    <cellStyle name="Normal 4 7 4 2 4" xfId="14574" xr:uid="{00000000-0005-0000-0000-00005E350000}"/>
    <cellStyle name="Normal 4 7 4 3" xfId="14575" xr:uid="{00000000-0005-0000-0000-00005F350000}"/>
    <cellStyle name="Normal 4 7 4 4" xfId="14576" xr:uid="{00000000-0005-0000-0000-000060350000}"/>
    <cellStyle name="Normal 4 7 4 4 2" xfId="26605" xr:uid="{55A59671-622E-4A2C-B746-C7E75CF56336}"/>
    <cellStyle name="Normal 4 7 4 4 2 2" xfId="41568" xr:uid="{CBE8DCAD-CABB-4A5A-AE12-89ECA42FC90A}"/>
    <cellStyle name="Normal 4 7 4 4 3" xfId="33978" xr:uid="{6E40ABC3-BBDB-4B88-AAB6-6F48CB29AD10}"/>
    <cellStyle name="Normal 4 7 4 5" xfId="14577" xr:uid="{00000000-0005-0000-0000-000061350000}"/>
    <cellStyle name="Normal 4 7 4 5 2" xfId="26606" xr:uid="{0A5C2484-856D-4F3A-B412-3C5751A86AD4}"/>
    <cellStyle name="Normal 4 7 4 5 2 2" xfId="41569" xr:uid="{2E790CDA-EBAA-4ECD-9B5B-2B278CAD4C30}"/>
    <cellStyle name="Normal 4 7 4 5 3" xfId="33979" xr:uid="{843EF868-7593-4FC8-97D9-84D58B302AB4}"/>
    <cellStyle name="Normal 4 7 4 6" xfId="14578" xr:uid="{00000000-0005-0000-0000-000062350000}"/>
    <cellStyle name="Normal 4 7 5" xfId="14579" xr:uid="{00000000-0005-0000-0000-000063350000}"/>
    <cellStyle name="Normal 4 7 5 2" xfId="14580" xr:uid="{00000000-0005-0000-0000-000064350000}"/>
    <cellStyle name="Normal 4 7 5 2 2" xfId="14581" xr:uid="{00000000-0005-0000-0000-000065350000}"/>
    <cellStyle name="Normal 4 7 5 2 3" xfId="14582" xr:uid="{00000000-0005-0000-0000-000066350000}"/>
    <cellStyle name="Normal 4 7 5 3" xfId="14583" xr:uid="{00000000-0005-0000-0000-000067350000}"/>
    <cellStyle name="Normal 4 7 5 4" xfId="14584" xr:uid="{00000000-0005-0000-0000-000068350000}"/>
    <cellStyle name="Normal 4 7 5 4 2" xfId="26607" xr:uid="{4862D27A-4EE5-41CA-95E9-8039C9290571}"/>
    <cellStyle name="Normal 4 7 5 4 2 2" xfId="41570" xr:uid="{9AAE9895-2652-42BE-B4E3-2C754AC913EF}"/>
    <cellStyle name="Normal 4 7 5 4 3" xfId="33980" xr:uid="{D603BDA4-0504-424C-B226-962E0B58E524}"/>
    <cellStyle name="Normal 4 7 5 5" xfId="14585" xr:uid="{00000000-0005-0000-0000-000069350000}"/>
    <cellStyle name="Normal 4 7 5 5 2" xfId="26608" xr:uid="{AC31B84E-5B3B-4411-A061-8A0D0EE98385}"/>
    <cellStyle name="Normal 4 7 5 5 2 2" xfId="41571" xr:uid="{E3A4AF10-5E5E-49D3-913B-4D25671FDEB1}"/>
    <cellStyle name="Normal 4 7 5 5 3" xfId="33981" xr:uid="{123CE8BA-629E-4392-8055-4D35F5A859B7}"/>
    <cellStyle name="Normal 4 7 5 6" xfId="14586" xr:uid="{00000000-0005-0000-0000-00006A350000}"/>
    <cellStyle name="Normal 4 7 6" xfId="14587" xr:uid="{00000000-0005-0000-0000-00006B350000}"/>
    <cellStyle name="Normal 4 7 6 2" xfId="14588" xr:uid="{00000000-0005-0000-0000-00006C350000}"/>
    <cellStyle name="Normal 4 7 6 3" xfId="14589" xr:uid="{00000000-0005-0000-0000-00006D350000}"/>
    <cellStyle name="Normal 4 7 7" xfId="14590" xr:uid="{00000000-0005-0000-0000-00006E350000}"/>
    <cellStyle name="Normal 4 7 7 2" xfId="14591" xr:uid="{00000000-0005-0000-0000-00006F350000}"/>
    <cellStyle name="Normal 4 7 8" xfId="14592" xr:uid="{00000000-0005-0000-0000-000070350000}"/>
    <cellStyle name="Normal 4 7 8 2" xfId="26609" xr:uid="{67345CE0-4823-4094-A3B8-CCBCBFB340AE}"/>
    <cellStyle name="Normal 4 7 8 2 2" xfId="41572" xr:uid="{B53BB390-9B4D-4EA3-8481-9AD9500769F8}"/>
    <cellStyle name="Normal 4 7 8 3" xfId="33982" xr:uid="{0CD64F59-3343-4A47-B385-BAAD6DA39529}"/>
    <cellStyle name="Normal 4 7 9" xfId="14593" xr:uid="{00000000-0005-0000-0000-000071350000}"/>
    <cellStyle name="Normal 4 7 9 2" xfId="26610" xr:uid="{FEF86D35-2DA7-491A-84B6-30C950289C7E}"/>
    <cellStyle name="Normal 4 7 9 2 2" xfId="41573" xr:uid="{D2AA6486-DED5-4BF0-B94D-67BAC6B131E7}"/>
    <cellStyle name="Normal 4 7 9 3" xfId="33983" xr:uid="{2A42064B-358C-43A6-9579-68581253AA7E}"/>
    <cellStyle name="Normal 4 8" xfId="14594" xr:uid="{00000000-0005-0000-0000-000072350000}"/>
    <cellStyle name="Normal 4 8 2" xfId="14595" xr:uid="{00000000-0005-0000-0000-000073350000}"/>
    <cellStyle name="Normal 4 8 2 2" xfId="14596" xr:uid="{00000000-0005-0000-0000-000074350000}"/>
    <cellStyle name="Normal 4 8 2 2 2" xfId="14597" xr:uid="{00000000-0005-0000-0000-000075350000}"/>
    <cellStyle name="Normal 4 8 2 2 2 2" xfId="14598" xr:uid="{00000000-0005-0000-0000-000076350000}"/>
    <cellStyle name="Normal 4 8 2 2 2 3" xfId="14599" xr:uid="{00000000-0005-0000-0000-000077350000}"/>
    <cellStyle name="Normal 4 8 2 2 3" xfId="14600" xr:uid="{00000000-0005-0000-0000-000078350000}"/>
    <cellStyle name="Normal 4 8 2 2 4" xfId="14601" xr:uid="{00000000-0005-0000-0000-000079350000}"/>
    <cellStyle name="Normal 4 8 2 2 4 2" xfId="26611" xr:uid="{B31FDA5E-5F51-4B9D-8018-6299C5764C05}"/>
    <cellStyle name="Normal 4 8 2 2 4 2 2" xfId="41574" xr:uid="{22B4AD88-B301-499F-80EE-695A181FC907}"/>
    <cellStyle name="Normal 4 8 2 2 4 3" xfId="33984" xr:uid="{420690F3-2AE1-4AFF-B7CE-50A02A59C9A9}"/>
    <cellStyle name="Normal 4 8 2 2 5" xfId="14602" xr:uid="{00000000-0005-0000-0000-00007A350000}"/>
    <cellStyle name="Normal 4 8 2 2 5 2" xfId="26612" xr:uid="{5F30BEF8-ECB1-40F3-ABC2-88988363376C}"/>
    <cellStyle name="Normal 4 8 2 2 5 2 2" xfId="41575" xr:uid="{673F5E4A-B95F-436A-8C39-4012B17ACBB0}"/>
    <cellStyle name="Normal 4 8 2 2 5 3" xfId="33985" xr:uid="{07BEF071-DC01-43FC-A898-44B2059BF1B3}"/>
    <cellStyle name="Normal 4 8 2 2 6" xfId="14603" xr:uid="{00000000-0005-0000-0000-00007B350000}"/>
    <cellStyle name="Normal 4 8 2 3" xfId="14604" xr:uid="{00000000-0005-0000-0000-00007C350000}"/>
    <cellStyle name="Normal 4 8 2 3 2" xfId="14605" xr:uid="{00000000-0005-0000-0000-00007D350000}"/>
    <cellStyle name="Normal 4 8 2 3 2 2" xfId="14606" xr:uid="{00000000-0005-0000-0000-00007E350000}"/>
    <cellStyle name="Normal 4 8 2 3 2 3" xfId="14607" xr:uid="{00000000-0005-0000-0000-00007F350000}"/>
    <cellStyle name="Normal 4 8 2 3 3" xfId="14608" xr:uid="{00000000-0005-0000-0000-000080350000}"/>
    <cellStyle name="Normal 4 8 2 3 3 2" xfId="14609" xr:uid="{00000000-0005-0000-0000-000081350000}"/>
    <cellStyle name="Normal 4 8 2 3 3 3" xfId="26613" xr:uid="{89D79A96-B34C-4627-9610-E999A5D615BE}"/>
    <cellStyle name="Normal 4 8 2 3 3 3 2" xfId="41576" xr:uid="{AC72A8FE-5E16-4A05-8CE7-37F00E3DE309}"/>
    <cellStyle name="Normal 4 8 2 3 3 4" xfId="33986" xr:uid="{998A30EE-1DB2-4696-B200-EBAD15B5849E}"/>
    <cellStyle name="Normal 4 8 2 3 4" xfId="14610" xr:uid="{00000000-0005-0000-0000-000082350000}"/>
    <cellStyle name="Normal 4 8 2 4" xfId="14611" xr:uid="{00000000-0005-0000-0000-000083350000}"/>
    <cellStyle name="Normal 4 8 2 4 2" xfId="14612" xr:uid="{00000000-0005-0000-0000-000084350000}"/>
    <cellStyle name="Normal 4 8 2 4 3" xfId="14613" xr:uid="{00000000-0005-0000-0000-000085350000}"/>
    <cellStyle name="Normal 4 8 2 5" xfId="14614" xr:uid="{00000000-0005-0000-0000-000086350000}"/>
    <cellStyle name="Normal 4 8 2 5 2" xfId="14615" xr:uid="{00000000-0005-0000-0000-000087350000}"/>
    <cellStyle name="Normal 4 8 2 5 2 2" xfId="26614" xr:uid="{EB23BA40-E87E-4EC2-B37C-C8CC0E804822}"/>
    <cellStyle name="Normal 4 8 2 5 2 2 2" xfId="41577" xr:uid="{9B220BC8-2764-4EF7-9FC6-0DD5EB627D3C}"/>
    <cellStyle name="Normal 4 8 2 5 2 3" xfId="33987" xr:uid="{EC312BD5-9443-4BFD-AB6B-3937476D711A}"/>
    <cellStyle name="Normal 4 8 2 6" xfId="14616" xr:uid="{00000000-0005-0000-0000-000088350000}"/>
    <cellStyle name="Normal 4 8 2 6 2" xfId="26615" xr:uid="{505AE04A-BC94-4ECE-9932-F46A9800B76C}"/>
    <cellStyle name="Normal 4 8 2 6 2 2" xfId="41578" xr:uid="{150943B0-24CE-4621-937F-78A560AE04ED}"/>
    <cellStyle name="Normal 4 8 2 6 3" xfId="33988" xr:uid="{AA4EB684-7F6B-44D7-A5DA-4D661B26F1B7}"/>
    <cellStyle name="Normal 4 8 2 7" xfId="14617" xr:uid="{00000000-0005-0000-0000-000089350000}"/>
    <cellStyle name="Normal 4 8 2 7 2" xfId="26616" xr:uid="{BD55F478-52E8-4E5A-A09B-4F129C31A203}"/>
    <cellStyle name="Normal 4 8 2 7 2 2" xfId="41579" xr:uid="{3455C9BD-E8C6-497D-95AB-BB098BFC621B}"/>
    <cellStyle name="Normal 4 8 2 7 3" xfId="33989" xr:uid="{F5C465BE-B4F2-4072-BDFA-6BAA0E2B868D}"/>
    <cellStyle name="Normal 4 8 2 8" xfId="14618" xr:uid="{00000000-0005-0000-0000-00008A350000}"/>
    <cellStyle name="Normal 4 8 3" xfId="14619" xr:uid="{00000000-0005-0000-0000-00008B350000}"/>
    <cellStyle name="Normal 4 8 3 2" xfId="14620" xr:uid="{00000000-0005-0000-0000-00008C350000}"/>
    <cellStyle name="Normal 4 8 3 2 2" xfId="14621" xr:uid="{00000000-0005-0000-0000-00008D350000}"/>
    <cellStyle name="Normal 4 8 3 2 3" xfId="14622" xr:uid="{00000000-0005-0000-0000-00008E350000}"/>
    <cellStyle name="Normal 4 8 3 2 3 2" xfId="26617" xr:uid="{9AEB3FE5-F171-44D0-846A-DB4D7182C453}"/>
    <cellStyle name="Normal 4 8 3 2 3 2 2" xfId="41580" xr:uid="{B3DA87D3-FE08-47E5-915F-5DAA06DEE991}"/>
    <cellStyle name="Normal 4 8 3 2 3 3" xfId="33990" xr:uid="{81F46FBF-307A-48F0-B830-47B00E3A1FC1}"/>
    <cellStyle name="Normal 4 8 3 2 4" xfId="14623" xr:uid="{00000000-0005-0000-0000-00008F350000}"/>
    <cellStyle name="Normal 4 8 3 3" xfId="14624" xr:uid="{00000000-0005-0000-0000-000090350000}"/>
    <cellStyle name="Normal 4 8 3 4" xfId="14625" xr:uid="{00000000-0005-0000-0000-000091350000}"/>
    <cellStyle name="Normal 4 8 3 4 2" xfId="26618" xr:uid="{95C5E0F7-664F-4FFD-8CCE-7FCC6FB431D8}"/>
    <cellStyle name="Normal 4 8 3 4 2 2" xfId="41581" xr:uid="{15914378-A8EA-40E0-8EEF-969BF0399DF8}"/>
    <cellStyle name="Normal 4 8 3 4 3" xfId="33991" xr:uid="{FA98431B-2D4C-42E7-8E48-BB9DD47FD0E2}"/>
    <cellStyle name="Normal 4 8 3 5" xfId="14626" xr:uid="{00000000-0005-0000-0000-000092350000}"/>
    <cellStyle name="Normal 4 8 3 5 2" xfId="26619" xr:uid="{FBF8D98A-42E1-4CB0-9375-A00EA63A09ED}"/>
    <cellStyle name="Normal 4 8 3 5 2 2" xfId="41582" xr:uid="{43174C57-496E-4980-84DF-4B9D1208FAB1}"/>
    <cellStyle name="Normal 4 8 3 5 3" xfId="33992" xr:uid="{E1B54686-B313-4518-8C2C-535D28369728}"/>
    <cellStyle name="Normal 4 8 3 6" xfId="14627" xr:uid="{00000000-0005-0000-0000-000093350000}"/>
    <cellStyle name="Normal 4 8 4" xfId="14628" xr:uid="{00000000-0005-0000-0000-000094350000}"/>
    <cellStyle name="Normal 4 8 4 2" xfId="14629" xr:uid="{00000000-0005-0000-0000-000095350000}"/>
    <cellStyle name="Normal 4 8 4 2 2" xfId="14630" xr:uid="{00000000-0005-0000-0000-000096350000}"/>
    <cellStyle name="Normal 4 8 4 2 3" xfId="14631" xr:uid="{00000000-0005-0000-0000-000097350000}"/>
    <cellStyle name="Normal 4 8 4 3" xfId="14632" xr:uid="{00000000-0005-0000-0000-000098350000}"/>
    <cellStyle name="Normal 4 8 4 3 2" xfId="14633" xr:uid="{00000000-0005-0000-0000-000099350000}"/>
    <cellStyle name="Normal 4 8 4 3 3" xfId="26620" xr:uid="{2D8071FE-4A58-4444-B700-4BCA7A328970}"/>
    <cellStyle name="Normal 4 8 4 3 3 2" xfId="41583" xr:uid="{E23DB7E5-86BD-4F60-A653-E614596C5045}"/>
    <cellStyle name="Normal 4 8 4 3 4" xfId="33993" xr:uid="{8C9C80B0-14E5-40FC-BE62-8E348EB87DA8}"/>
    <cellStyle name="Normal 4 8 4 4" xfId="14634" xr:uid="{00000000-0005-0000-0000-00009A350000}"/>
    <cellStyle name="Normal 4 8 5" xfId="14635" xr:uid="{00000000-0005-0000-0000-00009B350000}"/>
    <cellStyle name="Normal 4 8 5 2" xfId="14636" xr:uid="{00000000-0005-0000-0000-00009C350000}"/>
    <cellStyle name="Normal 4 8 5 3" xfId="14637" xr:uid="{00000000-0005-0000-0000-00009D350000}"/>
    <cellStyle name="Normal 4 8 6" xfId="14638" xr:uid="{00000000-0005-0000-0000-00009E350000}"/>
    <cellStyle name="Normal 4 8 6 2" xfId="14639" xr:uid="{00000000-0005-0000-0000-00009F350000}"/>
    <cellStyle name="Normal 4 8 6 2 2" xfId="26621" xr:uid="{E5512061-6550-4859-9960-7E1C5605FE6B}"/>
    <cellStyle name="Normal 4 8 6 2 2 2" xfId="41584" xr:uid="{7DD28CB1-35E7-4EF1-A323-D9A4A3B30A99}"/>
    <cellStyle name="Normal 4 8 6 2 3" xfId="33994" xr:uid="{E8DA1415-3BCE-4589-AA69-6D179882A899}"/>
    <cellStyle name="Normal 4 8 7" xfId="14640" xr:uid="{00000000-0005-0000-0000-0000A0350000}"/>
    <cellStyle name="Normal 4 8 7 2" xfId="26622" xr:uid="{0F998C32-E60F-4425-AB57-8799BA671A9F}"/>
    <cellStyle name="Normal 4 8 7 2 2" xfId="41585" xr:uid="{3BA31BAB-AAF1-4144-A831-FBE842312E52}"/>
    <cellStyle name="Normal 4 8 7 3" xfId="33995" xr:uid="{732E3558-9FEF-4A66-9E63-DFDA3922A327}"/>
    <cellStyle name="Normal 4 8 8" xfId="14641" xr:uid="{00000000-0005-0000-0000-0000A1350000}"/>
    <cellStyle name="Normal 4 8 9" xfId="14642" xr:uid="{00000000-0005-0000-0000-0000A2350000}"/>
    <cellStyle name="Normal 4 9" xfId="14643" xr:uid="{00000000-0005-0000-0000-0000A3350000}"/>
    <cellStyle name="Normal 4 9 2" xfId="14644" xr:uid="{00000000-0005-0000-0000-0000A4350000}"/>
    <cellStyle name="Normal 4 9 2 2" xfId="14645" xr:uid="{00000000-0005-0000-0000-0000A5350000}"/>
    <cellStyle name="Normal 4 9 2 2 2" xfId="14646" xr:uid="{00000000-0005-0000-0000-0000A6350000}"/>
    <cellStyle name="Normal 4 9 2 2 3" xfId="14647" xr:uid="{00000000-0005-0000-0000-0000A7350000}"/>
    <cellStyle name="Normal 4 9 2 2 3 2" xfId="26623" xr:uid="{D2AE882B-2B40-4F1C-9636-A33918BD2AE6}"/>
    <cellStyle name="Normal 4 9 2 2 3 2 2" xfId="41586" xr:uid="{9C255256-8714-49EB-BFF9-71432A3566BB}"/>
    <cellStyle name="Normal 4 9 2 2 3 3" xfId="33996" xr:uid="{995F94EF-7138-4BDC-91F3-CD6EF105029F}"/>
    <cellStyle name="Normal 4 9 2 2 4" xfId="14648" xr:uid="{00000000-0005-0000-0000-0000A8350000}"/>
    <cellStyle name="Normal 4 9 2 3" xfId="14649" xr:uid="{00000000-0005-0000-0000-0000A9350000}"/>
    <cellStyle name="Normal 4 9 2 4" xfId="14650" xr:uid="{00000000-0005-0000-0000-0000AA350000}"/>
    <cellStyle name="Normal 4 9 2 4 2" xfId="26624" xr:uid="{17F2991D-F098-4243-83A9-5002154C2CF4}"/>
    <cellStyle name="Normal 4 9 2 4 2 2" xfId="41587" xr:uid="{ADE6C45F-0F83-4035-A390-214B191F767E}"/>
    <cellStyle name="Normal 4 9 2 4 3" xfId="33997" xr:uid="{D317B0CC-A1C6-44F2-8D39-9E14371D5405}"/>
    <cellStyle name="Normal 4 9 2 5" xfId="14651" xr:uid="{00000000-0005-0000-0000-0000AB350000}"/>
    <cellStyle name="Normal 4 9 2 5 2" xfId="26625" xr:uid="{F11B2697-A1AF-4379-B175-7590D5B8FD0A}"/>
    <cellStyle name="Normal 4 9 2 5 2 2" xfId="41588" xr:uid="{B276F735-DE69-474B-BC24-B16A5325975D}"/>
    <cellStyle name="Normal 4 9 2 5 3" xfId="33998" xr:uid="{F839077E-F606-42FE-A3ED-23D6B670DA8D}"/>
    <cellStyle name="Normal 4 9 2 6" xfId="14652" xr:uid="{00000000-0005-0000-0000-0000AC350000}"/>
    <cellStyle name="Normal 4 9 3" xfId="14653" xr:uid="{00000000-0005-0000-0000-0000AD350000}"/>
    <cellStyle name="Normal 4 9 3 2" xfId="14654" xr:uid="{00000000-0005-0000-0000-0000AE350000}"/>
    <cellStyle name="Normal 4 9 3 2 2" xfId="14655" xr:uid="{00000000-0005-0000-0000-0000AF350000}"/>
    <cellStyle name="Normal 4 9 3 2 3" xfId="14656" xr:uid="{00000000-0005-0000-0000-0000B0350000}"/>
    <cellStyle name="Normal 4 9 3 3" xfId="14657" xr:uid="{00000000-0005-0000-0000-0000B1350000}"/>
    <cellStyle name="Normal 4 9 3 4" xfId="14658" xr:uid="{00000000-0005-0000-0000-0000B2350000}"/>
    <cellStyle name="Normal 4 9 3 4 2" xfId="26626" xr:uid="{12123E3B-869D-463A-BA04-27C6B479D951}"/>
    <cellStyle name="Normal 4 9 3 4 2 2" xfId="41589" xr:uid="{2207B886-27D5-4087-9327-8B8A75EE3953}"/>
    <cellStyle name="Normal 4 9 3 4 3" xfId="33999" xr:uid="{9FED8996-071C-4366-BF5B-3AF2C2BB480A}"/>
    <cellStyle name="Normal 4 9 3 5" xfId="14659" xr:uid="{00000000-0005-0000-0000-0000B3350000}"/>
    <cellStyle name="Normal 4 9 3 5 2" xfId="26627" xr:uid="{BE30812E-78A6-4552-97D1-DD26CAF80AC9}"/>
    <cellStyle name="Normal 4 9 3 5 2 2" xfId="41590" xr:uid="{12A550BD-E1A3-412C-AF22-31E90A847106}"/>
    <cellStyle name="Normal 4 9 3 5 3" xfId="34000" xr:uid="{EAF58017-28AC-4716-AE89-A644908BE9D7}"/>
    <cellStyle name="Normal 4 9 3 6" xfId="14660" xr:uid="{00000000-0005-0000-0000-0000B4350000}"/>
    <cellStyle name="Normal 4 9 4" xfId="14661" xr:uid="{00000000-0005-0000-0000-0000B5350000}"/>
    <cellStyle name="Normal 4 9 4 2" xfId="14662" xr:uid="{00000000-0005-0000-0000-0000B6350000}"/>
    <cellStyle name="Normal 4 9 4 3" xfId="14663" xr:uid="{00000000-0005-0000-0000-0000B7350000}"/>
    <cellStyle name="Normal 4 9 5" xfId="14664" xr:uid="{00000000-0005-0000-0000-0000B8350000}"/>
    <cellStyle name="Normal 4 9 5 2" xfId="14665" xr:uid="{00000000-0005-0000-0000-0000B9350000}"/>
    <cellStyle name="Normal 4 9 6" xfId="14666" xr:uid="{00000000-0005-0000-0000-0000BA350000}"/>
    <cellStyle name="Normal 4 9 6 2" xfId="26628" xr:uid="{E2BFCCB9-2A5D-4E43-A997-22E1A6F2D182}"/>
    <cellStyle name="Normal 4 9 6 2 2" xfId="41591" xr:uid="{C23655A7-1D3F-48A9-A9FD-F3B5065C4957}"/>
    <cellStyle name="Normal 4 9 6 3" xfId="34001" xr:uid="{2C823E24-71DF-45D7-BB29-F93828F9C146}"/>
    <cellStyle name="Normal 4 9 7" xfId="14667" xr:uid="{00000000-0005-0000-0000-0000BB350000}"/>
    <cellStyle name="Normal 4 9 7 2" xfId="26629" xr:uid="{F157B5D1-10F6-4319-B56D-CEC81DB31460}"/>
    <cellStyle name="Normal 4 9 7 2 2" xfId="41592" xr:uid="{8A655989-7616-48AB-A3E9-6578E1586459}"/>
    <cellStyle name="Normal 4 9 7 3" xfId="34002" xr:uid="{986A5F69-09F9-4EDC-B394-AB84C84A7775}"/>
    <cellStyle name="Normal 4 9 8" xfId="14668" xr:uid="{00000000-0005-0000-0000-0000BC350000}"/>
    <cellStyle name="Normal 4_2011 Planning Templates_Incentive 3-14-2011 (2)" xfId="2467" xr:uid="{00000000-0005-0000-0000-000061090000}"/>
    <cellStyle name="Normal 40" xfId="2969" xr:uid="{00000000-0005-0000-0000-000062090000}"/>
    <cellStyle name="Normal 40 2" xfId="14669" xr:uid="{00000000-0005-0000-0000-0000BF350000}"/>
    <cellStyle name="Normal 40 3" xfId="14670" xr:uid="{00000000-0005-0000-0000-0000C0350000}"/>
    <cellStyle name="Normal 40 4" xfId="14671" xr:uid="{00000000-0005-0000-0000-0000C1350000}"/>
    <cellStyle name="Normal 40 5" xfId="14672" xr:uid="{00000000-0005-0000-0000-0000C2350000}"/>
    <cellStyle name="Normal 40 6" xfId="5349" xr:uid="{00000000-0005-0000-0000-0000BE350000}"/>
    <cellStyle name="Normal 40 7" xfId="20925" xr:uid="{E44FFE98-CC6F-475A-A007-28BBAFE59B48}"/>
    <cellStyle name="Normal 40 7 2" xfId="35901" xr:uid="{8BCDABCA-A7A4-4809-8224-D2D2C16D26FF}"/>
    <cellStyle name="Normal 40 8" xfId="28297" xr:uid="{EEB917C0-C65F-49AD-92F4-0D067BA6645C}"/>
    <cellStyle name="Normal 41" xfId="2968" xr:uid="{00000000-0005-0000-0000-000063090000}"/>
    <cellStyle name="Normal 41 2" xfId="14673" xr:uid="{00000000-0005-0000-0000-0000C4350000}"/>
    <cellStyle name="Normal 41 2 2" xfId="14674" xr:uid="{00000000-0005-0000-0000-0000C5350000}"/>
    <cellStyle name="Normal 41 2 2 2" xfId="14675" xr:uid="{00000000-0005-0000-0000-0000C6350000}"/>
    <cellStyle name="Normal 41 2 3" xfId="14676" xr:uid="{00000000-0005-0000-0000-0000C7350000}"/>
    <cellStyle name="Normal 41 3" xfId="34" xr:uid="{00000000-0005-0000-0000-000026000000}"/>
    <cellStyle name="Normal 41 3 2" xfId="136" xr:uid="{00000000-0005-0000-0000-000026000000}"/>
    <cellStyle name="Normal 41 3 2 2" xfId="20683" xr:uid="{495FA636-1408-4A01-947F-B96CFC934163}"/>
    <cellStyle name="Normal 41 3 2 2 2" xfId="35684" xr:uid="{C4C8EFDF-22A7-4AA8-86C3-1063555759F2}"/>
    <cellStyle name="Normal 41 3 2 3" xfId="27987" xr:uid="{5CF8CCA4-B9BA-4968-879C-DCCB529CD264}"/>
    <cellStyle name="Normal 41 3 3" xfId="14677" xr:uid="{00000000-0005-0000-0000-0000C8350000}"/>
    <cellStyle name="Normal 41 3 4" xfId="20613" xr:uid="{37AC8F17-6E19-4AA0-AE8B-61A616F9D86E}"/>
    <cellStyle name="Normal 41 3 4 2" xfId="35614" xr:uid="{C617B7B1-B62D-4627-9D5A-745E4E9604A7}"/>
    <cellStyle name="Normal 41 3 5" xfId="27917" xr:uid="{8DA24B64-609F-4896-AC63-7E3B945B8266}"/>
    <cellStyle name="Normal 41 4" xfId="14678" xr:uid="{00000000-0005-0000-0000-0000C9350000}"/>
    <cellStyle name="Normal 41 5" xfId="14679" xr:uid="{00000000-0005-0000-0000-0000CA350000}"/>
    <cellStyle name="Normal 41 6" xfId="14680" xr:uid="{00000000-0005-0000-0000-0000CB350000}"/>
    <cellStyle name="Normal 41 7" xfId="5348" xr:uid="{00000000-0005-0000-0000-0000C3350000}"/>
    <cellStyle name="Normal 41 8" xfId="20924" xr:uid="{D6E24B68-3E8F-4185-9126-B658CAAAFAB7}"/>
    <cellStyle name="Normal 41 8 2" xfId="35900" xr:uid="{01DE5243-81E8-4EE9-A154-D2291E2064AB}"/>
    <cellStyle name="Normal 41 9" xfId="28296" xr:uid="{982A4643-ABDB-4720-824E-0347834B5222}"/>
    <cellStyle name="Normal 42" xfId="2965" xr:uid="{00000000-0005-0000-0000-000064090000}"/>
    <cellStyle name="Normal 42 2" xfId="14681" xr:uid="{00000000-0005-0000-0000-0000CD350000}"/>
    <cellStyle name="Normal 42 2 2" xfId="14682" xr:uid="{00000000-0005-0000-0000-0000CE350000}"/>
    <cellStyle name="Normal 42 2 2 2" xfId="14683" xr:uid="{00000000-0005-0000-0000-0000CF350000}"/>
    <cellStyle name="Normal 42 2 3" xfId="14684" xr:uid="{00000000-0005-0000-0000-0000D0350000}"/>
    <cellStyle name="Normal 42 3" xfId="35" xr:uid="{00000000-0005-0000-0000-000027000000}"/>
    <cellStyle name="Normal 42 3 2" xfId="137" xr:uid="{00000000-0005-0000-0000-000027000000}"/>
    <cellStyle name="Normal 42 3 2 2" xfId="20684" xr:uid="{F00DACFE-AAB4-48CB-975D-CA47AD54EE23}"/>
    <cellStyle name="Normal 42 3 2 2 2" xfId="35685" xr:uid="{C1FFFE37-6398-47A3-8151-CF98AB0F1997}"/>
    <cellStyle name="Normal 42 3 2 3" xfId="27988" xr:uid="{CEBE9D99-F56B-4E10-BFB6-932EBCE2E652}"/>
    <cellStyle name="Normal 42 3 3" xfId="14685" xr:uid="{00000000-0005-0000-0000-0000D1350000}"/>
    <cellStyle name="Normal 42 3 4" xfId="20614" xr:uid="{4057044E-3240-40F1-8361-19C938B2D372}"/>
    <cellStyle name="Normal 42 3 4 2" xfId="35615" xr:uid="{0444569F-3A9C-4F5D-94B3-C6E7FCD556EA}"/>
    <cellStyle name="Normal 42 3 5" xfId="27918" xr:uid="{202C5809-E1CE-4769-B304-76FAEA48EDDF}"/>
    <cellStyle name="Normal 42 4" xfId="14686" xr:uid="{00000000-0005-0000-0000-0000D2350000}"/>
    <cellStyle name="Normal 42 5" xfId="14687" xr:uid="{00000000-0005-0000-0000-0000D3350000}"/>
    <cellStyle name="Normal 42 6" xfId="14688" xr:uid="{00000000-0005-0000-0000-0000D4350000}"/>
    <cellStyle name="Normal 42 7" xfId="5347" xr:uid="{00000000-0005-0000-0000-0000CC350000}"/>
    <cellStyle name="Normal 42 8" xfId="20921" xr:uid="{681CDCB1-DA56-4BFE-96D8-09A8C33DCFF9}"/>
    <cellStyle name="Normal 42 8 2" xfId="35897" xr:uid="{C396ECFC-6FCC-4A70-94E3-A18EDB7F718E}"/>
    <cellStyle name="Normal 42 9" xfId="28293" xr:uid="{D746857C-DBA8-47B2-A738-887DA83670DA}"/>
    <cellStyle name="Normal 43" xfId="2962" xr:uid="{00000000-0005-0000-0000-000065090000}"/>
    <cellStyle name="Normal 43 2" xfId="14689" xr:uid="{00000000-0005-0000-0000-0000D6350000}"/>
    <cellStyle name="Normal 43 3" xfId="36" xr:uid="{00000000-0005-0000-0000-000028000000}"/>
    <cellStyle name="Normal 43 3 2" xfId="138" xr:uid="{00000000-0005-0000-0000-000028000000}"/>
    <cellStyle name="Normal 43 3 2 2" xfId="20685" xr:uid="{A8B3322D-71A4-49A7-B508-AEA59C412B98}"/>
    <cellStyle name="Normal 43 3 2 2 2" xfId="35686" xr:uid="{CACE15BF-5398-4975-BED9-5E363F3801F5}"/>
    <cellStyle name="Normal 43 3 2 3" xfId="27989" xr:uid="{4AFD9673-1B81-4713-937C-08E44CB83857}"/>
    <cellStyle name="Normal 43 3 3" xfId="14690" xr:uid="{00000000-0005-0000-0000-0000D7350000}"/>
    <cellStyle name="Normal 43 3 4" xfId="20615" xr:uid="{870E9D70-05AC-4E1D-A688-FBF2D1977475}"/>
    <cellStyle name="Normal 43 3 4 2" xfId="35616" xr:uid="{3781CB16-CE80-4C0E-A20F-4691A2D901A7}"/>
    <cellStyle name="Normal 43 3 5" xfId="27919" xr:uid="{A92728D3-2608-4716-A259-FA1CB6B2DE97}"/>
    <cellStyle name="Normal 43 4" xfId="14691" xr:uid="{00000000-0005-0000-0000-0000D8350000}"/>
    <cellStyle name="Normal 43 5" xfId="5346" xr:uid="{00000000-0005-0000-0000-0000D5350000}"/>
    <cellStyle name="Normal 43 6" xfId="20918" xr:uid="{E079F5CD-C889-4DB8-9B81-5DE2CFE13112}"/>
    <cellStyle name="Normal 43 6 2" xfId="35894" xr:uid="{CF107DA1-F218-482D-8AC0-08848D078C02}"/>
    <cellStyle name="Normal 43 7" xfId="28290" xr:uid="{33442829-5D06-4E4B-A769-7877A9C148FF}"/>
    <cellStyle name="Normal 44" xfId="2959" xr:uid="{00000000-0005-0000-0000-000066090000}"/>
    <cellStyle name="Normal 44 2" xfId="14692" xr:uid="{00000000-0005-0000-0000-0000DA350000}"/>
    <cellStyle name="Normal 44 3" xfId="37" xr:uid="{00000000-0005-0000-0000-000029000000}"/>
    <cellStyle name="Normal 44 3 2" xfId="139" xr:uid="{00000000-0005-0000-0000-000029000000}"/>
    <cellStyle name="Normal 44 3 2 2" xfId="20686" xr:uid="{77370ABC-6E70-49AC-A95E-33E941C26174}"/>
    <cellStyle name="Normal 44 3 2 2 2" xfId="35687" xr:uid="{F79862BE-B1DB-44E4-B1F7-8DB93F5B5219}"/>
    <cellStyle name="Normal 44 3 2 3" xfId="27990" xr:uid="{5500430E-07E6-42DD-B1C5-142492472876}"/>
    <cellStyle name="Normal 44 3 3" xfId="14693" xr:uid="{00000000-0005-0000-0000-0000DB350000}"/>
    <cellStyle name="Normal 44 3 4" xfId="20616" xr:uid="{4A5ACB82-3CB7-442C-8CC8-512A9533143B}"/>
    <cellStyle name="Normal 44 3 4 2" xfId="35617" xr:uid="{2079112A-C94E-4ED3-A344-4CEB7CFC157D}"/>
    <cellStyle name="Normal 44 3 5" xfId="27920" xr:uid="{0F713363-CA0D-49A5-9957-976AE83AC62F}"/>
    <cellStyle name="Normal 44 4" xfId="14694" xr:uid="{00000000-0005-0000-0000-0000DC350000}"/>
    <cellStyle name="Normal 44 5" xfId="5345" xr:uid="{00000000-0005-0000-0000-0000D9350000}"/>
    <cellStyle name="Normal 44 6" xfId="20915" xr:uid="{BC651C1F-5585-4510-89B9-4F5B45806FAB}"/>
    <cellStyle name="Normal 44 6 2" xfId="35891" xr:uid="{5C9A8D46-DE5A-4C63-96C9-12FB4EB10488}"/>
    <cellStyle name="Normal 44 7" xfId="28287" xr:uid="{851ABB57-8697-4CCC-B5E4-71B29B1F9E2D}"/>
    <cellStyle name="Normal 45" xfId="2956" xr:uid="{00000000-0005-0000-0000-000067090000}"/>
    <cellStyle name="Normal 45 2" xfId="14695" xr:uid="{00000000-0005-0000-0000-0000DE350000}"/>
    <cellStyle name="Normal 45 3" xfId="14696" xr:uid="{00000000-0005-0000-0000-0000DF350000}"/>
    <cellStyle name="Normal 45 4" xfId="14697" xr:uid="{00000000-0005-0000-0000-0000E0350000}"/>
    <cellStyle name="Normal 45 5" xfId="5344" xr:uid="{00000000-0005-0000-0000-0000DD350000}"/>
    <cellStyle name="Normal 45 6" xfId="20912" xr:uid="{073A3F2E-A368-4E6E-A9B8-37FD8129E3FF}"/>
    <cellStyle name="Normal 45 6 2" xfId="35888" xr:uid="{08EA4D00-0BCB-4E96-B254-E79FA8125C0D}"/>
    <cellStyle name="Normal 45 7" xfId="28284" xr:uid="{C1353805-F881-4C78-AC1F-7DFF288A6F29}"/>
    <cellStyle name="Normal 46" xfId="2953" xr:uid="{00000000-0005-0000-0000-000068090000}"/>
    <cellStyle name="Normal 46 2" xfId="14698" xr:uid="{00000000-0005-0000-0000-0000E2350000}"/>
    <cellStyle name="Normal 46 2 2" xfId="14699" xr:uid="{00000000-0005-0000-0000-0000E3350000}"/>
    <cellStyle name="Normal 46 2 2 2" xfId="14700" xr:uid="{00000000-0005-0000-0000-0000E4350000}"/>
    <cellStyle name="Normal 46 2 3" xfId="14701" xr:uid="{00000000-0005-0000-0000-0000E5350000}"/>
    <cellStyle name="Normal 46 3" xfId="38" xr:uid="{00000000-0005-0000-0000-00002A000000}"/>
    <cellStyle name="Normal 46 3 2" xfId="140" xr:uid="{00000000-0005-0000-0000-00002A000000}"/>
    <cellStyle name="Normal 46 3 2 2" xfId="20687" xr:uid="{7746F05F-DE2B-4F89-A354-74C568BAE534}"/>
    <cellStyle name="Normal 46 3 2 2 2" xfId="35688" xr:uid="{B4763A2A-E344-4337-B3D8-9466BFE289F4}"/>
    <cellStyle name="Normal 46 3 2 3" xfId="27991" xr:uid="{B78368A5-17D1-4890-8E4C-4FE32BB38770}"/>
    <cellStyle name="Normal 46 3 3" xfId="14702" xr:uid="{00000000-0005-0000-0000-0000E6350000}"/>
    <cellStyle name="Normal 46 3 4" xfId="20617" xr:uid="{12CA9EA6-65FE-4C51-9F52-511ED3C97E15}"/>
    <cellStyle name="Normal 46 3 4 2" xfId="35618" xr:uid="{6D4279DF-5650-41D9-8C8D-EA0F38E7B1C3}"/>
    <cellStyle name="Normal 46 3 5" xfId="27921" xr:uid="{7D8B2EED-8DB8-48E6-A593-647BE424CEA7}"/>
    <cellStyle name="Normal 46 4" xfId="14703" xr:uid="{00000000-0005-0000-0000-0000E7350000}"/>
    <cellStyle name="Normal 46 5" xfId="14704" xr:uid="{00000000-0005-0000-0000-0000E8350000}"/>
    <cellStyle name="Normal 46 6" xfId="14705" xr:uid="{00000000-0005-0000-0000-0000E9350000}"/>
    <cellStyle name="Normal 46 7" xfId="5343" xr:uid="{00000000-0005-0000-0000-0000E1350000}"/>
    <cellStyle name="Normal 46 8" xfId="20909" xr:uid="{51984701-5817-47A5-A914-FB51569F9182}"/>
    <cellStyle name="Normal 46 8 2" xfId="35885" xr:uid="{EF7B4860-8363-43FF-8E03-1E801CF01812}"/>
    <cellStyle name="Normal 46 9" xfId="28281" xr:uid="{3380E6AF-A823-4377-ADBB-FCA012B9AA5F}"/>
    <cellStyle name="Normal 47" xfId="2468" xr:uid="{00000000-0005-0000-0000-000069090000}"/>
    <cellStyle name="Normal 47 2" xfId="14706" xr:uid="{00000000-0005-0000-0000-0000EB350000}"/>
    <cellStyle name="Normal 47 2 2" xfId="14707" xr:uid="{00000000-0005-0000-0000-0000EC350000}"/>
    <cellStyle name="Normal 47 2 2 2" xfId="14708" xr:uid="{00000000-0005-0000-0000-0000ED350000}"/>
    <cellStyle name="Normal 47 2 2 2 2" xfId="14709" xr:uid="{00000000-0005-0000-0000-0000EE350000}"/>
    <cellStyle name="Normal 47 2 2 2 3" xfId="14710" xr:uid="{00000000-0005-0000-0000-0000EF350000}"/>
    <cellStyle name="Normal 47 2 2 3" xfId="14711" xr:uid="{00000000-0005-0000-0000-0000F0350000}"/>
    <cellStyle name="Normal 47 2 2 3 2" xfId="14712" xr:uid="{00000000-0005-0000-0000-0000F1350000}"/>
    <cellStyle name="Normal 47 2 2 3 3" xfId="26630" xr:uid="{8171E2EE-726C-4B4E-9351-F5717EE284FC}"/>
    <cellStyle name="Normal 47 2 2 3 3 2" xfId="41593" xr:uid="{D4C77720-7A82-4D7C-89BC-EE8F211164EC}"/>
    <cellStyle name="Normal 47 2 2 3 4" xfId="34003" xr:uid="{0C739AF6-9B22-49E2-B8A7-53C875E041E0}"/>
    <cellStyle name="Normal 47 2 2 4" xfId="14713" xr:uid="{00000000-0005-0000-0000-0000F2350000}"/>
    <cellStyle name="Normal 47 2 3" xfId="14714" xr:uid="{00000000-0005-0000-0000-0000F3350000}"/>
    <cellStyle name="Normal 47 2 3 2" xfId="14715" xr:uid="{00000000-0005-0000-0000-0000F4350000}"/>
    <cellStyle name="Normal 47 2 3 2 2" xfId="14716" xr:uid="{00000000-0005-0000-0000-0000F5350000}"/>
    <cellStyle name="Normal 47 2 3 2 3" xfId="14717" xr:uid="{00000000-0005-0000-0000-0000F6350000}"/>
    <cellStyle name="Normal 47 2 3 3" xfId="14718" xr:uid="{00000000-0005-0000-0000-0000F7350000}"/>
    <cellStyle name="Normal 47 2 3 3 2" xfId="14719" xr:uid="{00000000-0005-0000-0000-0000F8350000}"/>
    <cellStyle name="Normal 47 2 3 3 3" xfId="26631" xr:uid="{9535FDBF-9EFC-45E9-9CC4-78FA426D8817}"/>
    <cellStyle name="Normal 47 2 3 3 3 2" xfId="41594" xr:uid="{B0EB5C02-806E-4DA8-BE3C-E859E2E53D5E}"/>
    <cellStyle name="Normal 47 2 3 3 4" xfId="34004" xr:uid="{04FEA4C7-878A-402F-8DCC-834CECC00B04}"/>
    <cellStyle name="Normal 47 2 3 4" xfId="14720" xr:uid="{00000000-0005-0000-0000-0000F9350000}"/>
    <cellStyle name="Normal 47 2 4" xfId="14721" xr:uid="{00000000-0005-0000-0000-0000FA350000}"/>
    <cellStyle name="Normal 47 2 4 2" xfId="14722" xr:uid="{00000000-0005-0000-0000-0000FB350000}"/>
    <cellStyle name="Normal 47 2 4 3" xfId="14723" xr:uid="{00000000-0005-0000-0000-0000FC350000}"/>
    <cellStyle name="Normal 47 2 5" xfId="14724" xr:uid="{00000000-0005-0000-0000-0000FD350000}"/>
    <cellStyle name="Normal 47 2 6" xfId="14725" xr:uid="{00000000-0005-0000-0000-0000FE350000}"/>
    <cellStyle name="Normal 47 2 6 2" xfId="26632" xr:uid="{920F97EF-14A4-4286-BEA4-CDC555906E4D}"/>
    <cellStyle name="Normal 47 2 6 2 2" xfId="41595" xr:uid="{98E2EB4E-3B82-41EC-9840-A1048390BEAA}"/>
    <cellStyle name="Normal 47 2 6 3" xfId="34005" xr:uid="{0158AC9F-75ED-44EF-AB72-82A0DFE21E3B}"/>
    <cellStyle name="Normal 47 2 7" xfId="14726" xr:uid="{00000000-0005-0000-0000-0000FF350000}"/>
    <cellStyle name="Normal 47 2 8" xfId="14727" xr:uid="{00000000-0005-0000-0000-000000360000}"/>
    <cellStyle name="Normal 47 3" xfId="14728" xr:uid="{00000000-0005-0000-0000-000001360000}"/>
    <cellStyle name="Normal 47 3 2" xfId="14729" xr:uid="{00000000-0005-0000-0000-000002360000}"/>
    <cellStyle name="Normal 47 3 3" xfId="26633" xr:uid="{C1A7DEDC-2B04-4DD9-A21F-0821C432650C}"/>
    <cellStyle name="Normal 47 3 3 2" xfId="41596" xr:uid="{C0F3D117-317C-4D82-A071-0F63A4E01D6D}"/>
    <cellStyle name="Normal 47 3 4" xfId="34006" xr:uid="{F8D97915-99BA-4BF0-9C53-CD393EA6467B}"/>
    <cellStyle name="Normal 47 4" xfId="14730" xr:uid="{00000000-0005-0000-0000-000003360000}"/>
    <cellStyle name="Normal 47 5" xfId="14731" xr:uid="{00000000-0005-0000-0000-000004360000}"/>
    <cellStyle name="Normal 47 5 2" xfId="26634" xr:uid="{9A30F85A-1FDA-461C-AD23-B499257904CA}"/>
    <cellStyle name="Normal 47 5 2 2" xfId="41597" xr:uid="{1B531F03-42CC-40D1-8FF3-F9E711CEB8C6}"/>
    <cellStyle name="Normal 47 5 3" xfId="34007" xr:uid="{3573896C-98BE-4A86-8726-2BD234F54CE7}"/>
    <cellStyle name="Normal 47 6" xfId="14732" xr:uid="{00000000-0005-0000-0000-000005360000}"/>
    <cellStyle name="Normal 47 7" xfId="14733" xr:uid="{00000000-0005-0000-0000-000006360000}"/>
    <cellStyle name="Normal 47 8" xfId="5342" xr:uid="{00000000-0005-0000-0000-0000EA350000}"/>
    <cellStyle name="Normal 47 8 2" xfId="23179" xr:uid="{C1B27B0C-8CA5-4D64-94C2-54D5CC09E583}"/>
    <cellStyle name="Normal 47 8 2 2" xfId="38152" xr:uid="{D3311DEE-0598-43F4-8126-FAF0DB5C7170}"/>
    <cellStyle name="Normal 47 8 3" xfId="30549" xr:uid="{F454EA36-9EA3-4166-91B9-49B9DE2235D3}"/>
    <cellStyle name="Normal 48" xfId="2950" xr:uid="{00000000-0005-0000-0000-00006A090000}"/>
    <cellStyle name="Normal 48 2" xfId="14734" xr:uid="{00000000-0005-0000-0000-000008360000}"/>
    <cellStyle name="Normal 48 2 2" xfId="14735" xr:uid="{00000000-0005-0000-0000-000009360000}"/>
    <cellStyle name="Normal 48 2 3" xfId="14736" xr:uid="{00000000-0005-0000-0000-00000A360000}"/>
    <cellStyle name="Normal 48 2 4" xfId="14737" xr:uid="{00000000-0005-0000-0000-00000B360000}"/>
    <cellStyle name="Normal 48 2 4 2" xfId="26635" xr:uid="{E95E906F-6022-4F67-9520-BC8F2C3F6423}"/>
    <cellStyle name="Normal 48 2 4 2 2" xfId="41598" xr:uid="{CC803044-1253-493C-A753-A54D0DE285FC}"/>
    <cellStyle name="Normal 48 2 4 3" xfId="34008" xr:uid="{33BEB9D1-CFF9-41AA-85DF-2D09C4E71BEB}"/>
    <cellStyle name="Normal 48 2 5" xfId="14738" xr:uid="{00000000-0005-0000-0000-00000C360000}"/>
    <cellStyle name="Normal 48 3" xfId="14739" xr:uid="{00000000-0005-0000-0000-00000D360000}"/>
    <cellStyle name="Normal 48 4" xfId="14740" xr:uid="{00000000-0005-0000-0000-00000E360000}"/>
    <cellStyle name="Normal 48 4 2" xfId="26636" xr:uid="{8D8DF7BC-9ADF-4DC2-A8D9-EF7BAAF398BB}"/>
    <cellStyle name="Normal 48 4 2 2" xfId="41599" xr:uid="{B49BC3B1-8FB7-4AD3-8324-25A274DE4756}"/>
    <cellStyle name="Normal 48 4 3" xfId="34009" xr:uid="{BBDBBA7D-A478-4E11-AF4B-7C890E1B6591}"/>
    <cellStyle name="Normal 48 5" xfId="14741" xr:uid="{00000000-0005-0000-0000-00000F360000}"/>
    <cellStyle name="Normal 48 6" xfId="14742" xr:uid="{00000000-0005-0000-0000-000010360000}"/>
    <cellStyle name="Normal 48 7" xfId="14743" xr:uid="{00000000-0005-0000-0000-000011360000}"/>
    <cellStyle name="Normal 48 8" xfId="20906" xr:uid="{2FE84942-2483-4897-95A6-DE849B1172DD}"/>
    <cellStyle name="Normal 48 8 2" xfId="35882" xr:uid="{D4DC7DB3-2B83-4F6F-859A-86674677C9E9}"/>
    <cellStyle name="Normal 48 9" xfId="28278" xr:uid="{81B84431-699B-4202-B0DA-EDCF741B05A3}"/>
    <cellStyle name="Normal 49" xfId="5341" xr:uid="{00000000-0005-0000-0000-000012360000}"/>
    <cellStyle name="Normal 49 2" xfId="14744" xr:uid="{00000000-0005-0000-0000-000013360000}"/>
    <cellStyle name="Normal 49 3" xfId="39" xr:uid="{00000000-0005-0000-0000-00002B000000}"/>
    <cellStyle name="Normal 49 3 2" xfId="141" xr:uid="{00000000-0005-0000-0000-00002B000000}"/>
    <cellStyle name="Normal 49 3 2 2" xfId="20688" xr:uid="{6632D383-A4AB-40E5-BB81-2D4C9B1F71DF}"/>
    <cellStyle name="Normal 49 3 2 2 2" xfId="35689" xr:uid="{609C06E4-87F4-4240-8B34-DEEA665CE2EF}"/>
    <cellStyle name="Normal 49 3 2 3" xfId="27992" xr:uid="{FDB062A4-FA9A-401A-AFDC-73C34275B38D}"/>
    <cellStyle name="Normal 49 3 3" xfId="14745" xr:uid="{00000000-0005-0000-0000-000014360000}"/>
    <cellStyle name="Normal 49 3 4" xfId="20618" xr:uid="{BBEEB656-27B2-4E33-8DF9-4ECDD7E78A55}"/>
    <cellStyle name="Normal 49 3 4 2" xfId="35619" xr:uid="{8EE5C037-3E90-4956-B1E0-EF8C99322B83}"/>
    <cellStyle name="Normal 49 3 5" xfId="27922" xr:uid="{E78A7235-0336-4B02-8D9E-1F4A9D4EF262}"/>
    <cellStyle name="Normal 49 4" xfId="14746" xr:uid="{00000000-0005-0000-0000-000015360000}"/>
    <cellStyle name="Normal 5" xfId="2469" xr:uid="{00000000-0005-0000-0000-00006B090000}"/>
    <cellStyle name="Normal 5 10" xfId="2470" xr:uid="{00000000-0005-0000-0000-00006C090000}"/>
    <cellStyle name="Normal 5 10 2" xfId="14747" xr:uid="{00000000-0005-0000-0000-000018360000}"/>
    <cellStyle name="Normal 5 10 2 2" xfId="14748" xr:uid="{00000000-0005-0000-0000-000019360000}"/>
    <cellStyle name="Normal 5 10 2 2 2" xfId="14749" xr:uid="{00000000-0005-0000-0000-00001A360000}"/>
    <cellStyle name="Normal 5 10 2 2 2 2" xfId="14750" xr:uid="{00000000-0005-0000-0000-00001B360000}"/>
    <cellStyle name="Normal 5 10 2 2 2 3" xfId="14751" xr:uid="{00000000-0005-0000-0000-00001C360000}"/>
    <cellStyle name="Normal 5 10 2 2 3" xfId="14752" xr:uid="{00000000-0005-0000-0000-00001D360000}"/>
    <cellStyle name="Normal 5 10 2 2 3 2" xfId="14753" xr:uid="{00000000-0005-0000-0000-00001E360000}"/>
    <cellStyle name="Normal 5 10 2 2 3 3" xfId="26637" xr:uid="{D37BE0AE-D028-4F5F-BAA0-C11826821EF5}"/>
    <cellStyle name="Normal 5 10 2 2 3 3 2" xfId="41600" xr:uid="{EDD1D30B-5571-4C47-A36B-B82486C16841}"/>
    <cellStyle name="Normal 5 10 2 2 3 4" xfId="34010" xr:uid="{09E16AE8-1DF6-4B67-AEF8-CBAF115AA165}"/>
    <cellStyle name="Normal 5 10 2 2 4" xfId="14754" xr:uid="{00000000-0005-0000-0000-00001F360000}"/>
    <cellStyle name="Normal 5 10 2 3" xfId="14755" xr:uid="{00000000-0005-0000-0000-000020360000}"/>
    <cellStyle name="Normal 5 10 2 3 2" xfId="14756" xr:uid="{00000000-0005-0000-0000-000021360000}"/>
    <cellStyle name="Normal 5 10 2 3 3" xfId="14757" xr:uid="{00000000-0005-0000-0000-000022360000}"/>
    <cellStyle name="Normal 5 10 2 4" xfId="14758" xr:uid="{00000000-0005-0000-0000-000023360000}"/>
    <cellStyle name="Normal 5 10 2 4 2" xfId="14759" xr:uid="{00000000-0005-0000-0000-000024360000}"/>
    <cellStyle name="Normal 5 10 2 4 3" xfId="26638" xr:uid="{849B155C-7042-44AB-8A30-8B8059864CC1}"/>
    <cellStyle name="Normal 5 10 2 4 3 2" xfId="41601" xr:uid="{C34B6FD6-22ED-4957-B816-D7288693CAF5}"/>
    <cellStyle name="Normal 5 10 2 4 4" xfId="34011" xr:uid="{E2914969-AACE-479C-9E47-916B31911B00}"/>
    <cellStyle name="Normal 5 10 2 5" xfId="14760" xr:uid="{00000000-0005-0000-0000-000025360000}"/>
    <cellStyle name="Normal 5 10 3" xfId="14761" xr:uid="{00000000-0005-0000-0000-000026360000}"/>
    <cellStyle name="Normal 5 10 3 2" xfId="14762" xr:uid="{00000000-0005-0000-0000-000027360000}"/>
    <cellStyle name="Normal 5 10 3 2 2" xfId="14763" xr:uid="{00000000-0005-0000-0000-000028360000}"/>
    <cellStyle name="Normal 5 10 3 2 3" xfId="14764" xr:uid="{00000000-0005-0000-0000-000029360000}"/>
    <cellStyle name="Normal 5 10 3 3" xfId="14765" xr:uid="{00000000-0005-0000-0000-00002A360000}"/>
    <cellStyle name="Normal 5 10 3 3 2" xfId="14766" xr:uid="{00000000-0005-0000-0000-00002B360000}"/>
    <cellStyle name="Normal 5 10 3 3 3" xfId="26639" xr:uid="{7D3A0212-C9C0-4546-8367-505290A2ED9B}"/>
    <cellStyle name="Normal 5 10 3 3 3 2" xfId="41602" xr:uid="{85998C02-2254-481B-A436-2B5AE81AFBD8}"/>
    <cellStyle name="Normal 5 10 3 3 4" xfId="34012" xr:uid="{568884DD-D288-4376-9C52-796AA650CD29}"/>
    <cellStyle name="Normal 5 10 3 4" xfId="14767" xr:uid="{00000000-0005-0000-0000-00002C360000}"/>
    <cellStyle name="Normal 5 10 4" xfId="14768" xr:uid="{00000000-0005-0000-0000-00002D360000}"/>
    <cellStyle name="Normal 5 10 5" xfId="14769" xr:uid="{00000000-0005-0000-0000-00002E360000}"/>
    <cellStyle name="Normal 5 11" xfId="2471" xr:uid="{00000000-0005-0000-0000-00006D090000}"/>
    <cellStyle name="Normal 5 11 2" xfId="14770" xr:uid="{00000000-0005-0000-0000-000030360000}"/>
    <cellStyle name="Normal 5 11 3" xfId="14771" xr:uid="{00000000-0005-0000-0000-000031360000}"/>
    <cellStyle name="Normal 5 12" xfId="2472" xr:uid="{00000000-0005-0000-0000-00006E090000}"/>
    <cellStyle name="Normal 5 12 2" xfId="14772" xr:uid="{00000000-0005-0000-0000-000033360000}"/>
    <cellStyle name="Normal 5 12 3" xfId="14773" xr:uid="{00000000-0005-0000-0000-000034360000}"/>
    <cellStyle name="Normal 5 13" xfId="2473" xr:uid="{00000000-0005-0000-0000-00006F090000}"/>
    <cellStyle name="Normal 5 13 2" xfId="14774" xr:uid="{00000000-0005-0000-0000-000036360000}"/>
    <cellStyle name="Normal 5 13 3" xfId="14775" xr:uid="{00000000-0005-0000-0000-000037360000}"/>
    <cellStyle name="Normal 5 14" xfId="2474" xr:uid="{00000000-0005-0000-0000-000070090000}"/>
    <cellStyle name="Normal 5 14 2" xfId="14776" xr:uid="{00000000-0005-0000-0000-000039360000}"/>
    <cellStyle name="Normal 5 14 3" xfId="14777" xr:uid="{00000000-0005-0000-0000-00003A360000}"/>
    <cellStyle name="Normal 5 15" xfId="2475" xr:uid="{00000000-0005-0000-0000-000071090000}"/>
    <cellStyle name="Normal 5 15 2" xfId="14778" xr:uid="{00000000-0005-0000-0000-00003C360000}"/>
    <cellStyle name="Normal 5 15 3" xfId="14779" xr:uid="{00000000-0005-0000-0000-00003D360000}"/>
    <cellStyle name="Normal 5 16" xfId="2476" xr:uid="{00000000-0005-0000-0000-000072090000}"/>
    <cellStyle name="Normal 5 16 2" xfId="14780" xr:uid="{00000000-0005-0000-0000-00003F360000}"/>
    <cellStyle name="Normal 5 16 3" xfId="14781" xr:uid="{00000000-0005-0000-0000-000040360000}"/>
    <cellStyle name="Normal 5 17" xfId="2477" xr:uid="{00000000-0005-0000-0000-000073090000}"/>
    <cellStyle name="Normal 5 17 2" xfId="14782" xr:uid="{00000000-0005-0000-0000-000042360000}"/>
    <cellStyle name="Normal 5 17 3" xfId="14783" xr:uid="{00000000-0005-0000-0000-000043360000}"/>
    <cellStyle name="Normal 5 18" xfId="2478" xr:uid="{00000000-0005-0000-0000-000074090000}"/>
    <cellStyle name="Normal 5 18 2" xfId="14784" xr:uid="{00000000-0005-0000-0000-000045360000}"/>
    <cellStyle name="Normal 5 18 3" xfId="14785" xr:uid="{00000000-0005-0000-0000-000046360000}"/>
    <cellStyle name="Normal 5 19" xfId="2479" xr:uid="{00000000-0005-0000-0000-000075090000}"/>
    <cellStyle name="Normal 5 19 2" xfId="14786" xr:uid="{00000000-0005-0000-0000-000048360000}"/>
    <cellStyle name="Normal 5 19 3" xfId="14787" xr:uid="{00000000-0005-0000-0000-000049360000}"/>
    <cellStyle name="Normal 5 2" xfId="2480" xr:uid="{00000000-0005-0000-0000-000076090000}"/>
    <cellStyle name="Normal 5 2 10" xfId="2481" xr:uid="{00000000-0005-0000-0000-000077090000}"/>
    <cellStyle name="Normal 5 2 10 2" xfId="14788" xr:uid="{00000000-0005-0000-0000-00004C360000}"/>
    <cellStyle name="Normal 5 2 10 3" xfId="14789" xr:uid="{00000000-0005-0000-0000-00004D360000}"/>
    <cellStyle name="Normal 5 2 11" xfId="2482" xr:uid="{00000000-0005-0000-0000-000078090000}"/>
    <cellStyle name="Normal 5 2 11 2" xfId="14790" xr:uid="{00000000-0005-0000-0000-00004F360000}"/>
    <cellStyle name="Normal 5 2 11 3" xfId="14791" xr:uid="{00000000-0005-0000-0000-000050360000}"/>
    <cellStyle name="Normal 5 2 12" xfId="2483" xr:uid="{00000000-0005-0000-0000-000079090000}"/>
    <cellStyle name="Normal 5 2 12 2" xfId="14792" xr:uid="{00000000-0005-0000-0000-000052360000}"/>
    <cellStyle name="Normal 5 2 12 3" xfId="14793" xr:uid="{00000000-0005-0000-0000-000053360000}"/>
    <cellStyle name="Normal 5 2 13" xfId="2484" xr:uid="{00000000-0005-0000-0000-00007A090000}"/>
    <cellStyle name="Normal 5 2 13 2" xfId="14794" xr:uid="{00000000-0005-0000-0000-000055360000}"/>
    <cellStyle name="Normal 5 2 13 3" xfId="14795" xr:uid="{00000000-0005-0000-0000-000056360000}"/>
    <cellStyle name="Normal 5 2 14" xfId="2485" xr:uid="{00000000-0005-0000-0000-00007B090000}"/>
    <cellStyle name="Normal 5 2 14 2" xfId="14796" xr:uid="{00000000-0005-0000-0000-000058360000}"/>
    <cellStyle name="Normal 5 2 14 3" xfId="14797" xr:uid="{00000000-0005-0000-0000-000059360000}"/>
    <cellStyle name="Normal 5 2 15" xfId="2486" xr:uid="{00000000-0005-0000-0000-00007C090000}"/>
    <cellStyle name="Normal 5 2 15 2" xfId="14798" xr:uid="{00000000-0005-0000-0000-00005B360000}"/>
    <cellStyle name="Normal 5 2 15 3" xfId="14799" xr:uid="{00000000-0005-0000-0000-00005C360000}"/>
    <cellStyle name="Normal 5 2 16" xfId="2487" xr:uid="{00000000-0005-0000-0000-00007D090000}"/>
    <cellStyle name="Normal 5 2 16 2" xfId="14800" xr:uid="{00000000-0005-0000-0000-00005E360000}"/>
    <cellStyle name="Normal 5 2 16 3" xfId="14801" xr:uid="{00000000-0005-0000-0000-00005F360000}"/>
    <cellStyle name="Normal 5 2 17" xfId="2488" xr:uid="{00000000-0005-0000-0000-00007E090000}"/>
    <cellStyle name="Normal 5 2 17 2" xfId="14802" xr:uid="{00000000-0005-0000-0000-000061360000}"/>
    <cellStyle name="Normal 5 2 17 3" xfId="14803" xr:uid="{00000000-0005-0000-0000-000062360000}"/>
    <cellStyle name="Normal 5 2 18" xfId="2489" xr:uid="{00000000-0005-0000-0000-00007F090000}"/>
    <cellStyle name="Normal 5 2 18 2" xfId="14804" xr:uid="{00000000-0005-0000-0000-000064360000}"/>
    <cellStyle name="Normal 5 2 18 3" xfId="14805" xr:uid="{00000000-0005-0000-0000-000065360000}"/>
    <cellStyle name="Normal 5 2 19" xfId="2490" xr:uid="{00000000-0005-0000-0000-000080090000}"/>
    <cellStyle name="Normal 5 2 19 2" xfId="14806" xr:uid="{00000000-0005-0000-0000-000067360000}"/>
    <cellStyle name="Normal 5 2 19 3" xfId="14807" xr:uid="{00000000-0005-0000-0000-000068360000}"/>
    <cellStyle name="Normal 5 2 2" xfId="2491" xr:uid="{00000000-0005-0000-0000-000081090000}"/>
    <cellStyle name="Normal 5 2 2 10" xfId="14808" xr:uid="{00000000-0005-0000-0000-00006A360000}"/>
    <cellStyle name="Normal 5 2 2 10 2" xfId="26640" xr:uid="{E5CCC719-2B1C-4B47-B267-C470DD1F455C}"/>
    <cellStyle name="Normal 5 2 2 10 2 2" xfId="41603" xr:uid="{A5FDB657-A6FC-4AE3-80B0-755B3C779916}"/>
    <cellStyle name="Normal 5 2 2 10 3" xfId="34013" xr:uid="{8644E961-85F4-4A0A-8844-1F0F53424435}"/>
    <cellStyle name="Normal 5 2 2 11" xfId="14809" xr:uid="{00000000-0005-0000-0000-00006B360000}"/>
    <cellStyle name="Normal 5 2 2 2" xfId="14810" xr:uid="{00000000-0005-0000-0000-00006C360000}"/>
    <cellStyle name="Normal 5 2 2 2 10" xfId="14811" xr:uid="{00000000-0005-0000-0000-00006D360000}"/>
    <cellStyle name="Normal 5 2 2 2 2" xfId="14812" xr:uid="{00000000-0005-0000-0000-00006E360000}"/>
    <cellStyle name="Normal 5 2 2 2 2 2" xfId="14813" xr:uid="{00000000-0005-0000-0000-00006F360000}"/>
    <cellStyle name="Normal 5 2 2 2 2 2 2" xfId="14814" xr:uid="{00000000-0005-0000-0000-000070360000}"/>
    <cellStyle name="Normal 5 2 2 2 2 2 2 2" xfId="14815" xr:uid="{00000000-0005-0000-0000-000071360000}"/>
    <cellStyle name="Normal 5 2 2 2 2 2 2 2 2" xfId="14816" xr:uid="{00000000-0005-0000-0000-000072360000}"/>
    <cellStyle name="Normal 5 2 2 2 2 2 2 2 3" xfId="14817" xr:uid="{00000000-0005-0000-0000-000073360000}"/>
    <cellStyle name="Normal 5 2 2 2 2 2 2 3" xfId="14818" xr:uid="{00000000-0005-0000-0000-000074360000}"/>
    <cellStyle name="Normal 5 2 2 2 2 2 2 4" xfId="14819" xr:uid="{00000000-0005-0000-0000-000075360000}"/>
    <cellStyle name="Normal 5 2 2 2 2 2 2 4 2" xfId="26641" xr:uid="{E0F04107-6A5D-4859-A51D-0058B11C5091}"/>
    <cellStyle name="Normal 5 2 2 2 2 2 2 4 2 2" xfId="41604" xr:uid="{178CE667-788D-48AD-98DD-B0304DEA27F8}"/>
    <cellStyle name="Normal 5 2 2 2 2 2 2 4 3" xfId="34014" xr:uid="{D510210F-C55B-4D73-AA95-7B6BE446BBD4}"/>
    <cellStyle name="Normal 5 2 2 2 2 2 2 5" xfId="14820" xr:uid="{00000000-0005-0000-0000-000076360000}"/>
    <cellStyle name="Normal 5 2 2 2 2 2 2 5 2" xfId="26642" xr:uid="{2BD3E210-7395-4C83-9357-B5DF114D2690}"/>
    <cellStyle name="Normal 5 2 2 2 2 2 2 5 2 2" xfId="41605" xr:uid="{8208C9B3-12AF-4170-AB87-57A8527014DC}"/>
    <cellStyle name="Normal 5 2 2 2 2 2 2 5 3" xfId="34015" xr:uid="{79F0EE9A-61EF-47CF-BFAE-67A836D4D2C1}"/>
    <cellStyle name="Normal 5 2 2 2 2 2 2 6" xfId="14821" xr:uid="{00000000-0005-0000-0000-000077360000}"/>
    <cellStyle name="Normal 5 2 2 2 2 2 3" xfId="14822" xr:uid="{00000000-0005-0000-0000-000078360000}"/>
    <cellStyle name="Normal 5 2 2 2 2 2 3 2" xfId="14823" xr:uid="{00000000-0005-0000-0000-000079360000}"/>
    <cellStyle name="Normal 5 2 2 2 2 2 3 2 2" xfId="14824" xr:uid="{00000000-0005-0000-0000-00007A360000}"/>
    <cellStyle name="Normal 5 2 2 2 2 2 3 2 3" xfId="14825" xr:uid="{00000000-0005-0000-0000-00007B360000}"/>
    <cellStyle name="Normal 5 2 2 2 2 2 3 3" xfId="14826" xr:uid="{00000000-0005-0000-0000-00007C360000}"/>
    <cellStyle name="Normal 5 2 2 2 2 2 3 3 2" xfId="14827" xr:uid="{00000000-0005-0000-0000-00007D360000}"/>
    <cellStyle name="Normal 5 2 2 2 2 2 3 3 3" xfId="26643" xr:uid="{5AE33537-92B0-4F15-A401-F81A9C7B205E}"/>
    <cellStyle name="Normal 5 2 2 2 2 2 3 3 3 2" xfId="41606" xr:uid="{B40F15D1-7AAC-4EC5-9873-995F844E2267}"/>
    <cellStyle name="Normal 5 2 2 2 2 2 3 3 4" xfId="34016" xr:uid="{8B34305C-523A-4546-AB5E-5DED002DC638}"/>
    <cellStyle name="Normal 5 2 2 2 2 2 3 4" xfId="14828" xr:uid="{00000000-0005-0000-0000-00007E360000}"/>
    <cellStyle name="Normal 5 2 2 2 2 2 4" xfId="14829" xr:uid="{00000000-0005-0000-0000-00007F360000}"/>
    <cellStyle name="Normal 5 2 2 2 2 2 4 2" xfId="14830" xr:uid="{00000000-0005-0000-0000-000080360000}"/>
    <cellStyle name="Normal 5 2 2 2 2 2 4 3" xfId="14831" xr:uid="{00000000-0005-0000-0000-000081360000}"/>
    <cellStyle name="Normal 5 2 2 2 2 2 5" xfId="14832" xr:uid="{00000000-0005-0000-0000-000082360000}"/>
    <cellStyle name="Normal 5 2 2 2 2 2 6" xfId="14833" xr:uid="{00000000-0005-0000-0000-000083360000}"/>
    <cellStyle name="Normal 5 2 2 2 2 2 6 2" xfId="26644" xr:uid="{AE26E3A8-9A31-44DC-BA72-EF048BDB009F}"/>
    <cellStyle name="Normal 5 2 2 2 2 2 6 2 2" xfId="41607" xr:uid="{B073E460-29FF-4FB0-A3A6-6E00FA042655}"/>
    <cellStyle name="Normal 5 2 2 2 2 2 6 3" xfId="34017" xr:uid="{69045552-0632-44E4-9663-73C90BA17930}"/>
    <cellStyle name="Normal 5 2 2 2 2 2 7" xfId="14834" xr:uid="{00000000-0005-0000-0000-000084360000}"/>
    <cellStyle name="Normal 5 2 2 2 2 2 7 2" xfId="26645" xr:uid="{6F531729-36ED-453F-A414-FEFF28F438CA}"/>
    <cellStyle name="Normal 5 2 2 2 2 2 7 2 2" xfId="41608" xr:uid="{A123563A-FD4E-4372-9225-A217443814B8}"/>
    <cellStyle name="Normal 5 2 2 2 2 2 7 3" xfId="34018" xr:uid="{EF0C7382-3913-4AAB-882D-541AFBC84397}"/>
    <cellStyle name="Normal 5 2 2 2 2 2 8" xfId="14835" xr:uid="{00000000-0005-0000-0000-000085360000}"/>
    <cellStyle name="Normal 5 2 2 2 2 3" xfId="14836" xr:uid="{00000000-0005-0000-0000-000086360000}"/>
    <cellStyle name="Normal 5 2 2 2 2 3 2" xfId="14837" xr:uid="{00000000-0005-0000-0000-000087360000}"/>
    <cellStyle name="Normal 5 2 2 2 2 3 2 2" xfId="14838" xr:uid="{00000000-0005-0000-0000-000088360000}"/>
    <cellStyle name="Normal 5 2 2 2 2 3 2 3" xfId="14839" xr:uid="{00000000-0005-0000-0000-000089360000}"/>
    <cellStyle name="Normal 5 2 2 2 2 3 2 3 2" xfId="26646" xr:uid="{F6976D84-6B8C-4D23-A11D-3C79C06A05BA}"/>
    <cellStyle name="Normal 5 2 2 2 2 3 2 3 2 2" xfId="41609" xr:uid="{58423784-5484-4BCB-92A6-59690F8B4DDD}"/>
    <cellStyle name="Normal 5 2 2 2 2 3 2 3 3" xfId="34019" xr:uid="{D0805460-8DF7-4396-A6E2-8AB505693244}"/>
    <cellStyle name="Normal 5 2 2 2 2 3 2 4" xfId="14840" xr:uid="{00000000-0005-0000-0000-00008A360000}"/>
    <cellStyle name="Normal 5 2 2 2 2 3 3" xfId="14841" xr:uid="{00000000-0005-0000-0000-00008B360000}"/>
    <cellStyle name="Normal 5 2 2 2 2 3 4" xfId="14842" xr:uid="{00000000-0005-0000-0000-00008C360000}"/>
    <cellStyle name="Normal 5 2 2 2 2 3 4 2" xfId="26647" xr:uid="{D623CD4B-7993-493A-AAA3-9C2F7F7C3C9A}"/>
    <cellStyle name="Normal 5 2 2 2 2 3 4 2 2" xfId="41610" xr:uid="{7711FE17-3168-4E3A-8473-658AFE52FF81}"/>
    <cellStyle name="Normal 5 2 2 2 2 3 4 3" xfId="34020" xr:uid="{BD9EADA3-2594-41F7-82D8-81822026782E}"/>
    <cellStyle name="Normal 5 2 2 2 2 3 5" xfId="14843" xr:uid="{00000000-0005-0000-0000-00008D360000}"/>
    <cellStyle name="Normal 5 2 2 2 2 3 5 2" xfId="26648" xr:uid="{AB84A93B-C6B4-4659-BFD0-E73AF11B328B}"/>
    <cellStyle name="Normal 5 2 2 2 2 3 5 2 2" xfId="41611" xr:uid="{C05F89F2-6D3F-44DB-8021-D5E648BE222C}"/>
    <cellStyle name="Normal 5 2 2 2 2 3 5 3" xfId="34021" xr:uid="{2FDA9ED4-64C0-4A3A-B93A-CA54140E6CB0}"/>
    <cellStyle name="Normal 5 2 2 2 2 3 6" xfId="14844" xr:uid="{00000000-0005-0000-0000-00008E360000}"/>
    <cellStyle name="Normal 5 2 2 2 2 4" xfId="14845" xr:uid="{00000000-0005-0000-0000-00008F360000}"/>
    <cellStyle name="Normal 5 2 2 2 2 4 2" xfId="14846" xr:uid="{00000000-0005-0000-0000-000090360000}"/>
    <cellStyle name="Normal 5 2 2 2 2 4 2 2" xfId="14847" xr:uid="{00000000-0005-0000-0000-000091360000}"/>
    <cellStyle name="Normal 5 2 2 2 2 4 2 3" xfId="14848" xr:uid="{00000000-0005-0000-0000-000092360000}"/>
    <cellStyle name="Normal 5 2 2 2 2 4 3" xfId="14849" xr:uid="{00000000-0005-0000-0000-000093360000}"/>
    <cellStyle name="Normal 5 2 2 2 2 4 4" xfId="14850" xr:uid="{00000000-0005-0000-0000-000094360000}"/>
    <cellStyle name="Normal 5 2 2 2 2 4 4 2" xfId="26649" xr:uid="{AF6B01DE-2955-4C62-8362-3D672A2D104D}"/>
    <cellStyle name="Normal 5 2 2 2 2 4 4 2 2" xfId="41612" xr:uid="{85441EEA-B8F1-4F20-B6C6-A15413D2FF9E}"/>
    <cellStyle name="Normal 5 2 2 2 2 4 4 3" xfId="34022" xr:uid="{CC906FCF-613A-44A6-9AEA-25E325E4E7C0}"/>
    <cellStyle name="Normal 5 2 2 2 2 4 5" xfId="14851" xr:uid="{00000000-0005-0000-0000-000095360000}"/>
    <cellStyle name="Normal 5 2 2 2 2 4 5 2" xfId="26650" xr:uid="{D682992E-CDCC-47AC-89AB-CCD0EAD5D73F}"/>
    <cellStyle name="Normal 5 2 2 2 2 4 5 2 2" xfId="41613" xr:uid="{FB2B0E89-D4B4-4242-9575-A39F2CAEA4DC}"/>
    <cellStyle name="Normal 5 2 2 2 2 4 5 3" xfId="34023" xr:uid="{C7F7CD81-3172-4FD9-9BFE-F01EDAD63173}"/>
    <cellStyle name="Normal 5 2 2 2 2 4 6" xfId="14852" xr:uid="{00000000-0005-0000-0000-000096360000}"/>
    <cellStyle name="Normal 5 2 2 2 2 5" xfId="14853" xr:uid="{00000000-0005-0000-0000-000097360000}"/>
    <cellStyle name="Normal 5 2 2 2 2 5 2" xfId="14854" xr:uid="{00000000-0005-0000-0000-000098360000}"/>
    <cellStyle name="Normal 5 2 2 2 2 5 3" xfId="14855" xr:uid="{00000000-0005-0000-0000-000099360000}"/>
    <cellStyle name="Normal 5 2 2 2 2 6" xfId="14856" xr:uid="{00000000-0005-0000-0000-00009A360000}"/>
    <cellStyle name="Normal 5 2 2 2 2 7" xfId="14857" xr:uid="{00000000-0005-0000-0000-00009B360000}"/>
    <cellStyle name="Normal 5 2 2 2 2 7 2" xfId="26651" xr:uid="{2E52344A-4281-454E-AC9B-BF2C7FC654E1}"/>
    <cellStyle name="Normal 5 2 2 2 2 7 2 2" xfId="41614" xr:uid="{1352D924-3A9B-4A2D-AD0E-ED74635875A4}"/>
    <cellStyle name="Normal 5 2 2 2 2 7 3" xfId="34024" xr:uid="{AD50E448-FE0C-4CCD-BCB5-C3B604F5A09F}"/>
    <cellStyle name="Normal 5 2 2 2 2 8" xfId="14858" xr:uid="{00000000-0005-0000-0000-00009C360000}"/>
    <cellStyle name="Normal 5 2 2 2 2 8 2" xfId="26652" xr:uid="{44451C01-2B76-48EE-BF3B-15EC9099F767}"/>
    <cellStyle name="Normal 5 2 2 2 2 8 2 2" xfId="41615" xr:uid="{AC30AD84-ED9A-4264-A205-C44C09AF4D5A}"/>
    <cellStyle name="Normal 5 2 2 2 2 8 3" xfId="34025" xr:uid="{B3780C83-75EE-4223-B0FA-0DD6C870EE45}"/>
    <cellStyle name="Normal 5 2 2 2 2 9" xfId="14859" xr:uid="{00000000-0005-0000-0000-00009D360000}"/>
    <cellStyle name="Normal 5 2 2 2 3" xfId="14860" xr:uid="{00000000-0005-0000-0000-00009E360000}"/>
    <cellStyle name="Normal 5 2 2 2 3 2" xfId="14861" xr:uid="{00000000-0005-0000-0000-00009F360000}"/>
    <cellStyle name="Normal 5 2 2 2 3 2 2" xfId="14862" xr:uid="{00000000-0005-0000-0000-0000A0360000}"/>
    <cellStyle name="Normal 5 2 2 2 3 2 2 2" xfId="14863" xr:uid="{00000000-0005-0000-0000-0000A1360000}"/>
    <cellStyle name="Normal 5 2 2 2 3 2 2 3" xfId="14864" xr:uid="{00000000-0005-0000-0000-0000A2360000}"/>
    <cellStyle name="Normal 5 2 2 2 3 2 2 3 2" xfId="26653" xr:uid="{34A24741-6A24-4F59-BED6-9848FA344464}"/>
    <cellStyle name="Normal 5 2 2 2 3 2 2 3 2 2" xfId="41616" xr:uid="{12954A01-87AD-4A8D-A3B3-9B8DE0D5BC0F}"/>
    <cellStyle name="Normal 5 2 2 2 3 2 2 3 3" xfId="34026" xr:uid="{52114E2F-7698-461D-8CF2-2A73378669BA}"/>
    <cellStyle name="Normal 5 2 2 2 3 2 2 4" xfId="14865" xr:uid="{00000000-0005-0000-0000-0000A3360000}"/>
    <cellStyle name="Normal 5 2 2 2 3 2 3" xfId="14866" xr:uid="{00000000-0005-0000-0000-0000A4360000}"/>
    <cellStyle name="Normal 5 2 2 2 3 2 4" xfId="14867" xr:uid="{00000000-0005-0000-0000-0000A5360000}"/>
    <cellStyle name="Normal 5 2 2 2 3 2 4 2" xfId="26654" xr:uid="{33CBF5B0-41ED-4A11-AAE4-AA16518EC1B6}"/>
    <cellStyle name="Normal 5 2 2 2 3 2 4 2 2" xfId="41617" xr:uid="{97B92EC1-172F-420D-92E5-99C3E44A16BC}"/>
    <cellStyle name="Normal 5 2 2 2 3 2 4 3" xfId="34027" xr:uid="{39D99833-6370-4D3F-825F-60D24C7A3A1E}"/>
    <cellStyle name="Normal 5 2 2 2 3 2 5" xfId="14868" xr:uid="{00000000-0005-0000-0000-0000A6360000}"/>
    <cellStyle name="Normal 5 2 2 2 3 2 5 2" xfId="26655" xr:uid="{A725DF05-431F-408E-928F-8A2978084C30}"/>
    <cellStyle name="Normal 5 2 2 2 3 2 5 2 2" xfId="41618" xr:uid="{67523F12-5F85-4D79-AFD3-15161C6D2A19}"/>
    <cellStyle name="Normal 5 2 2 2 3 2 5 3" xfId="34028" xr:uid="{E084BF1E-0CBD-459C-BF1F-82FCE5CF8EBC}"/>
    <cellStyle name="Normal 5 2 2 2 3 2 6" xfId="14869" xr:uid="{00000000-0005-0000-0000-0000A7360000}"/>
    <cellStyle name="Normal 5 2 2 2 3 3" xfId="14870" xr:uid="{00000000-0005-0000-0000-0000A8360000}"/>
    <cellStyle name="Normal 5 2 2 2 3 3 2" xfId="14871" xr:uid="{00000000-0005-0000-0000-0000A9360000}"/>
    <cellStyle name="Normal 5 2 2 2 3 3 2 2" xfId="14872" xr:uid="{00000000-0005-0000-0000-0000AA360000}"/>
    <cellStyle name="Normal 5 2 2 2 3 3 2 3" xfId="14873" xr:uid="{00000000-0005-0000-0000-0000AB360000}"/>
    <cellStyle name="Normal 5 2 2 2 3 3 3" xfId="14874" xr:uid="{00000000-0005-0000-0000-0000AC360000}"/>
    <cellStyle name="Normal 5 2 2 2 3 3 4" xfId="14875" xr:uid="{00000000-0005-0000-0000-0000AD360000}"/>
    <cellStyle name="Normal 5 2 2 2 3 3 4 2" xfId="26656" xr:uid="{8D634C57-0B30-4C76-8A5E-191BE06C5AFC}"/>
    <cellStyle name="Normal 5 2 2 2 3 3 4 2 2" xfId="41619" xr:uid="{1F7BCB92-4B63-4D2D-812B-F56DC2DC27E4}"/>
    <cellStyle name="Normal 5 2 2 2 3 3 4 3" xfId="34029" xr:uid="{D91A6C70-0DED-4702-AA1A-FA69DD01F8CC}"/>
    <cellStyle name="Normal 5 2 2 2 3 3 5" xfId="14876" xr:uid="{00000000-0005-0000-0000-0000AE360000}"/>
    <cellStyle name="Normal 5 2 2 2 3 3 5 2" xfId="26657" xr:uid="{9937521B-A0AD-4345-BE51-5D4D59FC84BD}"/>
    <cellStyle name="Normal 5 2 2 2 3 3 5 2 2" xfId="41620" xr:uid="{8A734230-C8A2-415A-9E69-1353998B8F56}"/>
    <cellStyle name="Normal 5 2 2 2 3 3 5 3" xfId="34030" xr:uid="{5DB60F2E-768E-4861-946A-4BF2626B501A}"/>
    <cellStyle name="Normal 5 2 2 2 3 3 6" xfId="14877" xr:uid="{00000000-0005-0000-0000-0000AF360000}"/>
    <cellStyle name="Normal 5 2 2 2 3 4" xfId="14878" xr:uid="{00000000-0005-0000-0000-0000B0360000}"/>
    <cellStyle name="Normal 5 2 2 2 3 4 2" xfId="14879" xr:uid="{00000000-0005-0000-0000-0000B1360000}"/>
    <cellStyle name="Normal 5 2 2 2 3 4 3" xfId="14880" xr:uid="{00000000-0005-0000-0000-0000B2360000}"/>
    <cellStyle name="Normal 5 2 2 2 3 5" xfId="14881" xr:uid="{00000000-0005-0000-0000-0000B3360000}"/>
    <cellStyle name="Normal 5 2 2 2 3 6" xfId="14882" xr:uid="{00000000-0005-0000-0000-0000B4360000}"/>
    <cellStyle name="Normal 5 2 2 2 3 6 2" xfId="26658" xr:uid="{940FA60E-E9A1-4399-BC45-D0BDAD887454}"/>
    <cellStyle name="Normal 5 2 2 2 3 6 2 2" xfId="41621" xr:uid="{D1B043C3-13DC-4BB5-953D-AEC380EB4580}"/>
    <cellStyle name="Normal 5 2 2 2 3 6 3" xfId="34031" xr:uid="{72B2DF30-D1B9-44E5-AD8F-E8E6197279C6}"/>
    <cellStyle name="Normal 5 2 2 2 3 7" xfId="14883" xr:uid="{00000000-0005-0000-0000-0000B5360000}"/>
    <cellStyle name="Normal 5 2 2 2 3 7 2" xfId="26659" xr:uid="{DEC55423-8884-4A03-92A7-63DBC42BAB16}"/>
    <cellStyle name="Normal 5 2 2 2 3 7 2 2" xfId="41622" xr:uid="{A9988EA3-43A5-4533-8A5A-4C7AA0A067D8}"/>
    <cellStyle name="Normal 5 2 2 2 3 7 3" xfId="34032" xr:uid="{45402287-1DA1-441F-BA2C-FAF7B9E5AFB0}"/>
    <cellStyle name="Normal 5 2 2 2 3 8" xfId="14884" xr:uid="{00000000-0005-0000-0000-0000B6360000}"/>
    <cellStyle name="Normal 5 2 2 2 4" xfId="14885" xr:uid="{00000000-0005-0000-0000-0000B7360000}"/>
    <cellStyle name="Normal 5 2 2 2 4 2" xfId="14886" xr:uid="{00000000-0005-0000-0000-0000B8360000}"/>
    <cellStyle name="Normal 5 2 2 2 4 2 2" xfId="14887" xr:uid="{00000000-0005-0000-0000-0000B9360000}"/>
    <cellStyle name="Normal 5 2 2 2 4 2 3" xfId="14888" xr:uid="{00000000-0005-0000-0000-0000BA360000}"/>
    <cellStyle name="Normal 5 2 2 2 4 2 3 2" xfId="26660" xr:uid="{CF97F367-3449-4167-B06B-680D8F767033}"/>
    <cellStyle name="Normal 5 2 2 2 4 2 3 2 2" xfId="41623" xr:uid="{3BFF10E9-6A96-47F5-B94F-799717DF10BD}"/>
    <cellStyle name="Normal 5 2 2 2 4 2 3 3" xfId="34033" xr:uid="{ACB0FB90-4937-4B64-B7FD-EA3B746BBBE3}"/>
    <cellStyle name="Normal 5 2 2 2 4 2 4" xfId="14889" xr:uid="{00000000-0005-0000-0000-0000BB360000}"/>
    <cellStyle name="Normal 5 2 2 2 4 3" xfId="14890" xr:uid="{00000000-0005-0000-0000-0000BC360000}"/>
    <cellStyle name="Normal 5 2 2 2 4 4" xfId="14891" xr:uid="{00000000-0005-0000-0000-0000BD360000}"/>
    <cellStyle name="Normal 5 2 2 2 4 4 2" xfId="26661" xr:uid="{FF53DA42-F193-47A9-A514-E9CA17671F33}"/>
    <cellStyle name="Normal 5 2 2 2 4 4 2 2" xfId="41624" xr:uid="{7E1961F1-6EBA-4293-8E5F-6A789BAB2E32}"/>
    <cellStyle name="Normal 5 2 2 2 4 4 3" xfId="34034" xr:uid="{FAB14D64-CC39-46BE-B4C0-3DA5A589667F}"/>
    <cellStyle name="Normal 5 2 2 2 4 5" xfId="14892" xr:uid="{00000000-0005-0000-0000-0000BE360000}"/>
    <cellStyle name="Normal 5 2 2 2 4 5 2" xfId="26662" xr:uid="{92066571-9AC1-4406-A42E-590A2C62ADC1}"/>
    <cellStyle name="Normal 5 2 2 2 4 5 2 2" xfId="41625" xr:uid="{27DB42B4-24B5-4D59-AE42-DF0101E7C691}"/>
    <cellStyle name="Normal 5 2 2 2 4 5 3" xfId="34035" xr:uid="{FA9E3DD8-EA44-431A-89DE-3DD41F731315}"/>
    <cellStyle name="Normal 5 2 2 2 4 6" xfId="14893" xr:uid="{00000000-0005-0000-0000-0000BF360000}"/>
    <cellStyle name="Normal 5 2 2 2 5" xfId="14894" xr:uid="{00000000-0005-0000-0000-0000C0360000}"/>
    <cellStyle name="Normal 5 2 2 2 5 2" xfId="14895" xr:uid="{00000000-0005-0000-0000-0000C1360000}"/>
    <cellStyle name="Normal 5 2 2 2 5 2 2" xfId="14896" xr:uid="{00000000-0005-0000-0000-0000C2360000}"/>
    <cellStyle name="Normal 5 2 2 2 5 2 3" xfId="14897" xr:uid="{00000000-0005-0000-0000-0000C3360000}"/>
    <cellStyle name="Normal 5 2 2 2 5 3" xfId="14898" xr:uid="{00000000-0005-0000-0000-0000C4360000}"/>
    <cellStyle name="Normal 5 2 2 2 5 4" xfId="14899" xr:uid="{00000000-0005-0000-0000-0000C5360000}"/>
    <cellStyle name="Normal 5 2 2 2 5 4 2" xfId="26663" xr:uid="{C5344E72-3A9D-4C21-8705-513C53DCEB75}"/>
    <cellStyle name="Normal 5 2 2 2 5 4 2 2" xfId="41626" xr:uid="{25EB3889-3EFE-4686-898C-7FC732DD5929}"/>
    <cellStyle name="Normal 5 2 2 2 5 4 3" xfId="34036" xr:uid="{E578FA05-E045-4F40-A16E-C576A50E3C52}"/>
    <cellStyle name="Normal 5 2 2 2 5 5" xfId="14900" xr:uid="{00000000-0005-0000-0000-0000C6360000}"/>
    <cellStyle name="Normal 5 2 2 2 5 5 2" xfId="26664" xr:uid="{5B199BD3-BAD9-4F29-AE51-FEB71EC53ADE}"/>
    <cellStyle name="Normal 5 2 2 2 5 5 2 2" xfId="41627" xr:uid="{10794186-6828-47AA-9780-DCB03FC76895}"/>
    <cellStyle name="Normal 5 2 2 2 5 5 3" xfId="34037" xr:uid="{E35BDE0B-1EA1-4915-91F6-8FF5EEF96348}"/>
    <cellStyle name="Normal 5 2 2 2 5 6" xfId="14901" xr:uid="{00000000-0005-0000-0000-0000C7360000}"/>
    <cellStyle name="Normal 5 2 2 2 6" xfId="14902" xr:uid="{00000000-0005-0000-0000-0000C8360000}"/>
    <cellStyle name="Normal 5 2 2 2 6 2" xfId="14903" xr:uid="{00000000-0005-0000-0000-0000C9360000}"/>
    <cellStyle name="Normal 5 2 2 2 6 3" xfId="14904" xr:uid="{00000000-0005-0000-0000-0000CA360000}"/>
    <cellStyle name="Normal 5 2 2 2 7" xfId="14905" xr:uid="{00000000-0005-0000-0000-0000CB360000}"/>
    <cellStyle name="Normal 5 2 2 2 8" xfId="14906" xr:uid="{00000000-0005-0000-0000-0000CC360000}"/>
    <cellStyle name="Normal 5 2 2 2 8 2" xfId="26665" xr:uid="{A024A8B0-7D2C-4EF3-AD3C-153637762825}"/>
    <cellStyle name="Normal 5 2 2 2 8 2 2" xfId="41628" xr:uid="{55D3644C-5BA6-4501-A820-9C0B3E62D167}"/>
    <cellStyle name="Normal 5 2 2 2 8 3" xfId="34038" xr:uid="{BAC32441-C7F4-4D61-8E54-52B22EE014B5}"/>
    <cellStyle name="Normal 5 2 2 2 9" xfId="14907" xr:uid="{00000000-0005-0000-0000-0000CD360000}"/>
    <cellStyle name="Normal 5 2 2 2 9 2" xfId="26666" xr:uid="{B7D2AA59-A2CE-4E04-A8C7-B323370A2170}"/>
    <cellStyle name="Normal 5 2 2 2 9 2 2" xfId="41629" xr:uid="{958C545B-7584-479F-BBA9-35313FF12FA6}"/>
    <cellStyle name="Normal 5 2 2 2 9 3" xfId="34039" xr:uid="{0758902B-97E0-41A1-93AA-EE1C6C0D4958}"/>
    <cellStyle name="Normal 5 2 2 3" xfId="14908" xr:uid="{00000000-0005-0000-0000-0000CE360000}"/>
    <cellStyle name="Normal 5 2 2 3 2" xfId="14909" xr:uid="{00000000-0005-0000-0000-0000CF360000}"/>
    <cellStyle name="Normal 5 2 2 3 2 2" xfId="14910" xr:uid="{00000000-0005-0000-0000-0000D0360000}"/>
    <cellStyle name="Normal 5 2 2 3 2 2 2" xfId="14911" xr:uid="{00000000-0005-0000-0000-0000D1360000}"/>
    <cellStyle name="Normal 5 2 2 3 2 2 2 2" xfId="14912" xr:uid="{00000000-0005-0000-0000-0000D2360000}"/>
    <cellStyle name="Normal 5 2 2 3 2 2 2 3" xfId="14913" xr:uid="{00000000-0005-0000-0000-0000D3360000}"/>
    <cellStyle name="Normal 5 2 2 3 2 2 3" xfId="14914" xr:uid="{00000000-0005-0000-0000-0000D4360000}"/>
    <cellStyle name="Normal 5 2 2 3 2 2 4" xfId="14915" xr:uid="{00000000-0005-0000-0000-0000D5360000}"/>
    <cellStyle name="Normal 5 2 2 3 2 2 4 2" xfId="26667" xr:uid="{1D1257FB-CDE8-4F3F-9978-F31BFBBCE0ED}"/>
    <cellStyle name="Normal 5 2 2 3 2 2 4 2 2" xfId="41630" xr:uid="{F6A5BFF5-7203-4C00-AC80-54EC1160341E}"/>
    <cellStyle name="Normal 5 2 2 3 2 2 4 3" xfId="34040" xr:uid="{D0C8C11F-66E7-40DF-B490-5908E6498EEC}"/>
    <cellStyle name="Normal 5 2 2 3 2 2 5" xfId="14916" xr:uid="{00000000-0005-0000-0000-0000D6360000}"/>
    <cellStyle name="Normal 5 2 2 3 2 2 5 2" xfId="26668" xr:uid="{CE3F4D4C-F914-4B96-B0CC-007C2FF867D3}"/>
    <cellStyle name="Normal 5 2 2 3 2 2 5 2 2" xfId="41631" xr:uid="{A50F0C5A-EBB1-4366-BD13-29CF316817CD}"/>
    <cellStyle name="Normal 5 2 2 3 2 2 5 3" xfId="34041" xr:uid="{75641BEF-3B42-4EF7-847A-E81116851413}"/>
    <cellStyle name="Normal 5 2 2 3 2 2 6" xfId="14917" xr:uid="{00000000-0005-0000-0000-0000D7360000}"/>
    <cellStyle name="Normal 5 2 2 3 2 3" xfId="14918" xr:uid="{00000000-0005-0000-0000-0000D8360000}"/>
    <cellStyle name="Normal 5 2 2 3 2 3 2" xfId="14919" xr:uid="{00000000-0005-0000-0000-0000D9360000}"/>
    <cellStyle name="Normal 5 2 2 3 2 3 2 2" xfId="14920" xr:uid="{00000000-0005-0000-0000-0000DA360000}"/>
    <cellStyle name="Normal 5 2 2 3 2 3 2 3" xfId="14921" xr:uid="{00000000-0005-0000-0000-0000DB360000}"/>
    <cellStyle name="Normal 5 2 2 3 2 3 3" xfId="14922" xr:uid="{00000000-0005-0000-0000-0000DC360000}"/>
    <cellStyle name="Normal 5 2 2 3 2 3 3 2" xfId="14923" xr:uid="{00000000-0005-0000-0000-0000DD360000}"/>
    <cellStyle name="Normal 5 2 2 3 2 3 3 3" xfId="26669" xr:uid="{1C70BF11-BB67-4BC4-9FF7-964511653547}"/>
    <cellStyle name="Normal 5 2 2 3 2 3 3 3 2" xfId="41632" xr:uid="{5B534144-E1D2-40D2-9AB4-B10EFDDAFDE3}"/>
    <cellStyle name="Normal 5 2 2 3 2 3 3 4" xfId="34042" xr:uid="{3EF98D7C-8F86-4CC4-9A72-2EADB3341641}"/>
    <cellStyle name="Normal 5 2 2 3 2 3 4" xfId="14924" xr:uid="{00000000-0005-0000-0000-0000DE360000}"/>
    <cellStyle name="Normal 5 2 2 3 2 4" xfId="14925" xr:uid="{00000000-0005-0000-0000-0000DF360000}"/>
    <cellStyle name="Normal 5 2 2 3 2 4 2" xfId="14926" xr:uid="{00000000-0005-0000-0000-0000E0360000}"/>
    <cellStyle name="Normal 5 2 2 3 2 4 3" xfId="14927" xr:uid="{00000000-0005-0000-0000-0000E1360000}"/>
    <cellStyle name="Normal 5 2 2 3 2 5" xfId="14928" xr:uid="{00000000-0005-0000-0000-0000E2360000}"/>
    <cellStyle name="Normal 5 2 2 3 2 6" xfId="14929" xr:uid="{00000000-0005-0000-0000-0000E3360000}"/>
    <cellStyle name="Normal 5 2 2 3 2 6 2" xfId="26670" xr:uid="{AC8D7894-2FE8-4CD3-B030-417B50FAB188}"/>
    <cellStyle name="Normal 5 2 2 3 2 6 2 2" xfId="41633" xr:uid="{44B02888-B6A4-49DE-89A8-62FBF0C687E3}"/>
    <cellStyle name="Normal 5 2 2 3 2 6 3" xfId="34043" xr:uid="{0585A169-FA6B-43DC-91BF-9894BD5EFF08}"/>
    <cellStyle name="Normal 5 2 2 3 2 7" xfId="14930" xr:uid="{00000000-0005-0000-0000-0000E4360000}"/>
    <cellStyle name="Normal 5 2 2 3 2 7 2" xfId="26671" xr:uid="{EE277B79-1C61-463F-BB4C-5FF0FD0AAE24}"/>
    <cellStyle name="Normal 5 2 2 3 2 7 2 2" xfId="41634" xr:uid="{BF12D035-74E1-488E-ACA7-BF2759736588}"/>
    <cellStyle name="Normal 5 2 2 3 2 7 3" xfId="34044" xr:uid="{6E430E18-CABE-435E-A467-6B3FDC79D5F7}"/>
    <cellStyle name="Normal 5 2 2 3 2 8" xfId="14931" xr:uid="{00000000-0005-0000-0000-0000E5360000}"/>
    <cellStyle name="Normal 5 2 2 3 3" xfId="14932" xr:uid="{00000000-0005-0000-0000-0000E6360000}"/>
    <cellStyle name="Normal 5 2 2 3 3 2" xfId="14933" xr:uid="{00000000-0005-0000-0000-0000E7360000}"/>
    <cellStyle name="Normal 5 2 2 3 3 2 2" xfId="14934" xr:uid="{00000000-0005-0000-0000-0000E8360000}"/>
    <cellStyle name="Normal 5 2 2 3 3 2 3" xfId="14935" xr:uid="{00000000-0005-0000-0000-0000E9360000}"/>
    <cellStyle name="Normal 5 2 2 3 3 2 3 2" xfId="26672" xr:uid="{EB9D394F-FEF8-4E71-BAF9-7BDB487F22A0}"/>
    <cellStyle name="Normal 5 2 2 3 3 2 3 2 2" xfId="41635" xr:uid="{ECB0EA33-DA62-49C1-9D7C-8D8A92398F7C}"/>
    <cellStyle name="Normal 5 2 2 3 3 2 3 3" xfId="34045" xr:uid="{5EA49FE4-C1C6-4C47-87A2-142F6F58D813}"/>
    <cellStyle name="Normal 5 2 2 3 3 2 4" xfId="14936" xr:uid="{00000000-0005-0000-0000-0000EA360000}"/>
    <cellStyle name="Normal 5 2 2 3 3 3" xfId="14937" xr:uid="{00000000-0005-0000-0000-0000EB360000}"/>
    <cellStyle name="Normal 5 2 2 3 3 4" xfId="14938" xr:uid="{00000000-0005-0000-0000-0000EC360000}"/>
    <cellStyle name="Normal 5 2 2 3 3 4 2" xfId="26673" xr:uid="{ECB424A8-C811-416E-84B2-9EEA7395604E}"/>
    <cellStyle name="Normal 5 2 2 3 3 4 2 2" xfId="41636" xr:uid="{CC4A39C6-2EF7-461D-A4C5-0863999844B1}"/>
    <cellStyle name="Normal 5 2 2 3 3 4 3" xfId="34046" xr:uid="{F404B620-4E6C-4736-B52A-19BEB49878C5}"/>
    <cellStyle name="Normal 5 2 2 3 3 5" xfId="14939" xr:uid="{00000000-0005-0000-0000-0000ED360000}"/>
    <cellStyle name="Normal 5 2 2 3 3 5 2" xfId="26674" xr:uid="{DB8F1A50-98F3-4B34-89B1-8265AA14887D}"/>
    <cellStyle name="Normal 5 2 2 3 3 5 2 2" xfId="41637" xr:uid="{E0A69899-E38B-41D8-86F5-1EA369DB35C0}"/>
    <cellStyle name="Normal 5 2 2 3 3 5 3" xfId="34047" xr:uid="{71E36573-8A05-47F4-A5CA-FFD3FD499E1A}"/>
    <cellStyle name="Normal 5 2 2 3 3 6" xfId="14940" xr:uid="{00000000-0005-0000-0000-0000EE360000}"/>
    <cellStyle name="Normal 5 2 2 3 4" xfId="14941" xr:uid="{00000000-0005-0000-0000-0000EF360000}"/>
    <cellStyle name="Normal 5 2 2 3 4 2" xfId="14942" xr:uid="{00000000-0005-0000-0000-0000F0360000}"/>
    <cellStyle name="Normal 5 2 2 3 4 2 2" xfId="14943" xr:uid="{00000000-0005-0000-0000-0000F1360000}"/>
    <cellStyle name="Normal 5 2 2 3 4 2 3" xfId="14944" xr:uid="{00000000-0005-0000-0000-0000F2360000}"/>
    <cellStyle name="Normal 5 2 2 3 4 3" xfId="14945" xr:uid="{00000000-0005-0000-0000-0000F3360000}"/>
    <cellStyle name="Normal 5 2 2 3 4 4" xfId="14946" xr:uid="{00000000-0005-0000-0000-0000F4360000}"/>
    <cellStyle name="Normal 5 2 2 3 4 4 2" xfId="26675" xr:uid="{A815DBB9-5DB1-4C92-AFC9-FAA2E6B6200B}"/>
    <cellStyle name="Normal 5 2 2 3 4 4 2 2" xfId="41638" xr:uid="{7D381EC5-5E9D-4FB7-A5B2-821AF413A876}"/>
    <cellStyle name="Normal 5 2 2 3 4 4 3" xfId="34048" xr:uid="{7A13E47B-6CDE-4B58-AE2B-1178223AC6D9}"/>
    <cellStyle name="Normal 5 2 2 3 4 5" xfId="14947" xr:uid="{00000000-0005-0000-0000-0000F5360000}"/>
    <cellStyle name="Normal 5 2 2 3 4 5 2" xfId="26676" xr:uid="{477FE093-825F-4D83-AEEE-609EBDBAA09B}"/>
    <cellStyle name="Normal 5 2 2 3 4 5 2 2" xfId="41639" xr:uid="{88BC0496-30C6-403C-B17E-AF84BF63A5EB}"/>
    <cellStyle name="Normal 5 2 2 3 4 5 3" xfId="34049" xr:uid="{31646822-C52A-4CF5-ACE9-552C0F3CD390}"/>
    <cellStyle name="Normal 5 2 2 3 4 6" xfId="14948" xr:uid="{00000000-0005-0000-0000-0000F6360000}"/>
    <cellStyle name="Normal 5 2 2 3 5" xfId="14949" xr:uid="{00000000-0005-0000-0000-0000F7360000}"/>
    <cellStyle name="Normal 5 2 2 3 5 2" xfId="14950" xr:uid="{00000000-0005-0000-0000-0000F8360000}"/>
    <cellStyle name="Normal 5 2 2 3 5 3" xfId="14951" xr:uid="{00000000-0005-0000-0000-0000F9360000}"/>
    <cellStyle name="Normal 5 2 2 3 6" xfId="14952" xr:uid="{00000000-0005-0000-0000-0000FA360000}"/>
    <cellStyle name="Normal 5 2 2 3 7" xfId="14953" xr:uid="{00000000-0005-0000-0000-0000FB360000}"/>
    <cellStyle name="Normal 5 2 2 3 7 2" xfId="26677" xr:uid="{3B4F63B1-2E05-4FC1-9CEE-3ED77FB3531C}"/>
    <cellStyle name="Normal 5 2 2 3 7 2 2" xfId="41640" xr:uid="{0160CA88-264D-442B-87E4-E15F46FA70CE}"/>
    <cellStyle name="Normal 5 2 2 3 7 3" xfId="34050" xr:uid="{2BF188E9-DBBD-4A42-ADD0-15CBC705DD1B}"/>
    <cellStyle name="Normal 5 2 2 3 8" xfId="14954" xr:uid="{00000000-0005-0000-0000-0000FC360000}"/>
    <cellStyle name="Normal 5 2 2 3 8 2" xfId="26678" xr:uid="{A8F764B8-4094-42B8-B34D-5DB64AA0220D}"/>
    <cellStyle name="Normal 5 2 2 3 8 2 2" xfId="41641" xr:uid="{BE3C9ACC-0A8C-4B9B-95AB-A40D94D96332}"/>
    <cellStyle name="Normal 5 2 2 3 8 3" xfId="34051" xr:uid="{95ECF99E-B8CE-42C7-B935-50C064B8C6B1}"/>
    <cellStyle name="Normal 5 2 2 3 9" xfId="14955" xr:uid="{00000000-0005-0000-0000-0000FD360000}"/>
    <cellStyle name="Normal 5 2 2 4" xfId="14956" xr:uid="{00000000-0005-0000-0000-0000FE360000}"/>
    <cellStyle name="Normal 5 2 2 4 2" xfId="14957" xr:uid="{00000000-0005-0000-0000-0000FF360000}"/>
    <cellStyle name="Normal 5 2 2 4 2 2" xfId="14958" xr:uid="{00000000-0005-0000-0000-000000370000}"/>
    <cellStyle name="Normal 5 2 2 4 2 2 2" xfId="14959" xr:uid="{00000000-0005-0000-0000-000001370000}"/>
    <cellStyle name="Normal 5 2 2 4 2 2 3" xfId="14960" xr:uid="{00000000-0005-0000-0000-000002370000}"/>
    <cellStyle name="Normal 5 2 2 4 2 2 3 2" xfId="26679" xr:uid="{3649B895-760A-4D0F-AFF5-DF684E5ED937}"/>
    <cellStyle name="Normal 5 2 2 4 2 2 3 2 2" xfId="41642" xr:uid="{60DCE6A3-E804-4E66-94AD-207C331F22F8}"/>
    <cellStyle name="Normal 5 2 2 4 2 2 3 3" xfId="34052" xr:uid="{640929A3-7D55-4BFD-9B01-E84975A28D14}"/>
    <cellStyle name="Normal 5 2 2 4 2 2 4" xfId="14961" xr:uid="{00000000-0005-0000-0000-000003370000}"/>
    <cellStyle name="Normal 5 2 2 4 2 3" xfId="14962" xr:uid="{00000000-0005-0000-0000-000004370000}"/>
    <cellStyle name="Normal 5 2 2 4 2 4" xfId="14963" xr:uid="{00000000-0005-0000-0000-000005370000}"/>
    <cellStyle name="Normal 5 2 2 4 2 4 2" xfId="26680" xr:uid="{AB8ADB14-D1C0-49AB-A4D9-6D372248B5EF}"/>
    <cellStyle name="Normal 5 2 2 4 2 4 2 2" xfId="41643" xr:uid="{E887A807-D880-469B-8392-FCED291F5A87}"/>
    <cellStyle name="Normal 5 2 2 4 2 4 3" xfId="34053" xr:uid="{83329BF7-7C84-46C6-A6A5-8A8400FCD1F0}"/>
    <cellStyle name="Normal 5 2 2 4 2 5" xfId="14964" xr:uid="{00000000-0005-0000-0000-000006370000}"/>
    <cellStyle name="Normal 5 2 2 4 2 5 2" xfId="26681" xr:uid="{07FD2ADF-F48F-44F4-8C64-E0BA40CFDE0A}"/>
    <cellStyle name="Normal 5 2 2 4 2 5 2 2" xfId="41644" xr:uid="{5839F11C-7B03-4423-AD43-6C2495203A67}"/>
    <cellStyle name="Normal 5 2 2 4 2 5 3" xfId="34054" xr:uid="{E1C528B9-159C-4E90-89B4-43DD8D527C83}"/>
    <cellStyle name="Normal 5 2 2 4 2 6" xfId="14965" xr:uid="{00000000-0005-0000-0000-000007370000}"/>
    <cellStyle name="Normal 5 2 2 4 3" xfId="14966" xr:uid="{00000000-0005-0000-0000-000008370000}"/>
    <cellStyle name="Normal 5 2 2 4 3 2" xfId="14967" xr:uid="{00000000-0005-0000-0000-000009370000}"/>
    <cellStyle name="Normal 5 2 2 4 3 2 2" xfId="14968" xr:uid="{00000000-0005-0000-0000-00000A370000}"/>
    <cellStyle name="Normal 5 2 2 4 3 2 3" xfId="14969" xr:uid="{00000000-0005-0000-0000-00000B370000}"/>
    <cellStyle name="Normal 5 2 2 4 3 3" xfId="14970" xr:uid="{00000000-0005-0000-0000-00000C370000}"/>
    <cellStyle name="Normal 5 2 2 4 3 4" xfId="14971" xr:uid="{00000000-0005-0000-0000-00000D370000}"/>
    <cellStyle name="Normal 5 2 2 4 3 4 2" xfId="26682" xr:uid="{F41318A5-1B80-44BF-B95F-064EF46D03EE}"/>
    <cellStyle name="Normal 5 2 2 4 3 4 2 2" xfId="41645" xr:uid="{25593CEF-ECD6-4F05-908C-ABDF99C742B6}"/>
    <cellStyle name="Normal 5 2 2 4 3 4 3" xfId="34055" xr:uid="{BAF3D724-52FD-44E4-BD69-B931CA0A29E2}"/>
    <cellStyle name="Normal 5 2 2 4 3 5" xfId="14972" xr:uid="{00000000-0005-0000-0000-00000E370000}"/>
    <cellStyle name="Normal 5 2 2 4 3 5 2" xfId="26683" xr:uid="{D04F1757-E432-4A37-987F-59B47A0F7A67}"/>
    <cellStyle name="Normal 5 2 2 4 3 5 2 2" xfId="41646" xr:uid="{723665FE-DF29-4262-BF6D-174A17498E24}"/>
    <cellStyle name="Normal 5 2 2 4 3 5 3" xfId="34056" xr:uid="{0DC58C3D-E9EC-4AC2-AD5F-D97F4C8835F3}"/>
    <cellStyle name="Normal 5 2 2 4 3 6" xfId="14973" xr:uid="{00000000-0005-0000-0000-00000F370000}"/>
    <cellStyle name="Normal 5 2 2 4 4" xfId="14974" xr:uid="{00000000-0005-0000-0000-000010370000}"/>
    <cellStyle name="Normal 5 2 2 4 4 2" xfId="14975" xr:uid="{00000000-0005-0000-0000-000011370000}"/>
    <cellStyle name="Normal 5 2 2 4 4 3" xfId="14976" xr:uid="{00000000-0005-0000-0000-000012370000}"/>
    <cellStyle name="Normal 5 2 2 4 5" xfId="14977" xr:uid="{00000000-0005-0000-0000-000013370000}"/>
    <cellStyle name="Normal 5 2 2 4 6" xfId="14978" xr:uid="{00000000-0005-0000-0000-000014370000}"/>
    <cellStyle name="Normal 5 2 2 4 6 2" xfId="26684" xr:uid="{665DB817-1D86-4B3A-94AC-B91A35398850}"/>
    <cellStyle name="Normal 5 2 2 4 6 2 2" xfId="41647" xr:uid="{4D1836CB-A096-499E-BE43-FE86432046A7}"/>
    <cellStyle name="Normal 5 2 2 4 6 3" xfId="34057" xr:uid="{17A3EDA3-BCCD-4BE4-8169-C512DA908DD2}"/>
    <cellStyle name="Normal 5 2 2 4 7" xfId="14979" xr:uid="{00000000-0005-0000-0000-000015370000}"/>
    <cellStyle name="Normal 5 2 2 4 7 2" xfId="26685" xr:uid="{71386F6D-1894-40D4-B011-FC94422A3FAC}"/>
    <cellStyle name="Normal 5 2 2 4 7 2 2" xfId="41648" xr:uid="{4F0078B6-FA9B-4A41-9086-FA192B74B74E}"/>
    <cellStyle name="Normal 5 2 2 4 7 3" xfId="34058" xr:uid="{506A4A52-DCA8-4480-91FD-12A77D57C091}"/>
    <cellStyle name="Normal 5 2 2 4 8" xfId="14980" xr:uid="{00000000-0005-0000-0000-000016370000}"/>
    <cellStyle name="Normal 5 2 2 5" xfId="14981" xr:uid="{00000000-0005-0000-0000-000017370000}"/>
    <cellStyle name="Normal 5 2 2 5 2" xfId="14982" xr:uid="{00000000-0005-0000-0000-000018370000}"/>
    <cellStyle name="Normal 5 2 2 5 2 2" xfId="14983" xr:uid="{00000000-0005-0000-0000-000019370000}"/>
    <cellStyle name="Normal 5 2 2 5 2 3" xfId="26686" xr:uid="{142E6767-A37E-4F0E-89C1-9149BAD9EAB3}"/>
    <cellStyle name="Normal 5 2 2 5 2 3 2" xfId="41649" xr:uid="{45A54C8B-C7E3-4411-B57D-59AD03FF8D1F}"/>
    <cellStyle name="Normal 5 2 2 5 2 4" xfId="34059" xr:uid="{5466E2B1-547B-45C7-9E9C-B507A43EE1A0}"/>
    <cellStyle name="Normal 5 2 2 5 3" xfId="14984" xr:uid="{00000000-0005-0000-0000-00001A370000}"/>
    <cellStyle name="Normal 5 2 2 5 4" xfId="14985" xr:uid="{00000000-0005-0000-0000-00001B370000}"/>
    <cellStyle name="Normal 5 2 2 5 4 2" xfId="26687" xr:uid="{0C0213A0-FA42-49F0-BF2C-6877EC5754E1}"/>
    <cellStyle name="Normal 5 2 2 5 4 2 2" xfId="41650" xr:uid="{B268D898-FB77-40B5-8F0B-68C3A31D25FD}"/>
    <cellStyle name="Normal 5 2 2 5 4 3" xfId="34060" xr:uid="{3F0F90A2-AFB7-470D-B4F0-F75033136AE1}"/>
    <cellStyle name="Normal 5 2 2 5 5" xfId="14986" xr:uid="{00000000-0005-0000-0000-00001C370000}"/>
    <cellStyle name="Normal 5 2 2 6" xfId="14987" xr:uid="{00000000-0005-0000-0000-00001D370000}"/>
    <cellStyle name="Normal 5 2 2 6 2" xfId="14988" xr:uid="{00000000-0005-0000-0000-00001E370000}"/>
    <cellStyle name="Normal 5 2 2 6 2 2" xfId="14989" xr:uid="{00000000-0005-0000-0000-00001F370000}"/>
    <cellStyle name="Normal 5 2 2 6 2 3" xfId="14990" xr:uid="{00000000-0005-0000-0000-000020370000}"/>
    <cellStyle name="Normal 5 2 2 6 3" xfId="14991" xr:uid="{00000000-0005-0000-0000-000021370000}"/>
    <cellStyle name="Normal 5 2 2 6 4" xfId="14992" xr:uid="{00000000-0005-0000-0000-000022370000}"/>
    <cellStyle name="Normal 5 2 2 6 4 2" xfId="26688" xr:uid="{EC0BBFAB-31E4-4B68-9BB9-5074FA48D2BA}"/>
    <cellStyle name="Normal 5 2 2 6 4 2 2" xfId="41651" xr:uid="{CB9A2BFF-6F21-4AB5-92D8-5333802A6C6E}"/>
    <cellStyle name="Normal 5 2 2 6 4 3" xfId="34061" xr:uid="{9CE62C06-223E-40D4-A6C6-8C599BA9D517}"/>
    <cellStyle name="Normal 5 2 2 6 5" xfId="14993" xr:uid="{00000000-0005-0000-0000-000023370000}"/>
    <cellStyle name="Normal 5 2 2 6 5 2" xfId="26689" xr:uid="{E3EE8F76-14DB-418C-91A9-C980FEA50E06}"/>
    <cellStyle name="Normal 5 2 2 6 5 2 2" xfId="41652" xr:uid="{238EE067-74EE-4B55-AC17-F9DA5A8C997E}"/>
    <cellStyle name="Normal 5 2 2 6 5 3" xfId="34062" xr:uid="{0608C394-F6DD-4383-8751-554159F1E009}"/>
    <cellStyle name="Normal 5 2 2 6 6" xfId="14994" xr:uid="{00000000-0005-0000-0000-000024370000}"/>
    <cellStyle name="Normal 5 2 2 7" xfId="14995" xr:uid="{00000000-0005-0000-0000-000025370000}"/>
    <cellStyle name="Normal 5 2 2 7 2" xfId="14996" xr:uid="{00000000-0005-0000-0000-000026370000}"/>
    <cellStyle name="Normal 5 2 2 7 2 2" xfId="14997" xr:uid="{00000000-0005-0000-0000-000027370000}"/>
    <cellStyle name="Normal 5 2 2 7 2 3" xfId="14998" xr:uid="{00000000-0005-0000-0000-000028370000}"/>
    <cellStyle name="Normal 5 2 2 7 3" xfId="14999" xr:uid="{00000000-0005-0000-0000-000029370000}"/>
    <cellStyle name="Normal 5 2 2 7 4" xfId="15000" xr:uid="{00000000-0005-0000-0000-00002A370000}"/>
    <cellStyle name="Normal 5 2 2 7 4 2" xfId="26690" xr:uid="{738CCE42-31DF-4A13-8BC9-97DAF2CB869B}"/>
    <cellStyle name="Normal 5 2 2 7 4 2 2" xfId="41653" xr:uid="{D1CE1A24-315B-4C45-855A-52C45123ACB9}"/>
    <cellStyle name="Normal 5 2 2 7 4 3" xfId="34063" xr:uid="{EA3B216E-1C84-4807-A0ED-65FDB0D1116F}"/>
    <cellStyle name="Normal 5 2 2 7 5" xfId="15001" xr:uid="{00000000-0005-0000-0000-00002B370000}"/>
    <cellStyle name="Normal 5 2 2 7 5 2" xfId="26691" xr:uid="{38F8E56A-978F-415C-BC62-42909C7565AE}"/>
    <cellStyle name="Normal 5 2 2 7 5 2 2" xfId="41654" xr:uid="{BEE11090-2ED1-426B-903A-5125B2C0C316}"/>
    <cellStyle name="Normal 5 2 2 7 5 3" xfId="34064" xr:uid="{32BC541D-3DC5-4EE6-A16E-E9500308D632}"/>
    <cellStyle name="Normal 5 2 2 7 6" xfId="15002" xr:uid="{00000000-0005-0000-0000-00002C370000}"/>
    <cellStyle name="Normal 5 2 2 8" xfId="15003" xr:uid="{00000000-0005-0000-0000-00002D370000}"/>
    <cellStyle name="Normal 5 2 2 8 2" xfId="15004" xr:uid="{00000000-0005-0000-0000-00002E370000}"/>
    <cellStyle name="Normal 5 2 2 8 3" xfId="15005" xr:uid="{00000000-0005-0000-0000-00002F370000}"/>
    <cellStyle name="Normal 5 2 2 9" xfId="15006" xr:uid="{00000000-0005-0000-0000-000030370000}"/>
    <cellStyle name="Normal 5 2 2 9 2" xfId="15007" xr:uid="{00000000-0005-0000-0000-000031370000}"/>
    <cellStyle name="Normal 5 2 2 9 2 2" xfId="26692" xr:uid="{FBBA2A69-B064-4374-BDFB-02C5E19F2632}"/>
    <cellStyle name="Normal 5 2 2 9 2 2 2" xfId="41655" xr:uid="{C1ACDC4E-6473-43FD-970C-615109C60FE1}"/>
    <cellStyle name="Normal 5 2 2 9 2 3" xfId="34065" xr:uid="{092C53F1-AED2-4765-BCD8-D9AF7F8E27FC}"/>
    <cellStyle name="Normal 5 2 20" xfId="2492" xr:uid="{00000000-0005-0000-0000-000082090000}"/>
    <cellStyle name="Normal 5 2 20 2" xfId="15008" xr:uid="{00000000-0005-0000-0000-000033370000}"/>
    <cellStyle name="Normal 5 2 20 3" xfId="15009" xr:uid="{00000000-0005-0000-0000-000034370000}"/>
    <cellStyle name="Normal 5 2 21" xfId="2493" xr:uid="{00000000-0005-0000-0000-000083090000}"/>
    <cellStyle name="Normal 5 2 21 2" xfId="15010" xr:uid="{00000000-0005-0000-0000-000036370000}"/>
    <cellStyle name="Normal 5 2 21 3" xfId="15011" xr:uid="{00000000-0005-0000-0000-000037370000}"/>
    <cellStyle name="Normal 5 2 22" xfId="2494" xr:uid="{00000000-0005-0000-0000-000084090000}"/>
    <cellStyle name="Normal 5 2 22 2" xfId="15012" xr:uid="{00000000-0005-0000-0000-000039370000}"/>
    <cellStyle name="Normal 5 2 22 3" xfId="15013" xr:uid="{00000000-0005-0000-0000-00003A370000}"/>
    <cellStyle name="Normal 5 2 23" xfId="2495" xr:uid="{00000000-0005-0000-0000-000085090000}"/>
    <cellStyle name="Normal 5 2 23 2" xfId="15014" xr:uid="{00000000-0005-0000-0000-00003C370000}"/>
    <cellStyle name="Normal 5 2 23 3" xfId="15015" xr:uid="{00000000-0005-0000-0000-00003D370000}"/>
    <cellStyle name="Normal 5 2 24" xfId="15016" xr:uid="{00000000-0005-0000-0000-00003E370000}"/>
    <cellStyle name="Normal 5 2 24 2" xfId="15017" xr:uid="{00000000-0005-0000-0000-00003F370000}"/>
    <cellStyle name="Normal 5 2 24 3" xfId="15018" xr:uid="{00000000-0005-0000-0000-000040370000}"/>
    <cellStyle name="Normal 5 2 24 3 2" xfId="26693" xr:uid="{2A92C3E6-EE5B-4B37-90B2-D240F9D962ED}"/>
    <cellStyle name="Normal 5 2 24 3 2 2" xfId="41656" xr:uid="{AA3D747A-2CAF-4697-BA8D-7392951F9534}"/>
    <cellStyle name="Normal 5 2 24 3 3" xfId="34066" xr:uid="{9D5051D6-5C19-4B66-AB0A-B02C7A486F39}"/>
    <cellStyle name="Normal 5 2 24 4" xfId="15019" xr:uid="{00000000-0005-0000-0000-000041370000}"/>
    <cellStyle name="Normal 5 2 25" xfId="15020" xr:uid="{00000000-0005-0000-0000-000042370000}"/>
    <cellStyle name="Normal 5 2 25 2" xfId="15021" xr:uid="{00000000-0005-0000-0000-000043370000}"/>
    <cellStyle name="Normal 5 2 25 2 2" xfId="15022" xr:uid="{00000000-0005-0000-0000-000044370000}"/>
    <cellStyle name="Normal 5 2 25 2 3" xfId="15023" xr:uid="{00000000-0005-0000-0000-000045370000}"/>
    <cellStyle name="Normal 5 2 25 3" xfId="15024" xr:uid="{00000000-0005-0000-0000-000046370000}"/>
    <cellStyle name="Normal 5 2 25 4" xfId="15025" xr:uid="{00000000-0005-0000-0000-000047370000}"/>
    <cellStyle name="Normal 5 2 25 4 2" xfId="26694" xr:uid="{8DB1EA18-11ED-4142-84D4-B6B263BFD53C}"/>
    <cellStyle name="Normal 5 2 25 4 2 2" xfId="41657" xr:uid="{04F36600-BEC9-4B49-8767-0996B970DE32}"/>
    <cellStyle name="Normal 5 2 25 4 3" xfId="34067" xr:uid="{E890EADB-B16B-4465-BF19-38A2B19C1162}"/>
    <cellStyle name="Normal 5 2 25 5" xfId="15026" xr:uid="{00000000-0005-0000-0000-000048370000}"/>
    <cellStyle name="Normal 5 2 25 5 2" xfId="26695" xr:uid="{8C286E62-B4A1-4C26-B74E-D80D0C9FA8D3}"/>
    <cellStyle name="Normal 5 2 25 5 2 2" xfId="41658" xr:uid="{92ECAC2B-6A25-4999-B17A-AABED546C24B}"/>
    <cellStyle name="Normal 5 2 25 5 3" xfId="34068" xr:uid="{04113311-3E6D-4DC0-9987-CC4F517217E2}"/>
    <cellStyle name="Normal 5 2 25 6" xfId="15027" xr:uid="{00000000-0005-0000-0000-000049370000}"/>
    <cellStyle name="Normal 5 2 26" xfId="15028" xr:uid="{00000000-0005-0000-0000-00004A370000}"/>
    <cellStyle name="Normal 5 2 26 2" xfId="15029" xr:uid="{00000000-0005-0000-0000-00004B370000}"/>
    <cellStyle name="Normal 5 2 26 2 2" xfId="15030" xr:uid="{00000000-0005-0000-0000-00004C370000}"/>
    <cellStyle name="Normal 5 2 26 2 3" xfId="15031" xr:uid="{00000000-0005-0000-0000-00004D370000}"/>
    <cellStyle name="Normal 5 2 26 3" xfId="15032" xr:uid="{00000000-0005-0000-0000-00004E370000}"/>
    <cellStyle name="Normal 5 2 26 3 2" xfId="15033" xr:uid="{00000000-0005-0000-0000-00004F370000}"/>
    <cellStyle name="Normal 5 2 26 3 3" xfId="26696" xr:uid="{26DCC29A-099B-4DE2-894F-C5395E193819}"/>
    <cellStyle name="Normal 5 2 26 3 3 2" xfId="41659" xr:uid="{65CA1CBE-DE03-4F15-8601-E0EB3932BD59}"/>
    <cellStyle name="Normal 5 2 26 3 4" xfId="34069" xr:uid="{B3AD86EB-CBB6-4DAC-9C13-FBC5217C2ACA}"/>
    <cellStyle name="Normal 5 2 26 4" xfId="15034" xr:uid="{00000000-0005-0000-0000-000050370000}"/>
    <cellStyle name="Normal 5 2 27" xfId="15035" xr:uid="{00000000-0005-0000-0000-000051370000}"/>
    <cellStyle name="Normal 5 2 27 2" xfId="15036" xr:uid="{00000000-0005-0000-0000-000052370000}"/>
    <cellStyle name="Normal 5 2 27 3" xfId="15037" xr:uid="{00000000-0005-0000-0000-000053370000}"/>
    <cellStyle name="Normal 5 2 28" xfId="15038" xr:uid="{00000000-0005-0000-0000-000054370000}"/>
    <cellStyle name="Normal 5 2 28 2" xfId="15039" xr:uid="{00000000-0005-0000-0000-000055370000}"/>
    <cellStyle name="Normal 5 2 28 3" xfId="26697" xr:uid="{2D86F278-253D-492D-8F83-FB1D0B2A4BFD}"/>
    <cellStyle name="Normal 5 2 28 3 2" xfId="41660" xr:uid="{5C704C0E-16AB-462C-A378-0B26A7DAACB8}"/>
    <cellStyle name="Normal 5 2 28 4" xfId="34070" xr:uid="{5C2BBA83-4D5B-4ECC-944C-F8B86068693E}"/>
    <cellStyle name="Normal 5 2 29" xfId="15040" xr:uid="{00000000-0005-0000-0000-000056370000}"/>
    <cellStyle name="Normal 5 2 3" xfId="2496" xr:uid="{00000000-0005-0000-0000-000086090000}"/>
    <cellStyle name="Normal 5 2 3 10" xfId="15041" xr:uid="{00000000-0005-0000-0000-000058370000}"/>
    <cellStyle name="Normal 5 2 3 2" xfId="15042" xr:uid="{00000000-0005-0000-0000-000059370000}"/>
    <cellStyle name="Normal 5 2 3 2 2" xfId="15043" xr:uid="{00000000-0005-0000-0000-00005A370000}"/>
    <cellStyle name="Normal 5 2 3 2 2 2" xfId="15044" xr:uid="{00000000-0005-0000-0000-00005B370000}"/>
    <cellStyle name="Normal 5 2 3 2 2 2 2" xfId="15045" xr:uid="{00000000-0005-0000-0000-00005C370000}"/>
    <cellStyle name="Normal 5 2 3 2 2 2 2 2" xfId="15046" xr:uid="{00000000-0005-0000-0000-00005D370000}"/>
    <cellStyle name="Normal 5 2 3 2 2 2 2 3" xfId="15047" xr:uid="{00000000-0005-0000-0000-00005E370000}"/>
    <cellStyle name="Normal 5 2 3 2 2 2 3" xfId="15048" xr:uid="{00000000-0005-0000-0000-00005F370000}"/>
    <cellStyle name="Normal 5 2 3 2 2 2 4" xfId="15049" xr:uid="{00000000-0005-0000-0000-000060370000}"/>
    <cellStyle name="Normal 5 2 3 2 2 2 4 2" xfId="26698" xr:uid="{4D77F4AD-3094-4B1F-B945-3E855E4CA122}"/>
    <cellStyle name="Normal 5 2 3 2 2 2 4 2 2" xfId="41661" xr:uid="{B0C282E5-3108-4E76-BBCE-3FB2E113D486}"/>
    <cellStyle name="Normal 5 2 3 2 2 2 4 3" xfId="34071" xr:uid="{A1685DDB-3134-4A3A-B01C-37C164D4D04D}"/>
    <cellStyle name="Normal 5 2 3 2 2 2 5" xfId="15050" xr:uid="{00000000-0005-0000-0000-000061370000}"/>
    <cellStyle name="Normal 5 2 3 2 2 2 5 2" xfId="26699" xr:uid="{87DBE09E-56B8-447A-87C8-EC9B1F562929}"/>
    <cellStyle name="Normal 5 2 3 2 2 2 5 2 2" xfId="41662" xr:uid="{D0BD19DC-CCB7-4754-9AE5-83A24C7A6C8D}"/>
    <cellStyle name="Normal 5 2 3 2 2 2 5 3" xfId="34072" xr:uid="{AA5FD860-DA34-4E46-9F17-45326D0C8964}"/>
    <cellStyle name="Normal 5 2 3 2 2 2 6" xfId="15051" xr:uid="{00000000-0005-0000-0000-000062370000}"/>
    <cellStyle name="Normal 5 2 3 2 2 3" xfId="15052" xr:uid="{00000000-0005-0000-0000-000063370000}"/>
    <cellStyle name="Normal 5 2 3 2 2 3 2" xfId="15053" xr:uid="{00000000-0005-0000-0000-000064370000}"/>
    <cellStyle name="Normal 5 2 3 2 2 3 2 2" xfId="15054" xr:uid="{00000000-0005-0000-0000-000065370000}"/>
    <cellStyle name="Normal 5 2 3 2 2 3 2 3" xfId="15055" xr:uid="{00000000-0005-0000-0000-000066370000}"/>
    <cellStyle name="Normal 5 2 3 2 2 3 3" xfId="15056" xr:uid="{00000000-0005-0000-0000-000067370000}"/>
    <cellStyle name="Normal 5 2 3 2 2 3 3 2" xfId="15057" xr:uid="{00000000-0005-0000-0000-000068370000}"/>
    <cellStyle name="Normal 5 2 3 2 2 3 3 3" xfId="26700" xr:uid="{261DD8F9-7DA6-44A0-8508-2BF6E6A0B1D2}"/>
    <cellStyle name="Normal 5 2 3 2 2 3 3 3 2" xfId="41663" xr:uid="{D9AAA924-7EAA-4BBB-9D4C-7A0311D27AA6}"/>
    <cellStyle name="Normal 5 2 3 2 2 3 3 4" xfId="34073" xr:uid="{507A580A-5982-4771-8814-7865DE14DBDE}"/>
    <cellStyle name="Normal 5 2 3 2 2 3 4" xfId="15058" xr:uid="{00000000-0005-0000-0000-000069370000}"/>
    <cellStyle name="Normal 5 2 3 2 2 4" xfId="15059" xr:uid="{00000000-0005-0000-0000-00006A370000}"/>
    <cellStyle name="Normal 5 2 3 2 2 4 2" xfId="15060" xr:uid="{00000000-0005-0000-0000-00006B370000}"/>
    <cellStyle name="Normal 5 2 3 2 2 4 3" xfId="15061" xr:uid="{00000000-0005-0000-0000-00006C370000}"/>
    <cellStyle name="Normal 5 2 3 2 2 5" xfId="15062" xr:uid="{00000000-0005-0000-0000-00006D370000}"/>
    <cellStyle name="Normal 5 2 3 2 2 6" xfId="15063" xr:uid="{00000000-0005-0000-0000-00006E370000}"/>
    <cellStyle name="Normal 5 2 3 2 2 6 2" xfId="26701" xr:uid="{75D0E8AF-972E-4167-B475-A018BF2A16D2}"/>
    <cellStyle name="Normal 5 2 3 2 2 6 2 2" xfId="41664" xr:uid="{972C06F5-C1E5-4667-BEBA-DF37D931831F}"/>
    <cellStyle name="Normal 5 2 3 2 2 6 3" xfId="34074" xr:uid="{E3F86281-EC43-4171-A016-BB6435447B40}"/>
    <cellStyle name="Normal 5 2 3 2 2 7" xfId="15064" xr:uid="{00000000-0005-0000-0000-00006F370000}"/>
    <cellStyle name="Normal 5 2 3 2 2 7 2" xfId="26702" xr:uid="{DB2FD64C-E923-4F99-B359-F866CB820E8E}"/>
    <cellStyle name="Normal 5 2 3 2 2 7 2 2" xfId="41665" xr:uid="{400DB9A3-9DBF-4F57-9B34-AB76731D2DFC}"/>
    <cellStyle name="Normal 5 2 3 2 2 7 3" xfId="34075" xr:uid="{4487C418-3B31-490D-A324-407A4058662B}"/>
    <cellStyle name="Normal 5 2 3 2 2 8" xfId="15065" xr:uid="{00000000-0005-0000-0000-000070370000}"/>
    <cellStyle name="Normal 5 2 3 2 3" xfId="15066" xr:uid="{00000000-0005-0000-0000-000071370000}"/>
    <cellStyle name="Normal 5 2 3 2 3 2" xfId="15067" xr:uid="{00000000-0005-0000-0000-000072370000}"/>
    <cellStyle name="Normal 5 2 3 2 3 2 2" xfId="15068" xr:uid="{00000000-0005-0000-0000-000073370000}"/>
    <cellStyle name="Normal 5 2 3 2 3 2 3" xfId="15069" xr:uid="{00000000-0005-0000-0000-000074370000}"/>
    <cellStyle name="Normal 5 2 3 2 3 2 3 2" xfId="26703" xr:uid="{43330858-DA21-4628-B3AD-20419F20C209}"/>
    <cellStyle name="Normal 5 2 3 2 3 2 3 2 2" xfId="41666" xr:uid="{C7831AA7-8F46-4A44-B39C-C83D91B811BF}"/>
    <cellStyle name="Normal 5 2 3 2 3 2 3 3" xfId="34076" xr:uid="{B02B4BE3-8DDE-42E0-A112-BA777EA6E1A1}"/>
    <cellStyle name="Normal 5 2 3 2 3 2 4" xfId="15070" xr:uid="{00000000-0005-0000-0000-000075370000}"/>
    <cellStyle name="Normal 5 2 3 2 3 3" xfId="15071" xr:uid="{00000000-0005-0000-0000-000076370000}"/>
    <cellStyle name="Normal 5 2 3 2 3 4" xfId="15072" xr:uid="{00000000-0005-0000-0000-000077370000}"/>
    <cellStyle name="Normal 5 2 3 2 3 4 2" xfId="26704" xr:uid="{FA45459C-4BB5-4900-9CB2-B65075ED214B}"/>
    <cellStyle name="Normal 5 2 3 2 3 4 2 2" xfId="41667" xr:uid="{461B5567-B4A6-46F0-9C48-33A58196DB54}"/>
    <cellStyle name="Normal 5 2 3 2 3 4 3" xfId="34077" xr:uid="{3E975740-C0EF-4602-87C5-9BADE69A141E}"/>
    <cellStyle name="Normal 5 2 3 2 3 5" xfId="15073" xr:uid="{00000000-0005-0000-0000-000078370000}"/>
    <cellStyle name="Normal 5 2 3 2 3 5 2" xfId="26705" xr:uid="{4F1187EF-2E10-4108-B0C6-9F05C4951F37}"/>
    <cellStyle name="Normal 5 2 3 2 3 5 2 2" xfId="41668" xr:uid="{D1446AA9-14D2-40C5-8A22-E5E4198FD3D4}"/>
    <cellStyle name="Normal 5 2 3 2 3 5 3" xfId="34078" xr:uid="{45B96A21-F18F-4679-A066-3BCC444E7CC4}"/>
    <cellStyle name="Normal 5 2 3 2 3 6" xfId="15074" xr:uid="{00000000-0005-0000-0000-000079370000}"/>
    <cellStyle name="Normal 5 2 3 2 4" xfId="15075" xr:uid="{00000000-0005-0000-0000-00007A370000}"/>
    <cellStyle name="Normal 5 2 3 2 4 2" xfId="15076" xr:uid="{00000000-0005-0000-0000-00007B370000}"/>
    <cellStyle name="Normal 5 2 3 2 4 2 2" xfId="15077" xr:uid="{00000000-0005-0000-0000-00007C370000}"/>
    <cellStyle name="Normal 5 2 3 2 4 2 3" xfId="15078" xr:uid="{00000000-0005-0000-0000-00007D370000}"/>
    <cellStyle name="Normal 5 2 3 2 4 3" xfId="15079" xr:uid="{00000000-0005-0000-0000-00007E370000}"/>
    <cellStyle name="Normal 5 2 3 2 4 4" xfId="15080" xr:uid="{00000000-0005-0000-0000-00007F370000}"/>
    <cellStyle name="Normal 5 2 3 2 4 4 2" xfId="26706" xr:uid="{E21900F3-B6E1-41E2-B1DF-E800E71E04A1}"/>
    <cellStyle name="Normal 5 2 3 2 4 4 2 2" xfId="41669" xr:uid="{CC2C6166-E807-4B32-BCEE-4CA6E728BB17}"/>
    <cellStyle name="Normal 5 2 3 2 4 4 3" xfId="34079" xr:uid="{2590503A-7B17-4082-AA71-B6B32220088E}"/>
    <cellStyle name="Normal 5 2 3 2 4 5" xfId="15081" xr:uid="{00000000-0005-0000-0000-000080370000}"/>
    <cellStyle name="Normal 5 2 3 2 4 5 2" xfId="26707" xr:uid="{D0A4B20B-1030-40CA-BC42-6CA83D1C9402}"/>
    <cellStyle name="Normal 5 2 3 2 4 5 2 2" xfId="41670" xr:uid="{21564C5C-1ABC-404D-B892-4875054F0089}"/>
    <cellStyle name="Normal 5 2 3 2 4 5 3" xfId="34080" xr:uid="{8539459F-179E-4FB8-BB09-B60D5FAA08D4}"/>
    <cellStyle name="Normal 5 2 3 2 4 6" xfId="15082" xr:uid="{00000000-0005-0000-0000-000081370000}"/>
    <cellStyle name="Normal 5 2 3 2 5" xfId="15083" xr:uid="{00000000-0005-0000-0000-000082370000}"/>
    <cellStyle name="Normal 5 2 3 2 5 2" xfId="15084" xr:uid="{00000000-0005-0000-0000-000083370000}"/>
    <cellStyle name="Normal 5 2 3 2 5 3" xfId="15085" xr:uid="{00000000-0005-0000-0000-000084370000}"/>
    <cellStyle name="Normal 5 2 3 2 6" xfId="15086" xr:uid="{00000000-0005-0000-0000-000085370000}"/>
    <cellStyle name="Normal 5 2 3 2 7" xfId="15087" xr:uid="{00000000-0005-0000-0000-000086370000}"/>
    <cellStyle name="Normal 5 2 3 2 7 2" xfId="26708" xr:uid="{C8ADA475-2F70-4059-9B2E-80D01291012C}"/>
    <cellStyle name="Normal 5 2 3 2 7 2 2" xfId="41671" xr:uid="{97B23457-EF32-47F5-B2EB-79E124B41905}"/>
    <cellStyle name="Normal 5 2 3 2 7 3" xfId="34081" xr:uid="{61F19627-255F-4F69-A4D0-9C7FE43E2FB3}"/>
    <cellStyle name="Normal 5 2 3 2 8" xfId="15088" xr:uid="{00000000-0005-0000-0000-000087370000}"/>
    <cellStyle name="Normal 5 2 3 2 8 2" xfId="26709" xr:uid="{0B397CF7-4E1A-4FCE-AA83-73C89FFD02E9}"/>
    <cellStyle name="Normal 5 2 3 2 8 2 2" xfId="41672" xr:uid="{3CE193CA-2EC5-4148-BC43-4DA8B3F9E3A0}"/>
    <cellStyle name="Normal 5 2 3 2 8 3" xfId="34082" xr:uid="{E3D2F26C-CA8E-40C1-B266-1340F728597B}"/>
    <cellStyle name="Normal 5 2 3 2 9" xfId="15089" xr:uid="{00000000-0005-0000-0000-000088370000}"/>
    <cellStyle name="Normal 5 2 3 3" xfId="15090" xr:uid="{00000000-0005-0000-0000-000089370000}"/>
    <cellStyle name="Normal 5 2 3 3 2" xfId="15091" xr:uid="{00000000-0005-0000-0000-00008A370000}"/>
    <cellStyle name="Normal 5 2 3 3 2 2" xfId="15092" xr:uid="{00000000-0005-0000-0000-00008B370000}"/>
    <cellStyle name="Normal 5 2 3 3 2 2 2" xfId="15093" xr:uid="{00000000-0005-0000-0000-00008C370000}"/>
    <cellStyle name="Normal 5 2 3 3 2 2 3" xfId="15094" xr:uid="{00000000-0005-0000-0000-00008D370000}"/>
    <cellStyle name="Normal 5 2 3 3 2 2 3 2" xfId="26710" xr:uid="{3B9E1B1F-CB0D-44A9-B5E8-4D756F6F66EA}"/>
    <cellStyle name="Normal 5 2 3 3 2 2 3 2 2" xfId="41673" xr:uid="{0E744FA1-44EB-414F-B2FD-2741925B9FFB}"/>
    <cellStyle name="Normal 5 2 3 3 2 2 3 3" xfId="34083" xr:uid="{F85B9C28-D0DB-4ABC-A717-5774D7ABC774}"/>
    <cellStyle name="Normal 5 2 3 3 2 2 4" xfId="15095" xr:uid="{00000000-0005-0000-0000-00008E370000}"/>
    <cellStyle name="Normal 5 2 3 3 2 3" xfId="15096" xr:uid="{00000000-0005-0000-0000-00008F370000}"/>
    <cellStyle name="Normal 5 2 3 3 2 4" xfId="15097" xr:uid="{00000000-0005-0000-0000-000090370000}"/>
    <cellStyle name="Normal 5 2 3 3 2 4 2" xfId="26711" xr:uid="{252E2685-8B8C-4D1A-BCEE-D89635057C00}"/>
    <cellStyle name="Normal 5 2 3 3 2 4 2 2" xfId="41674" xr:uid="{4ECEE6C7-4370-429E-8F46-33C7C67EC476}"/>
    <cellStyle name="Normal 5 2 3 3 2 4 3" xfId="34084" xr:uid="{0BEBDC19-D51C-434B-852D-3F808A9C242D}"/>
    <cellStyle name="Normal 5 2 3 3 2 5" xfId="15098" xr:uid="{00000000-0005-0000-0000-000091370000}"/>
    <cellStyle name="Normal 5 2 3 3 2 5 2" xfId="26712" xr:uid="{C6A91AE7-A3DF-4E0E-8DBA-C2EE6473A651}"/>
    <cellStyle name="Normal 5 2 3 3 2 5 2 2" xfId="41675" xr:uid="{47A22DB3-44BE-4110-AB5F-E179DB55C203}"/>
    <cellStyle name="Normal 5 2 3 3 2 5 3" xfId="34085" xr:uid="{CFD4BB85-8EA5-46F8-98DF-6ED638439C81}"/>
    <cellStyle name="Normal 5 2 3 3 2 6" xfId="15099" xr:uid="{00000000-0005-0000-0000-000092370000}"/>
    <cellStyle name="Normal 5 2 3 3 3" xfId="15100" xr:uid="{00000000-0005-0000-0000-000093370000}"/>
    <cellStyle name="Normal 5 2 3 3 3 2" xfId="15101" xr:uid="{00000000-0005-0000-0000-000094370000}"/>
    <cellStyle name="Normal 5 2 3 3 3 2 2" xfId="15102" xr:uid="{00000000-0005-0000-0000-000095370000}"/>
    <cellStyle name="Normal 5 2 3 3 3 2 3" xfId="15103" xr:uid="{00000000-0005-0000-0000-000096370000}"/>
    <cellStyle name="Normal 5 2 3 3 3 3" xfId="15104" xr:uid="{00000000-0005-0000-0000-000097370000}"/>
    <cellStyle name="Normal 5 2 3 3 3 4" xfId="15105" xr:uid="{00000000-0005-0000-0000-000098370000}"/>
    <cellStyle name="Normal 5 2 3 3 3 4 2" xfId="26713" xr:uid="{22893067-88AC-454F-9AEA-E9BD177B1F93}"/>
    <cellStyle name="Normal 5 2 3 3 3 4 2 2" xfId="41676" xr:uid="{7B30DCDC-6C09-43D4-B6B2-4A3377272D11}"/>
    <cellStyle name="Normal 5 2 3 3 3 4 3" xfId="34086" xr:uid="{195A1465-50A0-4CD3-A6AA-EDCAA02774C6}"/>
    <cellStyle name="Normal 5 2 3 3 3 5" xfId="15106" xr:uid="{00000000-0005-0000-0000-000099370000}"/>
    <cellStyle name="Normal 5 2 3 3 3 5 2" xfId="26714" xr:uid="{2D704534-0F40-4CA4-A8FA-9222A7D7B1DB}"/>
    <cellStyle name="Normal 5 2 3 3 3 5 2 2" xfId="41677" xr:uid="{6AA8AFB2-B404-4519-BA7C-2DBEFA536407}"/>
    <cellStyle name="Normal 5 2 3 3 3 5 3" xfId="34087" xr:uid="{8E53A667-5B36-4A2C-BB87-EEE1C55A11B9}"/>
    <cellStyle name="Normal 5 2 3 3 3 6" xfId="15107" xr:uid="{00000000-0005-0000-0000-00009A370000}"/>
    <cellStyle name="Normal 5 2 3 3 4" xfId="15108" xr:uid="{00000000-0005-0000-0000-00009B370000}"/>
    <cellStyle name="Normal 5 2 3 3 4 2" xfId="15109" xr:uid="{00000000-0005-0000-0000-00009C370000}"/>
    <cellStyle name="Normal 5 2 3 3 4 3" xfId="15110" xr:uid="{00000000-0005-0000-0000-00009D370000}"/>
    <cellStyle name="Normal 5 2 3 3 5" xfId="15111" xr:uid="{00000000-0005-0000-0000-00009E370000}"/>
    <cellStyle name="Normal 5 2 3 3 6" xfId="15112" xr:uid="{00000000-0005-0000-0000-00009F370000}"/>
    <cellStyle name="Normal 5 2 3 3 6 2" xfId="26715" xr:uid="{21F1DC42-0067-4E7D-A579-5064A9589D70}"/>
    <cellStyle name="Normal 5 2 3 3 6 2 2" xfId="41678" xr:uid="{448E1743-F82E-485F-8B09-BD586891DC03}"/>
    <cellStyle name="Normal 5 2 3 3 6 3" xfId="34088" xr:uid="{E7CB6419-FF7D-4C7B-952F-E9BB37B1BC3D}"/>
    <cellStyle name="Normal 5 2 3 3 7" xfId="15113" xr:uid="{00000000-0005-0000-0000-0000A0370000}"/>
    <cellStyle name="Normal 5 2 3 3 7 2" xfId="26716" xr:uid="{B99428A5-CEDC-4927-A849-756FE774835B}"/>
    <cellStyle name="Normal 5 2 3 3 7 2 2" xfId="41679" xr:uid="{3301917F-1B5B-4221-AFF5-3D58ADBC2DFB}"/>
    <cellStyle name="Normal 5 2 3 3 7 3" xfId="34089" xr:uid="{706A6473-6E05-4679-BDCE-E91E094B8D79}"/>
    <cellStyle name="Normal 5 2 3 3 8" xfId="15114" xr:uid="{00000000-0005-0000-0000-0000A1370000}"/>
    <cellStyle name="Normal 5 2 3 4" xfId="15115" xr:uid="{00000000-0005-0000-0000-0000A2370000}"/>
    <cellStyle name="Normal 5 2 3 4 2" xfId="15116" xr:uid="{00000000-0005-0000-0000-0000A3370000}"/>
    <cellStyle name="Normal 5 2 3 4 2 2" xfId="15117" xr:uid="{00000000-0005-0000-0000-0000A4370000}"/>
    <cellStyle name="Normal 5 2 3 4 2 3" xfId="26717" xr:uid="{415C22D8-90BA-4627-A5E7-519930D87128}"/>
    <cellStyle name="Normal 5 2 3 4 2 3 2" xfId="41680" xr:uid="{5943E9E6-474E-4477-BDA0-E797076E45D7}"/>
    <cellStyle name="Normal 5 2 3 4 2 4" xfId="34090" xr:uid="{860BDF99-80BD-4249-BEC4-613B5B41903F}"/>
    <cellStyle name="Normal 5 2 3 4 3" xfId="15118" xr:uid="{00000000-0005-0000-0000-0000A5370000}"/>
    <cellStyle name="Normal 5 2 3 4 4" xfId="15119" xr:uid="{00000000-0005-0000-0000-0000A6370000}"/>
    <cellStyle name="Normal 5 2 3 4 4 2" xfId="26718" xr:uid="{171AAA59-AD04-46F7-86A6-EB90AE8D2861}"/>
    <cellStyle name="Normal 5 2 3 4 4 2 2" xfId="41681" xr:uid="{C4424AB6-C215-45B1-AAC3-8F054A7C48CD}"/>
    <cellStyle name="Normal 5 2 3 4 4 3" xfId="34091" xr:uid="{D2F26B40-BFEC-4C34-A997-F07C4AC29E46}"/>
    <cellStyle name="Normal 5 2 3 4 5" xfId="15120" xr:uid="{00000000-0005-0000-0000-0000A7370000}"/>
    <cellStyle name="Normal 5 2 3 5" xfId="15121" xr:uid="{00000000-0005-0000-0000-0000A8370000}"/>
    <cellStyle name="Normal 5 2 3 5 2" xfId="15122" xr:uid="{00000000-0005-0000-0000-0000A9370000}"/>
    <cellStyle name="Normal 5 2 3 5 2 2" xfId="15123" xr:uid="{00000000-0005-0000-0000-0000AA370000}"/>
    <cellStyle name="Normal 5 2 3 5 2 3" xfId="15124" xr:uid="{00000000-0005-0000-0000-0000AB370000}"/>
    <cellStyle name="Normal 5 2 3 5 3" xfId="15125" xr:uid="{00000000-0005-0000-0000-0000AC370000}"/>
    <cellStyle name="Normal 5 2 3 5 4" xfId="15126" xr:uid="{00000000-0005-0000-0000-0000AD370000}"/>
    <cellStyle name="Normal 5 2 3 5 4 2" xfId="26719" xr:uid="{81DCD090-99A0-45DB-AA70-406F3EAF8337}"/>
    <cellStyle name="Normal 5 2 3 5 4 2 2" xfId="41682" xr:uid="{B2F44E94-5310-446D-9292-87AE98679B82}"/>
    <cellStyle name="Normal 5 2 3 5 4 3" xfId="34092" xr:uid="{10C26E5A-2839-46CD-AA76-FB9AF89D2067}"/>
    <cellStyle name="Normal 5 2 3 5 5" xfId="15127" xr:uid="{00000000-0005-0000-0000-0000AE370000}"/>
    <cellStyle name="Normal 5 2 3 5 5 2" xfId="26720" xr:uid="{A1DC9386-74AF-4684-8F38-AB1C0AA03063}"/>
    <cellStyle name="Normal 5 2 3 5 5 2 2" xfId="41683" xr:uid="{2C8FB218-9E0A-441D-A997-77AF7B4C708E}"/>
    <cellStyle name="Normal 5 2 3 5 5 3" xfId="34093" xr:uid="{8FF23314-E3C6-4099-93C8-FD98894091F9}"/>
    <cellStyle name="Normal 5 2 3 5 6" xfId="15128" xr:uid="{00000000-0005-0000-0000-0000AF370000}"/>
    <cellStyle name="Normal 5 2 3 6" xfId="15129" xr:uid="{00000000-0005-0000-0000-0000B0370000}"/>
    <cellStyle name="Normal 5 2 3 6 2" xfId="15130" xr:uid="{00000000-0005-0000-0000-0000B1370000}"/>
    <cellStyle name="Normal 5 2 3 6 2 2" xfId="15131" xr:uid="{00000000-0005-0000-0000-0000B2370000}"/>
    <cellStyle name="Normal 5 2 3 6 2 3" xfId="15132" xr:uid="{00000000-0005-0000-0000-0000B3370000}"/>
    <cellStyle name="Normal 5 2 3 6 3" xfId="15133" xr:uid="{00000000-0005-0000-0000-0000B4370000}"/>
    <cellStyle name="Normal 5 2 3 6 4" xfId="15134" xr:uid="{00000000-0005-0000-0000-0000B5370000}"/>
    <cellStyle name="Normal 5 2 3 6 4 2" xfId="26721" xr:uid="{2DC78089-ECCB-4EDC-AC51-F57CD200C4B7}"/>
    <cellStyle name="Normal 5 2 3 6 4 2 2" xfId="41684" xr:uid="{4DF7990A-50DE-43FB-BB44-CDB7718D71E2}"/>
    <cellStyle name="Normal 5 2 3 6 4 3" xfId="34094" xr:uid="{B72E776F-37F8-4CF4-9390-53F91D707D62}"/>
    <cellStyle name="Normal 5 2 3 6 5" xfId="15135" xr:uid="{00000000-0005-0000-0000-0000B6370000}"/>
    <cellStyle name="Normal 5 2 3 6 5 2" xfId="26722" xr:uid="{00CF9B4E-A5E8-41AF-BB7B-7904DDDB1AE4}"/>
    <cellStyle name="Normal 5 2 3 6 5 2 2" xfId="41685" xr:uid="{29AEC820-54FC-44D3-8C47-27993A100A01}"/>
    <cellStyle name="Normal 5 2 3 6 5 3" xfId="34095" xr:uid="{6A673FBA-7B97-46B6-B273-00A588CB7FEA}"/>
    <cellStyle name="Normal 5 2 3 6 6" xfId="15136" xr:uid="{00000000-0005-0000-0000-0000B7370000}"/>
    <cellStyle name="Normal 5 2 3 7" xfId="15137" xr:uid="{00000000-0005-0000-0000-0000B8370000}"/>
    <cellStyle name="Normal 5 2 3 7 2" xfId="15138" xr:uid="{00000000-0005-0000-0000-0000B9370000}"/>
    <cellStyle name="Normal 5 2 3 7 3" xfId="15139" xr:uid="{00000000-0005-0000-0000-0000BA370000}"/>
    <cellStyle name="Normal 5 2 3 8" xfId="15140" xr:uid="{00000000-0005-0000-0000-0000BB370000}"/>
    <cellStyle name="Normal 5 2 3 9" xfId="15141" xr:uid="{00000000-0005-0000-0000-0000BC370000}"/>
    <cellStyle name="Normal 5 2 3 9 2" xfId="26723" xr:uid="{D7FB7D6B-DED1-48CE-BAF0-40CFEA265FE2}"/>
    <cellStyle name="Normal 5 2 3 9 2 2" xfId="41686" xr:uid="{6B36AF3D-70D3-43FF-B935-5265383BCBB8}"/>
    <cellStyle name="Normal 5 2 3 9 3" xfId="34096" xr:uid="{DB6882C2-E868-4C99-B0A8-3CD492FF4FA6}"/>
    <cellStyle name="Normal 5 2 4" xfId="2497" xr:uid="{00000000-0005-0000-0000-000087090000}"/>
    <cellStyle name="Normal 5 2 4 2" xfId="15142" xr:uid="{00000000-0005-0000-0000-0000BE370000}"/>
    <cellStyle name="Normal 5 2 4 2 2" xfId="15143" xr:uid="{00000000-0005-0000-0000-0000BF370000}"/>
    <cellStyle name="Normal 5 2 4 2 2 2" xfId="15144" xr:uid="{00000000-0005-0000-0000-0000C0370000}"/>
    <cellStyle name="Normal 5 2 4 2 2 2 2" xfId="15145" xr:uid="{00000000-0005-0000-0000-0000C1370000}"/>
    <cellStyle name="Normal 5 2 4 2 2 2 2 2" xfId="15146" xr:uid="{00000000-0005-0000-0000-0000C2370000}"/>
    <cellStyle name="Normal 5 2 4 2 2 2 2 3" xfId="15147" xr:uid="{00000000-0005-0000-0000-0000C3370000}"/>
    <cellStyle name="Normal 5 2 4 2 2 2 3" xfId="15148" xr:uid="{00000000-0005-0000-0000-0000C4370000}"/>
    <cellStyle name="Normal 5 2 4 2 2 2 3 2" xfId="15149" xr:uid="{00000000-0005-0000-0000-0000C5370000}"/>
    <cellStyle name="Normal 5 2 4 2 2 2 3 3" xfId="26724" xr:uid="{31220709-E572-462D-817F-2F2EEB291077}"/>
    <cellStyle name="Normal 5 2 4 2 2 2 3 3 2" xfId="41687" xr:uid="{4E3AF95F-318D-42A4-9D1B-4810524DC97E}"/>
    <cellStyle name="Normal 5 2 4 2 2 2 3 4" xfId="34097" xr:uid="{E8D54F8C-3203-43C5-8211-8E82CB1FC5C8}"/>
    <cellStyle name="Normal 5 2 4 2 2 2 4" xfId="15150" xr:uid="{00000000-0005-0000-0000-0000C6370000}"/>
    <cellStyle name="Normal 5 2 4 2 2 3" xfId="15151" xr:uid="{00000000-0005-0000-0000-0000C7370000}"/>
    <cellStyle name="Normal 5 2 4 2 2 3 2" xfId="15152" xr:uid="{00000000-0005-0000-0000-0000C8370000}"/>
    <cellStyle name="Normal 5 2 4 2 2 3 3" xfId="15153" xr:uid="{00000000-0005-0000-0000-0000C9370000}"/>
    <cellStyle name="Normal 5 2 4 2 2 4" xfId="15154" xr:uid="{00000000-0005-0000-0000-0000CA370000}"/>
    <cellStyle name="Normal 5 2 4 2 2 5" xfId="15155" xr:uid="{00000000-0005-0000-0000-0000CB370000}"/>
    <cellStyle name="Normal 5 2 4 2 2 5 2" xfId="26725" xr:uid="{5C536CC7-EDB0-4E6E-9732-92276C754CD2}"/>
    <cellStyle name="Normal 5 2 4 2 2 5 2 2" xfId="41688" xr:uid="{05F25DBC-3A41-43C5-99AA-686F9DE92481}"/>
    <cellStyle name="Normal 5 2 4 2 2 5 3" xfId="34098" xr:uid="{FF899FD9-5EFF-429E-A673-E559558A2D66}"/>
    <cellStyle name="Normal 5 2 4 2 2 6" xfId="15156" xr:uid="{00000000-0005-0000-0000-0000CC370000}"/>
    <cellStyle name="Normal 5 2 4 2 2 6 2" xfId="26726" xr:uid="{A924A488-6E8A-43C8-942D-B2E1AD09995E}"/>
    <cellStyle name="Normal 5 2 4 2 2 6 2 2" xfId="41689" xr:uid="{86330156-58BB-46B8-839C-52CC8D22B257}"/>
    <cellStyle name="Normal 5 2 4 2 2 6 3" xfId="34099" xr:uid="{2E83A6DB-BED9-454C-B98C-058E77537CF0}"/>
    <cellStyle name="Normal 5 2 4 2 2 7" xfId="15157" xr:uid="{00000000-0005-0000-0000-0000CD370000}"/>
    <cellStyle name="Normal 5 2 4 2 3" xfId="15158" xr:uid="{00000000-0005-0000-0000-0000CE370000}"/>
    <cellStyle name="Normal 5 2 4 2 3 2" xfId="15159" xr:uid="{00000000-0005-0000-0000-0000CF370000}"/>
    <cellStyle name="Normal 5 2 4 2 3 2 2" xfId="15160" xr:uid="{00000000-0005-0000-0000-0000D0370000}"/>
    <cellStyle name="Normal 5 2 4 2 3 2 3" xfId="15161" xr:uid="{00000000-0005-0000-0000-0000D1370000}"/>
    <cellStyle name="Normal 5 2 4 2 3 3" xfId="15162" xr:uid="{00000000-0005-0000-0000-0000D2370000}"/>
    <cellStyle name="Normal 5 2 4 2 3 3 2" xfId="15163" xr:uid="{00000000-0005-0000-0000-0000D3370000}"/>
    <cellStyle name="Normal 5 2 4 2 3 3 3" xfId="26727" xr:uid="{4750B375-1F3B-49D3-A8D7-16F8D23EA218}"/>
    <cellStyle name="Normal 5 2 4 2 3 3 3 2" xfId="41690" xr:uid="{DB36946B-4717-4858-86DE-4235815C0491}"/>
    <cellStyle name="Normal 5 2 4 2 3 3 4" xfId="34100" xr:uid="{56D90F00-A47C-4646-AD34-A8AB7200B708}"/>
    <cellStyle name="Normal 5 2 4 2 3 4" xfId="15164" xr:uid="{00000000-0005-0000-0000-0000D4370000}"/>
    <cellStyle name="Normal 5 2 4 2 4" xfId="15165" xr:uid="{00000000-0005-0000-0000-0000D5370000}"/>
    <cellStyle name="Normal 5 2 4 2 5" xfId="15166" xr:uid="{00000000-0005-0000-0000-0000D6370000}"/>
    <cellStyle name="Normal 5 2 4 2 5 2" xfId="26728" xr:uid="{CFE60F04-ED0B-4E58-AC1E-D162EA39B78F}"/>
    <cellStyle name="Normal 5 2 4 2 5 2 2" xfId="41691" xr:uid="{5B8CA5F6-F747-42B5-B6C5-44776F076FB0}"/>
    <cellStyle name="Normal 5 2 4 2 5 3" xfId="34101" xr:uid="{3C41F0AE-E7AD-40B8-B0F6-2F1C1EE90695}"/>
    <cellStyle name="Normal 5 2 4 2 6" xfId="15167" xr:uid="{00000000-0005-0000-0000-0000D7370000}"/>
    <cellStyle name="Normal 5 2 4 3" xfId="15168" xr:uid="{00000000-0005-0000-0000-0000D8370000}"/>
    <cellStyle name="Normal 5 2 4 3 2" xfId="15169" xr:uid="{00000000-0005-0000-0000-0000D9370000}"/>
    <cellStyle name="Normal 5 2 4 3 2 2" xfId="15170" xr:uid="{00000000-0005-0000-0000-0000DA370000}"/>
    <cellStyle name="Normal 5 2 4 3 2 3" xfId="15171" xr:uid="{00000000-0005-0000-0000-0000DB370000}"/>
    <cellStyle name="Normal 5 2 4 3 2 3 2" xfId="26729" xr:uid="{C27B5ECE-9516-46D7-86E1-E4AE3263E0BD}"/>
    <cellStyle name="Normal 5 2 4 3 2 3 2 2" xfId="41692" xr:uid="{C3AD0D93-B307-4851-ACDA-4A2FC97CF92A}"/>
    <cellStyle name="Normal 5 2 4 3 2 3 3" xfId="34102" xr:uid="{AB449846-1E7B-44FE-AACC-E9880CE20450}"/>
    <cellStyle name="Normal 5 2 4 3 2 4" xfId="15172" xr:uid="{00000000-0005-0000-0000-0000DC370000}"/>
    <cellStyle name="Normal 5 2 4 3 3" xfId="15173" xr:uid="{00000000-0005-0000-0000-0000DD370000}"/>
    <cellStyle name="Normal 5 2 4 3 4" xfId="15174" xr:uid="{00000000-0005-0000-0000-0000DE370000}"/>
    <cellStyle name="Normal 5 2 4 3 4 2" xfId="26730" xr:uid="{5D4402C5-25E8-4864-9986-7B8775F9710F}"/>
    <cellStyle name="Normal 5 2 4 3 4 2 2" xfId="41693" xr:uid="{3E3F094B-FE1D-426C-B266-950EF2864A56}"/>
    <cellStyle name="Normal 5 2 4 3 4 3" xfId="34103" xr:uid="{BD7A5262-E6EF-47F5-A061-49E20425F07B}"/>
    <cellStyle name="Normal 5 2 4 3 5" xfId="15175" xr:uid="{00000000-0005-0000-0000-0000DF370000}"/>
    <cellStyle name="Normal 5 2 4 3 5 2" xfId="26731" xr:uid="{1928B5E1-05D7-40AD-9E60-FB0F2C85AAEB}"/>
    <cellStyle name="Normal 5 2 4 3 5 2 2" xfId="41694" xr:uid="{95C7418A-5A11-4123-9BD0-571746C87106}"/>
    <cellStyle name="Normal 5 2 4 3 5 3" xfId="34104" xr:uid="{12EC87C5-BADE-4B74-BFEE-E6B6907BEF8B}"/>
    <cellStyle name="Normal 5 2 4 3 6" xfId="15176" xr:uid="{00000000-0005-0000-0000-0000E0370000}"/>
    <cellStyle name="Normal 5 2 4 4" xfId="15177" xr:uid="{00000000-0005-0000-0000-0000E1370000}"/>
    <cellStyle name="Normal 5 2 4 4 2" xfId="15178" xr:uid="{00000000-0005-0000-0000-0000E2370000}"/>
    <cellStyle name="Normal 5 2 4 4 2 2" xfId="15179" xr:uid="{00000000-0005-0000-0000-0000E3370000}"/>
    <cellStyle name="Normal 5 2 4 4 2 3" xfId="15180" xr:uid="{00000000-0005-0000-0000-0000E4370000}"/>
    <cellStyle name="Normal 5 2 4 4 3" xfId="15181" xr:uid="{00000000-0005-0000-0000-0000E5370000}"/>
    <cellStyle name="Normal 5 2 4 4 4" xfId="15182" xr:uid="{00000000-0005-0000-0000-0000E6370000}"/>
    <cellStyle name="Normal 5 2 4 4 4 2" xfId="26732" xr:uid="{D46A1A91-A089-4EC8-A54C-A543AF5BC126}"/>
    <cellStyle name="Normal 5 2 4 4 4 2 2" xfId="41695" xr:uid="{CBD880C7-9737-4B46-A73A-6CD954EB8CBD}"/>
    <cellStyle name="Normal 5 2 4 4 4 3" xfId="34105" xr:uid="{2F938CA3-A264-43CA-B167-4C03DCC1AECB}"/>
    <cellStyle name="Normal 5 2 4 4 5" xfId="15183" xr:uid="{00000000-0005-0000-0000-0000E7370000}"/>
    <cellStyle name="Normal 5 2 4 4 5 2" xfId="26733" xr:uid="{94097F65-B180-4BE6-8A0D-E2876B075893}"/>
    <cellStyle name="Normal 5 2 4 4 5 2 2" xfId="41696" xr:uid="{ADD9A2C6-DA09-43B2-B115-083ED5DBF14B}"/>
    <cellStyle name="Normal 5 2 4 4 5 3" xfId="34106" xr:uid="{7DEB7904-F299-4D31-8C34-981185C628A7}"/>
    <cellStyle name="Normal 5 2 4 4 6" xfId="15184" xr:uid="{00000000-0005-0000-0000-0000E8370000}"/>
    <cellStyle name="Normal 5 2 4 5" xfId="15185" xr:uid="{00000000-0005-0000-0000-0000E9370000}"/>
    <cellStyle name="Normal 5 2 4 5 2" xfId="15186" xr:uid="{00000000-0005-0000-0000-0000EA370000}"/>
    <cellStyle name="Normal 5 2 4 5 3" xfId="15187" xr:uid="{00000000-0005-0000-0000-0000EB370000}"/>
    <cellStyle name="Normal 5 2 4 5 3 2" xfId="26734" xr:uid="{AC515DB8-B617-4784-B370-F6F8BAE62387}"/>
    <cellStyle name="Normal 5 2 4 5 3 2 2" xfId="41697" xr:uid="{617B8534-F1CE-4E55-ADFA-5C5754DBF087}"/>
    <cellStyle name="Normal 5 2 4 5 3 3" xfId="34107" xr:uid="{B1CB8F40-CE21-43D8-AB04-012F22DA6797}"/>
    <cellStyle name="Normal 5 2 4 5 4" xfId="15188" xr:uid="{00000000-0005-0000-0000-0000EC370000}"/>
    <cellStyle name="Normal 5 2 4 6" xfId="15189" xr:uid="{00000000-0005-0000-0000-0000ED370000}"/>
    <cellStyle name="Normal 5 2 4 7" xfId="15190" xr:uid="{00000000-0005-0000-0000-0000EE370000}"/>
    <cellStyle name="Normal 5 2 4 7 2" xfId="26735" xr:uid="{32C1490D-0CB4-406E-8FFB-8A044134A82C}"/>
    <cellStyle name="Normal 5 2 4 7 2 2" xfId="41698" xr:uid="{C844AA95-6D2E-492F-B92B-C6FD3FA98DCA}"/>
    <cellStyle name="Normal 5 2 4 7 3" xfId="34108" xr:uid="{83ADC960-7509-4785-99E1-6839C4014F6F}"/>
    <cellStyle name="Normal 5 2 4 8" xfId="15191" xr:uid="{00000000-0005-0000-0000-0000EF370000}"/>
    <cellStyle name="Normal 5 2 5" xfId="2498" xr:uid="{00000000-0005-0000-0000-000088090000}"/>
    <cellStyle name="Normal 5 2 5 2" xfId="15192" xr:uid="{00000000-0005-0000-0000-0000F1370000}"/>
    <cellStyle name="Normal 5 2 5 2 2" xfId="15193" xr:uid="{00000000-0005-0000-0000-0000F2370000}"/>
    <cellStyle name="Normal 5 2 5 2 2 2" xfId="15194" xr:uid="{00000000-0005-0000-0000-0000F3370000}"/>
    <cellStyle name="Normal 5 2 5 2 2 3" xfId="26736" xr:uid="{FD8483F0-E249-47D8-B051-41895E027986}"/>
    <cellStyle name="Normal 5 2 5 2 2 3 2" xfId="41699" xr:uid="{218DCDBC-F5AE-4480-BA70-F7EC73E963AB}"/>
    <cellStyle name="Normal 5 2 5 2 2 4" xfId="34109" xr:uid="{0CBD1966-302A-4A42-A935-0603BAED3774}"/>
    <cellStyle name="Normal 5 2 5 2 3" xfId="15195" xr:uid="{00000000-0005-0000-0000-0000F4370000}"/>
    <cellStyle name="Normal 5 2 5 2 4" xfId="15196" xr:uid="{00000000-0005-0000-0000-0000F5370000}"/>
    <cellStyle name="Normal 5 2 5 2 4 2" xfId="26737" xr:uid="{42604392-7BAD-4FED-99E2-08961F213DB7}"/>
    <cellStyle name="Normal 5 2 5 2 4 2 2" xfId="41700" xr:uid="{281F2324-1F05-4290-A0F5-AFF7AD86079D}"/>
    <cellStyle name="Normal 5 2 5 2 4 3" xfId="34110" xr:uid="{64DBA13E-5D62-4CFA-B46D-DB6F37FC97A0}"/>
    <cellStyle name="Normal 5 2 5 2 5" xfId="15197" xr:uid="{00000000-0005-0000-0000-0000F6370000}"/>
    <cellStyle name="Normal 5 2 5 3" xfId="15198" xr:uid="{00000000-0005-0000-0000-0000F7370000}"/>
    <cellStyle name="Normal 5 2 5 3 2" xfId="15199" xr:uid="{00000000-0005-0000-0000-0000F8370000}"/>
    <cellStyle name="Normal 5 2 5 3 2 2" xfId="15200" xr:uid="{00000000-0005-0000-0000-0000F9370000}"/>
    <cellStyle name="Normal 5 2 5 3 2 3" xfId="15201" xr:uid="{00000000-0005-0000-0000-0000FA370000}"/>
    <cellStyle name="Normal 5 2 5 3 3" xfId="15202" xr:uid="{00000000-0005-0000-0000-0000FB370000}"/>
    <cellStyle name="Normal 5 2 5 3 4" xfId="15203" xr:uid="{00000000-0005-0000-0000-0000FC370000}"/>
    <cellStyle name="Normal 5 2 5 3 4 2" xfId="26738" xr:uid="{003C97F9-DA53-4283-8CFC-6F2E57538562}"/>
    <cellStyle name="Normal 5 2 5 3 4 2 2" xfId="41701" xr:uid="{87F68048-73E0-4D08-9344-4EE7235BD2BA}"/>
    <cellStyle name="Normal 5 2 5 3 4 3" xfId="34111" xr:uid="{B2B4B3BC-E821-45CE-B06C-D0A95A83BCD0}"/>
    <cellStyle name="Normal 5 2 5 3 5" xfId="15204" xr:uid="{00000000-0005-0000-0000-0000FD370000}"/>
    <cellStyle name="Normal 5 2 5 3 5 2" xfId="26739" xr:uid="{1221F7AA-7CBE-47E2-B7CB-73172E0A5A47}"/>
    <cellStyle name="Normal 5 2 5 3 5 2 2" xfId="41702" xr:uid="{37F990C9-F7B8-4225-8CB4-295BAECF15BC}"/>
    <cellStyle name="Normal 5 2 5 3 5 3" xfId="34112" xr:uid="{5C5F8973-5D35-4E0D-A8EF-894D20C6F6F6}"/>
    <cellStyle name="Normal 5 2 5 3 6" xfId="15205" xr:uid="{00000000-0005-0000-0000-0000FE370000}"/>
    <cellStyle name="Normal 5 2 5 4" xfId="15206" xr:uid="{00000000-0005-0000-0000-0000FF370000}"/>
    <cellStyle name="Normal 5 2 5 4 2" xfId="15207" xr:uid="{00000000-0005-0000-0000-000000380000}"/>
    <cellStyle name="Normal 5 2 5 4 2 2" xfId="15208" xr:uid="{00000000-0005-0000-0000-000001380000}"/>
    <cellStyle name="Normal 5 2 5 4 2 3" xfId="15209" xr:uid="{00000000-0005-0000-0000-000002380000}"/>
    <cellStyle name="Normal 5 2 5 4 3" xfId="15210" xr:uid="{00000000-0005-0000-0000-000003380000}"/>
    <cellStyle name="Normal 5 2 5 4 4" xfId="15211" xr:uid="{00000000-0005-0000-0000-000004380000}"/>
    <cellStyle name="Normal 5 2 5 4 4 2" xfId="26740" xr:uid="{6645ED56-50E3-4B11-A7ED-BBD6581F3A07}"/>
    <cellStyle name="Normal 5 2 5 4 4 2 2" xfId="41703" xr:uid="{3DCA7538-8CFD-40C8-BF28-BE6D9F451C88}"/>
    <cellStyle name="Normal 5 2 5 4 4 3" xfId="34113" xr:uid="{DF4EEE24-F6B9-4C90-85F1-2FA8F5219FE3}"/>
    <cellStyle name="Normal 5 2 5 4 5" xfId="15212" xr:uid="{00000000-0005-0000-0000-000005380000}"/>
    <cellStyle name="Normal 5 2 5 4 5 2" xfId="26741" xr:uid="{5561A38E-7E54-432C-8BE9-DDBF39F6A29C}"/>
    <cellStyle name="Normal 5 2 5 4 5 2 2" xfId="41704" xr:uid="{8E023BF3-0FF9-4E68-9441-DDE3D0558EEE}"/>
    <cellStyle name="Normal 5 2 5 4 5 3" xfId="34114" xr:uid="{EF14CB5D-83D1-4090-A0D4-519BD20C603E}"/>
    <cellStyle name="Normal 5 2 5 4 6" xfId="15213" xr:uid="{00000000-0005-0000-0000-000006380000}"/>
    <cellStyle name="Normal 5 2 5 5" xfId="15214" xr:uid="{00000000-0005-0000-0000-000007380000}"/>
    <cellStyle name="Normal 5 2 5 5 2" xfId="15215" xr:uid="{00000000-0005-0000-0000-000008380000}"/>
    <cellStyle name="Normal 5 2 5 5 3" xfId="15216" xr:uid="{00000000-0005-0000-0000-000009380000}"/>
    <cellStyle name="Normal 5 2 5 6" xfId="15217" xr:uid="{00000000-0005-0000-0000-00000A380000}"/>
    <cellStyle name="Normal 5 2 5 7" xfId="15218" xr:uid="{00000000-0005-0000-0000-00000B380000}"/>
    <cellStyle name="Normal 5 2 5 7 2" xfId="26742" xr:uid="{8AB28542-83ED-4552-B7CA-2F1767614E8B}"/>
    <cellStyle name="Normal 5 2 5 7 2 2" xfId="41705" xr:uid="{2B766177-B92A-432E-82BF-7E57607F6F1A}"/>
    <cellStyle name="Normal 5 2 5 7 3" xfId="34115" xr:uid="{1E01EFA9-FD10-4ED2-97E9-4B0B97364C4F}"/>
    <cellStyle name="Normal 5 2 5 8" xfId="15219" xr:uid="{00000000-0005-0000-0000-00000C380000}"/>
    <cellStyle name="Normal 5 2 6" xfId="2499" xr:uid="{00000000-0005-0000-0000-000089090000}"/>
    <cellStyle name="Normal 5 2 6 2" xfId="15220" xr:uid="{00000000-0005-0000-0000-00000E380000}"/>
    <cellStyle name="Normal 5 2 6 2 2" xfId="15221" xr:uid="{00000000-0005-0000-0000-00000F380000}"/>
    <cellStyle name="Normal 5 2 6 2 3" xfId="26743" xr:uid="{887B768F-473E-4D98-936C-2D365B77BB81}"/>
    <cellStyle name="Normal 5 2 6 2 3 2" xfId="41706" xr:uid="{108A57B0-8A83-4F56-9A0F-ACA66EB19646}"/>
    <cellStyle name="Normal 5 2 6 2 4" xfId="34116" xr:uid="{CA3A5991-5AE1-49F5-81FF-C8DD5BD62230}"/>
    <cellStyle name="Normal 5 2 6 3" xfId="15222" xr:uid="{00000000-0005-0000-0000-000010380000}"/>
    <cellStyle name="Normal 5 2 6 3 2" xfId="26744" xr:uid="{AD6E3C23-48C9-4462-AAD2-4357F4F2271C}"/>
    <cellStyle name="Normal 5 2 6 3 2 2" xfId="41707" xr:uid="{0A2D99BB-BF2D-41C2-8F48-3D2E0963D523}"/>
    <cellStyle name="Normal 5 2 6 3 3" xfId="34117" xr:uid="{AB95C553-8DC0-41F3-9460-04FCACC335C6}"/>
    <cellStyle name="Normal 5 2 6 4" xfId="15223" xr:uid="{00000000-0005-0000-0000-000011380000}"/>
    <cellStyle name="Normal 5 2 6 5" xfId="15224" xr:uid="{00000000-0005-0000-0000-000012380000}"/>
    <cellStyle name="Normal 5 2 7" xfId="2500" xr:uid="{00000000-0005-0000-0000-00008A090000}"/>
    <cellStyle name="Normal 5 2 7 2" xfId="15225" xr:uid="{00000000-0005-0000-0000-000014380000}"/>
    <cellStyle name="Normal 5 2 7 3" xfId="15226" xr:uid="{00000000-0005-0000-0000-000015380000}"/>
    <cellStyle name="Normal 5 2 8" xfId="2501" xr:uid="{00000000-0005-0000-0000-00008B090000}"/>
    <cellStyle name="Normal 5 2 8 2" xfId="15227" xr:uid="{00000000-0005-0000-0000-000017380000}"/>
    <cellStyle name="Normal 5 2 8 3" xfId="15228" xr:uid="{00000000-0005-0000-0000-000018380000}"/>
    <cellStyle name="Normal 5 2 9" xfId="2502" xr:uid="{00000000-0005-0000-0000-00008C090000}"/>
    <cellStyle name="Normal 5 2 9 2" xfId="15229" xr:uid="{00000000-0005-0000-0000-00001A380000}"/>
    <cellStyle name="Normal 5 2 9 3" xfId="15230" xr:uid="{00000000-0005-0000-0000-00001B380000}"/>
    <cellStyle name="Normal 5 20" xfId="2503" xr:uid="{00000000-0005-0000-0000-00008D090000}"/>
    <cellStyle name="Normal 5 20 2" xfId="15231" xr:uid="{00000000-0005-0000-0000-00001D380000}"/>
    <cellStyle name="Normal 5 20 3" xfId="15232" xr:uid="{00000000-0005-0000-0000-00001E380000}"/>
    <cellStyle name="Normal 5 21" xfId="2504" xr:uid="{00000000-0005-0000-0000-00008E090000}"/>
    <cellStyle name="Normal 5 21 2" xfId="15233" xr:uid="{00000000-0005-0000-0000-000020380000}"/>
    <cellStyle name="Normal 5 21 3" xfId="15234" xr:uid="{00000000-0005-0000-0000-000021380000}"/>
    <cellStyle name="Normal 5 22" xfId="2505" xr:uid="{00000000-0005-0000-0000-00008F090000}"/>
    <cellStyle name="Normal 5 22 2" xfId="15235" xr:uid="{00000000-0005-0000-0000-000023380000}"/>
    <cellStyle name="Normal 5 22 3" xfId="15236" xr:uid="{00000000-0005-0000-0000-000024380000}"/>
    <cellStyle name="Normal 5 23" xfId="2506" xr:uid="{00000000-0005-0000-0000-000090090000}"/>
    <cellStyle name="Normal 5 23 2" xfId="15237" xr:uid="{00000000-0005-0000-0000-000026380000}"/>
    <cellStyle name="Normal 5 23 3" xfId="15238" xr:uid="{00000000-0005-0000-0000-000027380000}"/>
    <cellStyle name="Normal 5 24" xfId="2507" xr:uid="{00000000-0005-0000-0000-000091090000}"/>
    <cellStyle name="Normal 5 24 2" xfId="15240" xr:uid="{00000000-0005-0000-0000-000029380000}"/>
    <cellStyle name="Normal 5 24 3" xfId="15241" xr:uid="{00000000-0005-0000-0000-00002A380000}"/>
    <cellStyle name="Normal 5 25" xfId="15242" xr:uid="{00000000-0005-0000-0000-00002B380000}"/>
    <cellStyle name="Normal 5 25 2" xfId="15243" xr:uid="{00000000-0005-0000-0000-00002C380000}"/>
    <cellStyle name="Normal 5 25 2 2" xfId="15244" xr:uid="{00000000-0005-0000-0000-00002D380000}"/>
    <cellStyle name="Normal 5 25 2 3" xfId="15245" xr:uid="{00000000-0005-0000-0000-00002E380000}"/>
    <cellStyle name="Normal 5 25 2 3 2" xfId="26745" xr:uid="{0E1DAE51-F98E-4FF0-893C-A6B0ECE6FFD6}"/>
    <cellStyle name="Normal 5 25 2 3 2 2" xfId="41708" xr:uid="{3BA39C8B-387A-4D1C-AA27-AA28F901CF26}"/>
    <cellStyle name="Normal 5 25 2 3 3" xfId="34119" xr:uid="{C32E9700-F653-4341-983E-0696C84509EA}"/>
    <cellStyle name="Normal 5 25 2 4" xfId="15246" xr:uid="{00000000-0005-0000-0000-00002F380000}"/>
    <cellStyle name="Normal 5 25 3" xfId="15247" xr:uid="{00000000-0005-0000-0000-000030380000}"/>
    <cellStyle name="Normal 5 25 4" xfId="15248" xr:uid="{00000000-0005-0000-0000-000031380000}"/>
    <cellStyle name="Normal 5 25 4 2" xfId="26746" xr:uid="{294087B4-772C-49F3-BF83-8F0C2E7B0A7D}"/>
    <cellStyle name="Normal 5 25 4 2 2" xfId="41709" xr:uid="{DD48B895-5416-4B57-A123-B5779E03D8EF}"/>
    <cellStyle name="Normal 5 25 4 3" xfId="34120" xr:uid="{E70C9BED-7B94-4B63-9F76-A268061B13C7}"/>
    <cellStyle name="Normal 5 25 5" xfId="15249" xr:uid="{00000000-0005-0000-0000-000032380000}"/>
    <cellStyle name="Normal 5 25 5 2" xfId="26747" xr:uid="{D21614E0-F0FF-4221-BF30-C2CB359F6042}"/>
    <cellStyle name="Normal 5 25 5 2 2" xfId="41710" xr:uid="{317555D3-B458-45A1-BB01-E52EF4226FCB}"/>
    <cellStyle name="Normal 5 25 5 3" xfId="34121" xr:uid="{6B907CCA-A5EE-453F-94E2-07C0403E8B29}"/>
    <cellStyle name="Normal 5 25 6" xfId="15250" xr:uid="{00000000-0005-0000-0000-000033380000}"/>
    <cellStyle name="Normal 5 26" xfId="15251" xr:uid="{00000000-0005-0000-0000-000034380000}"/>
    <cellStyle name="Normal 5 26 2" xfId="15252" xr:uid="{00000000-0005-0000-0000-000035380000}"/>
    <cellStyle name="Normal 5 26 2 2" xfId="15253" xr:uid="{00000000-0005-0000-0000-000036380000}"/>
    <cellStyle name="Normal 5 26 2 3" xfId="15254" xr:uid="{00000000-0005-0000-0000-000037380000}"/>
    <cellStyle name="Normal 5 26 3" xfId="15255" xr:uid="{00000000-0005-0000-0000-000038380000}"/>
    <cellStyle name="Normal 5 26 3 2" xfId="15256" xr:uid="{00000000-0005-0000-0000-000039380000}"/>
    <cellStyle name="Normal 5 26 3 3" xfId="26748" xr:uid="{A56DE84C-6CEA-4AF3-A0F7-ACC1629BD981}"/>
    <cellStyle name="Normal 5 26 3 3 2" xfId="41711" xr:uid="{3E79E42A-4E06-45BD-A07B-89F97AE9EDE7}"/>
    <cellStyle name="Normal 5 26 3 4" xfId="34122" xr:uid="{C5F0F8BF-A5D6-4E96-B459-66926FEADCE9}"/>
    <cellStyle name="Normal 5 26 4" xfId="15257" xr:uid="{00000000-0005-0000-0000-00003A380000}"/>
    <cellStyle name="Normal 5 27" xfId="15258" xr:uid="{00000000-0005-0000-0000-00003B380000}"/>
    <cellStyle name="Normal 5 27 2" xfId="15259" xr:uid="{00000000-0005-0000-0000-00003C380000}"/>
    <cellStyle name="Normal 5 27 2 2" xfId="26750" xr:uid="{E2A1B0CC-7998-4708-80DB-1828BE131131}"/>
    <cellStyle name="Normal 5 27 2 2 2" xfId="41713" xr:uid="{1BBBD248-FFC6-481E-938A-67CC3DC9C644}"/>
    <cellStyle name="Normal 5 27 2 3" xfId="34124" xr:uid="{0233E5D8-04C1-4E81-8813-87087BD159A9}"/>
    <cellStyle name="Normal 5 27 3" xfId="15260" xr:uid="{00000000-0005-0000-0000-00003D380000}"/>
    <cellStyle name="Normal 5 27 3 2" xfId="26751" xr:uid="{35CA828A-D163-4965-B23C-E3ECDEFFFC92}"/>
    <cellStyle name="Normal 5 27 3 2 2" xfId="41714" xr:uid="{D44BF543-9CB5-46CD-AEB6-C449397F82E1}"/>
    <cellStyle name="Normal 5 27 3 3" xfId="34125" xr:uid="{54E51EE0-3AB3-4D6D-8381-0F27890DA0DD}"/>
    <cellStyle name="Normal 5 27 4" xfId="26749" xr:uid="{0B7D9C1F-C323-49A8-AA21-327B64852250}"/>
    <cellStyle name="Normal 5 27 4 2" xfId="41712" xr:uid="{F4D8E324-E4F8-42EC-A8C5-6956D3761264}"/>
    <cellStyle name="Normal 5 27 5" xfId="34123" xr:uid="{9CCE8B10-DAC5-4A79-88EC-12A541168C8D}"/>
    <cellStyle name="Normal 5 28" xfId="15261" xr:uid="{00000000-0005-0000-0000-00003E380000}"/>
    <cellStyle name="Normal 5 28 2" xfId="15262" xr:uid="{00000000-0005-0000-0000-00003F380000}"/>
    <cellStyle name="Normal 5 29" xfId="15263" xr:uid="{00000000-0005-0000-0000-000040380000}"/>
    <cellStyle name="Normal 5 29 2" xfId="26752" xr:uid="{A720A335-5085-4561-92E6-C10E61101CB8}"/>
    <cellStyle name="Normal 5 29 2 2" xfId="41715" xr:uid="{BF74C1C1-990A-455F-8943-E249081F177F}"/>
    <cellStyle name="Normal 5 29 3" xfId="34126" xr:uid="{159115CB-32A7-450C-9C3A-9608F63EEB2E}"/>
    <cellStyle name="Normal 5 3" xfId="2508" xr:uid="{00000000-0005-0000-0000-000092090000}"/>
    <cellStyle name="Normal 5 3 2" xfId="15265" xr:uid="{00000000-0005-0000-0000-000042380000}"/>
    <cellStyle name="Normal 5 3 2 10" xfId="15266" xr:uid="{00000000-0005-0000-0000-000043380000}"/>
    <cellStyle name="Normal 5 3 2 2" xfId="15267" xr:uid="{00000000-0005-0000-0000-000044380000}"/>
    <cellStyle name="Normal 5 3 2 2 2" xfId="15268" xr:uid="{00000000-0005-0000-0000-000045380000}"/>
    <cellStyle name="Normal 5 3 2 2 2 2" xfId="15269" xr:uid="{00000000-0005-0000-0000-000046380000}"/>
    <cellStyle name="Normal 5 3 2 2 2 2 2" xfId="15270" xr:uid="{00000000-0005-0000-0000-000047380000}"/>
    <cellStyle name="Normal 5 3 2 2 2 2 2 2" xfId="15271" xr:uid="{00000000-0005-0000-0000-000048380000}"/>
    <cellStyle name="Normal 5 3 2 2 2 2 2 3" xfId="15272" xr:uid="{00000000-0005-0000-0000-000049380000}"/>
    <cellStyle name="Normal 5 3 2 2 2 2 3" xfId="15273" xr:uid="{00000000-0005-0000-0000-00004A380000}"/>
    <cellStyle name="Normal 5 3 2 2 2 2 4" xfId="15274" xr:uid="{00000000-0005-0000-0000-00004B380000}"/>
    <cellStyle name="Normal 5 3 2 2 2 2 4 2" xfId="26753" xr:uid="{D0139556-3A6C-43B0-B1BE-4FF96EA8E8F5}"/>
    <cellStyle name="Normal 5 3 2 2 2 2 4 2 2" xfId="41716" xr:uid="{FD6E6C5F-BD28-420B-8CFE-32E9BB15D918}"/>
    <cellStyle name="Normal 5 3 2 2 2 2 4 3" xfId="34128" xr:uid="{F63FF80D-ACC5-4A10-AC1B-873CC8B1CD9F}"/>
    <cellStyle name="Normal 5 3 2 2 2 2 5" xfId="15275" xr:uid="{00000000-0005-0000-0000-00004C380000}"/>
    <cellStyle name="Normal 5 3 2 2 2 2 5 2" xfId="26754" xr:uid="{8024D133-23BE-4472-93D0-DF1C71DBE0BA}"/>
    <cellStyle name="Normal 5 3 2 2 2 2 5 2 2" xfId="41717" xr:uid="{E5AC31BC-3526-4AF5-82AE-FC17D3C468F9}"/>
    <cellStyle name="Normal 5 3 2 2 2 2 5 3" xfId="34129" xr:uid="{C1612E4D-70B3-4C7C-A0B1-91C8FBF6EC93}"/>
    <cellStyle name="Normal 5 3 2 2 2 2 6" xfId="15276" xr:uid="{00000000-0005-0000-0000-00004D380000}"/>
    <cellStyle name="Normal 5 3 2 2 2 3" xfId="15277" xr:uid="{00000000-0005-0000-0000-00004E380000}"/>
    <cellStyle name="Normal 5 3 2 2 2 3 2" xfId="15278" xr:uid="{00000000-0005-0000-0000-00004F380000}"/>
    <cellStyle name="Normal 5 3 2 2 2 3 2 2" xfId="15279" xr:uid="{00000000-0005-0000-0000-000050380000}"/>
    <cellStyle name="Normal 5 3 2 2 2 3 2 3" xfId="15280" xr:uid="{00000000-0005-0000-0000-000051380000}"/>
    <cellStyle name="Normal 5 3 2 2 2 3 3" xfId="15281" xr:uid="{00000000-0005-0000-0000-000052380000}"/>
    <cellStyle name="Normal 5 3 2 2 2 3 3 2" xfId="15282" xr:uid="{00000000-0005-0000-0000-000053380000}"/>
    <cellStyle name="Normal 5 3 2 2 2 3 3 3" xfId="26755" xr:uid="{E6029B08-C9FB-4B28-9D1B-D361BD4EF996}"/>
    <cellStyle name="Normal 5 3 2 2 2 3 3 3 2" xfId="41718" xr:uid="{84A81CAA-6A6D-4409-B234-F6925313074D}"/>
    <cellStyle name="Normal 5 3 2 2 2 3 3 4" xfId="34130" xr:uid="{B3E9825E-672C-4B99-96D0-4EEA0D2990C3}"/>
    <cellStyle name="Normal 5 3 2 2 2 3 4" xfId="15283" xr:uid="{00000000-0005-0000-0000-000054380000}"/>
    <cellStyle name="Normal 5 3 2 2 2 4" xfId="15284" xr:uid="{00000000-0005-0000-0000-000055380000}"/>
    <cellStyle name="Normal 5 3 2 2 2 4 2" xfId="15285" xr:uid="{00000000-0005-0000-0000-000056380000}"/>
    <cellStyle name="Normal 5 3 2 2 2 4 3" xfId="15286" xr:uid="{00000000-0005-0000-0000-000057380000}"/>
    <cellStyle name="Normal 5 3 2 2 2 5" xfId="15287" xr:uid="{00000000-0005-0000-0000-000058380000}"/>
    <cellStyle name="Normal 5 3 2 2 2 6" xfId="15288" xr:uid="{00000000-0005-0000-0000-000059380000}"/>
    <cellStyle name="Normal 5 3 2 2 2 6 2" xfId="26756" xr:uid="{8AEAA94C-702F-40DF-A901-C5CEB9D236AD}"/>
    <cellStyle name="Normal 5 3 2 2 2 6 2 2" xfId="41719" xr:uid="{E99A12E1-119C-42EA-9168-C3E46F771B3E}"/>
    <cellStyle name="Normal 5 3 2 2 2 6 3" xfId="34131" xr:uid="{DE07142C-B7A2-4DF5-98A7-7BA57506AAE6}"/>
    <cellStyle name="Normal 5 3 2 2 2 7" xfId="15289" xr:uid="{00000000-0005-0000-0000-00005A380000}"/>
    <cellStyle name="Normal 5 3 2 2 2 7 2" xfId="26757" xr:uid="{41770801-7016-4469-8F35-AADCC3227A31}"/>
    <cellStyle name="Normal 5 3 2 2 2 7 2 2" xfId="41720" xr:uid="{180D784E-B622-4A78-8AF2-70DF6BD74E9F}"/>
    <cellStyle name="Normal 5 3 2 2 2 7 3" xfId="34132" xr:uid="{F00D298A-D3F2-4F0D-9AC6-0E528AEFFFBD}"/>
    <cellStyle name="Normal 5 3 2 2 2 8" xfId="15290" xr:uid="{00000000-0005-0000-0000-00005B380000}"/>
    <cellStyle name="Normal 5 3 2 2 3" xfId="15291" xr:uid="{00000000-0005-0000-0000-00005C380000}"/>
    <cellStyle name="Normal 5 3 2 2 3 2" xfId="15292" xr:uid="{00000000-0005-0000-0000-00005D380000}"/>
    <cellStyle name="Normal 5 3 2 2 3 2 2" xfId="15293" xr:uid="{00000000-0005-0000-0000-00005E380000}"/>
    <cellStyle name="Normal 5 3 2 2 3 2 3" xfId="15294" xr:uid="{00000000-0005-0000-0000-00005F380000}"/>
    <cellStyle name="Normal 5 3 2 2 3 3" xfId="15295" xr:uid="{00000000-0005-0000-0000-000060380000}"/>
    <cellStyle name="Normal 5 3 2 2 3 4" xfId="15296" xr:uid="{00000000-0005-0000-0000-000061380000}"/>
    <cellStyle name="Normal 5 3 2 2 3 4 2" xfId="26758" xr:uid="{7BCC52BF-69CC-45EC-8FC2-AD6A0A70B877}"/>
    <cellStyle name="Normal 5 3 2 2 3 4 2 2" xfId="41721" xr:uid="{DA64E7B8-AA1D-4E5B-8EA6-CEA3E028B2F8}"/>
    <cellStyle name="Normal 5 3 2 2 3 4 3" xfId="34133" xr:uid="{BD3960AE-C0B4-40CD-A9E7-68CAD4CBEFBB}"/>
    <cellStyle name="Normal 5 3 2 2 3 5" xfId="15297" xr:uid="{00000000-0005-0000-0000-000062380000}"/>
    <cellStyle name="Normal 5 3 2 2 3 5 2" xfId="26759" xr:uid="{ED2BD688-C909-4ABF-8212-C473E621F3DD}"/>
    <cellStyle name="Normal 5 3 2 2 3 5 2 2" xfId="41722" xr:uid="{101294B3-F558-46C7-B1B9-BD18E26CFA5A}"/>
    <cellStyle name="Normal 5 3 2 2 3 5 3" xfId="34134" xr:uid="{678E0461-9E71-4A11-B841-90B50318ED5A}"/>
    <cellStyle name="Normal 5 3 2 2 3 6" xfId="15298" xr:uid="{00000000-0005-0000-0000-000063380000}"/>
    <cellStyle name="Normal 5 3 2 2 4" xfId="15299" xr:uid="{00000000-0005-0000-0000-000064380000}"/>
    <cellStyle name="Normal 5 3 2 2 4 2" xfId="15300" xr:uid="{00000000-0005-0000-0000-000065380000}"/>
    <cellStyle name="Normal 5 3 2 2 4 2 2" xfId="15301" xr:uid="{00000000-0005-0000-0000-000066380000}"/>
    <cellStyle name="Normal 5 3 2 2 4 2 3" xfId="15302" xr:uid="{00000000-0005-0000-0000-000067380000}"/>
    <cellStyle name="Normal 5 3 2 2 4 3" xfId="15303" xr:uid="{00000000-0005-0000-0000-000068380000}"/>
    <cellStyle name="Normal 5 3 2 2 4 3 2" xfId="15304" xr:uid="{00000000-0005-0000-0000-000069380000}"/>
    <cellStyle name="Normal 5 3 2 2 4 3 3" xfId="26760" xr:uid="{E6E3366D-16EF-4FE7-84E7-6ECD77864669}"/>
    <cellStyle name="Normal 5 3 2 2 4 3 3 2" xfId="41723" xr:uid="{0345589A-64F9-4FB6-A79E-48803776E6AB}"/>
    <cellStyle name="Normal 5 3 2 2 4 3 4" xfId="34135" xr:uid="{74411E24-BB3B-4B3F-9687-3AD91F2A9F74}"/>
    <cellStyle name="Normal 5 3 2 2 4 4" xfId="15305" xr:uid="{00000000-0005-0000-0000-00006A380000}"/>
    <cellStyle name="Normal 5 3 2 2 5" xfId="15306" xr:uid="{00000000-0005-0000-0000-00006B380000}"/>
    <cellStyle name="Normal 5 3 2 2 5 2" xfId="15307" xr:uid="{00000000-0005-0000-0000-00006C380000}"/>
    <cellStyle name="Normal 5 3 2 2 5 3" xfId="15308" xr:uid="{00000000-0005-0000-0000-00006D380000}"/>
    <cellStyle name="Normal 5 3 2 2 6" xfId="15309" xr:uid="{00000000-0005-0000-0000-00006E380000}"/>
    <cellStyle name="Normal 5 3 2 2 7" xfId="15310" xr:uid="{00000000-0005-0000-0000-00006F380000}"/>
    <cellStyle name="Normal 5 3 2 2 7 2" xfId="26761" xr:uid="{9338EBD2-9051-4456-8A7D-82069DD9796B}"/>
    <cellStyle name="Normal 5 3 2 2 7 2 2" xfId="41724" xr:uid="{0C412C34-E816-42E0-B68A-34A532AEDCA8}"/>
    <cellStyle name="Normal 5 3 2 2 7 3" xfId="34136" xr:uid="{61E3ECD9-70F8-401C-9FF1-4892D57C90E1}"/>
    <cellStyle name="Normal 5 3 2 2 8" xfId="15311" xr:uid="{00000000-0005-0000-0000-000070380000}"/>
    <cellStyle name="Normal 5 3 2 2 8 2" xfId="26762" xr:uid="{584B71FD-4575-412F-BA57-2AE34C807B7C}"/>
    <cellStyle name="Normal 5 3 2 2 8 2 2" xfId="41725" xr:uid="{EF93293A-0AB9-437F-84F3-A360A580CE0D}"/>
    <cellStyle name="Normal 5 3 2 2 8 3" xfId="34137" xr:uid="{B92037BB-F62C-42D3-AC68-B8B9FF87B2F1}"/>
    <cellStyle name="Normal 5 3 2 2 9" xfId="15312" xr:uid="{00000000-0005-0000-0000-000071380000}"/>
    <cellStyle name="Normal 5 3 2 3" xfId="15313" xr:uid="{00000000-0005-0000-0000-000072380000}"/>
    <cellStyle name="Normal 5 3 2 3 2" xfId="15314" xr:uid="{00000000-0005-0000-0000-000073380000}"/>
    <cellStyle name="Normal 5 3 2 3 2 2" xfId="15315" xr:uid="{00000000-0005-0000-0000-000074380000}"/>
    <cellStyle name="Normal 5 3 2 3 2 2 2" xfId="15316" xr:uid="{00000000-0005-0000-0000-000075380000}"/>
    <cellStyle name="Normal 5 3 2 3 2 2 3" xfId="15317" xr:uid="{00000000-0005-0000-0000-000076380000}"/>
    <cellStyle name="Normal 5 3 2 3 2 3" xfId="15318" xr:uid="{00000000-0005-0000-0000-000077380000}"/>
    <cellStyle name="Normal 5 3 2 3 2 4" xfId="15319" xr:uid="{00000000-0005-0000-0000-000078380000}"/>
    <cellStyle name="Normal 5 3 2 3 2 4 2" xfId="26763" xr:uid="{D3A8F67D-3A4E-40EF-8F44-E8E3A48EA947}"/>
    <cellStyle name="Normal 5 3 2 3 2 4 2 2" xfId="41726" xr:uid="{96B5918C-1202-450B-9856-AF224BD4461E}"/>
    <cellStyle name="Normal 5 3 2 3 2 4 3" xfId="34138" xr:uid="{2B5018A2-A6B7-48F3-ADAB-32FE5AFFD1A8}"/>
    <cellStyle name="Normal 5 3 2 3 2 5" xfId="15320" xr:uid="{00000000-0005-0000-0000-000079380000}"/>
    <cellStyle name="Normal 5 3 2 3 2 5 2" xfId="26764" xr:uid="{67EDA9E1-EF6F-4A46-95D2-9A28A27B1140}"/>
    <cellStyle name="Normal 5 3 2 3 2 5 2 2" xfId="41727" xr:uid="{44569170-635E-41CA-B91F-6A7EBFEA0562}"/>
    <cellStyle name="Normal 5 3 2 3 2 5 3" xfId="34139" xr:uid="{C4CB980B-382C-4153-9F05-C0FCDE6A4AA7}"/>
    <cellStyle name="Normal 5 3 2 3 2 6" xfId="15321" xr:uid="{00000000-0005-0000-0000-00007A380000}"/>
    <cellStyle name="Normal 5 3 2 3 3" xfId="15322" xr:uid="{00000000-0005-0000-0000-00007B380000}"/>
    <cellStyle name="Normal 5 3 2 3 3 2" xfId="15323" xr:uid="{00000000-0005-0000-0000-00007C380000}"/>
    <cellStyle name="Normal 5 3 2 3 3 2 2" xfId="15324" xr:uid="{00000000-0005-0000-0000-00007D380000}"/>
    <cellStyle name="Normal 5 3 2 3 3 2 3" xfId="15325" xr:uid="{00000000-0005-0000-0000-00007E380000}"/>
    <cellStyle name="Normal 5 3 2 3 3 3" xfId="15326" xr:uid="{00000000-0005-0000-0000-00007F380000}"/>
    <cellStyle name="Normal 5 3 2 3 3 3 2" xfId="15327" xr:uid="{00000000-0005-0000-0000-000080380000}"/>
    <cellStyle name="Normal 5 3 2 3 3 3 3" xfId="26765" xr:uid="{426F0DAD-46F4-4FAD-BBFA-CF708C8CA3E3}"/>
    <cellStyle name="Normal 5 3 2 3 3 3 3 2" xfId="41728" xr:uid="{CD7FF85D-F0D6-4427-908B-30F3E0B94FFF}"/>
    <cellStyle name="Normal 5 3 2 3 3 3 4" xfId="34140" xr:uid="{DA3EDA34-C1D4-44D4-83DD-AE60C5434C46}"/>
    <cellStyle name="Normal 5 3 2 3 3 4" xfId="15328" xr:uid="{00000000-0005-0000-0000-000081380000}"/>
    <cellStyle name="Normal 5 3 2 3 4" xfId="15329" xr:uid="{00000000-0005-0000-0000-000082380000}"/>
    <cellStyle name="Normal 5 3 2 3 4 2" xfId="15330" xr:uid="{00000000-0005-0000-0000-000083380000}"/>
    <cellStyle name="Normal 5 3 2 3 4 3" xfId="15331" xr:uid="{00000000-0005-0000-0000-000084380000}"/>
    <cellStyle name="Normal 5 3 2 3 5" xfId="15332" xr:uid="{00000000-0005-0000-0000-000085380000}"/>
    <cellStyle name="Normal 5 3 2 3 6" xfId="15333" xr:uid="{00000000-0005-0000-0000-000086380000}"/>
    <cellStyle name="Normal 5 3 2 3 6 2" xfId="26766" xr:uid="{17560DDB-F0D7-4DBB-A9B5-B1E68BBB9689}"/>
    <cellStyle name="Normal 5 3 2 3 6 2 2" xfId="41729" xr:uid="{FC291597-2B69-49D1-A04C-A18309DE5606}"/>
    <cellStyle name="Normal 5 3 2 3 6 3" xfId="34141" xr:uid="{7B0E46ED-738F-4B1A-BADD-06A262B499F0}"/>
    <cellStyle name="Normal 5 3 2 3 7" xfId="15334" xr:uid="{00000000-0005-0000-0000-000087380000}"/>
    <cellStyle name="Normal 5 3 2 3 7 2" xfId="26767" xr:uid="{1283122E-BA32-45AD-86F0-A85688D584FE}"/>
    <cellStyle name="Normal 5 3 2 3 7 2 2" xfId="41730" xr:uid="{A23F23B5-B503-4475-A0B6-BB7925B132B1}"/>
    <cellStyle name="Normal 5 3 2 3 7 3" xfId="34142" xr:uid="{7B1DC958-7CEE-4269-BB6C-312F38C5EDF0}"/>
    <cellStyle name="Normal 5 3 2 3 8" xfId="15335" xr:uid="{00000000-0005-0000-0000-000088380000}"/>
    <cellStyle name="Normal 5 3 2 4" xfId="15336" xr:uid="{00000000-0005-0000-0000-000089380000}"/>
    <cellStyle name="Normal 5 3 2 4 2" xfId="15337" xr:uid="{00000000-0005-0000-0000-00008A380000}"/>
    <cellStyle name="Normal 5 3 2 4 2 2" xfId="15338" xr:uid="{00000000-0005-0000-0000-00008B380000}"/>
    <cellStyle name="Normal 5 3 2 4 2 3" xfId="15339" xr:uid="{00000000-0005-0000-0000-00008C380000}"/>
    <cellStyle name="Normal 5 3 2 4 2 3 2" xfId="26768" xr:uid="{DD1CC0B7-3D72-44D4-8198-625D877B233D}"/>
    <cellStyle name="Normal 5 3 2 4 2 3 2 2" xfId="41731" xr:uid="{F3C5D0CE-9205-47E0-8A21-DB0663322E8C}"/>
    <cellStyle name="Normal 5 3 2 4 2 3 3" xfId="34143" xr:uid="{6B8A2828-045A-4B08-97A7-374093A36955}"/>
    <cellStyle name="Normal 5 3 2 4 2 4" xfId="15340" xr:uid="{00000000-0005-0000-0000-00008D380000}"/>
    <cellStyle name="Normal 5 3 2 4 3" xfId="15341" xr:uid="{00000000-0005-0000-0000-00008E380000}"/>
    <cellStyle name="Normal 5 3 2 4 4" xfId="15342" xr:uid="{00000000-0005-0000-0000-00008F380000}"/>
    <cellStyle name="Normal 5 3 2 4 4 2" xfId="26769" xr:uid="{725B5256-3C5E-4282-B3D5-14EA54A4F2FF}"/>
    <cellStyle name="Normal 5 3 2 4 4 2 2" xfId="41732" xr:uid="{97205488-33A0-4F2C-B0AA-9C3A09302BF3}"/>
    <cellStyle name="Normal 5 3 2 4 4 3" xfId="34144" xr:uid="{036A8146-500A-48BC-A9B5-94BC1F3B4004}"/>
    <cellStyle name="Normal 5 3 2 4 5" xfId="15343" xr:uid="{00000000-0005-0000-0000-000090380000}"/>
    <cellStyle name="Normal 5 3 2 4 5 2" xfId="26770" xr:uid="{30274D4E-EAF1-48EA-BB5D-3DB28800766F}"/>
    <cellStyle name="Normal 5 3 2 4 5 2 2" xfId="41733" xr:uid="{F1286F44-34A7-4851-956D-D3D4AF51E86A}"/>
    <cellStyle name="Normal 5 3 2 4 5 3" xfId="34145" xr:uid="{FA6A8ADB-86AA-4876-B0D1-F90424EC8319}"/>
    <cellStyle name="Normal 5 3 2 4 6" xfId="15344" xr:uid="{00000000-0005-0000-0000-000091380000}"/>
    <cellStyle name="Normal 5 3 2 5" xfId="15345" xr:uid="{00000000-0005-0000-0000-000092380000}"/>
    <cellStyle name="Normal 5 3 2 5 2" xfId="15346" xr:uid="{00000000-0005-0000-0000-000093380000}"/>
    <cellStyle name="Normal 5 3 2 5 2 2" xfId="15347" xr:uid="{00000000-0005-0000-0000-000094380000}"/>
    <cellStyle name="Normal 5 3 2 5 2 3" xfId="15348" xr:uid="{00000000-0005-0000-0000-000095380000}"/>
    <cellStyle name="Normal 5 3 2 5 3" xfId="15349" xr:uid="{00000000-0005-0000-0000-000096380000}"/>
    <cellStyle name="Normal 5 3 2 5 4" xfId="15350" xr:uid="{00000000-0005-0000-0000-000097380000}"/>
    <cellStyle name="Normal 5 3 2 5 4 2" xfId="26771" xr:uid="{3806DAF3-BB17-4419-9A19-839AF289C61A}"/>
    <cellStyle name="Normal 5 3 2 5 4 2 2" xfId="41734" xr:uid="{5F08E64D-62FC-4EF3-80D3-C4CAFD7F4024}"/>
    <cellStyle name="Normal 5 3 2 5 4 3" xfId="34146" xr:uid="{76D009CE-3DB2-410E-9461-3B691D76DE7A}"/>
    <cellStyle name="Normal 5 3 2 5 5" xfId="15351" xr:uid="{00000000-0005-0000-0000-000098380000}"/>
    <cellStyle name="Normal 5 3 2 5 5 2" xfId="26772" xr:uid="{E9D54C1F-E741-451E-9DFF-F81A55B438AC}"/>
    <cellStyle name="Normal 5 3 2 5 5 2 2" xfId="41735" xr:uid="{9AA434B3-4443-4694-AF51-B2F947F46AF8}"/>
    <cellStyle name="Normal 5 3 2 5 5 3" xfId="34147" xr:uid="{E56AC7D8-8C79-4BCB-8449-5F3A78F61B82}"/>
    <cellStyle name="Normal 5 3 2 5 6" xfId="15352" xr:uid="{00000000-0005-0000-0000-000099380000}"/>
    <cellStyle name="Normal 5 3 2 6" xfId="15353" xr:uid="{00000000-0005-0000-0000-00009A380000}"/>
    <cellStyle name="Normal 5 3 2 6 2" xfId="15354" xr:uid="{00000000-0005-0000-0000-00009B380000}"/>
    <cellStyle name="Normal 5 3 2 6 3" xfId="15355" xr:uid="{00000000-0005-0000-0000-00009C380000}"/>
    <cellStyle name="Normal 5 3 2 7" xfId="15356" xr:uid="{00000000-0005-0000-0000-00009D380000}"/>
    <cellStyle name="Normal 5 3 2 8" xfId="15357" xr:uid="{00000000-0005-0000-0000-00009E380000}"/>
    <cellStyle name="Normal 5 3 2 8 2" xfId="26773" xr:uid="{605EF5BA-61F8-4BE6-A3A6-6D16FE781E3F}"/>
    <cellStyle name="Normal 5 3 2 8 2 2" xfId="41736" xr:uid="{3E66DE60-C67E-4E03-8E7A-6DAD0AA5623F}"/>
    <cellStyle name="Normal 5 3 2 8 3" xfId="34148" xr:uid="{97DEC6AD-1312-4682-B892-4DBA8B05FC97}"/>
    <cellStyle name="Normal 5 3 2 9" xfId="15358" xr:uid="{00000000-0005-0000-0000-00009F380000}"/>
    <cellStyle name="Normal 5 3 2 9 2" xfId="26774" xr:uid="{5EA90AAD-7B9F-4A10-8237-75A2F86A1386}"/>
    <cellStyle name="Normal 5 3 2 9 2 2" xfId="41737" xr:uid="{5A4AAFB6-8C3A-4598-8242-345F261C7A3D}"/>
    <cellStyle name="Normal 5 3 2 9 3" xfId="34149" xr:uid="{9A12B68E-EBAF-414D-BF1C-0535D480ED6F}"/>
    <cellStyle name="Normal 5 3 3" xfId="15359" xr:uid="{00000000-0005-0000-0000-0000A0380000}"/>
    <cellStyle name="Normal 5 3 3 2" xfId="15360" xr:uid="{00000000-0005-0000-0000-0000A1380000}"/>
    <cellStyle name="Normal 5 3 3 2 2" xfId="15361" xr:uid="{00000000-0005-0000-0000-0000A2380000}"/>
    <cellStyle name="Normal 5 3 3 2 2 2" xfId="15362" xr:uid="{00000000-0005-0000-0000-0000A3380000}"/>
    <cellStyle name="Normal 5 3 3 2 2 2 2" xfId="15363" xr:uid="{00000000-0005-0000-0000-0000A4380000}"/>
    <cellStyle name="Normal 5 3 3 2 2 2 3" xfId="15364" xr:uid="{00000000-0005-0000-0000-0000A5380000}"/>
    <cellStyle name="Normal 5 3 3 2 2 3" xfId="15365" xr:uid="{00000000-0005-0000-0000-0000A6380000}"/>
    <cellStyle name="Normal 5 3 3 2 2 4" xfId="15366" xr:uid="{00000000-0005-0000-0000-0000A7380000}"/>
    <cellStyle name="Normal 5 3 3 2 2 4 2" xfId="26775" xr:uid="{DE4F30AB-7DCF-4528-B943-2DD274C48D1C}"/>
    <cellStyle name="Normal 5 3 3 2 2 4 2 2" xfId="41738" xr:uid="{720F1D96-6A2A-470C-878A-58B13EF69147}"/>
    <cellStyle name="Normal 5 3 3 2 2 4 3" xfId="34150" xr:uid="{8D5463F9-FC8C-4E58-BEDE-BCF368ABC0C0}"/>
    <cellStyle name="Normal 5 3 3 2 2 5" xfId="15367" xr:uid="{00000000-0005-0000-0000-0000A8380000}"/>
    <cellStyle name="Normal 5 3 3 2 2 5 2" xfId="26776" xr:uid="{057086C3-09F0-4A66-AAF2-C6B41ABF80C1}"/>
    <cellStyle name="Normal 5 3 3 2 2 5 2 2" xfId="41739" xr:uid="{393BB28F-7A0C-434E-8CB6-D00387ACA3A2}"/>
    <cellStyle name="Normal 5 3 3 2 2 5 3" xfId="34151" xr:uid="{9D949C84-D241-4076-8212-2002603481B4}"/>
    <cellStyle name="Normal 5 3 3 2 2 6" xfId="15368" xr:uid="{00000000-0005-0000-0000-0000A9380000}"/>
    <cellStyle name="Normal 5 3 3 2 3" xfId="15369" xr:uid="{00000000-0005-0000-0000-0000AA380000}"/>
    <cellStyle name="Normal 5 3 3 2 3 2" xfId="15370" xr:uid="{00000000-0005-0000-0000-0000AB380000}"/>
    <cellStyle name="Normal 5 3 3 2 3 2 2" xfId="15371" xr:uid="{00000000-0005-0000-0000-0000AC380000}"/>
    <cellStyle name="Normal 5 3 3 2 3 2 3" xfId="15372" xr:uid="{00000000-0005-0000-0000-0000AD380000}"/>
    <cellStyle name="Normal 5 3 3 2 3 3" xfId="15373" xr:uid="{00000000-0005-0000-0000-0000AE380000}"/>
    <cellStyle name="Normal 5 3 3 2 3 3 2" xfId="15374" xr:uid="{00000000-0005-0000-0000-0000AF380000}"/>
    <cellStyle name="Normal 5 3 3 2 3 3 3" xfId="26777" xr:uid="{5D2AF625-C704-4D4F-BFFE-F6D0CBC39AA6}"/>
    <cellStyle name="Normal 5 3 3 2 3 3 3 2" xfId="41740" xr:uid="{A0594205-69F7-4F17-B8EF-C8538FA45F42}"/>
    <cellStyle name="Normal 5 3 3 2 3 3 4" xfId="34152" xr:uid="{3DC94D75-7E38-4660-9377-1912CF41DADE}"/>
    <cellStyle name="Normal 5 3 3 2 3 4" xfId="15375" xr:uid="{00000000-0005-0000-0000-0000B0380000}"/>
    <cellStyle name="Normal 5 3 3 2 4" xfId="15376" xr:uid="{00000000-0005-0000-0000-0000B1380000}"/>
    <cellStyle name="Normal 5 3 3 2 4 2" xfId="15377" xr:uid="{00000000-0005-0000-0000-0000B2380000}"/>
    <cellStyle name="Normal 5 3 3 2 4 3" xfId="15378" xr:uid="{00000000-0005-0000-0000-0000B3380000}"/>
    <cellStyle name="Normal 5 3 3 2 5" xfId="15379" xr:uid="{00000000-0005-0000-0000-0000B4380000}"/>
    <cellStyle name="Normal 5 3 3 2 6" xfId="15380" xr:uid="{00000000-0005-0000-0000-0000B5380000}"/>
    <cellStyle name="Normal 5 3 3 2 6 2" xfId="26778" xr:uid="{BDC98F4F-C289-472E-AFB0-D9752EC87E00}"/>
    <cellStyle name="Normal 5 3 3 2 6 2 2" xfId="41741" xr:uid="{5EDE9388-FB90-4DA2-9A37-8FB0F950FE47}"/>
    <cellStyle name="Normal 5 3 3 2 6 3" xfId="34153" xr:uid="{5CB1FF72-25BD-45EA-8C73-6CB7FF13EF71}"/>
    <cellStyle name="Normal 5 3 3 2 7" xfId="15381" xr:uid="{00000000-0005-0000-0000-0000B6380000}"/>
    <cellStyle name="Normal 5 3 3 2 7 2" xfId="26779" xr:uid="{5F89475D-1338-418D-AA06-BCE22FFC6B55}"/>
    <cellStyle name="Normal 5 3 3 2 7 2 2" xfId="41742" xr:uid="{47640E03-F894-41C8-8370-CAA6FC8DB6BF}"/>
    <cellStyle name="Normal 5 3 3 2 7 3" xfId="34154" xr:uid="{C53DBB08-C495-4ABC-9C5D-6900088F97C5}"/>
    <cellStyle name="Normal 5 3 3 2 8" xfId="15382" xr:uid="{00000000-0005-0000-0000-0000B7380000}"/>
    <cellStyle name="Normal 5 3 3 3" xfId="15383" xr:uid="{00000000-0005-0000-0000-0000B8380000}"/>
    <cellStyle name="Normal 5 3 3 3 2" xfId="15384" xr:uid="{00000000-0005-0000-0000-0000B9380000}"/>
    <cellStyle name="Normal 5 3 3 3 2 2" xfId="15385" xr:uid="{00000000-0005-0000-0000-0000BA380000}"/>
    <cellStyle name="Normal 5 3 3 3 2 3" xfId="15386" xr:uid="{00000000-0005-0000-0000-0000BB380000}"/>
    <cellStyle name="Normal 5 3 3 3 3" xfId="15387" xr:uid="{00000000-0005-0000-0000-0000BC380000}"/>
    <cellStyle name="Normal 5 3 3 3 4" xfId="15388" xr:uid="{00000000-0005-0000-0000-0000BD380000}"/>
    <cellStyle name="Normal 5 3 3 3 4 2" xfId="26780" xr:uid="{2FF49ABB-8A94-47C5-8F44-D39295F9D8A9}"/>
    <cellStyle name="Normal 5 3 3 3 4 2 2" xfId="41743" xr:uid="{F5F1567A-4241-4447-AE94-033F5343F2D8}"/>
    <cellStyle name="Normal 5 3 3 3 4 3" xfId="34155" xr:uid="{21E8457B-EDA9-4F7D-8D89-41B24F1E691B}"/>
    <cellStyle name="Normal 5 3 3 3 5" xfId="15389" xr:uid="{00000000-0005-0000-0000-0000BE380000}"/>
    <cellStyle name="Normal 5 3 3 3 5 2" xfId="26781" xr:uid="{66C744E3-DB78-4F8D-B877-DC50FBA61826}"/>
    <cellStyle name="Normal 5 3 3 3 5 2 2" xfId="41744" xr:uid="{8CE948EF-9E62-4707-90BE-7116C236C8EB}"/>
    <cellStyle name="Normal 5 3 3 3 5 3" xfId="34156" xr:uid="{862BC5B8-F2FA-46C4-BE6D-D1B6B51E0FE5}"/>
    <cellStyle name="Normal 5 3 3 3 6" xfId="15390" xr:uid="{00000000-0005-0000-0000-0000BF380000}"/>
    <cellStyle name="Normal 5 3 3 4" xfId="15391" xr:uid="{00000000-0005-0000-0000-0000C0380000}"/>
    <cellStyle name="Normal 5 3 3 4 2" xfId="15392" xr:uid="{00000000-0005-0000-0000-0000C1380000}"/>
    <cellStyle name="Normal 5 3 3 4 2 2" xfId="15393" xr:uid="{00000000-0005-0000-0000-0000C2380000}"/>
    <cellStyle name="Normal 5 3 3 4 2 3" xfId="15394" xr:uid="{00000000-0005-0000-0000-0000C3380000}"/>
    <cellStyle name="Normal 5 3 3 4 3" xfId="15395" xr:uid="{00000000-0005-0000-0000-0000C4380000}"/>
    <cellStyle name="Normal 5 3 3 4 3 2" xfId="15396" xr:uid="{00000000-0005-0000-0000-0000C5380000}"/>
    <cellStyle name="Normal 5 3 3 4 3 3" xfId="26782" xr:uid="{A7E549EB-4A3F-49E0-A130-63D6F854AD51}"/>
    <cellStyle name="Normal 5 3 3 4 3 3 2" xfId="41745" xr:uid="{A6EE151E-44D9-417D-897A-56DA4FD3A828}"/>
    <cellStyle name="Normal 5 3 3 4 3 4" xfId="34157" xr:uid="{14CA3A8F-8A93-4048-9C48-FACEDF649A02}"/>
    <cellStyle name="Normal 5 3 3 4 4" xfId="15397" xr:uid="{00000000-0005-0000-0000-0000C6380000}"/>
    <cellStyle name="Normal 5 3 3 5" xfId="15398" xr:uid="{00000000-0005-0000-0000-0000C7380000}"/>
    <cellStyle name="Normal 5 3 3 5 2" xfId="15399" xr:uid="{00000000-0005-0000-0000-0000C8380000}"/>
    <cellStyle name="Normal 5 3 3 5 3" xfId="15400" xr:uid="{00000000-0005-0000-0000-0000C9380000}"/>
    <cellStyle name="Normal 5 3 3 6" xfId="15401" xr:uid="{00000000-0005-0000-0000-0000CA380000}"/>
    <cellStyle name="Normal 5 3 3 7" xfId="15402" xr:uid="{00000000-0005-0000-0000-0000CB380000}"/>
    <cellStyle name="Normal 5 3 3 7 2" xfId="26783" xr:uid="{57678F15-0D3C-4235-9390-787E0CA36AD9}"/>
    <cellStyle name="Normal 5 3 3 7 2 2" xfId="41746" xr:uid="{07C38A1F-FDA1-42AD-B0BF-63A3968D17B3}"/>
    <cellStyle name="Normal 5 3 3 7 3" xfId="34158" xr:uid="{8B4B3F4A-8F1D-4EEA-A74D-F6D96CA8CBB7}"/>
    <cellStyle name="Normal 5 3 3 8" xfId="15403" xr:uid="{00000000-0005-0000-0000-0000CC380000}"/>
    <cellStyle name="Normal 5 3 3 8 2" xfId="26784" xr:uid="{E285FFE0-C7A2-44D0-AF5C-9FE3E8F15A9A}"/>
    <cellStyle name="Normal 5 3 3 8 2 2" xfId="41747" xr:uid="{51736100-7379-4A34-BB3D-06EC22987047}"/>
    <cellStyle name="Normal 5 3 3 8 3" xfId="34159" xr:uid="{3DAF0F0F-86C4-4F73-A84B-CA3D64A5DCF9}"/>
    <cellStyle name="Normal 5 3 3 9" xfId="15404" xr:uid="{00000000-0005-0000-0000-0000CD380000}"/>
    <cellStyle name="Normal 5 3 4" xfId="15405" xr:uid="{00000000-0005-0000-0000-0000CE380000}"/>
    <cellStyle name="Normal 5 3 4 2" xfId="15406" xr:uid="{00000000-0005-0000-0000-0000CF380000}"/>
    <cellStyle name="Normal 5 3 4 2 2" xfId="15407" xr:uid="{00000000-0005-0000-0000-0000D0380000}"/>
    <cellStyle name="Normal 5 3 4 2 2 2" xfId="15408" xr:uid="{00000000-0005-0000-0000-0000D1380000}"/>
    <cellStyle name="Normal 5 3 4 2 2 3" xfId="15409" xr:uid="{00000000-0005-0000-0000-0000D2380000}"/>
    <cellStyle name="Normal 5 3 4 2 3" xfId="15410" xr:uid="{00000000-0005-0000-0000-0000D3380000}"/>
    <cellStyle name="Normal 5 3 4 2 4" xfId="15411" xr:uid="{00000000-0005-0000-0000-0000D4380000}"/>
    <cellStyle name="Normal 5 3 4 2 4 2" xfId="26785" xr:uid="{0DC1927E-B864-481A-8F4B-52E35F111C6D}"/>
    <cellStyle name="Normal 5 3 4 2 4 2 2" xfId="41748" xr:uid="{31392021-BCE1-405A-96BC-3118EE7D0545}"/>
    <cellStyle name="Normal 5 3 4 2 4 3" xfId="34160" xr:uid="{7BB6D724-27A6-4485-8D8B-8454707E3723}"/>
    <cellStyle name="Normal 5 3 4 2 5" xfId="15412" xr:uid="{00000000-0005-0000-0000-0000D5380000}"/>
    <cellStyle name="Normal 5 3 4 2 5 2" xfId="26786" xr:uid="{3359849B-E6C8-494A-88EF-57E26439EB27}"/>
    <cellStyle name="Normal 5 3 4 2 5 2 2" xfId="41749" xr:uid="{294A35C2-328B-4D97-BF57-F811612F81FD}"/>
    <cellStyle name="Normal 5 3 4 2 5 3" xfId="34161" xr:uid="{C887EECD-F745-4214-88F1-D84B2D99A583}"/>
    <cellStyle name="Normal 5 3 4 2 6" xfId="15413" xr:uid="{00000000-0005-0000-0000-0000D6380000}"/>
    <cellStyle name="Normal 5 3 4 3" xfId="15414" xr:uid="{00000000-0005-0000-0000-0000D7380000}"/>
    <cellStyle name="Normal 5 3 4 3 2" xfId="15415" xr:uid="{00000000-0005-0000-0000-0000D8380000}"/>
    <cellStyle name="Normal 5 3 4 3 2 2" xfId="15416" xr:uid="{00000000-0005-0000-0000-0000D9380000}"/>
    <cellStyle name="Normal 5 3 4 3 2 3" xfId="15417" xr:uid="{00000000-0005-0000-0000-0000DA380000}"/>
    <cellStyle name="Normal 5 3 4 3 3" xfId="15418" xr:uid="{00000000-0005-0000-0000-0000DB380000}"/>
    <cellStyle name="Normal 5 3 4 3 3 2" xfId="15419" xr:uid="{00000000-0005-0000-0000-0000DC380000}"/>
    <cellStyle name="Normal 5 3 4 3 3 3" xfId="26787" xr:uid="{A09C4804-514C-45F8-8797-8879E9526CDD}"/>
    <cellStyle name="Normal 5 3 4 3 3 3 2" xfId="41750" xr:uid="{CBCB6242-2BF5-4455-93AE-C17B76065632}"/>
    <cellStyle name="Normal 5 3 4 3 3 4" xfId="34162" xr:uid="{95F54E4C-DFDA-4849-8D31-6822AD6D6620}"/>
    <cellStyle name="Normal 5 3 4 3 4" xfId="15420" xr:uid="{00000000-0005-0000-0000-0000DD380000}"/>
    <cellStyle name="Normal 5 3 4 4" xfId="15421" xr:uid="{00000000-0005-0000-0000-0000DE380000}"/>
    <cellStyle name="Normal 5 3 4 4 2" xfId="15422" xr:uid="{00000000-0005-0000-0000-0000DF380000}"/>
    <cellStyle name="Normal 5 3 4 4 3" xfId="15423" xr:uid="{00000000-0005-0000-0000-0000E0380000}"/>
    <cellStyle name="Normal 5 3 4 5" xfId="15424" xr:uid="{00000000-0005-0000-0000-0000E1380000}"/>
    <cellStyle name="Normal 5 3 4 6" xfId="15425" xr:uid="{00000000-0005-0000-0000-0000E2380000}"/>
    <cellStyle name="Normal 5 3 4 6 2" xfId="26788" xr:uid="{E67C803F-715E-40B9-A564-A3AA666DE4F6}"/>
    <cellStyle name="Normal 5 3 4 6 2 2" xfId="41751" xr:uid="{916AAA9D-EBCC-48A3-9415-167FA2FD1C9C}"/>
    <cellStyle name="Normal 5 3 4 6 3" xfId="34163" xr:uid="{37D52FAC-EEFA-4330-AA36-6AE5DF2714AF}"/>
    <cellStyle name="Normal 5 3 4 7" xfId="15426" xr:uid="{00000000-0005-0000-0000-0000E3380000}"/>
    <cellStyle name="Normal 5 3 4 7 2" xfId="26789" xr:uid="{E2CB09C9-5A31-436E-BD74-4E7CA5422F60}"/>
    <cellStyle name="Normal 5 3 4 7 2 2" xfId="41752" xr:uid="{F248E5F7-16CE-4FA6-86EF-6A841E2D4D4C}"/>
    <cellStyle name="Normal 5 3 4 7 3" xfId="34164" xr:uid="{1F632602-67C0-4DB0-B8B0-1AF216475C86}"/>
    <cellStyle name="Normal 5 3 4 8" xfId="15427" xr:uid="{00000000-0005-0000-0000-0000E4380000}"/>
    <cellStyle name="Normal 5 3 5" xfId="15428" xr:uid="{00000000-0005-0000-0000-0000E5380000}"/>
    <cellStyle name="Normal 5 3 5 2" xfId="15429" xr:uid="{00000000-0005-0000-0000-0000E6380000}"/>
    <cellStyle name="Normal 5 3 5 2 2" xfId="15430" xr:uid="{00000000-0005-0000-0000-0000E7380000}"/>
    <cellStyle name="Normal 5 3 5 2 3" xfId="15431" xr:uid="{00000000-0005-0000-0000-0000E8380000}"/>
    <cellStyle name="Normal 5 3 5 3" xfId="15432" xr:uid="{00000000-0005-0000-0000-0000E9380000}"/>
    <cellStyle name="Normal 5 3 5 3 2" xfId="15433" xr:uid="{00000000-0005-0000-0000-0000EA380000}"/>
    <cellStyle name="Normal 5 3 5 3 3" xfId="26790" xr:uid="{AA450675-C842-4BF2-82AC-94769780A267}"/>
    <cellStyle name="Normal 5 3 5 3 3 2" xfId="41753" xr:uid="{C6C50D0A-C59C-4F6E-9A17-645B1AF17845}"/>
    <cellStyle name="Normal 5 3 5 3 4" xfId="34165" xr:uid="{2E717854-357A-400D-927A-41EC22708FC2}"/>
    <cellStyle name="Normal 5 3 5 4" xfId="15434" xr:uid="{00000000-0005-0000-0000-0000EB380000}"/>
    <cellStyle name="Normal 5 3 6" xfId="15435" xr:uid="{00000000-0005-0000-0000-0000EC380000}"/>
    <cellStyle name="Normal 5 3 7" xfId="15436" xr:uid="{00000000-0005-0000-0000-0000ED380000}"/>
    <cellStyle name="Normal 5 30" xfId="15437" xr:uid="{00000000-0005-0000-0000-0000EE380000}"/>
    <cellStyle name="Normal 5 31" xfId="5340" xr:uid="{00000000-0005-0000-0000-000016360000}"/>
    <cellStyle name="Normal 5 4" xfId="2509" xr:uid="{00000000-0005-0000-0000-000093090000}"/>
    <cellStyle name="Normal 5 4 10" xfId="15438" xr:uid="{00000000-0005-0000-0000-0000F0380000}"/>
    <cellStyle name="Normal 5 4 2" xfId="15439" xr:uid="{00000000-0005-0000-0000-0000F1380000}"/>
    <cellStyle name="Normal 5 4 2 2" xfId="15440" xr:uid="{00000000-0005-0000-0000-0000F2380000}"/>
    <cellStyle name="Normal 5 4 2 2 2" xfId="15441" xr:uid="{00000000-0005-0000-0000-0000F3380000}"/>
    <cellStyle name="Normal 5 4 2 2 2 2" xfId="15442" xr:uid="{00000000-0005-0000-0000-0000F4380000}"/>
    <cellStyle name="Normal 5 4 2 2 2 2 2" xfId="15443" xr:uid="{00000000-0005-0000-0000-0000F5380000}"/>
    <cellStyle name="Normal 5 4 2 2 2 2 3" xfId="15444" xr:uid="{00000000-0005-0000-0000-0000F6380000}"/>
    <cellStyle name="Normal 5 4 2 2 2 3" xfId="15445" xr:uid="{00000000-0005-0000-0000-0000F7380000}"/>
    <cellStyle name="Normal 5 4 2 2 2 4" xfId="15446" xr:uid="{00000000-0005-0000-0000-0000F8380000}"/>
    <cellStyle name="Normal 5 4 2 2 2 4 2" xfId="26791" xr:uid="{C786DCAC-BFB5-4B76-8CC9-D31A18B696E2}"/>
    <cellStyle name="Normal 5 4 2 2 2 4 2 2" xfId="41754" xr:uid="{E53A24BD-7723-4956-BA42-6CE2DF6F2EF1}"/>
    <cellStyle name="Normal 5 4 2 2 2 4 3" xfId="34166" xr:uid="{A379307D-71B7-4017-9690-02B487F9C3D7}"/>
    <cellStyle name="Normal 5 4 2 2 2 5" xfId="15447" xr:uid="{00000000-0005-0000-0000-0000F9380000}"/>
    <cellStyle name="Normal 5 4 2 2 2 5 2" xfId="26792" xr:uid="{18E840BD-10A2-46AA-BC92-D749F8982631}"/>
    <cellStyle name="Normal 5 4 2 2 2 5 2 2" xfId="41755" xr:uid="{1B039033-0A02-4915-8112-D187771B645B}"/>
    <cellStyle name="Normal 5 4 2 2 2 5 3" xfId="34167" xr:uid="{B55A5C79-7B06-4654-BB5C-5B075AC56E86}"/>
    <cellStyle name="Normal 5 4 2 2 2 6" xfId="15448" xr:uid="{00000000-0005-0000-0000-0000FA380000}"/>
    <cellStyle name="Normal 5 4 2 2 3" xfId="15449" xr:uid="{00000000-0005-0000-0000-0000FB380000}"/>
    <cellStyle name="Normal 5 4 2 2 3 2" xfId="15450" xr:uid="{00000000-0005-0000-0000-0000FC380000}"/>
    <cellStyle name="Normal 5 4 2 2 3 2 2" xfId="15451" xr:uid="{00000000-0005-0000-0000-0000FD380000}"/>
    <cellStyle name="Normal 5 4 2 2 3 2 3" xfId="15452" xr:uid="{00000000-0005-0000-0000-0000FE380000}"/>
    <cellStyle name="Normal 5 4 2 2 3 3" xfId="15453" xr:uid="{00000000-0005-0000-0000-0000FF380000}"/>
    <cellStyle name="Normal 5 4 2 2 3 3 2" xfId="15454" xr:uid="{00000000-0005-0000-0000-000000390000}"/>
    <cellStyle name="Normal 5 4 2 2 3 3 3" xfId="26793" xr:uid="{4476E341-2CCD-464C-A092-9A47546F3D6A}"/>
    <cellStyle name="Normal 5 4 2 2 3 3 3 2" xfId="41756" xr:uid="{B9FFA52C-D96E-42A4-ADC2-5F644E613DF4}"/>
    <cellStyle name="Normal 5 4 2 2 3 3 4" xfId="34168" xr:uid="{E78C441A-8CB1-478C-A122-F8CF5345484C}"/>
    <cellStyle name="Normal 5 4 2 2 3 4" xfId="15455" xr:uid="{00000000-0005-0000-0000-000001390000}"/>
    <cellStyle name="Normal 5 4 2 2 4" xfId="15456" xr:uid="{00000000-0005-0000-0000-000002390000}"/>
    <cellStyle name="Normal 5 4 2 2 4 2" xfId="15457" xr:uid="{00000000-0005-0000-0000-000003390000}"/>
    <cellStyle name="Normal 5 4 2 2 4 3" xfId="15458" xr:uid="{00000000-0005-0000-0000-000004390000}"/>
    <cellStyle name="Normal 5 4 2 2 5" xfId="15459" xr:uid="{00000000-0005-0000-0000-000005390000}"/>
    <cellStyle name="Normal 5 4 2 2 6" xfId="15460" xr:uid="{00000000-0005-0000-0000-000006390000}"/>
    <cellStyle name="Normal 5 4 2 2 6 2" xfId="26794" xr:uid="{EC97E36B-1CA8-40DC-8382-FE244DEA7846}"/>
    <cellStyle name="Normal 5 4 2 2 6 2 2" xfId="41757" xr:uid="{4CCE367F-AB11-4A51-8EF4-43EE43904A33}"/>
    <cellStyle name="Normal 5 4 2 2 6 3" xfId="34169" xr:uid="{8C63BAE7-2F98-4E87-9200-4CC5B7030BC2}"/>
    <cellStyle name="Normal 5 4 2 2 7" xfId="15461" xr:uid="{00000000-0005-0000-0000-000007390000}"/>
    <cellStyle name="Normal 5 4 2 2 7 2" xfId="26795" xr:uid="{8F10276A-166D-4063-BFAE-1FE6891A24A5}"/>
    <cellStyle name="Normal 5 4 2 2 7 2 2" xfId="41758" xr:uid="{3FB4FDFE-BA8E-475F-9439-D815298B92AB}"/>
    <cellStyle name="Normal 5 4 2 2 7 3" xfId="34170" xr:uid="{CC201DA0-F101-4CE8-8816-BBE2CFFAC67F}"/>
    <cellStyle name="Normal 5 4 2 2 8" xfId="15462" xr:uid="{00000000-0005-0000-0000-000008390000}"/>
    <cellStyle name="Normal 5 4 2 3" xfId="15463" xr:uid="{00000000-0005-0000-0000-000009390000}"/>
    <cellStyle name="Normal 5 4 2 3 2" xfId="15464" xr:uid="{00000000-0005-0000-0000-00000A390000}"/>
    <cellStyle name="Normal 5 4 2 3 2 2" xfId="15465" xr:uid="{00000000-0005-0000-0000-00000B390000}"/>
    <cellStyle name="Normal 5 4 2 3 2 3" xfId="15466" xr:uid="{00000000-0005-0000-0000-00000C390000}"/>
    <cellStyle name="Normal 5 4 2 3 2 3 2" xfId="26796" xr:uid="{C84067C6-8C16-4ACE-A737-BC3962DF2B05}"/>
    <cellStyle name="Normal 5 4 2 3 2 3 2 2" xfId="41759" xr:uid="{25F5C08D-47DA-4EE8-B620-FD745E1C9A54}"/>
    <cellStyle name="Normal 5 4 2 3 2 3 3" xfId="34171" xr:uid="{34F70594-CB41-4F0F-B259-D029AE6E473D}"/>
    <cellStyle name="Normal 5 4 2 3 2 4" xfId="15467" xr:uid="{00000000-0005-0000-0000-00000D390000}"/>
    <cellStyle name="Normal 5 4 2 3 3" xfId="15468" xr:uid="{00000000-0005-0000-0000-00000E390000}"/>
    <cellStyle name="Normal 5 4 2 3 4" xfId="15469" xr:uid="{00000000-0005-0000-0000-00000F390000}"/>
    <cellStyle name="Normal 5 4 2 3 4 2" xfId="26797" xr:uid="{69B4875E-1745-43D9-BD6E-C72BD8665EEE}"/>
    <cellStyle name="Normal 5 4 2 3 4 2 2" xfId="41760" xr:uid="{CB5832FD-4301-4CE7-826B-1293796E90B6}"/>
    <cellStyle name="Normal 5 4 2 3 4 3" xfId="34172" xr:uid="{9DA06C80-92E2-415B-882A-8F641C256F69}"/>
    <cellStyle name="Normal 5 4 2 3 5" xfId="15470" xr:uid="{00000000-0005-0000-0000-000010390000}"/>
    <cellStyle name="Normal 5 4 2 3 5 2" xfId="26798" xr:uid="{D6FF20A6-DD2E-4654-8F9D-6F5B641902DC}"/>
    <cellStyle name="Normal 5 4 2 3 5 2 2" xfId="41761" xr:uid="{3118BBB0-66D8-47D5-942A-006AD62D4896}"/>
    <cellStyle name="Normal 5 4 2 3 5 3" xfId="34173" xr:uid="{15D5D12A-36A6-4917-A140-893AF789B8C4}"/>
    <cellStyle name="Normal 5 4 2 3 6" xfId="15471" xr:uid="{00000000-0005-0000-0000-000011390000}"/>
    <cellStyle name="Normal 5 4 2 4" xfId="15472" xr:uid="{00000000-0005-0000-0000-000012390000}"/>
    <cellStyle name="Normal 5 4 2 4 2" xfId="15473" xr:uid="{00000000-0005-0000-0000-000013390000}"/>
    <cellStyle name="Normal 5 4 2 4 2 2" xfId="15474" xr:uid="{00000000-0005-0000-0000-000014390000}"/>
    <cellStyle name="Normal 5 4 2 4 2 3" xfId="15475" xr:uid="{00000000-0005-0000-0000-000015390000}"/>
    <cellStyle name="Normal 5 4 2 4 3" xfId="15476" xr:uid="{00000000-0005-0000-0000-000016390000}"/>
    <cellStyle name="Normal 5 4 2 4 4" xfId="15477" xr:uid="{00000000-0005-0000-0000-000017390000}"/>
    <cellStyle name="Normal 5 4 2 4 4 2" xfId="26799" xr:uid="{52705F37-E55F-462F-9976-F60486E2264E}"/>
    <cellStyle name="Normal 5 4 2 4 4 2 2" xfId="41762" xr:uid="{C03C5B6E-B093-436F-B7D7-61CB16CEEC5C}"/>
    <cellStyle name="Normal 5 4 2 4 4 3" xfId="34174" xr:uid="{EFE55601-4E08-4AC1-B582-BF6E435145F1}"/>
    <cellStyle name="Normal 5 4 2 4 5" xfId="15478" xr:uid="{00000000-0005-0000-0000-000018390000}"/>
    <cellStyle name="Normal 5 4 2 4 5 2" xfId="26800" xr:uid="{8FF68348-1E44-4981-95BA-1C5C4B299ACE}"/>
    <cellStyle name="Normal 5 4 2 4 5 2 2" xfId="41763" xr:uid="{E38F0C8C-CCE1-4E58-8E82-F14C2916C5FD}"/>
    <cellStyle name="Normal 5 4 2 4 5 3" xfId="34175" xr:uid="{2B239725-F581-4319-9FB1-798EAE982722}"/>
    <cellStyle name="Normal 5 4 2 4 6" xfId="15479" xr:uid="{00000000-0005-0000-0000-000019390000}"/>
    <cellStyle name="Normal 5 4 2 5" xfId="15480" xr:uid="{00000000-0005-0000-0000-00001A390000}"/>
    <cellStyle name="Normal 5 4 2 5 2" xfId="15481" xr:uid="{00000000-0005-0000-0000-00001B390000}"/>
    <cellStyle name="Normal 5 4 2 5 3" xfId="15482" xr:uid="{00000000-0005-0000-0000-00001C390000}"/>
    <cellStyle name="Normal 5 4 2 6" xfId="15483" xr:uid="{00000000-0005-0000-0000-00001D390000}"/>
    <cellStyle name="Normal 5 4 2 7" xfId="15484" xr:uid="{00000000-0005-0000-0000-00001E390000}"/>
    <cellStyle name="Normal 5 4 2 7 2" xfId="26801" xr:uid="{68C545F0-29E2-4052-A612-67F59160B393}"/>
    <cellStyle name="Normal 5 4 2 7 2 2" xfId="41764" xr:uid="{B3BB107A-0B44-4001-871D-C3BCCC3E24F9}"/>
    <cellStyle name="Normal 5 4 2 7 3" xfId="34176" xr:uid="{B00D1488-E3DB-4709-985F-882710FE8533}"/>
    <cellStyle name="Normal 5 4 2 8" xfId="15485" xr:uid="{00000000-0005-0000-0000-00001F390000}"/>
    <cellStyle name="Normal 5 4 2 8 2" xfId="26802" xr:uid="{EB5B5684-8B3F-4099-9FFA-9CB2F046CBE0}"/>
    <cellStyle name="Normal 5 4 2 8 2 2" xfId="41765" xr:uid="{7859E78C-C7F2-4E81-B3D8-9AA68E50DF31}"/>
    <cellStyle name="Normal 5 4 2 8 3" xfId="34177" xr:uid="{9F9A5EC9-984D-4591-A1E4-EFA9CA2F8948}"/>
    <cellStyle name="Normal 5 4 2 9" xfId="15486" xr:uid="{00000000-0005-0000-0000-000020390000}"/>
    <cellStyle name="Normal 5 4 3" xfId="15487" xr:uid="{00000000-0005-0000-0000-000021390000}"/>
    <cellStyle name="Normal 5 4 3 2" xfId="15488" xr:uid="{00000000-0005-0000-0000-000022390000}"/>
    <cellStyle name="Normal 5 4 3 2 2" xfId="15489" xr:uid="{00000000-0005-0000-0000-000023390000}"/>
    <cellStyle name="Normal 5 4 3 2 2 2" xfId="15490" xr:uid="{00000000-0005-0000-0000-000024390000}"/>
    <cellStyle name="Normal 5 4 3 2 2 3" xfId="15491" xr:uid="{00000000-0005-0000-0000-000025390000}"/>
    <cellStyle name="Normal 5 4 3 2 2 3 2" xfId="26803" xr:uid="{84D1DD05-6C58-48D3-A399-7E959F3B0FCC}"/>
    <cellStyle name="Normal 5 4 3 2 2 3 2 2" xfId="41766" xr:uid="{50873749-DF77-4108-B37D-E977D18F8134}"/>
    <cellStyle name="Normal 5 4 3 2 2 3 3" xfId="34178" xr:uid="{12C74FB2-0653-4967-9C77-5DA400356EF9}"/>
    <cellStyle name="Normal 5 4 3 2 2 4" xfId="15492" xr:uid="{00000000-0005-0000-0000-000026390000}"/>
    <cellStyle name="Normal 5 4 3 2 3" xfId="15493" xr:uid="{00000000-0005-0000-0000-000027390000}"/>
    <cellStyle name="Normal 5 4 3 2 4" xfId="15494" xr:uid="{00000000-0005-0000-0000-000028390000}"/>
    <cellStyle name="Normal 5 4 3 2 4 2" xfId="26804" xr:uid="{EAFF6F2F-042F-427E-8440-2FD888B1B71C}"/>
    <cellStyle name="Normal 5 4 3 2 4 2 2" xfId="41767" xr:uid="{35F74919-3BB3-47CB-8E62-906361428686}"/>
    <cellStyle name="Normal 5 4 3 2 4 3" xfId="34179" xr:uid="{1EFC79FA-3B6B-4B2D-AD6B-77953BF9E181}"/>
    <cellStyle name="Normal 5 4 3 2 5" xfId="15495" xr:uid="{00000000-0005-0000-0000-000029390000}"/>
    <cellStyle name="Normal 5 4 3 2 5 2" xfId="26805" xr:uid="{5ACAC52E-67B2-4175-A2AA-96FB0D9886F9}"/>
    <cellStyle name="Normal 5 4 3 2 5 2 2" xfId="41768" xr:uid="{36C61D2E-72C4-4643-869B-E57506CD8875}"/>
    <cellStyle name="Normal 5 4 3 2 5 3" xfId="34180" xr:uid="{6444F840-F81E-44BD-A222-F4CEBA2A996C}"/>
    <cellStyle name="Normal 5 4 3 2 6" xfId="15496" xr:uid="{00000000-0005-0000-0000-00002A390000}"/>
    <cellStyle name="Normal 5 4 3 3" xfId="15497" xr:uid="{00000000-0005-0000-0000-00002B390000}"/>
    <cellStyle name="Normal 5 4 3 3 2" xfId="15498" xr:uid="{00000000-0005-0000-0000-00002C390000}"/>
    <cellStyle name="Normal 5 4 3 3 2 2" xfId="15499" xr:uid="{00000000-0005-0000-0000-00002D390000}"/>
    <cellStyle name="Normal 5 4 3 3 2 3" xfId="15500" xr:uid="{00000000-0005-0000-0000-00002E390000}"/>
    <cellStyle name="Normal 5 4 3 3 3" xfId="15501" xr:uid="{00000000-0005-0000-0000-00002F390000}"/>
    <cellStyle name="Normal 5 4 3 3 4" xfId="15502" xr:uid="{00000000-0005-0000-0000-000030390000}"/>
    <cellStyle name="Normal 5 4 3 3 4 2" xfId="26806" xr:uid="{4CBDCB68-A1B4-4DD1-9428-81E05130CB2A}"/>
    <cellStyle name="Normal 5 4 3 3 4 2 2" xfId="41769" xr:uid="{299894D1-304D-4745-B100-F8C22BABD951}"/>
    <cellStyle name="Normal 5 4 3 3 4 3" xfId="34181" xr:uid="{BDC2743F-DED9-4DC4-9BBF-8E0748203252}"/>
    <cellStyle name="Normal 5 4 3 3 5" xfId="15503" xr:uid="{00000000-0005-0000-0000-000031390000}"/>
    <cellStyle name="Normal 5 4 3 3 5 2" xfId="26807" xr:uid="{BA13C79A-2201-4346-94E5-A573B477A740}"/>
    <cellStyle name="Normal 5 4 3 3 5 2 2" xfId="41770" xr:uid="{951C44C8-6568-40AC-9D97-868C2E3938D0}"/>
    <cellStyle name="Normal 5 4 3 3 5 3" xfId="34182" xr:uid="{2C48178D-3B10-4252-A19C-006F7A7B995B}"/>
    <cellStyle name="Normal 5 4 3 3 6" xfId="15504" xr:uid="{00000000-0005-0000-0000-000032390000}"/>
    <cellStyle name="Normal 5 4 3 4" xfId="15505" xr:uid="{00000000-0005-0000-0000-000033390000}"/>
    <cellStyle name="Normal 5 4 3 4 2" xfId="15506" xr:uid="{00000000-0005-0000-0000-000034390000}"/>
    <cellStyle name="Normal 5 4 3 4 3" xfId="15507" xr:uid="{00000000-0005-0000-0000-000035390000}"/>
    <cellStyle name="Normal 5 4 3 5" xfId="15508" xr:uid="{00000000-0005-0000-0000-000036390000}"/>
    <cellStyle name="Normal 5 4 3 6" xfId="15509" xr:uid="{00000000-0005-0000-0000-000037390000}"/>
    <cellStyle name="Normal 5 4 3 6 2" xfId="26808" xr:uid="{8B4711AE-471B-4213-99E2-C1D1CCBC4ADB}"/>
    <cellStyle name="Normal 5 4 3 6 2 2" xfId="41771" xr:uid="{B491ED48-398E-4DFE-B755-A17DC53E4EFA}"/>
    <cellStyle name="Normal 5 4 3 6 3" xfId="34183" xr:uid="{1DED1AB2-3056-472A-A0D5-DB90DFAAC35D}"/>
    <cellStyle name="Normal 5 4 3 7" xfId="15510" xr:uid="{00000000-0005-0000-0000-000038390000}"/>
    <cellStyle name="Normal 5 4 3 7 2" xfId="26809" xr:uid="{4A6BFF67-BED0-4389-B135-5EA8DF60C0F7}"/>
    <cellStyle name="Normal 5 4 3 7 2 2" xfId="41772" xr:uid="{97A56E45-096A-4878-9185-D94BEE0E6B5D}"/>
    <cellStyle name="Normal 5 4 3 7 3" xfId="34184" xr:uid="{E5CB6380-F026-4E05-81A9-71B08068362E}"/>
    <cellStyle name="Normal 5 4 3 8" xfId="15511" xr:uid="{00000000-0005-0000-0000-000039390000}"/>
    <cellStyle name="Normal 5 4 4" xfId="15512" xr:uid="{00000000-0005-0000-0000-00003A390000}"/>
    <cellStyle name="Normal 5 4 4 2" xfId="15513" xr:uid="{00000000-0005-0000-0000-00003B390000}"/>
    <cellStyle name="Normal 5 4 4 2 2" xfId="15514" xr:uid="{00000000-0005-0000-0000-00003C390000}"/>
    <cellStyle name="Normal 5 4 4 2 3" xfId="26810" xr:uid="{51D7C93D-A2E4-4897-9655-07F0C0C2D324}"/>
    <cellStyle name="Normal 5 4 4 2 3 2" xfId="41773" xr:uid="{4EC43039-66DF-4158-9086-FF17644C0726}"/>
    <cellStyle name="Normal 5 4 4 2 4" xfId="34185" xr:uid="{078EF4DC-00E5-4239-B792-3A58A1FC5814}"/>
    <cellStyle name="Normal 5 4 4 3" xfId="15515" xr:uid="{00000000-0005-0000-0000-00003D390000}"/>
    <cellStyle name="Normal 5 4 4 4" xfId="15516" xr:uid="{00000000-0005-0000-0000-00003E390000}"/>
    <cellStyle name="Normal 5 4 4 4 2" xfId="26811" xr:uid="{15AE0249-A7AE-47B4-A063-393372308C7D}"/>
    <cellStyle name="Normal 5 4 4 4 2 2" xfId="41774" xr:uid="{2E872FE2-90D9-470C-9EA6-CC45DC5F0E12}"/>
    <cellStyle name="Normal 5 4 4 4 3" xfId="34186" xr:uid="{B64ACCE9-460B-42FD-B2F4-469D5D0397DC}"/>
    <cellStyle name="Normal 5 4 4 5" xfId="15517" xr:uid="{00000000-0005-0000-0000-00003F390000}"/>
    <cellStyle name="Normal 5 4 5" xfId="15518" xr:uid="{00000000-0005-0000-0000-000040390000}"/>
    <cellStyle name="Normal 5 4 5 2" xfId="15519" xr:uid="{00000000-0005-0000-0000-000041390000}"/>
    <cellStyle name="Normal 5 4 5 2 2" xfId="15520" xr:uid="{00000000-0005-0000-0000-000042390000}"/>
    <cellStyle name="Normal 5 4 5 2 3" xfId="15521" xr:uid="{00000000-0005-0000-0000-000043390000}"/>
    <cellStyle name="Normal 5 4 5 3" xfId="15522" xr:uid="{00000000-0005-0000-0000-000044390000}"/>
    <cellStyle name="Normal 5 4 5 4" xfId="15523" xr:uid="{00000000-0005-0000-0000-000045390000}"/>
    <cellStyle name="Normal 5 4 5 4 2" xfId="26812" xr:uid="{21C9DAC8-EC16-4314-8011-4C21F1CAE87D}"/>
    <cellStyle name="Normal 5 4 5 4 2 2" xfId="41775" xr:uid="{8E54849E-A22A-41E9-9C13-9E8600A97BC4}"/>
    <cellStyle name="Normal 5 4 5 4 3" xfId="34187" xr:uid="{7FE4D1D8-B218-47CF-9511-EBBFA4894E4A}"/>
    <cellStyle name="Normal 5 4 5 5" xfId="15524" xr:uid="{00000000-0005-0000-0000-000046390000}"/>
    <cellStyle name="Normal 5 4 5 5 2" xfId="26813" xr:uid="{85177E8F-A796-4E69-9A7A-D552E6DAE9A4}"/>
    <cellStyle name="Normal 5 4 5 5 2 2" xfId="41776" xr:uid="{C65FF8A4-D146-4979-8F5A-C3BB4625B026}"/>
    <cellStyle name="Normal 5 4 5 5 3" xfId="34188" xr:uid="{F495EF7B-CAB9-4A8A-8798-64E399663EE7}"/>
    <cellStyle name="Normal 5 4 5 6" xfId="15525" xr:uid="{00000000-0005-0000-0000-000047390000}"/>
    <cellStyle name="Normal 5 4 6" xfId="15526" xr:uid="{00000000-0005-0000-0000-000048390000}"/>
    <cellStyle name="Normal 5 4 6 2" xfId="15527" xr:uid="{00000000-0005-0000-0000-000049390000}"/>
    <cellStyle name="Normal 5 4 6 2 2" xfId="15528" xr:uid="{00000000-0005-0000-0000-00004A390000}"/>
    <cellStyle name="Normal 5 4 6 2 3" xfId="15529" xr:uid="{00000000-0005-0000-0000-00004B390000}"/>
    <cellStyle name="Normal 5 4 6 3" xfId="15530" xr:uid="{00000000-0005-0000-0000-00004C390000}"/>
    <cellStyle name="Normal 5 4 6 4" xfId="15531" xr:uid="{00000000-0005-0000-0000-00004D390000}"/>
    <cellStyle name="Normal 5 4 6 4 2" xfId="26814" xr:uid="{41DDE09B-65EC-4E8B-97A5-2650D89AB8EA}"/>
    <cellStyle name="Normal 5 4 6 4 2 2" xfId="41777" xr:uid="{A8E95470-0A17-46C3-BB48-0027678DAA1E}"/>
    <cellStyle name="Normal 5 4 6 4 3" xfId="34189" xr:uid="{B1CF2019-4E1D-4801-8D0A-9E5A69967411}"/>
    <cellStyle name="Normal 5 4 6 5" xfId="15532" xr:uid="{00000000-0005-0000-0000-00004E390000}"/>
    <cellStyle name="Normal 5 4 6 5 2" xfId="26815" xr:uid="{E5524D13-EA54-4F60-B4F1-C7B6D0DA9ABD}"/>
    <cellStyle name="Normal 5 4 6 5 2 2" xfId="41778" xr:uid="{8A1CEAEF-65F0-4E72-A511-0BEFD940C5DE}"/>
    <cellStyle name="Normal 5 4 6 5 3" xfId="34190" xr:uid="{55938EB9-ABA6-4CD2-B8F2-21E8FCAC6D6E}"/>
    <cellStyle name="Normal 5 4 6 6" xfId="15533" xr:uid="{00000000-0005-0000-0000-00004F390000}"/>
    <cellStyle name="Normal 5 4 7" xfId="15534" xr:uid="{00000000-0005-0000-0000-000050390000}"/>
    <cellStyle name="Normal 5 4 7 2" xfId="15535" xr:uid="{00000000-0005-0000-0000-000051390000}"/>
    <cellStyle name="Normal 5 4 7 3" xfId="15536" xr:uid="{00000000-0005-0000-0000-000052390000}"/>
    <cellStyle name="Normal 5 4 8" xfId="15537" xr:uid="{00000000-0005-0000-0000-000053390000}"/>
    <cellStyle name="Normal 5 4 9" xfId="15538" xr:uid="{00000000-0005-0000-0000-000054390000}"/>
    <cellStyle name="Normal 5 4 9 2" xfId="26816" xr:uid="{BEFD0559-28A8-4653-A8FC-41AD7E187051}"/>
    <cellStyle name="Normal 5 4 9 2 2" xfId="41779" xr:uid="{1AA3C3F1-0CF3-4DA0-8A43-BF171335B541}"/>
    <cellStyle name="Normal 5 4 9 3" xfId="34191" xr:uid="{F06670CD-B74D-494D-812B-96E749AEB11B}"/>
    <cellStyle name="Normal 5 5" xfId="2510" xr:uid="{00000000-0005-0000-0000-000094090000}"/>
    <cellStyle name="Normal 5 5 2" xfId="15539" xr:uid="{00000000-0005-0000-0000-000056390000}"/>
    <cellStyle name="Normal 5 5 2 2" xfId="15540" xr:uid="{00000000-0005-0000-0000-000057390000}"/>
    <cellStyle name="Normal 5 5 2 2 2" xfId="15541" xr:uid="{00000000-0005-0000-0000-000058390000}"/>
    <cellStyle name="Normal 5 5 2 2 2 2" xfId="15542" xr:uid="{00000000-0005-0000-0000-000059390000}"/>
    <cellStyle name="Normal 5 5 2 2 2 2 2" xfId="15543" xr:uid="{00000000-0005-0000-0000-00005A390000}"/>
    <cellStyle name="Normal 5 5 2 2 2 2 3" xfId="15544" xr:uid="{00000000-0005-0000-0000-00005B390000}"/>
    <cellStyle name="Normal 5 5 2 2 2 3" xfId="15545" xr:uid="{00000000-0005-0000-0000-00005C390000}"/>
    <cellStyle name="Normal 5 5 2 2 2 3 2" xfId="15546" xr:uid="{00000000-0005-0000-0000-00005D390000}"/>
    <cellStyle name="Normal 5 5 2 2 2 3 3" xfId="26817" xr:uid="{8E2B8467-A0E2-41F0-8EDF-8EA81B6D9C79}"/>
    <cellStyle name="Normal 5 5 2 2 2 3 3 2" xfId="41780" xr:uid="{4114B8D2-88AA-4CE4-A6CF-C99B4A25E11A}"/>
    <cellStyle name="Normal 5 5 2 2 2 3 4" xfId="34192" xr:uid="{60FF1EE2-48B8-4CB1-848D-0956B72B4CAC}"/>
    <cellStyle name="Normal 5 5 2 2 2 4" xfId="15547" xr:uid="{00000000-0005-0000-0000-00005E390000}"/>
    <cellStyle name="Normal 5 5 2 2 3" xfId="15548" xr:uid="{00000000-0005-0000-0000-00005F390000}"/>
    <cellStyle name="Normal 5 5 2 2 3 2" xfId="15549" xr:uid="{00000000-0005-0000-0000-000060390000}"/>
    <cellStyle name="Normal 5 5 2 2 3 3" xfId="15550" xr:uid="{00000000-0005-0000-0000-000061390000}"/>
    <cellStyle name="Normal 5 5 2 2 4" xfId="15551" xr:uid="{00000000-0005-0000-0000-000062390000}"/>
    <cellStyle name="Normal 5 5 2 2 5" xfId="15552" xr:uid="{00000000-0005-0000-0000-000063390000}"/>
    <cellStyle name="Normal 5 5 2 2 5 2" xfId="26818" xr:uid="{D7B9ADC5-5701-4A59-B162-DBE5A8029EF7}"/>
    <cellStyle name="Normal 5 5 2 2 5 2 2" xfId="41781" xr:uid="{E6F43581-F28C-40A5-BB65-6E27F04E49EB}"/>
    <cellStyle name="Normal 5 5 2 2 5 3" xfId="34193" xr:uid="{8251BB2D-D319-4AD1-9978-EE09AC6ECD98}"/>
    <cellStyle name="Normal 5 5 2 2 6" xfId="15553" xr:uid="{00000000-0005-0000-0000-000064390000}"/>
    <cellStyle name="Normal 5 5 2 2 6 2" xfId="26819" xr:uid="{9D10842A-4BC5-48C6-B9AF-FFB0D59FD542}"/>
    <cellStyle name="Normal 5 5 2 2 6 2 2" xfId="41782" xr:uid="{9C4A2A13-4928-4382-AF71-FD5E79A93112}"/>
    <cellStyle name="Normal 5 5 2 2 6 3" xfId="34194" xr:uid="{9E3D0509-15C2-4CF0-9DA0-70E56EC9B90B}"/>
    <cellStyle name="Normal 5 5 2 2 7" xfId="15554" xr:uid="{00000000-0005-0000-0000-000065390000}"/>
    <cellStyle name="Normal 5 5 2 3" xfId="15555" xr:uid="{00000000-0005-0000-0000-000066390000}"/>
    <cellStyle name="Normal 5 5 2 3 2" xfId="15556" xr:uid="{00000000-0005-0000-0000-000067390000}"/>
    <cellStyle name="Normal 5 5 2 3 2 2" xfId="15557" xr:uid="{00000000-0005-0000-0000-000068390000}"/>
    <cellStyle name="Normal 5 5 2 3 2 3" xfId="15558" xr:uid="{00000000-0005-0000-0000-000069390000}"/>
    <cellStyle name="Normal 5 5 2 3 3" xfId="15559" xr:uid="{00000000-0005-0000-0000-00006A390000}"/>
    <cellStyle name="Normal 5 5 2 3 3 2" xfId="15560" xr:uid="{00000000-0005-0000-0000-00006B390000}"/>
    <cellStyle name="Normal 5 5 2 3 3 3" xfId="26820" xr:uid="{B42BADEF-E01A-410B-830D-C264599C0D7B}"/>
    <cellStyle name="Normal 5 5 2 3 3 3 2" xfId="41783" xr:uid="{1AD24441-AF62-41EE-841E-8970AA76AC56}"/>
    <cellStyle name="Normal 5 5 2 3 3 4" xfId="34195" xr:uid="{D301E7F2-D251-4A11-8C3A-4E8DD7866E6A}"/>
    <cellStyle name="Normal 5 5 2 3 4" xfId="15561" xr:uid="{00000000-0005-0000-0000-00006C390000}"/>
    <cellStyle name="Normal 5 5 2 4" xfId="15562" xr:uid="{00000000-0005-0000-0000-00006D390000}"/>
    <cellStyle name="Normal 5 5 2 5" xfId="15563" xr:uid="{00000000-0005-0000-0000-00006E390000}"/>
    <cellStyle name="Normal 5 5 2 5 2" xfId="26821" xr:uid="{F4A238B5-A079-4C4D-AFF8-53AD367DE2E0}"/>
    <cellStyle name="Normal 5 5 2 5 2 2" xfId="41784" xr:uid="{75F1CB3F-CDB1-44A5-BAF7-3A6F980C9513}"/>
    <cellStyle name="Normal 5 5 2 5 3" xfId="34196" xr:uid="{55FC9DA7-0EB9-44D4-A084-CBE85C45BC42}"/>
    <cellStyle name="Normal 5 5 2 6" xfId="15564" xr:uid="{00000000-0005-0000-0000-00006F390000}"/>
    <cellStyle name="Normal 5 5 3" xfId="15565" xr:uid="{00000000-0005-0000-0000-000070390000}"/>
    <cellStyle name="Normal 5 5 3 2" xfId="15566" xr:uid="{00000000-0005-0000-0000-000071390000}"/>
    <cellStyle name="Normal 5 5 3 2 2" xfId="15567" xr:uid="{00000000-0005-0000-0000-000072390000}"/>
    <cellStyle name="Normal 5 5 3 2 3" xfId="15568" xr:uid="{00000000-0005-0000-0000-000073390000}"/>
    <cellStyle name="Normal 5 5 3 2 3 2" xfId="26822" xr:uid="{098F5833-713D-4109-9FFB-003EF1255C19}"/>
    <cellStyle name="Normal 5 5 3 2 3 2 2" xfId="41785" xr:uid="{1557722A-E5E8-4E97-86F9-92F045764A30}"/>
    <cellStyle name="Normal 5 5 3 2 3 3" xfId="34197" xr:uid="{DF26203F-C2D0-4EF7-95B8-03EEBB76DFD0}"/>
    <cellStyle name="Normal 5 5 3 2 4" xfId="15569" xr:uid="{00000000-0005-0000-0000-000074390000}"/>
    <cellStyle name="Normal 5 5 3 3" xfId="15570" xr:uid="{00000000-0005-0000-0000-000075390000}"/>
    <cellStyle name="Normal 5 5 3 4" xfId="15571" xr:uid="{00000000-0005-0000-0000-000076390000}"/>
    <cellStyle name="Normal 5 5 3 4 2" xfId="26823" xr:uid="{456A1491-E0E9-40C8-9488-63B7E994F552}"/>
    <cellStyle name="Normal 5 5 3 4 2 2" xfId="41786" xr:uid="{9648099A-8905-424A-87DD-9B2C215F0BBE}"/>
    <cellStyle name="Normal 5 5 3 4 3" xfId="34198" xr:uid="{2F05035C-CE7F-4F98-BDC5-435B962FC5A0}"/>
    <cellStyle name="Normal 5 5 3 5" xfId="15572" xr:uid="{00000000-0005-0000-0000-000077390000}"/>
    <cellStyle name="Normal 5 5 3 5 2" xfId="26824" xr:uid="{E7E7221E-6CBF-4F5B-AC4F-54476D2AB376}"/>
    <cellStyle name="Normal 5 5 3 5 2 2" xfId="41787" xr:uid="{B3286951-1F07-4EDB-AEC9-4BBC80B145E5}"/>
    <cellStyle name="Normal 5 5 3 5 3" xfId="34199" xr:uid="{66093BEA-6C48-473D-A3EB-448EBBA6B395}"/>
    <cellStyle name="Normal 5 5 3 6" xfId="15573" xr:uid="{00000000-0005-0000-0000-000078390000}"/>
    <cellStyle name="Normal 5 5 4" xfId="15574" xr:uid="{00000000-0005-0000-0000-000079390000}"/>
    <cellStyle name="Normal 5 5 4 2" xfId="15575" xr:uid="{00000000-0005-0000-0000-00007A390000}"/>
    <cellStyle name="Normal 5 5 4 2 2" xfId="15576" xr:uid="{00000000-0005-0000-0000-00007B390000}"/>
    <cellStyle name="Normal 5 5 4 2 3" xfId="15577" xr:uid="{00000000-0005-0000-0000-00007C390000}"/>
    <cellStyle name="Normal 5 5 4 3" xfId="15578" xr:uid="{00000000-0005-0000-0000-00007D390000}"/>
    <cellStyle name="Normal 5 5 4 3 2" xfId="15579" xr:uid="{00000000-0005-0000-0000-00007E390000}"/>
    <cellStyle name="Normal 5 5 4 3 3" xfId="26825" xr:uid="{A92823A1-224B-4E66-B7E8-F2CC1BE50503}"/>
    <cellStyle name="Normal 5 5 4 3 3 2" xfId="41788" xr:uid="{DBD9B927-8059-4556-B956-29B365693E5F}"/>
    <cellStyle name="Normal 5 5 4 3 4" xfId="34200" xr:uid="{DE791FCC-D286-44DD-9785-336A5D5677B9}"/>
    <cellStyle name="Normal 5 5 4 4" xfId="15580" xr:uid="{00000000-0005-0000-0000-00007F390000}"/>
    <cellStyle name="Normal 5 5 5" xfId="15581" xr:uid="{00000000-0005-0000-0000-000080390000}"/>
    <cellStyle name="Normal 5 5 5 2" xfId="15582" xr:uid="{00000000-0005-0000-0000-000081390000}"/>
    <cellStyle name="Normal 5 5 5 3" xfId="15583" xr:uid="{00000000-0005-0000-0000-000082390000}"/>
    <cellStyle name="Normal 5 5 6" xfId="15584" xr:uid="{00000000-0005-0000-0000-000083390000}"/>
    <cellStyle name="Normal 5 5 6 2" xfId="15585" xr:uid="{00000000-0005-0000-0000-000084390000}"/>
    <cellStyle name="Normal 5 5 6 3" xfId="15586" xr:uid="{00000000-0005-0000-0000-000085390000}"/>
    <cellStyle name="Normal 5 5 6 4" xfId="26826" xr:uid="{D1BEB2B9-EEC7-40A3-B559-0B550A02075B}"/>
    <cellStyle name="Normal 5 5 6 4 2" xfId="41789" xr:uid="{C3D169C7-B31E-4D9D-A2CB-0CA45E2E9048}"/>
    <cellStyle name="Normal 5 5 6 5" xfId="34201" xr:uid="{15B4D8C8-C6AA-49EB-AADF-7B6170721C55}"/>
    <cellStyle name="Normal 5 5 7" xfId="15587" xr:uid="{00000000-0005-0000-0000-000086390000}"/>
    <cellStyle name="Normal 5 6" xfId="2511" xr:uid="{00000000-0005-0000-0000-000095090000}"/>
    <cellStyle name="Normal 5 6 2" xfId="15588" xr:uid="{00000000-0005-0000-0000-000088390000}"/>
    <cellStyle name="Normal 5 6 2 2" xfId="15589" xr:uid="{00000000-0005-0000-0000-000089390000}"/>
    <cellStyle name="Normal 5 6 2 2 2" xfId="15590" xr:uid="{00000000-0005-0000-0000-00008A390000}"/>
    <cellStyle name="Normal 5 6 2 2 2 2" xfId="15591" xr:uid="{00000000-0005-0000-0000-00008B390000}"/>
    <cellStyle name="Normal 5 6 2 2 2 2 2" xfId="15592" xr:uid="{00000000-0005-0000-0000-00008C390000}"/>
    <cellStyle name="Normal 5 6 2 2 2 2 3" xfId="15593" xr:uid="{00000000-0005-0000-0000-00008D390000}"/>
    <cellStyle name="Normal 5 6 2 2 2 3" xfId="15594" xr:uid="{00000000-0005-0000-0000-00008E390000}"/>
    <cellStyle name="Normal 5 6 2 2 2 3 2" xfId="15595" xr:uid="{00000000-0005-0000-0000-00008F390000}"/>
    <cellStyle name="Normal 5 6 2 2 2 3 3" xfId="26827" xr:uid="{8E508806-8849-4E3A-B914-35A08F172FC5}"/>
    <cellStyle name="Normal 5 6 2 2 2 3 3 2" xfId="41790" xr:uid="{F52A2C2A-C18A-49C7-B8F2-9E016E428CCC}"/>
    <cellStyle name="Normal 5 6 2 2 2 3 4" xfId="34202" xr:uid="{BD4BD3CA-E958-466F-B1CE-31AADDFCF3C5}"/>
    <cellStyle name="Normal 5 6 2 2 2 4" xfId="15596" xr:uid="{00000000-0005-0000-0000-000090390000}"/>
    <cellStyle name="Normal 5 6 2 2 3" xfId="15597" xr:uid="{00000000-0005-0000-0000-000091390000}"/>
    <cellStyle name="Normal 5 6 2 2 3 2" xfId="15598" xr:uid="{00000000-0005-0000-0000-000092390000}"/>
    <cellStyle name="Normal 5 6 2 2 3 3" xfId="15599" xr:uid="{00000000-0005-0000-0000-000093390000}"/>
    <cellStyle name="Normal 5 6 2 2 4" xfId="15600" xr:uid="{00000000-0005-0000-0000-000094390000}"/>
    <cellStyle name="Normal 5 6 2 2 4 2" xfId="15601" xr:uid="{00000000-0005-0000-0000-000095390000}"/>
    <cellStyle name="Normal 5 6 2 2 4 3" xfId="26828" xr:uid="{D4CC215B-9384-4862-9093-399FCB465CC3}"/>
    <cellStyle name="Normal 5 6 2 2 4 3 2" xfId="41791" xr:uid="{56EA71F4-70A2-41AB-9702-E26189D88F7D}"/>
    <cellStyle name="Normal 5 6 2 2 4 4" xfId="34203" xr:uid="{AFFBFCAD-543F-4747-8C51-A147655D9017}"/>
    <cellStyle name="Normal 5 6 2 2 5" xfId="15602" xr:uid="{00000000-0005-0000-0000-000096390000}"/>
    <cellStyle name="Normal 5 6 2 3" xfId="15603" xr:uid="{00000000-0005-0000-0000-000097390000}"/>
    <cellStyle name="Normal 5 6 2 3 2" xfId="15604" xr:uid="{00000000-0005-0000-0000-000098390000}"/>
    <cellStyle name="Normal 5 6 2 3 2 2" xfId="15605" xr:uid="{00000000-0005-0000-0000-000099390000}"/>
    <cellStyle name="Normal 5 6 2 3 2 3" xfId="15606" xr:uid="{00000000-0005-0000-0000-00009A390000}"/>
    <cellStyle name="Normal 5 6 2 3 3" xfId="15607" xr:uid="{00000000-0005-0000-0000-00009B390000}"/>
    <cellStyle name="Normal 5 6 2 3 3 2" xfId="15608" xr:uid="{00000000-0005-0000-0000-00009C390000}"/>
    <cellStyle name="Normal 5 6 2 3 3 3" xfId="26829" xr:uid="{F192FBD7-0511-4EA8-AF71-A5F520F9B54C}"/>
    <cellStyle name="Normal 5 6 2 3 3 3 2" xfId="41792" xr:uid="{D36D2C67-51D3-46FA-AEF6-7E94017432AD}"/>
    <cellStyle name="Normal 5 6 2 3 3 4" xfId="34204" xr:uid="{A340E4D5-851E-4F93-A0E2-545E94CD6827}"/>
    <cellStyle name="Normal 5 6 2 3 4" xfId="15609" xr:uid="{00000000-0005-0000-0000-00009D390000}"/>
    <cellStyle name="Normal 5 6 2 4" xfId="15610" xr:uid="{00000000-0005-0000-0000-00009E390000}"/>
    <cellStyle name="Normal 5 6 2 5" xfId="15611" xr:uid="{00000000-0005-0000-0000-00009F390000}"/>
    <cellStyle name="Normal 5 6 2 5 2" xfId="26830" xr:uid="{AFB82264-EE78-440D-97DE-3089EB4B88FE}"/>
    <cellStyle name="Normal 5 6 2 5 2 2" xfId="41793" xr:uid="{77411974-A2B1-4CC0-AF8D-3BBD4854F2ED}"/>
    <cellStyle name="Normal 5 6 2 5 3" xfId="34205" xr:uid="{B802C978-C87A-4E0A-9757-350A757A6FFD}"/>
    <cellStyle name="Normal 5 6 2 6" xfId="15612" xr:uid="{00000000-0005-0000-0000-0000A0390000}"/>
    <cellStyle name="Normal 5 6 3" xfId="15613" xr:uid="{00000000-0005-0000-0000-0000A1390000}"/>
    <cellStyle name="Normal 5 6 3 2" xfId="15614" xr:uid="{00000000-0005-0000-0000-0000A2390000}"/>
    <cellStyle name="Normal 5 6 3 2 2" xfId="15615" xr:uid="{00000000-0005-0000-0000-0000A3390000}"/>
    <cellStyle name="Normal 5 6 3 2 3" xfId="15616" xr:uid="{00000000-0005-0000-0000-0000A4390000}"/>
    <cellStyle name="Normal 5 6 3 3" xfId="15617" xr:uid="{00000000-0005-0000-0000-0000A5390000}"/>
    <cellStyle name="Normal 5 6 3 4" xfId="15618" xr:uid="{00000000-0005-0000-0000-0000A6390000}"/>
    <cellStyle name="Normal 5 6 3 4 2" xfId="26831" xr:uid="{87A6E88D-FB3D-4007-B9C8-5F3242F7151E}"/>
    <cellStyle name="Normal 5 6 3 4 2 2" xfId="41794" xr:uid="{02C97DAE-9F52-4BF4-AAC2-B411F15C8985}"/>
    <cellStyle name="Normal 5 6 3 4 3" xfId="34206" xr:uid="{B371DAA8-0936-4BFA-B485-CA71E9E37E0E}"/>
    <cellStyle name="Normal 5 6 3 5" xfId="15619" xr:uid="{00000000-0005-0000-0000-0000A7390000}"/>
    <cellStyle name="Normal 5 6 3 5 2" xfId="26832" xr:uid="{FBB80404-DF30-4C8E-B6EF-E068D1D2C38A}"/>
    <cellStyle name="Normal 5 6 3 5 2 2" xfId="41795" xr:uid="{4133168D-AE88-4559-820F-C64463268F16}"/>
    <cellStyle name="Normal 5 6 3 5 3" xfId="34207" xr:uid="{1197A6F0-B355-4948-AD84-66194BB9D358}"/>
    <cellStyle name="Normal 5 6 3 6" xfId="15620" xr:uid="{00000000-0005-0000-0000-0000A8390000}"/>
    <cellStyle name="Normal 5 6 4" xfId="15621" xr:uid="{00000000-0005-0000-0000-0000A9390000}"/>
    <cellStyle name="Normal 5 6 4 2" xfId="15622" xr:uid="{00000000-0005-0000-0000-0000AA390000}"/>
    <cellStyle name="Normal 5 6 4 2 2" xfId="15623" xr:uid="{00000000-0005-0000-0000-0000AB390000}"/>
    <cellStyle name="Normal 5 6 4 2 3" xfId="15624" xr:uid="{00000000-0005-0000-0000-0000AC390000}"/>
    <cellStyle name="Normal 5 6 4 3" xfId="15625" xr:uid="{00000000-0005-0000-0000-0000AD390000}"/>
    <cellStyle name="Normal 5 6 4 3 2" xfId="15626" xr:uid="{00000000-0005-0000-0000-0000AE390000}"/>
    <cellStyle name="Normal 5 6 4 3 3" xfId="26833" xr:uid="{37F8390B-4A99-476C-BB89-4126D8E20A68}"/>
    <cellStyle name="Normal 5 6 4 3 3 2" xfId="41796" xr:uid="{333663EF-CA35-4651-9759-6DA7C18E52F4}"/>
    <cellStyle name="Normal 5 6 4 3 4" xfId="34208" xr:uid="{3BBCFD18-7361-4D56-BEC0-7C01D3D2F99B}"/>
    <cellStyle name="Normal 5 6 4 4" xfId="15627" xr:uid="{00000000-0005-0000-0000-0000AF390000}"/>
    <cellStyle name="Normal 5 6 5" xfId="15628" xr:uid="{00000000-0005-0000-0000-0000B0390000}"/>
    <cellStyle name="Normal 5 6 5 2" xfId="15629" xr:uid="{00000000-0005-0000-0000-0000B1390000}"/>
    <cellStyle name="Normal 5 6 5 3" xfId="15630" xr:uid="{00000000-0005-0000-0000-0000B2390000}"/>
    <cellStyle name="Normal 5 6 6" xfId="15631" xr:uid="{00000000-0005-0000-0000-0000B3390000}"/>
    <cellStyle name="Normal 5 6 6 2" xfId="15632" xr:uid="{00000000-0005-0000-0000-0000B4390000}"/>
    <cellStyle name="Normal 5 6 6 2 2" xfId="26834" xr:uid="{54252626-2DF1-464D-90C1-DE27CD3879A8}"/>
    <cellStyle name="Normal 5 6 6 2 2 2" xfId="41797" xr:uid="{21B03F0A-84C9-4FEB-A7A6-DFDD6F0DA53A}"/>
    <cellStyle name="Normal 5 6 6 2 3" xfId="34209" xr:uid="{9EFD64CB-64AE-4F66-B743-9DC99F797FAC}"/>
    <cellStyle name="Normal 5 6 7" xfId="15633" xr:uid="{00000000-0005-0000-0000-0000B5390000}"/>
    <cellStyle name="Normal 5 6 7 2" xfId="26835" xr:uid="{BF232DA1-0F96-4F26-8BF0-E3D33A0AD80A}"/>
    <cellStyle name="Normal 5 6 7 2 2" xfId="41798" xr:uid="{77B8B8DC-9BD2-411B-BFE1-B8BCD9D51A35}"/>
    <cellStyle name="Normal 5 6 7 3" xfId="34210" xr:uid="{5FFF0C20-3E36-455D-B8B9-71642790B59F}"/>
    <cellStyle name="Normal 5 6 8" xfId="15634" xr:uid="{00000000-0005-0000-0000-0000B6390000}"/>
    <cellStyle name="Normal 5 7" xfId="2512" xr:uid="{00000000-0005-0000-0000-000096090000}"/>
    <cellStyle name="Normal 5 7 2" xfId="15635" xr:uid="{00000000-0005-0000-0000-0000B8390000}"/>
    <cellStyle name="Normal 5 7 2 2" xfId="15636" xr:uid="{00000000-0005-0000-0000-0000B9390000}"/>
    <cellStyle name="Normal 5 7 2 2 2" xfId="15637" xr:uid="{00000000-0005-0000-0000-0000BA390000}"/>
    <cellStyle name="Normal 5 7 2 2 2 2" xfId="15638" xr:uid="{00000000-0005-0000-0000-0000BB390000}"/>
    <cellStyle name="Normal 5 7 2 2 2 2 2" xfId="15639" xr:uid="{00000000-0005-0000-0000-0000BC390000}"/>
    <cellStyle name="Normal 5 7 2 2 2 2 3" xfId="15640" xr:uid="{00000000-0005-0000-0000-0000BD390000}"/>
    <cellStyle name="Normal 5 7 2 2 2 3" xfId="15641" xr:uid="{00000000-0005-0000-0000-0000BE390000}"/>
    <cellStyle name="Normal 5 7 2 2 2 3 2" xfId="15642" xr:uid="{00000000-0005-0000-0000-0000BF390000}"/>
    <cellStyle name="Normal 5 7 2 2 2 3 3" xfId="26836" xr:uid="{60052EDB-1F99-4EB5-BF64-14C96901A508}"/>
    <cellStyle name="Normal 5 7 2 2 2 3 3 2" xfId="41799" xr:uid="{44FA141C-5487-4297-8D3D-816FCE0E129A}"/>
    <cellStyle name="Normal 5 7 2 2 2 3 4" xfId="34211" xr:uid="{94EEB6A1-3C6F-404F-A1B1-0F022D7EC928}"/>
    <cellStyle name="Normal 5 7 2 2 2 4" xfId="15643" xr:uid="{00000000-0005-0000-0000-0000C0390000}"/>
    <cellStyle name="Normal 5 7 2 2 3" xfId="15644" xr:uid="{00000000-0005-0000-0000-0000C1390000}"/>
    <cellStyle name="Normal 5 7 2 2 3 2" xfId="15645" xr:uid="{00000000-0005-0000-0000-0000C2390000}"/>
    <cellStyle name="Normal 5 7 2 2 3 3" xfId="15646" xr:uid="{00000000-0005-0000-0000-0000C3390000}"/>
    <cellStyle name="Normal 5 7 2 2 4" xfId="15647" xr:uid="{00000000-0005-0000-0000-0000C4390000}"/>
    <cellStyle name="Normal 5 7 2 2 4 2" xfId="15648" xr:uid="{00000000-0005-0000-0000-0000C5390000}"/>
    <cellStyle name="Normal 5 7 2 2 4 3" xfId="26837" xr:uid="{AE9EA849-4EE5-40B2-ACFB-700FD6ED9FFE}"/>
    <cellStyle name="Normal 5 7 2 2 4 3 2" xfId="41800" xr:uid="{A3EC3258-E762-4FED-8FD0-069F0B3BB3AC}"/>
    <cellStyle name="Normal 5 7 2 2 4 4" xfId="34212" xr:uid="{262E3753-BB0F-4F7B-B40C-D88229A1C214}"/>
    <cellStyle name="Normal 5 7 2 2 5" xfId="15649" xr:uid="{00000000-0005-0000-0000-0000C6390000}"/>
    <cellStyle name="Normal 5 7 2 3" xfId="15650" xr:uid="{00000000-0005-0000-0000-0000C7390000}"/>
    <cellStyle name="Normal 5 7 2 3 2" xfId="15651" xr:uid="{00000000-0005-0000-0000-0000C8390000}"/>
    <cellStyle name="Normal 5 7 2 3 2 2" xfId="15652" xr:uid="{00000000-0005-0000-0000-0000C9390000}"/>
    <cellStyle name="Normal 5 7 2 3 2 3" xfId="15653" xr:uid="{00000000-0005-0000-0000-0000CA390000}"/>
    <cellStyle name="Normal 5 7 2 3 3" xfId="15654" xr:uid="{00000000-0005-0000-0000-0000CB390000}"/>
    <cellStyle name="Normal 5 7 2 3 3 2" xfId="15655" xr:uid="{00000000-0005-0000-0000-0000CC390000}"/>
    <cellStyle name="Normal 5 7 2 3 3 3" xfId="26838" xr:uid="{4628E267-06B8-4290-97A1-F23417C6ABB4}"/>
    <cellStyle name="Normal 5 7 2 3 3 3 2" xfId="41801" xr:uid="{2AEB7F86-6ED3-4C40-8405-DFB972B19E67}"/>
    <cellStyle name="Normal 5 7 2 3 3 4" xfId="34213" xr:uid="{BB8F6615-1EF4-4C96-BA9E-DB1A024E4FFB}"/>
    <cellStyle name="Normal 5 7 2 3 4" xfId="15656" xr:uid="{00000000-0005-0000-0000-0000CD390000}"/>
    <cellStyle name="Normal 5 7 2 4" xfId="15657" xr:uid="{00000000-0005-0000-0000-0000CE390000}"/>
    <cellStyle name="Normal 5 7 2 5" xfId="15658" xr:uid="{00000000-0005-0000-0000-0000CF390000}"/>
    <cellStyle name="Normal 5 7 2 5 2" xfId="26839" xr:uid="{985A9975-0774-4AFB-AF30-800242FD162F}"/>
    <cellStyle name="Normal 5 7 2 5 2 2" xfId="41802" xr:uid="{FCCD0E34-A002-437E-865F-52146A7BC831}"/>
    <cellStyle name="Normal 5 7 2 5 3" xfId="34214" xr:uid="{4A72A0D2-E40B-4245-A62F-4535DE7E9D2C}"/>
    <cellStyle name="Normal 5 7 2 6" xfId="15659" xr:uid="{00000000-0005-0000-0000-0000D0390000}"/>
    <cellStyle name="Normal 5 7 3" xfId="15660" xr:uid="{00000000-0005-0000-0000-0000D1390000}"/>
    <cellStyle name="Normal 5 7 3 2" xfId="15661" xr:uid="{00000000-0005-0000-0000-0000D2390000}"/>
    <cellStyle name="Normal 5 7 3 2 2" xfId="15662" xr:uid="{00000000-0005-0000-0000-0000D3390000}"/>
    <cellStyle name="Normal 5 7 3 2 3" xfId="15663" xr:uid="{00000000-0005-0000-0000-0000D4390000}"/>
    <cellStyle name="Normal 5 7 3 3" xfId="15664" xr:uid="{00000000-0005-0000-0000-0000D5390000}"/>
    <cellStyle name="Normal 5 7 3 4" xfId="15665" xr:uid="{00000000-0005-0000-0000-0000D6390000}"/>
    <cellStyle name="Normal 5 7 3 4 2" xfId="26840" xr:uid="{C81AD457-84B6-4F22-B2E3-6ACB087B8962}"/>
    <cellStyle name="Normal 5 7 3 4 2 2" xfId="41803" xr:uid="{DF2225E0-8548-42E4-AC5F-A251B90D38CD}"/>
    <cellStyle name="Normal 5 7 3 4 3" xfId="34215" xr:uid="{D6577FEB-768E-454B-AE68-7ABCDB7B5628}"/>
    <cellStyle name="Normal 5 7 3 5" xfId="15666" xr:uid="{00000000-0005-0000-0000-0000D7390000}"/>
    <cellStyle name="Normal 5 7 3 5 2" xfId="26841" xr:uid="{F9C36078-6D41-45B1-8FE6-FD53D8FC978C}"/>
    <cellStyle name="Normal 5 7 3 5 2 2" xfId="41804" xr:uid="{EBF5279C-4C70-46E7-9178-0D0ABBED7AD1}"/>
    <cellStyle name="Normal 5 7 3 5 3" xfId="34216" xr:uid="{292AC7FA-F31F-441A-B9B6-558BBCC68258}"/>
    <cellStyle name="Normal 5 7 3 6" xfId="15667" xr:uid="{00000000-0005-0000-0000-0000D8390000}"/>
    <cellStyle name="Normal 5 7 4" xfId="15668" xr:uid="{00000000-0005-0000-0000-0000D9390000}"/>
    <cellStyle name="Normal 5 7 4 2" xfId="15669" xr:uid="{00000000-0005-0000-0000-0000DA390000}"/>
    <cellStyle name="Normal 5 7 4 2 2" xfId="15670" xr:uid="{00000000-0005-0000-0000-0000DB390000}"/>
    <cellStyle name="Normal 5 7 4 2 3" xfId="15671" xr:uid="{00000000-0005-0000-0000-0000DC390000}"/>
    <cellStyle name="Normal 5 7 4 3" xfId="15672" xr:uid="{00000000-0005-0000-0000-0000DD390000}"/>
    <cellStyle name="Normal 5 7 4 3 2" xfId="15673" xr:uid="{00000000-0005-0000-0000-0000DE390000}"/>
    <cellStyle name="Normal 5 7 4 3 3" xfId="26842" xr:uid="{9F12245E-4FED-4737-BB38-551D4D90BAB0}"/>
    <cellStyle name="Normal 5 7 4 3 3 2" xfId="41805" xr:uid="{2B1B50E4-EEA6-4AB1-8257-5E7286AD059D}"/>
    <cellStyle name="Normal 5 7 4 3 4" xfId="34217" xr:uid="{DD881901-3C02-4BFB-B657-47E609C1E426}"/>
    <cellStyle name="Normal 5 7 4 4" xfId="15674" xr:uid="{00000000-0005-0000-0000-0000DF390000}"/>
    <cellStyle name="Normal 5 7 5" xfId="15675" xr:uid="{00000000-0005-0000-0000-0000E0390000}"/>
    <cellStyle name="Normal 5 7 5 2" xfId="15676" xr:uid="{00000000-0005-0000-0000-0000E1390000}"/>
    <cellStyle name="Normal 5 7 5 3" xfId="15677" xr:uid="{00000000-0005-0000-0000-0000E2390000}"/>
    <cellStyle name="Normal 5 7 6" xfId="15678" xr:uid="{00000000-0005-0000-0000-0000E3390000}"/>
    <cellStyle name="Normal 5 7 7" xfId="15679" xr:uid="{00000000-0005-0000-0000-0000E4390000}"/>
    <cellStyle name="Normal 5 7 7 2" xfId="26843" xr:uid="{4003942D-4B01-4393-BD93-E290346ACDC8}"/>
    <cellStyle name="Normal 5 7 7 2 2" xfId="41806" xr:uid="{63D16C14-4277-4538-9D3F-32520A503F6F}"/>
    <cellStyle name="Normal 5 7 7 3" xfId="34218" xr:uid="{2C10FF88-1695-4F42-8B23-D2CBECDCDB6A}"/>
    <cellStyle name="Normal 5 7 8" xfId="15680" xr:uid="{00000000-0005-0000-0000-0000E5390000}"/>
    <cellStyle name="Normal 5 8" xfId="2513" xr:uid="{00000000-0005-0000-0000-000097090000}"/>
    <cellStyle name="Normal 5 8 2" xfId="15681" xr:uid="{00000000-0005-0000-0000-0000E7390000}"/>
    <cellStyle name="Normal 5 8 2 2" xfId="15682" xr:uid="{00000000-0005-0000-0000-0000E8390000}"/>
    <cellStyle name="Normal 5 8 2 2 2" xfId="15683" xr:uid="{00000000-0005-0000-0000-0000E9390000}"/>
    <cellStyle name="Normal 5 8 2 2 2 2" xfId="15684" xr:uid="{00000000-0005-0000-0000-0000EA390000}"/>
    <cellStyle name="Normal 5 8 2 2 2 2 2" xfId="15685" xr:uid="{00000000-0005-0000-0000-0000EB390000}"/>
    <cellStyle name="Normal 5 8 2 2 2 2 3" xfId="15686" xr:uid="{00000000-0005-0000-0000-0000EC390000}"/>
    <cellStyle name="Normal 5 8 2 2 2 3" xfId="15687" xr:uid="{00000000-0005-0000-0000-0000ED390000}"/>
    <cellStyle name="Normal 5 8 2 2 2 3 2" xfId="15688" xr:uid="{00000000-0005-0000-0000-0000EE390000}"/>
    <cellStyle name="Normal 5 8 2 2 2 3 3" xfId="26844" xr:uid="{2D2DC756-8E60-439F-8D59-28A73AEE47F9}"/>
    <cellStyle name="Normal 5 8 2 2 2 3 3 2" xfId="41807" xr:uid="{76686574-700F-4D5C-B0DE-9123CED32B75}"/>
    <cellStyle name="Normal 5 8 2 2 2 3 4" xfId="34219" xr:uid="{0561A775-0C29-4DF6-ADF9-EB4462359DD3}"/>
    <cellStyle name="Normal 5 8 2 2 2 4" xfId="15689" xr:uid="{00000000-0005-0000-0000-0000EF390000}"/>
    <cellStyle name="Normal 5 8 2 2 3" xfId="15690" xr:uid="{00000000-0005-0000-0000-0000F0390000}"/>
    <cellStyle name="Normal 5 8 2 2 3 2" xfId="15691" xr:uid="{00000000-0005-0000-0000-0000F1390000}"/>
    <cellStyle name="Normal 5 8 2 2 3 3" xfId="15692" xr:uid="{00000000-0005-0000-0000-0000F2390000}"/>
    <cellStyle name="Normal 5 8 2 2 4" xfId="15693" xr:uid="{00000000-0005-0000-0000-0000F3390000}"/>
    <cellStyle name="Normal 5 8 2 2 4 2" xfId="15694" xr:uid="{00000000-0005-0000-0000-0000F4390000}"/>
    <cellStyle name="Normal 5 8 2 2 4 3" xfId="26845" xr:uid="{0F5B5C2C-E2D9-4FDC-9D1B-799B7BD7C4F9}"/>
    <cellStyle name="Normal 5 8 2 2 4 3 2" xfId="41808" xr:uid="{F17F4FB4-2664-43AB-A727-6BAA892A6701}"/>
    <cellStyle name="Normal 5 8 2 2 4 4" xfId="34220" xr:uid="{5813D004-538D-408F-8DCD-F45D0D511A4A}"/>
    <cellStyle name="Normal 5 8 2 2 5" xfId="15695" xr:uid="{00000000-0005-0000-0000-0000F5390000}"/>
    <cellStyle name="Normal 5 8 2 3" xfId="15696" xr:uid="{00000000-0005-0000-0000-0000F6390000}"/>
    <cellStyle name="Normal 5 8 2 3 2" xfId="15697" xr:uid="{00000000-0005-0000-0000-0000F7390000}"/>
    <cellStyle name="Normal 5 8 2 3 2 2" xfId="15698" xr:uid="{00000000-0005-0000-0000-0000F8390000}"/>
    <cellStyle name="Normal 5 8 2 3 2 3" xfId="15699" xr:uid="{00000000-0005-0000-0000-0000F9390000}"/>
    <cellStyle name="Normal 5 8 2 3 3" xfId="15700" xr:uid="{00000000-0005-0000-0000-0000FA390000}"/>
    <cellStyle name="Normal 5 8 2 3 3 2" xfId="15701" xr:uid="{00000000-0005-0000-0000-0000FB390000}"/>
    <cellStyle name="Normal 5 8 2 3 3 3" xfId="26846" xr:uid="{AC16D6B3-22F8-4811-974D-76A7C5844386}"/>
    <cellStyle name="Normal 5 8 2 3 3 3 2" xfId="41809" xr:uid="{51E3C1F9-A787-4592-9D02-D5EE2384CA10}"/>
    <cellStyle name="Normal 5 8 2 3 3 4" xfId="34221" xr:uid="{B2DE41AF-1BB6-495C-AD77-ED23D0FDDF99}"/>
    <cellStyle name="Normal 5 8 2 3 4" xfId="15702" xr:uid="{00000000-0005-0000-0000-0000FC390000}"/>
    <cellStyle name="Normal 5 8 2 4" xfId="15703" xr:uid="{00000000-0005-0000-0000-0000FD390000}"/>
    <cellStyle name="Normal 5 8 2 5" xfId="15704" xr:uid="{00000000-0005-0000-0000-0000FE390000}"/>
    <cellStyle name="Normal 5 8 2 5 2" xfId="26847" xr:uid="{4C56A35B-0393-4E42-A4B4-A9FAA04E15AE}"/>
    <cellStyle name="Normal 5 8 2 5 2 2" xfId="41810" xr:uid="{909F403F-110A-4A82-B18A-FB28C6C0843B}"/>
    <cellStyle name="Normal 5 8 2 5 3" xfId="34222" xr:uid="{3C7259ED-8E4E-4231-901F-CEC664A29761}"/>
    <cellStyle name="Normal 5 8 2 6" xfId="15705" xr:uid="{00000000-0005-0000-0000-0000FF390000}"/>
    <cellStyle name="Normal 5 8 3" xfId="15706" xr:uid="{00000000-0005-0000-0000-0000003A0000}"/>
    <cellStyle name="Normal 5 8 3 2" xfId="15707" xr:uid="{00000000-0005-0000-0000-0000013A0000}"/>
    <cellStyle name="Normal 5 8 3 2 2" xfId="15708" xr:uid="{00000000-0005-0000-0000-0000023A0000}"/>
    <cellStyle name="Normal 5 8 3 2 3" xfId="15709" xr:uid="{00000000-0005-0000-0000-0000033A0000}"/>
    <cellStyle name="Normal 5 8 3 3" xfId="15710" xr:uid="{00000000-0005-0000-0000-0000043A0000}"/>
    <cellStyle name="Normal 5 8 3 4" xfId="15711" xr:uid="{00000000-0005-0000-0000-0000053A0000}"/>
    <cellStyle name="Normal 5 8 3 4 2" xfId="26848" xr:uid="{53CF7918-5FFA-44FA-8E08-CC7A5F73E1D7}"/>
    <cellStyle name="Normal 5 8 3 4 2 2" xfId="41811" xr:uid="{1C9BDB60-58E1-4717-A3CF-7F6A7F5AB791}"/>
    <cellStyle name="Normal 5 8 3 4 3" xfId="34223" xr:uid="{5EA3E2A3-72D0-40DF-9982-8659A60602B3}"/>
    <cellStyle name="Normal 5 8 3 5" xfId="15712" xr:uid="{00000000-0005-0000-0000-0000063A0000}"/>
    <cellStyle name="Normal 5 8 3 5 2" xfId="26849" xr:uid="{0C30C3C1-B640-4C59-8D9D-05E8586D0330}"/>
    <cellStyle name="Normal 5 8 3 5 2 2" xfId="41812" xr:uid="{BA18EA1C-8D8A-4A7B-8040-6CD6DD34679F}"/>
    <cellStyle name="Normal 5 8 3 5 3" xfId="34224" xr:uid="{CFD6B378-B1BF-406A-9BAD-F0B7FFE7BF61}"/>
    <cellStyle name="Normal 5 8 3 6" xfId="15713" xr:uid="{00000000-0005-0000-0000-0000073A0000}"/>
    <cellStyle name="Normal 5 8 4" xfId="15714" xr:uid="{00000000-0005-0000-0000-0000083A0000}"/>
    <cellStyle name="Normal 5 8 4 2" xfId="15715" xr:uid="{00000000-0005-0000-0000-0000093A0000}"/>
    <cellStyle name="Normal 5 8 4 2 2" xfId="15716" xr:uid="{00000000-0005-0000-0000-00000A3A0000}"/>
    <cellStyle name="Normal 5 8 4 2 3" xfId="15717" xr:uid="{00000000-0005-0000-0000-00000B3A0000}"/>
    <cellStyle name="Normal 5 8 4 3" xfId="15718" xr:uid="{00000000-0005-0000-0000-00000C3A0000}"/>
    <cellStyle name="Normal 5 8 4 3 2" xfId="15719" xr:uid="{00000000-0005-0000-0000-00000D3A0000}"/>
    <cellStyle name="Normal 5 8 4 3 3" xfId="26850" xr:uid="{97C5CF35-7B1A-4C87-857E-7B3A48225BE1}"/>
    <cellStyle name="Normal 5 8 4 3 3 2" xfId="41813" xr:uid="{CBB2CD22-54CA-4429-B2F6-AA16D48CA293}"/>
    <cellStyle name="Normal 5 8 4 3 4" xfId="34225" xr:uid="{445C79BB-B5C3-48D7-A2AF-FDACF43BA7B9}"/>
    <cellStyle name="Normal 5 8 4 4" xfId="15720" xr:uid="{00000000-0005-0000-0000-00000E3A0000}"/>
    <cellStyle name="Normal 5 8 5" xfId="15721" xr:uid="{00000000-0005-0000-0000-00000F3A0000}"/>
    <cellStyle name="Normal 5 8 5 2" xfId="15722" xr:uid="{00000000-0005-0000-0000-0000103A0000}"/>
    <cellStyle name="Normal 5 8 5 3" xfId="15723" xr:uid="{00000000-0005-0000-0000-0000113A0000}"/>
    <cellStyle name="Normal 5 8 6" xfId="15724" xr:uid="{00000000-0005-0000-0000-0000123A0000}"/>
    <cellStyle name="Normal 5 8 7" xfId="15725" xr:uid="{00000000-0005-0000-0000-0000133A0000}"/>
    <cellStyle name="Normal 5 8 7 2" xfId="26851" xr:uid="{A5CA55C0-5BE5-4C90-9BE5-B19AD0A2120E}"/>
    <cellStyle name="Normal 5 8 7 2 2" xfId="41814" xr:uid="{D0B9DAF7-A4A2-48D5-A6FF-EF0151A24A58}"/>
    <cellStyle name="Normal 5 8 7 3" xfId="34226" xr:uid="{06AD9A5B-5E66-4D86-82D1-0154E5396411}"/>
    <cellStyle name="Normal 5 8 8" xfId="15726" xr:uid="{00000000-0005-0000-0000-0000143A0000}"/>
    <cellStyle name="Normal 5 9" xfId="2514" xr:uid="{00000000-0005-0000-0000-000098090000}"/>
    <cellStyle name="Normal 5 9 2" xfId="15727" xr:uid="{00000000-0005-0000-0000-0000163A0000}"/>
    <cellStyle name="Normal 5 9 2 2" xfId="15728" xr:uid="{00000000-0005-0000-0000-0000173A0000}"/>
    <cellStyle name="Normal 5 9 2 2 2" xfId="15729" xr:uid="{00000000-0005-0000-0000-0000183A0000}"/>
    <cellStyle name="Normal 5 9 2 2 2 2" xfId="15730" xr:uid="{00000000-0005-0000-0000-0000193A0000}"/>
    <cellStyle name="Normal 5 9 2 2 2 2 2" xfId="15731" xr:uid="{00000000-0005-0000-0000-00001A3A0000}"/>
    <cellStyle name="Normal 5 9 2 2 2 2 3" xfId="15732" xr:uid="{00000000-0005-0000-0000-00001B3A0000}"/>
    <cellStyle name="Normal 5 9 2 2 2 3" xfId="15733" xr:uid="{00000000-0005-0000-0000-00001C3A0000}"/>
    <cellStyle name="Normal 5 9 2 2 2 3 2" xfId="15734" xr:uid="{00000000-0005-0000-0000-00001D3A0000}"/>
    <cellStyle name="Normal 5 9 2 2 2 3 3" xfId="26852" xr:uid="{37A437D3-AEDE-4B0F-B698-F3C5E40FD9BC}"/>
    <cellStyle name="Normal 5 9 2 2 2 3 3 2" xfId="41815" xr:uid="{ED91B51D-43CB-4315-B8EB-F54242F3A27A}"/>
    <cellStyle name="Normal 5 9 2 2 2 3 4" xfId="34227" xr:uid="{A9EE2241-66C8-4324-8D87-B3067D373301}"/>
    <cellStyle name="Normal 5 9 2 2 2 4" xfId="15735" xr:uid="{00000000-0005-0000-0000-00001E3A0000}"/>
    <cellStyle name="Normal 5 9 2 2 3" xfId="15736" xr:uid="{00000000-0005-0000-0000-00001F3A0000}"/>
    <cellStyle name="Normal 5 9 2 2 3 2" xfId="15737" xr:uid="{00000000-0005-0000-0000-0000203A0000}"/>
    <cellStyle name="Normal 5 9 2 2 3 3" xfId="15738" xr:uid="{00000000-0005-0000-0000-0000213A0000}"/>
    <cellStyle name="Normal 5 9 2 2 4" xfId="15739" xr:uid="{00000000-0005-0000-0000-0000223A0000}"/>
    <cellStyle name="Normal 5 9 2 2 4 2" xfId="15740" xr:uid="{00000000-0005-0000-0000-0000233A0000}"/>
    <cellStyle name="Normal 5 9 2 2 4 3" xfId="26853" xr:uid="{77A2E794-DB64-451D-A6E1-F3F7D7411171}"/>
    <cellStyle name="Normal 5 9 2 2 4 3 2" xfId="41816" xr:uid="{7A4DA3BF-8F05-4D16-95F2-A4D1BCC7EA66}"/>
    <cellStyle name="Normal 5 9 2 2 4 4" xfId="34228" xr:uid="{C0262D1A-76AE-49F1-9B8D-72CDACCC35CD}"/>
    <cellStyle name="Normal 5 9 2 2 5" xfId="15741" xr:uid="{00000000-0005-0000-0000-0000243A0000}"/>
    <cellStyle name="Normal 5 9 2 3" xfId="15742" xr:uid="{00000000-0005-0000-0000-0000253A0000}"/>
    <cellStyle name="Normal 5 9 2 3 2" xfId="15743" xr:uid="{00000000-0005-0000-0000-0000263A0000}"/>
    <cellStyle name="Normal 5 9 2 3 2 2" xfId="15744" xr:uid="{00000000-0005-0000-0000-0000273A0000}"/>
    <cellStyle name="Normal 5 9 2 3 2 3" xfId="15745" xr:uid="{00000000-0005-0000-0000-0000283A0000}"/>
    <cellStyle name="Normal 5 9 2 3 3" xfId="15746" xr:uid="{00000000-0005-0000-0000-0000293A0000}"/>
    <cellStyle name="Normal 5 9 2 3 3 2" xfId="15747" xr:uid="{00000000-0005-0000-0000-00002A3A0000}"/>
    <cellStyle name="Normal 5 9 2 3 3 3" xfId="26854" xr:uid="{0AB26B85-CD7B-4CF4-94DC-97F10FE130E8}"/>
    <cellStyle name="Normal 5 9 2 3 3 3 2" xfId="41817" xr:uid="{7D1166AE-2BCF-4EAE-8C03-526BF35E4786}"/>
    <cellStyle name="Normal 5 9 2 3 3 4" xfId="34229" xr:uid="{DAD3B5F1-DA20-4F57-A001-2901422918C2}"/>
    <cellStyle name="Normal 5 9 2 3 4" xfId="15748" xr:uid="{00000000-0005-0000-0000-00002B3A0000}"/>
    <cellStyle name="Normal 5 9 2 4" xfId="15749" xr:uid="{00000000-0005-0000-0000-00002C3A0000}"/>
    <cellStyle name="Normal 5 9 2 5" xfId="15750" xr:uid="{00000000-0005-0000-0000-00002D3A0000}"/>
    <cellStyle name="Normal 5 9 2 5 2" xfId="26855" xr:uid="{C45D76A9-ACA9-4A59-9F4F-A25588204AFE}"/>
    <cellStyle name="Normal 5 9 2 5 2 2" xfId="41818" xr:uid="{155F8798-B5A5-4154-9305-BA2692DDA5E6}"/>
    <cellStyle name="Normal 5 9 2 5 3" xfId="34230" xr:uid="{3835B096-735D-4B6B-97BC-AAED97052FAD}"/>
    <cellStyle name="Normal 5 9 2 6" xfId="15751" xr:uid="{00000000-0005-0000-0000-00002E3A0000}"/>
    <cellStyle name="Normal 5 9 3" xfId="15752" xr:uid="{00000000-0005-0000-0000-00002F3A0000}"/>
    <cellStyle name="Normal 5 9 3 2" xfId="15753" xr:uid="{00000000-0005-0000-0000-0000303A0000}"/>
    <cellStyle name="Normal 5 9 3 2 2" xfId="15754" xr:uid="{00000000-0005-0000-0000-0000313A0000}"/>
    <cellStyle name="Normal 5 9 3 2 3" xfId="15755" xr:uid="{00000000-0005-0000-0000-0000323A0000}"/>
    <cellStyle name="Normal 5 9 3 3" xfId="15756" xr:uid="{00000000-0005-0000-0000-0000333A0000}"/>
    <cellStyle name="Normal 5 9 3 4" xfId="15757" xr:uid="{00000000-0005-0000-0000-0000343A0000}"/>
    <cellStyle name="Normal 5 9 3 4 2" xfId="26856" xr:uid="{88444052-AC82-4890-B038-F91594E59BBF}"/>
    <cellStyle name="Normal 5 9 3 4 2 2" xfId="41819" xr:uid="{3E029E45-3785-4790-8330-8FD00BC63FAF}"/>
    <cellStyle name="Normal 5 9 3 4 3" xfId="34231" xr:uid="{BD3D1560-6332-4861-A89B-BDC3885513F5}"/>
    <cellStyle name="Normal 5 9 3 5" xfId="15758" xr:uid="{00000000-0005-0000-0000-0000353A0000}"/>
    <cellStyle name="Normal 5 9 3 5 2" xfId="26857" xr:uid="{EA50DE84-7EAD-4B81-B74C-1D2367FBDFA1}"/>
    <cellStyle name="Normal 5 9 3 5 2 2" xfId="41820" xr:uid="{50823FFC-0048-4008-B47B-74287C4905D3}"/>
    <cellStyle name="Normal 5 9 3 5 3" xfId="34232" xr:uid="{E9D6D5C8-DA91-4AE4-ACD0-F7AD055FC016}"/>
    <cellStyle name="Normal 5 9 3 6" xfId="15759" xr:uid="{00000000-0005-0000-0000-0000363A0000}"/>
    <cellStyle name="Normal 5 9 4" xfId="15760" xr:uid="{00000000-0005-0000-0000-0000373A0000}"/>
    <cellStyle name="Normal 5 9 4 2" xfId="15761" xr:uid="{00000000-0005-0000-0000-0000383A0000}"/>
    <cellStyle name="Normal 5 9 4 2 2" xfId="15762" xr:uid="{00000000-0005-0000-0000-0000393A0000}"/>
    <cellStyle name="Normal 5 9 4 2 3" xfId="15763" xr:uid="{00000000-0005-0000-0000-00003A3A0000}"/>
    <cellStyle name="Normal 5 9 4 3" xfId="15764" xr:uid="{00000000-0005-0000-0000-00003B3A0000}"/>
    <cellStyle name="Normal 5 9 4 3 2" xfId="15765" xr:uid="{00000000-0005-0000-0000-00003C3A0000}"/>
    <cellStyle name="Normal 5 9 4 3 3" xfId="26858" xr:uid="{DC1E63A8-45B7-4D48-9EC1-84F1FE5E7449}"/>
    <cellStyle name="Normal 5 9 4 3 3 2" xfId="41821" xr:uid="{41E9C4C1-AD33-4D1E-A5B1-50739C73477A}"/>
    <cellStyle name="Normal 5 9 4 3 4" xfId="34233" xr:uid="{661A14AE-A38C-4633-AD85-8A87787A3049}"/>
    <cellStyle name="Normal 5 9 4 4" xfId="15766" xr:uid="{00000000-0005-0000-0000-00003D3A0000}"/>
    <cellStyle name="Normal 5 9 5" xfId="15767" xr:uid="{00000000-0005-0000-0000-00003E3A0000}"/>
    <cellStyle name="Normal 5 9 5 2" xfId="15768" xr:uid="{00000000-0005-0000-0000-00003F3A0000}"/>
    <cellStyle name="Normal 5 9 5 3" xfId="15769" xr:uid="{00000000-0005-0000-0000-0000403A0000}"/>
    <cellStyle name="Normal 5 9 6" xfId="15770" xr:uid="{00000000-0005-0000-0000-0000413A0000}"/>
    <cellStyle name="Normal 5 9 7" xfId="15771" xr:uid="{00000000-0005-0000-0000-0000423A0000}"/>
    <cellStyle name="Normal 5 9 7 2" xfId="26859" xr:uid="{30CF42E6-3CA8-4A2B-8F3E-B55B650F1796}"/>
    <cellStyle name="Normal 5 9 7 2 2" xfId="41822" xr:uid="{9CD35AB4-7B76-4F81-B00F-2F430A35A9F3}"/>
    <cellStyle name="Normal 5 9 7 3" xfId="34234" xr:uid="{FBF96123-C1D7-49C2-B206-24A53BE194D3}"/>
    <cellStyle name="Normal 5 9 8" xfId="15772" xr:uid="{00000000-0005-0000-0000-0000433A0000}"/>
    <cellStyle name="Normal 5_Commitments" xfId="15773" xr:uid="{00000000-0005-0000-0000-0000443A0000}"/>
    <cellStyle name="Normal 50" xfId="2515" xr:uid="{00000000-0005-0000-0000-00009A090000}"/>
    <cellStyle name="Normal 50 2" xfId="15774" xr:uid="{00000000-0005-0000-0000-0000463A0000}"/>
    <cellStyle name="Normal 50 2 2" xfId="15775" xr:uid="{00000000-0005-0000-0000-0000473A0000}"/>
    <cellStyle name="Normal 50 3" xfId="15776" xr:uid="{00000000-0005-0000-0000-0000483A0000}"/>
    <cellStyle name="Normal 50 4" xfId="15777" xr:uid="{00000000-0005-0000-0000-0000493A0000}"/>
    <cellStyle name="Normal 50 5" xfId="15778" xr:uid="{00000000-0005-0000-0000-00004A3A0000}"/>
    <cellStyle name="Normal 50 6" xfId="5339" xr:uid="{00000000-0005-0000-0000-0000453A0000}"/>
    <cellStyle name="Normal 51" xfId="5338" xr:uid="{00000000-0005-0000-0000-00004B3A0000}"/>
    <cellStyle name="Normal 51 2" xfId="15779" xr:uid="{00000000-0005-0000-0000-00004C3A0000}"/>
    <cellStyle name="Normal 51 2 2" xfId="15780" xr:uid="{00000000-0005-0000-0000-00004D3A0000}"/>
    <cellStyle name="Normal 51 2 3" xfId="26860" xr:uid="{1F077201-CA58-455C-9CB9-A34296DA01CC}"/>
    <cellStyle name="Normal 51 2 3 2" xfId="41823" xr:uid="{B7B625D9-DC70-44A2-B192-C92B30C754FA}"/>
    <cellStyle name="Normal 51 2 4" xfId="34235" xr:uid="{EB40810B-384F-4E26-9670-BE683483F2B3}"/>
    <cellStyle name="Normal 51 3" xfId="40" xr:uid="{00000000-0005-0000-0000-00002C000000}"/>
    <cellStyle name="Normal 51 3 2" xfId="142" xr:uid="{00000000-0005-0000-0000-00002C000000}"/>
    <cellStyle name="Normal 51 3 2 2" xfId="20689" xr:uid="{1BFBB7AE-417C-4A4C-A8A4-56AB2F606048}"/>
    <cellStyle name="Normal 51 3 2 2 2" xfId="35690" xr:uid="{BBB03467-C43E-410C-9963-F2D699811014}"/>
    <cellStyle name="Normal 51 3 2 3" xfId="27993" xr:uid="{CEC56BC7-B586-45F3-9DBA-ED1D4CF9359A}"/>
    <cellStyle name="Normal 51 3 3" xfId="15781" xr:uid="{00000000-0005-0000-0000-00004E3A0000}"/>
    <cellStyle name="Normal 51 3 4" xfId="20619" xr:uid="{7034D5CA-32CD-4C74-85C2-393FC5BB6F4B}"/>
    <cellStyle name="Normal 51 3 4 2" xfId="35620" xr:uid="{72409C0C-C2E3-4BB2-AFC2-6898C9726F2A}"/>
    <cellStyle name="Normal 51 3 5" xfId="27923" xr:uid="{736D6C8E-90B1-4FE6-AEB8-9EFFDC09DCA9}"/>
    <cellStyle name="Normal 51 4" xfId="15782" xr:uid="{00000000-0005-0000-0000-00004F3A0000}"/>
    <cellStyle name="Normal 51 4 2" xfId="26861" xr:uid="{921F26C3-0BE1-4C99-80C8-5A7BED33830D}"/>
    <cellStyle name="Normal 51 4 2 2" xfId="41824" xr:uid="{4AB81051-9041-4E9C-9691-8C33103D4151}"/>
    <cellStyle name="Normal 51 4 3" xfId="34236" xr:uid="{D6194156-2065-4C6F-8409-1D525B374E2D}"/>
    <cellStyle name="Normal 51 5" xfId="15783" xr:uid="{00000000-0005-0000-0000-0000503A0000}"/>
    <cellStyle name="Normal 51 6" xfId="15784" xr:uid="{00000000-0005-0000-0000-0000513A0000}"/>
    <cellStyle name="Normal 51 7" xfId="15785" xr:uid="{00000000-0005-0000-0000-0000523A0000}"/>
    <cellStyle name="Normal 51 8" xfId="23178" xr:uid="{0C48CF69-04D2-4944-9C66-C7B799369844}"/>
    <cellStyle name="Normal 51 8 2" xfId="38151" xr:uid="{8B75904E-7978-4C7D-9347-014CEC684D53}"/>
    <cellStyle name="Normal 51 9" xfId="30548" xr:uid="{19630FEA-DE69-4308-A626-347D55F0F027}"/>
    <cellStyle name="Normal 52" xfId="5295" xr:uid="{00000000-0005-0000-0000-0000533A0000}"/>
    <cellStyle name="Normal 52 2" xfId="5293" xr:uid="{00000000-0005-0000-0000-0000543A0000}"/>
    <cellStyle name="Normal 52 2 2" xfId="23171" xr:uid="{54B4F2C9-365D-4234-BF6D-B2C591812178}"/>
    <cellStyle name="Normal 52 2 2 2" xfId="38147" xr:uid="{0C7549FB-98D1-400D-93C1-CD73B273CF41}"/>
    <cellStyle name="Normal 52 2 3" xfId="30543" xr:uid="{48D68311-EAD5-42BD-8623-3CF790FE2A07}"/>
    <cellStyle name="Normal 52 3" xfId="41" xr:uid="{00000000-0005-0000-0000-00002D000000}"/>
    <cellStyle name="Normal 52 3 2" xfId="143" xr:uid="{00000000-0005-0000-0000-00002D000000}"/>
    <cellStyle name="Normal 52 3 2 2" xfId="20690" xr:uid="{810BEAA3-1069-47E3-91DF-3516D52E1563}"/>
    <cellStyle name="Normal 52 3 2 2 2" xfId="35691" xr:uid="{A0258419-6ECF-4B4C-A145-8C9509587650}"/>
    <cellStyle name="Normal 52 3 2 3" xfId="27994" xr:uid="{2DE534AB-2FF1-4BD1-A51F-42AE85CE729E}"/>
    <cellStyle name="Normal 52 3 3" xfId="20620" xr:uid="{2EB05EEE-C99A-4C62-81BD-B27B3BE4B3F6}"/>
    <cellStyle name="Normal 52 3 3 2" xfId="35621" xr:uid="{1AB1C716-DA7F-471A-8D08-FE999716B223}"/>
    <cellStyle name="Normal 52 3 4" xfId="27924" xr:uid="{7F8EEE3D-FE72-4432-A270-C61DB7A4DEAA}"/>
    <cellStyle name="Normal 52 4" xfId="15786" xr:uid="{00000000-0005-0000-0000-0000563A0000}"/>
    <cellStyle name="Normal 52 4 2" xfId="26862" xr:uid="{17062ABF-2FB4-4474-A6B8-A60A123C70C9}"/>
    <cellStyle name="Normal 52 4 2 2" xfId="41825" xr:uid="{70057063-04F0-446F-B8AE-FEC1FEAF8B88}"/>
    <cellStyle name="Normal 52 4 3" xfId="34237" xr:uid="{3DF1D3EC-E844-4D41-897B-435DDB341DEC}"/>
    <cellStyle name="Normal 52 5" xfId="15787" xr:uid="{00000000-0005-0000-0000-0000573A0000}"/>
    <cellStyle name="Normal 52 6" xfId="23173" xr:uid="{EEB84426-B4DA-442B-AADC-6273FD149AC8}"/>
    <cellStyle name="Normal 52 6 2" xfId="38149" xr:uid="{1195E064-E350-4A65-A3E9-B97EA512BCB6}"/>
    <cellStyle name="Normal 52 7" xfId="30545" xr:uid="{0CCE9B1B-43E0-490C-B34A-CBA664CA0D15}"/>
    <cellStyle name="Normal 53" xfId="2516" xr:uid="{00000000-0005-0000-0000-00009B090000}"/>
    <cellStyle name="Normal 53 2" xfId="15788" xr:uid="{00000000-0005-0000-0000-0000593A0000}"/>
    <cellStyle name="Normal 53 2 2" xfId="15789" xr:uid="{00000000-0005-0000-0000-00005A3A0000}"/>
    <cellStyle name="Normal 53 3" xfId="15790" xr:uid="{00000000-0005-0000-0000-00005B3A0000}"/>
    <cellStyle name="Normal 53 4" xfId="15791" xr:uid="{00000000-0005-0000-0000-00005C3A0000}"/>
    <cellStyle name="Normal 53 5" xfId="15792" xr:uid="{00000000-0005-0000-0000-00005D3A0000}"/>
    <cellStyle name="Normal 53 6" xfId="20118" xr:uid="{00000000-0005-0000-0000-00005E3A0000}"/>
    <cellStyle name="Normal 53 6 2" xfId="27561" xr:uid="{FA658E57-97EA-4EE2-9756-7CCED9E1C7EF}"/>
    <cellStyle name="Normal 53 6 2 2" xfId="42498" xr:uid="{F0CC955A-990D-4BB2-8695-5A93CBC28FFF}"/>
    <cellStyle name="Normal 53 6 3" xfId="35137" xr:uid="{DB2A0F5B-7A44-4D0D-882B-6C01C62388EC}"/>
    <cellStyle name="Normal 53 7" xfId="5290" xr:uid="{00000000-0005-0000-0000-0000583A0000}"/>
    <cellStyle name="Normal 53 7 2" xfId="23168" xr:uid="{A7171637-17F2-4D89-8234-8532551EB2F3}"/>
    <cellStyle name="Normal 53 7 2 2" xfId="38144" xr:uid="{76A6D1F4-90B2-4698-A83C-0C724C330926}"/>
    <cellStyle name="Normal 53 7 3" xfId="30540" xr:uid="{F12066BA-D0B5-4D92-85BE-851D46B56919}"/>
    <cellStyle name="Normal 54" xfId="15793" xr:uid="{00000000-0005-0000-0000-00005F3A0000}"/>
    <cellStyle name="Normal 54 2" xfId="15794" xr:uid="{00000000-0005-0000-0000-0000603A0000}"/>
    <cellStyle name="Normal 54 2 2" xfId="26864" xr:uid="{0E1249D0-0661-42D5-BC40-A88DB8270B65}"/>
    <cellStyle name="Normal 54 2 2 2" xfId="41827" xr:uid="{73329577-E449-4C7C-ADCA-0E2190AB13C9}"/>
    <cellStyle name="Normal 54 2 3" xfId="34239" xr:uid="{D4CE7D42-D517-4531-ADC2-EB25B74F8F25}"/>
    <cellStyle name="Normal 54 3" xfId="42" xr:uid="{00000000-0005-0000-0000-00002E000000}"/>
    <cellStyle name="Normal 54 3 2" xfId="144" xr:uid="{00000000-0005-0000-0000-00002E000000}"/>
    <cellStyle name="Normal 54 3 2 2" xfId="20691" xr:uid="{D85D8B1C-42EA-41ED-B7B6-2A4DBDFEEB91}"/>
    <cellStyle name="Normal 54 3 2 2 2" xfId="35692" xr:uid="{C9160FDB-0613-4233-986B-0FBB8DC6DFD8}"/>
    <cellStyle name="Normal 54 3 2 3" xfId="27995" xr:uid="{19F529FF-075A-42F9-9274-FC7D303D1BF8}"/>
    <cellStyle name="Normal 54 3 3" xfId="15795" xr:uid="{00000000-0005-0000-0000-0000613A0000}"/>
    <cellStyle name="Normal 54 3 4" xfId="20621" xr:uid="{B02A8605-04DD-45F3-B399-F09C53E28BE8}"/>
    <cellStyle name="Normal 54 3 4 2" xfId="35622" xr:uid="{99E8EE79-9D9E-4B0C-9F3D-10112B3BFF90}"/>
    <cellStyle name="Normal 54 3 5" xfId="27925" xr:uid="{88FD038B-4AE2-4273-A2DC-477914467081}"/>
    <cellStyle name="Normal 54 4" xfId="15796" xr:uid="{00000000-0005-0000-0000-0000623A0000}"/>
    <cellStyle name="Normal 54 5" xfId="26863" xr:uid="{5D2ED8DC-7ECA-493B-B92E-86E7D0FF2B51}"/>
    <cellStyle name="Normal 54 5 2" xfId="41826" xr:uid="{18CE4EEB-6219-4D41-9AE3-872FAE359BF7}"/>
    <cellStyle name="Normal 54 6" xfId="34238" xr:uid="{A5D448C5-E05C-4709-9C7F-B558A8A7A8E2}"/>
    <cellStyle name="Normal 55" xfId="15797" xr:uid="{00000000-0005-0000-0000-0000633A0000}"/>
    <cellStyle name="Normal 55 2" xfId="15798" xr:uid="{00000000-0005-0000-0000-0000643A0000}"/>
    <cellStyle name="Normal 55 2 2" xfId="26865" xr:uid="{67AA30B3-7F02-4BB7-A6DD-4A141439AF4D}"/>
    <cellStyle name="Normal 55 2 2 2" xfId="41828" xr:uid="{685809DE-DEA9-49BB-8F2D-A8421F487E6A}"/>
    <cellStyle name="Normal 55 2 3" xfId="34240" xr:uid="{CB9E4F4E-B2FD-4872-B041-7535361655A1}"/>
    <cellStyle name="Normal 55 3" xfId="29" xr:uid="{00000000-0005-0000-0000-00002F000000}"/>
    <cellStyle name="Normal 55 3 2" xfId="131" xr:uid="{00000000-0005-0000-0000-00002F000000}"/>
    <cellStyle name="Normal 55 3 2 2" xfId="20678" xr:uid="{56420884-1550-41C4-BDC0-D1FB55DFAD54}"/>
    <cellStyle name="Normal 55 3 2 2 2" xfId="35679" xr:uid="{E42A6F7A-D9A5-493E-B6AA-202010F40310}"/>
    <cellStyle name="Normal 55 3 2 3" xfId="27982" xr:uid="{A8E7696A-ED99-4A09-8C2D-33EAE1510FC6}"/>
    <cellStyle name="Normal 55 3 3" xfId="15799" xr:uid="{00000000-0005-0000-0000-0000653A0000}"/>
    <cellStyle name="Normal 55 3 4" xfId="20608" xr:uid="{71E9F132-201D-427C-B5E8-96C0EBC17B6D}"/>
    <cellStyle name="Normal 55 3 4 2" xfId="35609" xr:uid="{E9D60511-970C-47B2-9E9A-113172B66DB6}"/>
    <cellStyle name="Normal 55 3 5" xfId="27912" xr:uid="{045C94B7-7587-40F6-A589-6E16877E3AC4}"/>
    <cellStyle name="Normal 56" xfId="2517" xr:uid="{00000000-0005-0000-0000-00009C090000}"/>
    <cellStyle name="Normal 56 2" xfId="15801" xr:uid="{00000000-0005-0000-0000-0000673A0000}"/>
    <cellStyle name="Normal 56 2 2" xfId="15802" xr:uid="{00000000-0005-0000-0000-0000683A0000}"/>
    <cellStyle name="Normal 56 3" xfId="15803" xr:uid="{00000000-0005-0000-0000-0000693A0000}"/>
    <cellStyle name="Normal 56 4" xfId="15804" xr:uid="{00000000-0005-0000-0000-00006A3A0000}"/>
    <cellStyle name="Normal 56 5" xfId="15805" xr:uid="{00000000-0005-0000-0000-00006B3A0000}"/>
    <cellStyle name="Normal 56 6" xfId="15800" xr:uid="{00000000-0005-0000-0000-0000663A0000}"/>
    <cellStyle name="Normal 57" xfId="15806" xr:uid="{00000000-0005-0000-0000-00006C3A0000}"/>
    <cellStyle name="Normal 57 2" xfId="15807" xr:uid="{00000000-0005-0000-0000-00006D3A0000}"/>
    <cellStyle name="Normal 57 2 2" xfId="26866" xr:uid="{B1A09793-E5BB-4633-8193-6DB04C4DA0C0}"/>
    <cellStyle name="Normal 57 2 2 2" xfId="41829" xr:uid="{D485C0AA-02A1-4B12-915F-02CC48C2E5CF}"/>
    <cellStyle name="Normal 57 2 3" xfId="34241" xr:uid="{F8EC8DF5-3071-48BC-8DBC-1E34C688B83A}"/>
    <cellStyle name="Normal 57 3" xfId="43" xr:uid="{00000000-0005-0000-0000-000030000000}"/>
    <cellStyle name="Normal 57 3 2" xfId="145" xr:uid="{00000000-0005-0000-0000-000030000000}"/>
    <cellStyle name="Normal 57 3 2 2" xfId="20692" xr:uid="{53DF96FB-B399-4E3D-B66D-873A6D7B198D}"/>
    <cellStyle name="Normal 57 3 2 2 2" xfId="35693" xr:uid="{BFF3E2EA-F6C4-46AC-9778-EB2DEA71FEA2}"/>
    <cellStyle name="Normal 57 3 2 3" xfId="27996" xr:uid="{5EF438C3-E7F6-43A4-86CF-0C44D2799D4B}"/>
    <cellStyle name="Normal 57 3 3" xfId="15808" xr:uid="{00000000-0005-0000-0000-00006E3A0000}"/>
    <cellStyle name="Normal 57 3 4" xfId="20622" xr:uid="{FA65B9E8-C490-447B-9A0C-429607193BEA}"/>
    <cellStyle name="Normal 57 3 4 2" xfId="35623" xr:uid="{2045DD35-C550-426C-81AE-4CF55FEFE8BC}"/>
    <cellStyle name="Normal 57 3 5" xfId="27926" xr:uid="{BBF0C1E7-1245-4AB4-85C7-76254323BDBE}"/>
    <cellStyle name="Normal 58" xfId="15809" xr:uid="{00000000-0005-0000-0000-00006F3A0000}"/>
    <cellStyle name="Normal 58 2" xfId="15810" xr:uid="{00000000-0005-0000-0000-0000703A0000}"/>
    <cellStyle name="Normal 58 2 2" xfId="26867" xr:uid="{04D7113D-DE62-4BEF-BBC2-42F13DE1B212}"/>
    <cellStyle name="Normal 58 2 2 2" xfId="41830" xr:uid="{7AF5B48B-25F1-4463-A945-CAEB9C0C99D3}"/>
    <cellStyle name="Normal 58 2 3" xfId="34242" xr:uid="{617F84F2-AFE7-46F1-A91B-754375162752}"/>
    <cellStyle name="Normal 58 3" xfId="44" xr:uid="{00000000-0005-0000-0000-000031000000}"/>
    <cellStyle name="Normal 58 3 2" xfId="146" xr:uid="{00000000-0005-0000-0000-000031000000}"/>
    <cellStyle name="Normal 58 3 2 2" xfId="20693" xr:uid="{0F1B4FC8-902D-42E0-A28E-E3FE91AA61CC}"/>
    <cellStyle name="Normal 58 3 2 2 2" xfId="35694" xr:uid="{63B62D5D-6C38-42A6-83C0-1FC22DF3F3A6}"/>
    <cellStyle name="Normal 58 3 2 3" xfId="27997" xr:uid="{A2FE46CF-4359-4684-8032-40709D1E9669}"/>
    <cellStyle name="Normal 58 3 3" xfId="15811" xr:uid="{00000000-0005-0000-0000-0000713A0000}"/>
    <cellStyle name="Normal 58 3 4" xfId="20623" xr:uid="{770C6B80-D1CD-4C6B-9BE2-81F6DA81630B}"/>
    <cellStyle name="Normal 58 3 4 2" xfId="35624" xr:uid="{9C8A5272-A0B0-4B64-A470-B8862DE36E2B}"/>
    <cellStyle name="Normal 58 3 5" xfId="27927" xr:uid="{F1606750-F5ED-4D11-885B-3422D6D8D7B3}"/>
    <cellStyle name="Normal 59" xfId="2518" xr:uid="{00000000-0005-0000-0000-00009D090000}"/>
    <cellStyle name="Normal 59 2" xfId="15813" xr:uid="{00000000-0005-0000-0000-0000733A0000}"/>
    <cellStyle name="Normal 59 2 2" xfId="15814" xr:uid="{00000000-0005-0000-0000-0000743A0000}"/>
    <cellStyle name="Normal 59 3" xfId="15815" xr:uid="{00000000-0005-0000-0000-0000753A0000}"/>
    <cellStyle name="Normal 59 4" xfId="15816" xr:uid="{00000000-0005-0000-0000-0000763A0000}"/>
    <cellStyle name="Normal 59 5" xfId="15817" xr:uid="{00000000-0005-0000-0000-0000773A0000}"/>
    <cellStyle name="Normal 59 6" xfId="15812" xr:uid="{00000000-0005-0000-0000-0000723A0000}"/>
    <cellStyle name="Normal 6" xfId="2519" xr:uid="{00000000-0005-0000-0000-00009E090000}"/>
    <cellStyle name="Normal 6 2" xfId="5336" xr:uid="{00000000-0005-0000-0000-0000793A0000}"/>
    <cellStyle name="Normal 6 2 2" xfId="15818" xr:uid="{00000000-0005-0000-0000-00007A3A0000}"/>
    <cellStyle name="Normal 6 2 2 2" xfId="15819" xr:uid="{00000000-0005-0000-0000-00007B3A0000}"/>
    <cellStyle name="Normal 6 2 2 3" xfId="15820" xr:uid="{00000000-0005-0000-0000-00007C3A0000}"/>
    <cellStyle name="Normal 6 2 2 3 2" xfId="26868" xr:uid="{2312304F-B442-4C58-AF9E-4703EDC4D291}"/>
    <cellStyle name="Normal 6 2 2 3 2 2" xfId="41831" xr:uid="{61AAD20A-9AC5-4218-B046-419EAB3DBE75}"/>
    <cellStyle name="Normal 6 2 2 3 3" xfId="34243" xr:uid="{574625FB-40A7-41CF-90DD-B12BC05A93B9}"/>
    <cellStyle name="Normal 6 2 2 4" xfId="15821" xr:uid="{00000000-0005-0000-0000-00007D3A0000}"/>
    <cellStyle name="Normal 6 2 3" xfId="15822" xr:uid="{00000000-0005-0000-0000-00007E3A0000}"/>
    <cellStyle name="Normal 6 2 3 2" xfId="15823" xr:uid="{00000000-0005-0000-0000-00007F3A0000}"/>
    <cellStyle name="Normal 6 2 3 2 2" xfId="15824" xr:uid="{00000000-0005-0000-0000-0000803A0000}"/>
    <cellStyle name="Normal 6 2 3 2 3" xfId="15825" xr:uid="{00000000-0005-0000-0000-0000813A0000}"/>
    <cellStyle name="Normal 6 2 3 3" xfId="15826" xr:uid="{00000000-0005-0000-0000-0000823A0000}"/>
    <cellStyle name="Normal 6 2 3 3 2" xfId="15827" xr:uid="{00000000-0005-0000-0000-0000833A0000}"/>
    <cellStyle name="Normal 6 2 3 3 3" xfId="26869" xr:uid="{398FFA84-3C5B-46F4-BA2A-B9D071065A1B}"/>
    <cellStyle name="Normal 6 2 3 3 3 2" xfId="41832" xr:uid="{45BDE37A-947F-4609-9299-2B42C8E9DD68}"/>
    <cellStyle name="Normal 6 2 3 3 4" xfId="34244" xr:uid="{38AE583B-248C-4966-88AA-C61ED22A5C3B}"/>
    <cellStyle name="Normal 6 2 3 4" xfId="15828" xr:uid="{00000000-0005-0000-0000-0000843A0000}"/>
    <cellStyle name="Normal 6 2 4" xfId="15829" xr:uid="{00000000-0005-0000-0000-0000853A0000}"/>
    <cellStyle name="Normal 6 2 4 2" xfId="15830" xr:uid="{00000000-0005-0000-0000-0000863A0000}"/>
    <cellStyle name="Normal 6 2 4 3" xfId="15831" xr:uid="{00000000-0005-0000-0000-0000873A0000}"/>
    <cellStyle name="Normal 6 2 5" xfId="15832" xr:uid="{00000000-0005-0000-0000-0000883A0000}"/>
    <cellStyle name="Normal 6 2 5 2" xfId="15833" xr:uid="{00000000-0005-0000-0000-0000893A0000}"/>
    <cellStyle name="Normal 6 2 5 3" xfId="26870" xr:uid="{75B3A3A7-C41E-4841-B123-8285EAE30EE5}"/>
    <cellStyle name="Normal 6 2 5 3 2" xfId="41833" xr:uid="{0D386F04-504D-4563-852C-06EDCDAFB959}"/>
    <cellStyle name="Normal 6 2 5 4" xfId="34245" xr:uid="{DFBDEE89-47F1-4ABA-9743-EBBB35C1AE63}"/>
    <cellStyle name="Normal 6 2 6" xfId="15834" xr:uid="{00000000-0005-0000-0000-00008A3A0000}"/>
    <cellStyle name="Normal 6 2 6 2" xfId="26871" xr:uid="{52E79954-A947-4AD5-A31C-76F7F14D4C37}"/>
    <cellStyle name="Normal 6 2 6 2 2" xfId="41834" xr:uid="{8A0CE9DA-7FB8-41E3-8797-5A3420963417}"/>
    <cellStyle name="Normal 6 2 6 3" xfId="34246" xr:uid="{E5EEF083-80BA-435D-BBF6-669FC4FDDFC5}"/>
    <cellStyle name="Normal 6 2 7" xfId="15835" xr:uid="{00000000-0005-0000-0000-00008B3A0000}"/>
    <cellStyle name="Normal 6 3" xfId="15836" xr:uid="{00000000-0005-0000-0000-00008C3A0000}"/>
    <cellStyle name="Normal 6 3 2" xfId="15837" xr:uid="{00000000-0005-0000-0000-00008D3A0000}"/>
    <cellStyle name="Normal 6 3 2 2" xfId="15838" xr:uid="{00000000-0005-0000-0000-00008E3A0000}"/>
    <cellStyle name="Normal 6 3 2 2 2" xfId="15839" xr:uid="{00000000-0005-0000-0000-00008F3A0000}"/>
    <cellStyle name="Normal 6 3 2 2 3" xfId="15840" xr:uid="{00000000-0005-0000-0000-0000903A0000}"/>
    <cellStyle name="Normal 6 3 2 3" xfId="15841" xr:uid="{00000000-0005-0000-0000-0000913A0000}"/>
    <cellStyle name="Normal 6 3 2 3 2" xfId="15842" xr:uid="{00000000-0005-0000-0000-0000923A0000}"/>
    <cellStyle name="Normal 6 3 2 3 3" xfId="26872" xr:uid="{98E8D5D0-C2F3-481C-8F96-D6FD4AAADDEB}"/>
    <cellStyle name="Normal 6 3 2 3 3 2" xfId="41835" xr:uid="{7281454C-3DFF-4BEF-BFDE-E7F60C7F673D}"/>
    <cellStyle name="Normal 6 3 2 3 4" xfId="34247" xr:uid="{8DFB8967-B953-410E-B715-6B39079F7080}"/>
    <cellStyle name="Normal 6 3 2 4" xfId="15843" xr:uid="{00000000-0005-0000-0000-0000933A0000}"/>
    <cellStyle name="Normal 6 3 3" xfId="15844" xr:uid="{00000000-0005-0000-0000-0000943A0000}"/>
    <cellStyle name="Normal 6 3 3 2" xfId="15845" xr:uid="{00000000-0005-0000-0000-0000953A0000}"/>
    <cellStyle name="Normal 6 3 3 3" xfId="15846" xr:uid="{00000000-0005-0000-0000-0000963A0000}"/>
    <cellStyle name="Normal 6 3 4" xfId="15847" xr:uid="{00000000-0005-0000-0000-0000973A0000}"/>
    <cellStyle name="Normal 6 3 4 2" xfId="15848" xr:uid="{00000000-0005-0000-0000-0000983A0000}"/>
    <cellStyle name="Normal 6 3 4 3" xfId="26873" xr:uid="{01D10D70-6DD6-4148-B149-2134863A4266}"/>
    <cellStyle name="Normal 6 3 4 3 2" xfId="41836" xr:uid="{91576F49-416D-4096-8E80-13F1B3947B9D}"/>
    <cellStyle name="Normal 6 3 4 4" xfId="34248" xr:uid="{5EDEFB57-C7B8-4071-A228-567EC4BFEC33}"/>
    <cellStyle name="Normal 6 3 5" xfId="15849" xr:uid="{00000000-0005-0000-0000-0000993A0000}"/>
    <cellStyle name="Normal 6 4" xfId="15850" xr:uid="{00000000-0005-0000-0000-00009A3A0000}"/>
    <cellStyle name="Normal 6 4 2" xfId="15851" xr:uid="{00000000-0005-0000-0000-00009B3A0000}"/>
    <cellStyle name="Normal 6 4 2 2" xfId="15852" xr:uid="{00000000-0005-0000-0000-00009C3A0000}"/>
    <cellStyle name="Normal 6 4 2 3" xfId="15853" xr:uid="{00000000-0005-0000-0000-00009D3A0000}"/>
    <cellStyle name="Normal 6 4 3" xfId="15854" xr:uid="{00000000-0005-0000-0000-00009E3A0000}"/>
    <cellStyle name="Normal 6 4 4" xfId="15855" xr:uid="{00000000-0005-0000-0000-00009F3A0000}"/>
    <cellStyle name="Normal 6 4 4 2" xfId="26874" xr:uid="{965BE9E0-6E64-4063-BA3F-B1AC4B4BADC4}"/>
    <cellStyle name="Normal 6 4 4 2 2" xfId="41837" xr:uid="{0B92D708-E202-4BED-8063-47B1ABC2A786}"/>
    <cellStyle name="Normal 6 4 4 3" xfId="34249" xr:uid="{D8A9C97B-ED0A-4DF7-AE76-098D77EC8D84}"/>
    <cellStyle name="Normal 6 4 5" xfId="15856" xr:uid="{00000000-0005-0000-0000-0000A03A0000}"/>
    <cellStyle name="Normal 6 4 5 2" xfId="26875" xr:uid="{6D5F998B-D36E-48F5-9E7F-D025486A9C90}"/>
    <cellStyle name="Normal 6 4 5 2 2" xfId="41838" xr:uid="{C299651B-F8DF-4B68-BFF3-51C595847C30}"/>
    <cellStyle name="Normal 6 4 5 3" xfId="34250" xr:uid="{0E659DB2-6AB0-4A3C-8D1E-DEEAB76DA025}"/>
    <cellStyle name="Normal 6 4 6" xfId="15857" xr:uid="{00000000-0005-0000-0000-0000A13A0000}"/>
    <cellStyle name="Normal 6 5" xfId="15858" xr:uid="{00000000-0005-0000-0000-0000A23A0000}"/>
    <cellStyle name="Normal 6 5 2" xfId="15859" xr:uid="{00000000-0005-0000-0000-0000A33A0000}"/>
    <cellStyle name="Normal 6 5 2 2" xfId="15860" xr:uid="{00000000-0005-0000-0000-0000A43A0000}"/>
    <cellStyle name="Normal 6 5 2 2 2" xfId="26877" xr:uid="{94F1D524-52B0-402A-9006-BA4AEE48D6C8}"/>
    <cellStyle name="Normal 6 5 2 2 2 2" xfId="41840" xr:uid="{9C225133-E5AD-437A-BDCF-D7D5B0E888FD}"/>
    <cellStyle name="Normal 6 5 2 2 3" xfId="34252" xr:uid="{ACAE8C5F-953E-4ECF-ABCF-55D8B72E8274}"/>
    <cellStyle name="Normal 6 5 3" xfId="15861" xr:uid="{00000000-0005-0000-0000-0000A53A0000}"/>
    <cellStyle name="Normal 6 5 3 2" xfId="26878" xr:uid="{B485791C-E1A2-4BDA-B5E6-3C0020E11781}"/>
    <cellStyle name="Normal 6 5 3 2 2" xfId="41841" xr:uid="{C9A03070-3E64-49A5-AC0D-B93D05254A64}"/>
    <cellStyle name="Normal 6 5 3 3" xfId="34253" xr:uid="{FDBDA201-831F-4ED3-8967-74D460525A15}"/>
    <cellStyle name="Normal 6 5 4" xfId="26876" xr:uid="{84281304-A606-4E76-842B-058E6FB3687E}"/>
    <cellStyle name="Normal 6 5 4 2" xfId="41839" xr:uid="{6C75B594-5F59-4AA4-9840-835B999DCF75}"/>
    <cellStyle name="Normal 6 5 5" xfId="34251" xr:uid="{88276568-6CB7-4BA9-B987-CCA3BAE55806}"/>
    <cellStyle name="Normal 6 6" xfId="15862" xr:uid="{00000000-0005-0000-0000-0000A63A0000}"/>
    <cellStyle name="Normal 6 6 2" xfId="15863" xr:uid="{00000000-0005-0000-0000-0000A73A0000}"/>
    <cellStyle name="Normal 6 6 2 2" xfId="26879" xr:uid="{264A14FC-F8D4-4680-B18F-A5A24987FE8C}"/>
    <cellStyle name="Normal 6 6 2 2 2" xfId="41842" xr:uid="{14FA4EE8-DE04-4D98-82AC-AC86F1787EEC}"/>
    <cellStyle name="Normal 6 6 2 3" xfId="34254" xr:uid="{16F6808D-085A-43F7-BA32-7448BD293B2F}"/>
    <cellStyle name="Normal 6 7" xfId="15864" xr:uid="{00000000-0005-0000-0000-0000A83A0000}"/>
    <cellStyle name="Normal 6 8" xfId="5337" xr:uid="{00000000-0005-0000-0000-0000783A0000}"/>
    <cellStyle name="Normal 60" xfId="15865" xr:uid="{00000000-0005-0000-0000-0000A93A0000}"/>
    <cellStyle name="Normal 60 2" xfId="15866" xr:uid="{00000000-0005-0000-0000-0000AA3A0000}"/>
    <cellStyle name="Normal 60 2 2" xfId="26880" xr:uid="{B8DE1AAC-484A-48C8-B295-E94AC8893F13}"/>
    <cellStyle name="Normal 60 2 2 2" xfId="41843" xr:uid="{D747618B-BF38-4F1B-BD69-EDBC09F0C385}"/>
    <cellStyle name="Normal 60 2 3" xfId="34255" xr:uid="{CF54D945-E064-448B-9158-A22A9E72459A}"/>
    <cellStyle name="Normal 60 3" xfId="45" xr:uid="{00000000-0005-0000-0000-000032000000}"/>
    <cellStyle name="Normal 60 3 2" xfId="147" xr:uid="{00000000-0005-0000-0000-000032000000}"/>
    <cellStyle name="Normal 60 3 2 2" xfId="20694" xr:uid="{96164F70-4705-41CA-AB64-B0FFA91A20FE}"/>
    <cellStyle name="Normal 60 3 2 2 2" xfId="35695" xr:uid="{374CA4A4-6CAE-47AC-8C73-5873E16F8C7A}"/>
    <cellStyle name="Normal 60 3 2 3" xfId="27998" xr:uid="{3D17D63B-4365-4331-8C47-EFBD7FF18184}"/>
    <cellStyle name="Normal 60 3 3" xfId="15867" xr:uid="{00000000-0005-0000-0000-0000AB3A0000}"/>
    <cellStyle name="Normal 60 3 4" xfId="20624" xr:uid="{C1B4B7EE-0010-4956-A4F4-AB40ADFBCBD7}"/>
    <cellStyle name="Normal 60 3 4 2" xfId="35625" xr:uid="{E41AD5E0-D032-4BD0-B3B3-07195DE379C2}"/>
    <cellStyle name="Normal 60 3 5" xfId="27928" xr:uid="{8992C5A2-AA0D-43C9-867A-830CC4A6E766}"/>
    <cellStyle name="Normal 61" xfId="15868" xr:uid="{00000000-0005-0000-0000-0000AC3A0000}"/>
    <cellStyle name="Normal 61 2" xfId="15869" xr:uid="{00000000-0005-0000-0000-0000AD3A0000}"/>
    <cellStyle name="Normal 61 2 2" xfId="26881" xr:uid="{D708D7B4-B487-46AD-813C-EDB7830DBC9B}"/>
    <cellStyle name="Normal 61 2 2 2" xfId="41844" xr:uid="{61ABE75D-D11D-44D8-95AD-5A1544880B34}"/>
    <cellStyle name="Normal 61 2 3" xfId="34256" xr:uid="{91FFF15C-6E66-459C-B9EF-34D323C26D83}"/>
    <cellStyle name="Normal 61 3" xfId="31" xr:uid="{00000000-0005-0000-0000-000033000000}"/>
    <cellStyle name="Normal 61 3 2" xfId="133" xr:uid="{00000000-0005-0000-0000-000033000000}"/>
    <cellStyle name="Normal 61 3 2 2" xfId="20680" xr:uid="{E0451CDD-43C2-4CB6-9AE9-72178B6CA6E5}"/>
    <cellStyle name="Normal 61 3 2 2 2" xfId="35681" xr:uid="{0103D4A3-CA6A-4E63-A58C-DE0AE2ABA296}"/>
    <cellStyle name="Normal 61 3 2 3" xfId="27984" xr:uid="{40B0AB00-66CE-4E0D-BC1B-838FE643A816}"/>
    <cellStyle name="Normal 61 3 3" xfId="20610" xr:uid="{6FEBE271-F9B1-4007-A71C-70EA352BFAC4}"/>
    <cellStyle name="Normal 61 3 3 2" xfId="35611" xr:uid="{4D7B663F-CC6D-43BB-8339-479F5BC18D1E}"/>
    <cellStyle name="Normal 61 3 4" xfId="27914" xr:uid="{A4E846E5-C48D-4DD4-9743-EAB92D72293D}"/>
    <cellStyle name="Normal 62" xfId="2520" xr:uid="{00000000-0005-0000-0000-00009F090000}"/>
    <cellStyle name="Normal 62 2" xfId="15871" xr:uid="{00000000-0005-0000-0000-0000AF3A0000}"/>
    <cellStyle name="Normal 62 2 2" xfId="15872" xr:uid="{00000000-0005-0000-0000-0000B03A0000}"/>
    <cellStyle name="Normal 62 3" xfId="15873" xr:uid="{00000000-0005-0000-0000-0000B13A0000}"/>
    <cellStyle name="Normal 62 4" xfId="15874" xr:uid="{00000000-0005-0000-0000-0000B23A0000}"/>
    <cellStyle name="Normal 62 5" xfId="15875" xr:uid="{00000000-0005-0000-0000-0000B33A0000}"/>
    <cellStyle name="Normal 62 6" xfId="15870" xr:uid="{00000000-0005-0000-0000-0000AE3A0000}"/>
    <cellStyle name="Normal 63" xfId="15876" xr:uid="{00000000-0005-0000-0000-0000B43A0000}"/>
    <cellStyle name="Normal 63 2" xfId="15877" xr:uid="{00000000-0005-0000-0000-0000B53A0000}"/>
    <cellStyle name="Normal 63 2 2" xfId="26882" xr:uid="{E670EE66-839F-4BCE-9F30-BF74EC4E6DB5}"/>
    <cellStyle name="Normal 63 2 2 2" xfId="41845" xr:uid="{FC736DEF-7F51-4D4C-8930-A178C2775C3A}"/>
    <cellStyle name="Normal 63 2 3" xfId="34257" xr:uid="{FBF7EF12-7DDB-41F6-9F92-30B76E069F4B}"/>
    <cellStyle name="Normal 64" xfId="15878" xr:uid="{00000000-0005-0000-0000-0000B63A0000}"/>
    <cellStyle name="Normal 64 2" xfId="15879" xr:uid="{00000000-0005-0000-0000-0000B73A0000}"/>
    <cellStyle name="Normal 64 2 2" xfId="26883" xr:uid="{7EF55286-2A61-4B0B-8F0F-6038EF822291}"/>
    <cellStyle name="Normal 64 2 2 2" xfId="41846" xr:uid="{369BBC19-2CC6-4CC2-9705-E0B41F67C06A}"/>
    <cellStyle name="Normal 64 2 3" xfId="34258" xr:uid="{38EC4852-8A30-42E7-BBF7-EABC7440ABFA}"/>
    <cellStyle name="Normal 65" xfId="15880" xr:uid="{00000000-0005-0000-0000-0000B83A0000}"/>
    <cellStyle name="Normal 65 2" xfId="15881" xr:uid="{00000000-0005-0000-0000-0000B93A0000}"/>
    <cellStyle name="Normal 65 2 2" xfId="26884" xr:uid="{598689B6-C75E-4820-BF3F-CF401ADE545E}"/>
    <cellStyle name="Normal 65 2 2 2" xfId="41847" xr:uid="{20FF0885-C040-4DD8-8448-6A8B5765F90F}"/>
    <cellStyle name="Normal 65 2 3" xfId="34259" xr:uid="{7960424E-B467-47F6-AC12-59DA9D478E88}"/>
    <cellStyle name="Normal 66" xfId="15882" xr:uid="{00000000-0005-0000-0000-0000BA3A0000}"/>
    <cellStyle name="Normal 66 2" xfId="15883" xr:uid="{00000000-0005-0000-0000-0000BB3A0000}"/>
    <cellStyle name="Normal 66 2 2" xfId="26885" xr:uid="{1A47935B-3F1C-4DAB-92CF-3BBD245D874D}"/>
    <cellStyle name="Normal 66 2 2 2" xfId="41848" xr:uid="{146370A4-CACA-455D-99F7-76EB1A8E0A56}"/>
    <cellStyle name="Normal 66 2 3" xfId="34260" xr:uid="{8ED3EB9D-E7B9-4C7A-8E49-112987368E3B}"/>
    <cellStyle name="Normal 67" xfId="15884" xr:uid="{00000000-0005-0000-0000-0000BC3A0000}"/>
    <cellStyle name="Normal 67 2" xfId="15885" xr:uid="{00000000-0005-0000-0000-0000BD3A0000}"/>
    <cellStyle name="Normal 67 2 2" xfId="26886" xr:uid="{53B9EF42-4181-4F71-A5BB-976AE59875EC}"/>
    <cellStyle name="Normal 67 2 2 2" xfId="41849" xr:uid="{0DE2FB0D-9116-42A1-B913-6EB1CEDB7EB1}"/>
    <cellStyle name="Normal 67 2 3" xfId="34261" xr:uid="{CA22715B-EE3A-4356-866B-897976927D96}"/>
    <cellStyle name="Normal 68" xfId="15886" xr:uid="{00000000-0005-0000-0000-0000BE3A0000}"/>
    <cellStyle name="Normal 68 2" xfId="15887" xr:uid="{00000000-0005-0000-0000-0000BF3A0000}"/>
    <cellStyle name="Normal 68 2 2" xfId="26887" xr:uid="{3E9C14A2-478D-4E9C-8BA5-D44B082DC50F}"/>
    <cellStyle name="Normal 68 2 2 2" xfId="41850" xr:uid="{34752B3C-69EB-4D70-9170-7F7D9480F2BE}"/>
    <cellStyle name="Normal 68 2 3" xfId="34262" xr:uid="{35242EFA-82EB-4059-9E4A-7A50D4E82BD3}"/>
    <cellStyle name="Normal 69" xfId="15888" xr:uid="{00000000-0005-0000-0000-0000C03A0000}"/>
    <cellStyle name="Normal 69 2" xfId="15889" xr:uid="{00000000-0005-0000-0000-0000C13A0000}"/>
    <cellStyle name="Normal 69 2 2" xfId="26888" xr:uid="{0E248B2B-FAED-4348-8F7E-D2EF82C69C7B}"/>
    <cellStyle name="Normal 69 2 2 2" xfId="41851" xr:uid="{7B42D3BF-BB99-4D10-8B63-6AA231FA6862}"/>
    <cellStyle name="Normal 69 2 3" xfId="34263" xr:uid="{32A7B74E-926C-4FA1-A79F-776ED5F7DA7C}"/>
    <cellStyle name="Normal 7" xfId="2521" xr:uid="{00000000-0005-0000-0000-0000A0090000}"/>
    <cellStyle name="Normal 7 10" xfId="2522" xr:uid="{00000000-0005-0000-0000-0000A1090000}"/>
    <cellStyle name="Normal 7 10 2" xfId="15890" xr:uid="{00000000-0005-0000-0000-0000C43A0000}"/>
    <cellStyle name="Normal 7 10 3" xfId="15891" xr:uid="{00000000-0005-0000-0000-0000C53A0000}"/>
    <cellStyle name="Normal 7 11" xfId="2523" xr:uid="{00000000-0005-0000-0000-0000A2090000}"/>
    <cellStyle name="Normal 7 11 2" xfId="15892" xr:uid="{00000000-0005-0000-0000-0000C73A0000}"/>
    <cellStyle name="Normal 7 11 3" xfId="15893" xr:uid="{00000000-0005-0000-0000-0000C83A0000}"/>
    <cellStyle name="Normal 7 12" xfId="2524" xr:uid="{00000000-0005-0000-0000-0000A3090000}"/>
    <cellStyle name="Normal 7 12 2" xfId="15894" xr:uid="{00000000-0005-0000-0000-0000CA3A0000}"/>
    <cellStyle name="Normal 7 12 3" xfId="15895" xr:uid="{00000000-0005-0000-0000-0000CB3A0000}"/>
    <cellStyle name="Normal 7 13" xfId="2525" xr:uid="{00000000-0005-0000-0000-0000A4090000}"/>
    <cellStyle name="Normal 7 13 2" xfId="15897" xr:uid="{00000000-0005-0000-0000-0000CD3A0000}"/>
    <cellStyle name="Normal 7 13 3" xfId="15898" xr:uid="{00000000-0005-0000-0000-0000CE3A0000}"/>
    <cellStyle name="Normal 7 14" xfId="2526" xr:uid="{00000000-0005-0000-0000-0000A5090000}"/>
    <cellStyle name="Normal 7 14 2" xfId="15899" xr:uid="{00000000-0005-0000-0000-0000D03A0000}"/>
    <cellStyle name="Normal 7 14 3" xfId="15900" xr:uid="{00000000-0005-0000-0000-0000D13A0000}"/>
    <cellStyle name="Normal 7 15" xfId="2527" xr:uid="{00000000-0005-0000-0000-0000A6090000}"/>
    <cellStyle name="Normal 7 15 2" xfId="15901" xr:uid="{00000000-0005-0000-0000-0000D33A0000}"/>
    <cellStyle name="Normal 7 15 3" xfId="15902" xr:uid="{00000000-0005-0000-0000-0000D43A0000}"/>
    <cellStyle name="Normal 7 16" xfId="2528" xr:uid="{00000000-0005-0000-0000-0000A7090000}"/>
    <cellStyle name="Normal 7 16 2" xfId="15904" xr:uid="{00000000-0005-0000-0000-0000D63A0000}"/>
    <cellStyle name="Normal 7 16 3" xfId="15905" xr:uid="{00000000-0005-0000-0000-0000D73A0000}"/>
    <cellStyle name="Normal 7 17" xfId="2529" xr:uid="{00000000-0005-0000-0000-0000A8090000}"/>
    <cellStyle name="Normal 7 17 2" xfId="15907" xr:uid="{00000000-0005-0000-0000-0000D93A0000}"/>
    <cellStyle name="Normal 7 17 3" xfId="15908" xr:uid="{00000000-0005-0000-0000-0000DA3A0000}"/>
    <cellStyle name="Normal 7 18" xfId="2530" xr:uid="{00000000-0005-0000-0000-0000A9090000}"/>
    <cellStyle name="Normal 7 18 2" xfId="15910" xr:uid="{00000000-0005-0000-0000-0000DC3A0000}"/>
    <cellStyle name="Normal 7 18 3" xfId="15911" xr:uid="{00000000-0005-0000-0000-0000DD3A0000}"/>
    <cellStyle name="Normal 7 19" xfId="2531" xr:uid="{00000000-0005-0000-0000-0000AA090000}"/>
    <cellStyle name="Normal 7 19 2" xfId="15912" xr:uid="{00000000-0005-0000-0000-0000DF3A0000}"/>
    <cellStyle name="Normal 7 19 3" xfId="15913" xr:uid="{00000000-0005-0000-0000-0000E03A0000}"/>
    <cellStyle name="Normal 7 2" xfId="2532" xr:uid="{00000000-0005-0000-0000-0000AB090000}"/>
    <cellStyle name="Normal 7 2 10" xfId="2533" xr:uid="{00000000-0005-0000-0000-0000AC090000}"/>
    <cellStyle name="Normal 7 2 10 2" xfId="15915" xr:uid="{00000000-0005-0000-0000-0000E33A0000}"/>
    <cellStyle name="Normal 7 2 10 3" xfId="15916" xr:uid="{00000000-0005-0000-0000-0000E43A0000}"/>
    <cellStyle name="Normal 7 2 11" xfId="2534" xr:uid="{00000000-0005-0000-0000-0000AD090000}"/>
    <cellStyle name="Normal 7 2 11 2" xfId="15918" xr:uid="{00000000-0005-0000-0000-0000E63A0000}"/>
    <cellStyle name="Normal 7 2 11 3" xfId="15919" xr:uid="{00000000-0005-0000-0000-0000E73A0000}"/>
    <cellStyle name="Normal 7 2 12" xfId="2535" xr:uid="{00000000-0005-0000-0000-0000AE090000}"/>
    <cellStyle name="Normal 7 2 12 2" xfId="15920" xr:uid="{00000000-0005-0000-0000-0000E93A0000}"/>
    <cellStyle name="Normal 7 2 12 3" xfId="15921" xr:uid="{00000000-0005-0000-0000-0000EA3A0000}"/>
    <cellStyle name="Normal 7 2 13" xfId="2536" xr:uid="{00000000-0005-0000-0000-0000AF090000}"/>
    <cellStyle name="Normal 7 2 13 2" xfId="15923" xr:uid="{00000000-0005-0000-0000-0000EC3A0000}"/>
    <cellStyle name="Normal 7 2 13 3" xfId="15924" xr:uid="{00000000-0005-0000-0000-0000ED3A0000}"/>
    <cellStyle name="Normal 7 2 14" xfId="2537" xr:uid="{00000000-0005-0000-0000-0000B0090000}"/>
    <cellStyle name="Normal 7 2 14 2" xfId="15925" xr:uid="{00000000-0005-0000-0000-0000EF3A0000}"/>
    <cellStyle name="Normal 7 2 14 3" xfId="15926" xr:uid="{00000000-0005-0000-0000-0000F03A0000}"/>
    <cellStyle name="Normal 7 2 15" xfId="2538" xr:uid="{00000000-0005-0000-0000-0000B1090000}"/>
    <cellStyle name="Normal 7 2 15 2" xfId="15927" xr:uid="{00000000-0005-0000-0000-0000F23A0000}"/>
    <cellStyle name="Normal 7 2 15 3" xfId="15928" xr:uid="{00000000-0005-0000-0000-0000F33A0000}"/>
    <cellStyle name="Normal 7 2 16" xfId="2539" xr:uid="{00000000-0005-0000-0000-0000B2090000}"/>
    <cellStyle name="Normal 7 2 16 2" xfId="15929" xr:uid="{00000000-0005-0000-0000-0000F53A0000}"/>
    <cellStyle name="Normal 7 2 16 3" xfId="15930" xr:uid="{00000000-0005-0000-0000-0000F63A0000}"/>
    <cellStyle name="Normal 7 2 17" xfId="2540" xr:uid="{00000000-0005-0000-0000-0000B3090000}"/>
    <cellStyle name="Normal 7 2 17 2" xfId="15931" xr:uid="{00000000-0005-0000-0000-0000F83A0000}"/>
    <cellStyle name="Normal 7 2 17 3" xfId="15932" xr:uid="{00000000-0005-0000-0000-0000F93A0000}"/>
    <cellStyle name="Normal 7 2 18" xfId="2541" xr:uid="{00000000-0005-0000-0000-0000B4090000}"/>
    <cellStyle name="Normal 7 2 18 2" xfId="15933" xr:uid="{00000000-0005-0000-0000-0000FB3A0000}"/>
    <cellStyle name="Normal 7 2 18 3" xfId="15934" xr:uid="{00000000-0005-0000-0000-0000FC3A0000}"/>
    <cellStyle name="Normal 7 2 19" xfId="2542" xr:uid="{00000000-0005-0000-0000-0000B5090000}"/>
    <cellStyle name="Normal 7 2 19 2" xfId="15935" xr:uid="{00000000-0005-0000-0000-0000FE3A0000}"/>
    <cellStyle name="Normal 7 2 19 3" xfId="15936" xr:uid="{00000000-0005-0000-0000-0000FF3A0000}"/>
    <cellStyle name="Normal 7 2 2" xfId="2543" xr:uid="{00000000-0005-0000-0000-0000B6090000}"/>
    <cellStyle name="Normal 7 2 2 10" xfId="15937" xr:uid="{00000000-0005-0000-0000-0000013B0000}"/>
    <cellStyle name="Normal 7 2 2 10 2" xfId="26896" xr:uid="{64D8C063-629D-457C-BF34-391E11E965F2}"/>
    <cellStyle name="Normal 7 2 2 10 2 2" xfId="41859" xr:uid="{9E878A86-4FEB-4E08-BEF7-FF229142265C}"/>
    <cellStyle name="Normal 7 2 2 10 3" xfId="34271" xr:uid="{941FC824-5FBD-4612-868D-B804E27B9E23}"/>
    <cellStyle name="Normal 7 2 2 11" xfId="15938" xr:uid="{00000000-0005-0000-0000-0000023B0000}"/>
    <cellStyle name="Normal 7 2 2 2" xfId="15939" xr:uid="{00000000-0005-0000-0000-0000033B0000}"/>
    <cellStyle name="Normal 7 2 2 2 10" xfId="15940" xr:uid="{00000000-0005-0000-0000-0000043B0000}"/>
    <cellStyle name="Normal 7 2 2 2 2" xfId="15941" xr:uid="{00000000-0005-0000-0000-0000053B0000}"/>
    <cellStyle name="Normal 7 2 2 2 2 2" xfId="15942" xr:uid="{00000000-0005-0000-0000-0000063B0000}"/>
    <cellStyle name="Normal 7 2 2 2 2 2 2" xfId="15943" xr:uid="{00000000-0005-0000-0000-0000073B0000}"/>
    <cellStyle name="Normal 7 2 2 2 2 2 2 2" xfId="15944" xr:uid="{00000000-0005-0000-0000-0000083B0000}"/>
    <cellStyle name="Normal 7 2 2 2 2 2 2 2 2" xfId="15945" xr:uid="{00000000-0005-0000-0000-0000093B0000}"/>
    <cellStyle name="Normal 7 2 2 2 2 2 2 2 3" xfId="15946" xr:uid="{00000000-0005-0000-0000-00000A3B0000}"/>
    <cellStyle name="Normal 7 2 2 2 2 2 2 3" xfId="15947" xr:uid="{00000000-0005-0000-0000-00000B3B0000}"/>
    <cellStyle name="Normal 7 2 2 2 2 2 2 4" xfId="15948" xr:uid="{00000000-0005-0000-0000-00000C3B0000}"/>
    <cellStyle name="Normal 7 2 2 2 2 2 2 4 2" xfId="26897" xr:uid="{60CA6D66-374E-4DFB-938C-B91B737AC6A1}"/>
    <cellStyle name="Normal 7 2 2 2 2 2 2 4 2 2" xfId="41860" xr:uid="{126C9B42-5E42-40F8-92A3-EDEE64DB0642}"/>
    <cellStyle name="Normal 7 2 2 2 2 2 2 4 3" xfId="34272" xr:uid="{8239C9EE-D8B4-409C-B6DE-5A0D77DEA11B}"/>
    <cellStyle name="Normal 7 2 2 2 2 2 2 5" xfId="15949" xr:uid="{00000000-0005-0000-0000-00000D3B0000}"/>
    <cellStyle name="Normal 7 2 2 2 2 2 2 5 2" xfId="26898" xr:uid="{3F2BCAC6-B051-4A46-9C74-C7240697F2C4}"/>
    <cellStyle name="Normal 7 2 2 2 2 2 2 5 2 2" xfId="41861" xr:uid="{3294FA45-143A-4E5F-A0C5-459BBBA216F1}"/>
    <cellStyle name="Normal 7 2 2 2 2 2 2 5 3" xfId="34273" xr:uid="{DCC46483-5E82-4C42-B410-8C7C592021D5}"/>
    <cellStyle name="Normal 7 2 2 2 2 2 2 6" xfId="15950" xr:uid="{00000000-0005-0000-0000-00000E3B0000}"/>
    <cellStyle name="Normal 7 2 2 2 2 2 3" xfId="15951" xr:uid="{00000000-0005-0000-0000-00000F3B0000}"/>
    <cellStyle name="Normal 7 2 2 2 2 2 3 2" xfId="15952" xr:uid="{00000000-0005-0000-0000-0000103B0000}"/>
    <cellStyle name="Normal 7 2 2 2 2 2 3 2 2" xfId="15953" xr:uid="{00000000-0005-0000-0000-0000113B0000}"/>
    <cellStyle name="Normal 7 2 2 2 2 2 3 2 3" xfId="15954" xr:uid="{00000000-0005-0000-0000-0000123B0000}"/>
    <cellStyle name="Normal 7 2 2 2 2 2 3 3" xfId="15955" xr:uid="{00000000-0005-0000-0000-0000133B0000}"/>
    <cellStyle name="Normal 7 2 2 2 2 2 3 3 2" xfId="15956" xr:uid="{00000000-0005-0000-0000-0000143B0000}"/>
    <cellStyle name="Normal 7 2 2 2 2 2 3 3 3" xfId="26899" xr:uid="{E08C81D9-6710-47C3-9CAF-B6FE7D9D0C97}"/>
    <cellStyle name="Normal 7 2 2 2 2 2 3 3 3 2" xfId="41862" xr:uid="{232B8226-52FF-4965-A85E-0F1C23661C26}"/>
    <cellStyle name="Normal 7 2 2 2 2 2 3 3 4" xfId="34274" xr:uid="{3FC8169C-0FBF-428E-8606-C5A57F705269}"/>
    <cellStyle name="Normal 7 2 2 2 2 2 3 4" xfId="15957" xr:uid="{00000000-0005-0000-0000-0000153B0000}"/>
    <cellStyle name="Normal 7 2 2 2 2 2 4" xfId="15958" xr:uid="{00000000-0005-0000-0000-0000163B0000}"/>
    <cellStyle name="Normal 7 2 2 2 2 2 4 2" xfId="15959" xr:uid="{00000000-0005-0000-0000-0000173B0000}"/>
    <cellStyle name="Normal 7 2 2 2 2 2 4 3" xfId="15960" xr:uid="{00000000-0005-0000-0000-0000183B0000}"/>
    <cellStyle name="Normal 7 2 2 2 2 2 5" xfId="15961" xr:uid="{00000000-0005-0000-0000-0000193B0000}"/>
    <cellStyle name="Normal 7 2 2 2 2 2 6" xfId="15962" xr:uid="{00000000-0005-0000-0000-00001A3B0000}"/>
    <cellStyle name="Normal 7 2 2 2 2 2 6 2" xfId="26900" xr:uid="{FC7419CB-8F9F-4506-A545-FDEC86B0CB91}"/>
    <cellStyle name="Normal 7 2 2 2 2 2 6 2 2" xfId="41863" xr:uid="{61498360-9C6A-401D-9593-4CD0FAB80449}"/>
    <cellStyle name="Normal 7 2 2 2 2 2 6 3" xfId="34275" xr:uid="{F1A1F529-CDDA-4697-B752-029AA45ACEC8}"/>
    <cellStyle name="Normal 7 2 2 2 2 2 7" xfId="15963" xr:uid="{00000000-0005-0000-0000-00001B3B0000}"/>
    <cellStyle name="Normal 7 2 2 2 2 2 7 2" xfId="26901" xr:uid="{62FF95A5-1009-4E5D-BA3F-397B14B87C10}"/>
    <cellStyle name="Normal 7 2 2 2 2 2 7 2 2" xfId="41864" xr:uid="{5CACABB6-3CCE-48BF-9603-1CCBC0E6ED8B}"/>
    <cellStyle name="Normal 7 2 2 2 2 2 7 3" xfId="34276" xr:uid="{71FA6A47-84BE-4BF3-BCF4-21CD137C814E}"/>
    <cellStyle name="Normal 7 2 2 2 2 2 8" xfId="15964" xr:uid="{00000000-0005-0000-0000-00001C3B0000}"/>
    <cellStyle name="Normal 7 2 2 2 2 3" xfId="15965" xr:uid="{00000000-0005-0000-0000-00001D3B0000}"/>
    <cellStyle name="Normal 7 2 2 2 2 3 2" xfId="15966" xr:uid="{00000000-0005-0000-0000-00001E3B0000}"/>
    <cellStyle name="Normal 7 2 2 2 2 3 2 2" xfId="15967" xr:uid="{00000000-0005-0000-0000-00001F3B0000}"/>
    <cellStyle name="Normal 7 2 2 2 2 3 2 3" xfId="15968" xr:uid="{00000000-0005-0000-0000-0000203B0000}"/>
    <cellStyle name="Normal 7 2 2 2 2 3 3" xfId="15969" xr:uid="{00000000-0005-0000-0000-0000213B0000}"/>
    <cellStyle name="Normal 7 2 2 2 2 3 4" xfId="15970" xr:uid="{00000000-0005-0000-0000-0000223B0000}"/>
    <cellStyle name="Normal 7 2 2 2 2 3 4 2" xfId="26902" xr:uid="{73D4F6A0-53BF-4049-B35E-10095EA4968B}"/>
    <cellStyle name="Normal 7 2 2 2 2 3 4 2 2" xfId="41865" xr:uid="{4541A2B6-B033-4851-92E6-04A46D5A652B}"/>
    <cellStyle name="Normal 7 2 2 2 2 3 4 3" xfId="34277" xr:uid="{DA4EEB74-1170-4FB2-BDD2-3C561CCEE242}"/>
    <cellStyle name="Normal 7 2 2 2 2 3 5" xfId="15971" xr:uid="{00000000-0005-0000-0000-0000233B0000}"/>
    <cellStyle name="Normal 7 2 2 2 2 3 5 2" xfId="26903" xr:uid="{9139D235-3630-40E9-AA15-3D1DC41F4E85}"/>
    <cellStyle name="Normal 7 2 2 2 2 3 5 2 2" xfId="41866" xr:uid="{4B96E996-924B-4B1A-A49E-0CE2B3C1053F}"/>
    <cellStyle name="Normal 7 2 2 2 2 3 5 3" xfId="34278" xr:uid="{AF77095B-C384-4DB2-BE22-7F278B2CED58}"/>
    <cellStyle name="Normal 7 2 2 2 2 3 6" xfId="15972" xr:uid="{00000000-0005-0000-0000-0000243B0000}"/>
    <cellStyle name="Normal 7 2 2 2 2 4" xfId="15973" xr:uid="{00000000-0005-0000-0000-0000253B0000}"/>
    <cellStyle name="Normal 7 2 2 2 2 4 2" xfId="15974" xr:uid="{00000000-0005-0000-0000-0000263B0000}"/>
    <cellStyle name="Normal 7 2 2 2 2 4 2 2" xfId="15975" xr:uid="{00000000-0005-0000-0000-0000273B0000}"/>
    <cellStyle name="Normal 7 2 2 2 2 4 2 3" xfId="15976" xr:uid="{00000000-0005-0000-0000-0000283B0000}"/>
    <cellStyle name="Normal 7 2 2 2 2 4 3" xfId="15977" xr:uid="{00000000-0005-0000-0000-0000293B0000}"/>
    <cellStyle name="Normal 7 2 2 2 2 4 3 2" xfId="15978" xr:uid="{00000000-0005-0000-0000-00002A3B0000}"/>
    <cellStyle name="Normal 7 2 2 2 2 4 3 3" xfId="26904" xr:uid="{D021B5C1-A0B3-43E4-85DA-CC83F68B3FB1}"/>
    <cellStyle name="Normal 7 2 2 2 2 4 3 3 2" xfId="41867" xr:uid="{784E4282-A400-41B2-AB8B-D9693B8D3B97}"/>
    <cellStyle name="Normal 7 2 2 2 2 4 3 4" xfId="34279" xr:uid="{11DE2723-69A0-4FF4-9353-7C701E58BFD3}"/>
    <cellStyle name="Normal 7 2 2 2 2 4 4" xfId="15979" xr:uid="{00000000-0005-0000-0000-00002B3B0000}"/>
    <cellStyle name="Normal 7 2 2 2 2 5" xfId="15980" xr:uid="{00000000-0005-0000-0000-00002C3B0000}"/>
    <cellStyle name="Normal 7 2 2 2 2 5 2" xfId="15981" xr:uid="{00000000-0005-0000-0000-00002D3B0000}"/>
    <cellStyle name="Normal 7 2 2 2 2 5 3" xfId="15982" xr:uid="{00000000-0005-0000-0000-00002E3B0000}"/>
    <cellStyle name="Normal 7 2 2 2 2 6" xfId="15983" xr:uid="{00000000-0005-0000-0000-00002F3B0000}"/>
    <cellStyle name="Normal 7 2 2 2 2 7" xfId="15984" xr:uid="{00000000-0005-0000-0000-0000303B0000}"/>
    <cellStyle name="Normal 7 2 2 2 2 7 2" xfId="26905" xr:uid="{AF53FE2A-CBA7-41B4-AE63-43748B63E789}"/>
    <cellStyle name="Normal 7 2 2 2 2 7 2 2" xfId="41868" xr:uid="{E98C1C7A-2AAA-4D59-B2BC-DFF72BC08826}"/>
    <cellStyle name="Normal 7 2 2 2 2 7 3" xfId="34280" xr:uid="{CF9316D0-D067-4124-9EFC-DEDE339FE653}"/>
    <cellStyle name="Normal 7 2 2 2 2 8" xfId="15985" xr:uid="{00000000-0005-0000-0000-0000313B0000}"/>
    <cellStyle name="Normal 7 2 2 2 2 8 2" xfId="26906" xr:uid="{7CC773D4-823F-4BBD-96D0-FAE834EACF8B}"/>
    <cellStyle name="Normal 7 2 2 2 2 8 2 2" xfId="41869" xr:uid="{9A6AC2E4-4D39-479E-A797-E680227BC6EB}"/>
    <cellStyle name="Normal 7 2 2 2 2 8 3" xfId="34281" xr:uid="{1409714C-294B-4050-84D9-46FCFEE53AD4}"/>
    <cellStyle name="Normal 7 2 2 2 2 9" xfId="15986" xr:uid="{00000000-0005-0000-0000-0000323B0000}"/>
    <cellStyle name="Normal 7 2 2 2 3" xfId="15987" xr:uid="{00000000-0005-0000-0000-0000333B0000}"/>
    <cellStyle name="Normal 7 2 2 2 3 2" xfId="15988" xr:uid="{00000000-0005-0000-0000-0000343B0000}"/>
    <cellStyle name="Normal 7 2 2 2 3 2 2" xfId="15989" xr:uid="{00000000-0005-0000-0000-0000353B0000}"/>
    <cellStyle name="Normal 7 2 2 2 3 2 2 2" xfId="15990" xr:uid="{00000000-0005-0000-0000-0000363B0000}"/>
    <cellStyle name="Normal 7 2 2 2 3 2 2 3" xfId="15991" xr:uid="{00000000-0005-0000-0000-0000373B0000}"/>
    <cellStyle name="Normal 7 2 2 2 3 2 3" xfId="15992" xr:uid="{00000000-0005-0000-0000-0000383B0000}"/>
    <cellStyle name="Normal 7 2 2 2 3 2 4" xfId="15993" xr:uid="{00000000-0005-0000-0000-0000393B0000}"/>
    <cellStyle name="Normal 7 2 2 2 3 2 4 2" xfId="26907" xr:uid="{63EA75DF-E9B7-4C55-8A9E-FB9EEAF53C52}"/>
    <cellStyle name="Normal 7 2 2 2 3 2 4 2 2" xfId="41870" xr:uid="{ACC0A38A-BBF8-4E07-8328-1E9BAED84114}"/>
    <cellStyle name="Normal 7 2 2 2 3 2 4 3" xfId="34282" xr:uid="{E6DFA0D2-9138-48E4-BCC7-BBA1468A687B}"/>
    <cellStyle name="Normal 7 2 2 2 3 2 5" xfId="15994" xr:uid="{00000000-0005-0000-0000-00003A3B0000}"/>
    <cellStyle name="Normal 7 2 2 2 3 2 5 2" xfId="26908" xr:uid="{B9A3D929-C64C-4E4B-A8C0-2E8A3036BBC8}"/>
    <cellStyle name="Normal 7 2 2 2 3 2 5 2 2" xfId="41871" xr:uid="{87EE6A68-6561-40DA-A2F2-5E3DF9918BA7}"/>
    <cellStyle name="Normal 7 2 2 2 3 2 5 3" xfId="34283" xr:uid="{CD741BA2-CC4C-4174-AFD3-7A418C7F12E9}"/>
    <cellStyle name="Normal 7 2 2 2 3 2 6" xfId="15995" xr:uid="{00000000-0005-0000-0000-00003B3B0000}"/>
    <cellStyle name="Normal 7 2 2 2 3 3" xfId="15996" xr:uid="{00000000-0005-0000-0000-00003C3B0000}"/>
    <cellStyle name="Normal 7 2 2 2 3 3 2" xfId="15997" xr:uid="{00000000-0005-0000-0000-00003D3B0000}"/>
    <cellStyle name="Normal 7 2 2 2 3 3 2 2" xfId="15998" xr:uid="{00000000-0005-0000-0000-00003E3B0000}"/>
    <cellStyle name="Normal 7 2 2 2 3 3 2 3" xfId="15999" xr:uid="{00000000-0005-0000-0000-00003F3B0000}"/>
    <cellStyle name="Normal 7 2 2 2 3 3 3" xfId="16000" xr:uid="{00000000-0005-0000-0000-0000403B0000}"/>
    <cellStyle name="Normal 7 2 2 2 3 3 3 2" xfId="16001" xr:uid="{00000000-0005-0000-0000-0000413B0000}"/>
    <cellStyle name="Normal 7 2 2 2 3 3 3 3" xfId="26909" xr:uid="{C39997DE-9EE5-4850-A850-634719ED9CF8}"/>
    <cellStyle name="Normal 7 2 2 2 3 3 3 3 2" xfId="41872" xr:uid="{E3282FD2-1CD1-4698-B91B-7E215C043F69}"/>
    <cellStyle name="Normal 7 2 2 2 3 3 3 4" xfId="34284" xr:uid="{928EE1FD-A1EC-442B-93A5-2EEE8C6E57CD}"/>
    <cellStyle name="Normal 7 2 2 2 3 3 4" xfId="16002" xr:uid="{00000000-0005-0000-0000-0000423B0000}"/>
    <cellStyle name="Normal 7 2 2 2 3 4" xfId="16003" xr:uid="{00000000-0005-0000-0000-0000433B0000}"/>
    <cellStyle name="Normal 7 2 2 2 3 4 2" xfId="16004" xr:uid="{00000000-0005-0000-0000-0000443B0000}"/>
    <cellStyle name="Normal 7 2 2 2 3 4 3" xfId="16005" xr:uid="{00000000-0005-0000-0000-0000453B0000}"/>
    <cellStyle name="Normal 7 2 2 2 3 5" xfId="16006" xr:uid="{00000000-0005-0000-0000-0000463B0000}"/>
    <cellStyle name="Normal 7 2 2 2 3 6" xfId="16007" xr:uid="{00000000-0005-0000-0000-0000473B0000}"/>
    <cellStyle name="Normal 7 2 2 2 3 6 2" xfId="26910" xr:uid="{BEA5EA41-D085-4C2B-A7CF-988A863DE805}"/>
    <cellStyle name="Normal 7 2 2 2 3 6 2 2" xfId="41873" xr:uid="{5954BF7B-01C7-4F71-A00C-318F3E103B96}"/>
    <cellStyle name="Normal 7 2 2 2 3 6 3" xfId="34285" xr:uid="{4A81C752-31D8-40A1-B411-B6F995C5DDC2}"/>
    <cellStyle name="Normal 7 2 2 2 3 7" xfId="16008" xr:uid="{00000000-0005-0000-0000-0000483B0000}"/>
    <cellStyle name="Normal 7 2 2 2 3 7 2" xfId="26911" xr:uid="{2127FFC0-69DD-450C-83AE-18300055E05A}"/>
    <cellStyle name="Normal 7 2 2 2 3 7 2 2" xfId="41874" xr:uid="{5CAFB65D-7400-43E3-AB65-2A308229B09A}"/>
    <cellStyle name="Normal 7 2 2 2 3 7 3" xfId="34286" xr:uid="{38F150E7-3698-4B25-AD45-C5192C3A7A7F}"/>
    <cellStyle name="Normal 7 2 2 2 3 8" xfId="16009" xr:uid="{00000000-0005-0000-0000-0000493B0000}"/>
    <cellStyle name="Normal 7 2 2 2 4" xfId="16010" xr:uid="{00000000-0005-0000-0000-00004A3B0000}"/>
    <cellStyle name="Normal 7 2 2 2 4 2" xfId="16011" xr:uid="{00000000-0005-0000-0000-00004B3B0000}"/>
    <cellStyle name="Normal 7 2 2 2 4 2 2" xfId="16012" xr:uid="{00000000-0005-0000-0000-00004C3B0000}"/>
    <cellStyle name="Normal 7 2 2 2 4 2 3" xfId="16013" xr:uid="{00000000-0005-0000-0000-00004D3B0000}"/>
    <cellStyle name="Normal 7 2 2 2 4 2 3 2" xfId="26912" xr:uid="{8F217123-8A3C-43AA-818E-05C7BBC5DC7A}"/>
    <cellStyle name="Normal 7 2 2 2 4 2 3 2 2" xfId="41875" xr:uid="{2198B8F0-405B-4252-B683-3F54FF06AC8D}"/>
    <cellStyle name="Normal 7 2 2 2 4 2 3 3" xfId="34287" xr:uid="{5AADEDB8-AEBD-4140-A9B4-C12A0754BA78}"/>
    <cellStyle name="Normal 7 2 2 2 4 2 4" xfId="16014" xr:uid="{00000000-0005-0000-0000-00004E3B0000}"/>
    <cellStyle name="Normal 7 2 2 2 4 3" xfId="16015" xr:uid="{00000000-0005-0000-0000-00004F3B0000}"/>
    <cellStyle name="Normal 7 2 2 2 4 4" xfId="16016" xr:uid="{00000000-0005-0000-0000-0000503B0000}"/>
    <cellStyle name="Normal 7 2 2 2 4 4 2" xfId="26913" xr:uid="{1C5BD698-24B0-4CFE-A983-ABF38343398B}"/>
    <cellStyle name="Normal 7 2 2 2 4 4 2 2" xfId="41876" xr:uid="{8D3BDF28-22D3-4664-A4A5-EE00F0844EA4}"/>
    <cellStyle name="Normal 7 2 2 2 4 4 3" xfId="34288" xr:uid="{01420EA0-928F-452C-B921-5E41ED6B8A12}"/>
    <cellStyle name="Normal 7 2 2 2 4 5" xfId="16017" xr:uid="{00000000-0005-0000-0000-0000513B0000}"/>
    <cellStyle name="Normal 7 2 2 2 4 5 2" xfId="26914" xr:uid="{F2D303AE-741F-45C3-9C3C-20A045B0EBB9}"/>
    <cellStyle name="Normal 7 2 2 2 4 5 2 2" xfId="41877" xr:uid="{D3C5686A-DA35-4BBE-807B-A25853B8EE05}"/>
    <cellStyle name="Normal 7 2 2 2 4 5 3" xfId="34289" xr:uid="{FF25B939-6BB0-461B-B724-B6D76E929E01}"/>
    <cellStyle name="Normal 7 2 2 2 4 6" xfId="16018" xr:uid="{00000000-0005-0000-0000-0000523B0000}"/>
    <cellStyle name="Normal 7 2 2 2 5" xfId="16019" xr:uid="{00000000-0005-0000-0000-0000533B0000}"/>
    <cellStyle name="Normal 7 2 2 2 5 2" xfId="16020" xr:uid="{00000000-0005-0000-0000-0000543B0000}"/>
    <cellStyle name="Normal 7 2 2 2 5 2 2" xfId="16021" xr:uid="{00000000-0005-0000-0000-0000553B0000}"/>
    <cellStyle name="Normal 7 2 2 2 5 2 3" xfId="16022" xr:uid="{00000000-0005-0000-0000-0000563B0000}"/>
    <cellStyle name="Normal 7 2 2 2 5 3" xfId="16023" xr:uid="{00000000-0005-0000-0000-0000573B0000}"/>
    <cellStyle name="Normal 7 2 2 2 5 4" xfId="16024" xr:uid="{00000000-0005-0000-0000-0000583B0000}"/>
    <cellStyle name="Normal 7 2 2 2 5 4 2" xfId="26915" xr:uid="{B1DD87AB-008B-4C98-B5EF-FF6ADD7137DB}"/>
    <cellStyle name="Normal 7 2 2 2 5 4 2 2" xfId="41878" xr:uid="{CDA568BD-BDA2-499B-82CC-2BF1A23C7CA0}"/>
    <cellStyle name="Normal 7 2 2 2 5 4 3" xfId="34290" xr:uid="{BD4A2497-8D6E-4190-92CA-F4D5A2EE6F95}"/>
    <cellStyle name="Normal 7 2 2 2 5 5" xfId="16025" xr:uid="{00000000-0005-0000-0000-0000593B0000}"/>
    <cellStyle name="Normal 7 2 2 2 5 5 2" xfId="26916" xr:uid="{B1E81AF5-E881-4880-9FF6-EF804BB52D77}"/>
    <cellStyle name="Normal 7 2 2 2 5 5 2 2" xfId="41879" xr:uid="{378E5868-DDCB-4ADE-B101-FA1AB3ADE080}"/>
    <cellStyle name="Normal 7 2 2 2 5 5 3" xfId="34291" xr:uid="{05CAB731-9D21-4375-99AE-3FEA6E9AC06A}"/>
    <cellStyle name="Normal 7 2 2 2 5 6" xfId="16026" xr:uid="{00000000-0005-0000-0000-00005A3B0000}"/>
    <cellStyle name="Normal 7 2 2 2 6" xfId="16027" xr:uid="{00000000-0005-0000-0000-00005B3B0000}"/>
    <cellStyle name="Normal 7 2 2 2 6 2" xfId="16028" xr:uid="{00000000-0005-0000-0000-00005C3B0000}"/>
    <cellStyle name="Normal 7 2 2 2 6 3" xfId="16029" xr:uid="{00000000-0005-0000-0000-00005D3B0000}"/>
    <cellStyle name="Normal 7 2 2 2 7" xfId="16030" xr:uid="{00000000-0005-0000-0000-00005E3B0000}"/>
    <cellStyle name="Normal 7 2 2 2 8" xfId="16031" xr:uid="{00000000-0005-0000-0000-00005F3B0000}"/>
    <cellStyle name="Normal 7 2 2 2 8 2" xfId="26917" xr:uid="{36930405-A16E-4DDE-8664-A6E9B65A0245}"/>
    <cellStyle name="Normal 7 2 2 2 8 2 2" xfId="41880" xr:uid="{849E2743-8855-44F2-8BE0-7B45F921F310}"/>
    <cellStyle name="Normal 7 2 2 2 8 3" xfId="34292" xr:uid="{E13EDD85-E481-4279-AE64-B9C588A8939C}"/>
    <cellStyle name="Normal 7 2 2 2 9" xfId="16032" xr:uid="{00000000-0005-0000-0000-0000603B0000}"/>
    <cellStyle name="Normal 7 2 2 2 9 2" xfId="26918" xr:uid="{2326D139-167D-4DBD-8F16-784B0F63D974}"/>
    <cellStyle name="Normal 7 2 2 2 9 2 2" xfId="41881" xr:uid="{BABD90CC-C834-444D-A0E0-BDC633E6B171}"/>
    <cellStyle name="Normal 7 2 2 2 9 3" xfId="34293" xr:uid="{621CE607-94F7-451D-8EF2-DAFC6BD1B66A}"/>
    <cellStyle name="Normal 7 2 2 3" xfId="16033" xr:uid="{00000000-0005-0000-0000-0000613B0000}"/>
    <cellStyle name="Normal 7 2 2 3 2" xfId="16034" xr:uid="{00000000-0005-0000-0000-0000623B0000}"/>
    <cellStyle name="Normal 7 2 2 3 2 2" xfId="16035" xr:uid="{00000000-0005-0000-0000-0000633B0000}"/>
    <cellStyle name="Normal 7 2 2 3 2 2 2" xfId="16036" xr:uid="{00000000-0005-0000-0000-0000643B0000}"/>
    <cellStyle name="Normal 7 2 2 3 2 2 2 2" xfId="16037" xr:uid="{00000000-0005-0000-0000-0000653B0000}"/>
    <cellStyle name="Normal 7 2 2 3 2 2 2 3" xfId="16038" xr:uid="{00000000-0005-0000-0000-0000663B0000}"/>
    <cellStyle name="Normal 7 2 2 3 2 2 3" xfId="16039" xr:uid="{00000000-0005-0000-0000-0000673B0000}"/>
    <cellStyle name="Normal 7 2 2 3 2 2 4" xfId="16040" xr:uid="{00000000-0005-0000-0000-0000683B0000}"/>
    <cellStyle name="Normal 7 2 2 3 2 2 4 2" xfId="26919" xr:uid="{73397C6F-CE2A-46F3-AC02-B5DDC559EE66}"/>
    <cellStyle name="Normal 7 2 2 3 2 2 4 2 2" xfId="41882" xr:uid="{CAF364DB-FEF9-40B3-92B0-473309A423FD}"/>
    <cellStyle name="Normal 7 2 2 3 2 2 4 3" xfId="34294" xr:uid="{99992572-AADA-44F8-8536-82D4D48B36A8}"/>
    <cellStyle name="Normal 7 2 2 3 2 2 5" xfId="16041" xr:uid="{00000000-0005-0000-0000-0000693B0000}"/>
    <cellStyle name="Normal 7 2 2 3 2 2 5 2" xfId="26920" xr:uid="{D26C7776-3517-4019-843A-62DB00B7A533}"/>
    <cellStyle name="Normal 7 2 2 3 2 2 5 2 2" xfId="41883" xr:uid="{9BB9B6AF-4DFB-4332-A74C-34F18E8CFDD1}"/>
    <cellStyle name="Normal 7 2 2 3 2 2 5 3" xfId="34295" xr:uid="{72B56BA3-1DC8-48D9-98E5-64A551073CCE}"/>
    <cellStyle name="Normal 7 2 2 3 2 2 6" xfId="16042" xr:uid="{00000000-0005-0000-0000-00006A3B0000}"/>
    <cellStyle name="Normal 7 2 2 3 2 3" xfId="16043" xr:uid="{00000000-0005-0000-0000-00006B3B0000}"/>
    <cellStyle name="Normal 7 2 2 3 2 3 2" xfId="16044" xr:uid="{00000000-0005-0000-0000-00006C3B0000}"/>
    <cellStyle name="Normal 7 2 2 3 2 3 2 2" xfId="16045" xr:uid="{00000000-0005-0000-0000-00006D3B0000}"/>
    <cellStyle name="Normal 7 2 2 3 2 3 2 3" xfId="16046" xr:uid="{00000000-0005-0000-0000-00006E3B0000}"/>
    <cellStyle name="Normal 7 2 2 3 2 3 3" xfId="16047" xr:uid="{00000000-0005-0000-0000-00006F3B0000}"/>
    <cellStyle name="Normal 7 2 2 3 2 3 3 2" xfId="16048" xr:uid="{00000000-0005-0000-0000-0000703B0000}"/>
    <cellStyle name="Normal 7 2 2 3 2 3 3 3" xfId="26921" xr:uid="{FCA0B91E-0170-4F32-9F4E-4176F7DF7D34}"/>
    <cellStyle name="Normal 7 2 2 3 2 3 3 3 2" xfId="41884" xr:uid="{E53C9015-F3C9-4887-99C9-BCF8CCA509DB}"/>
    <cellStyle name="Normal 7 2 2 3 2 3 3 4" xfId="34296" xr:uid="{AB8798ED-8CCF-4DCD-BA45-91B176B74924}"/>
    <cellStyle name="Normal 7 2 2 3 2 3 4" xfId="16049" xr:uid="{00000000-0005-0000-0000-0000713B0000}"/>
    <cellStyle name="Normal 7 2 2 3 2 4" xfId="16050" xr:uid="{00000000-0005-0000-0000-0000723B0000}"/>
    <cellStyle name="Normal 7 2 2 3 2 4 2" xfId="16051" xr:uid="{00000000-0005-0000-0000-0000733B0000}"/>
    <cellStyle name="Normal 7 2 2 3 2 4 3" xfId="16052" xr:uid="{00000000-0005-0000-0000-0000743B0000}"/>
    <cellStyle name="Normal 7 2 2 3 2 5" xfId="16053" xr:uid="{00000000-0005-0000-0000-0000753B0000}"/>
    <cellStyle name="Normal 7 2 2 3 2 6" xfId="16054" xr:uid="{00000000-0005-0000-0000-0000763B0000}"/>
    <cellStyle name="Normal 7 2 2 3 2 6 2" xfId="26922" xr:uid="{14587F02-AE71-42A3-B822-D33315C7636F}"/>
    <cellStyle name="Normal 7 2 2 3 2 6 2 2" xfId="41885" xr:uid="{7A95196E-8E7E-478A-8106-E1A7E6FCB079}"/>
    <cellStyle name="Normal 7 2 2 3 2 6 3" xfId="34297" xr:uid="{8CAC8B6B-CDCE-4087-9A03-B18B66E9A809}"/>
    <cellStyle name="Normal 7 2 2 3 2 7" xfId="16055" xr:uid="{00000000-0005-0000-0000-0000773B0000}"/>
    <cellStyle name="Normal 7 2 2 3 2 7 2" xfId="26923" xr:uid="{FEA02BA9-6096-4A7E-9434-8864BA7D6C16}"/>
    <cellStyle name="Normal 7 2 2 3 2 7 2 2" xfId="41886" xr:uid="{AC67C44D-9DE3-4CBF-9977-3A4FD3075A09}"/>
    <cellStyle name="Normal 7 2 2 3 2 7 3" xfId="34298" xr:uid="{C2B8049D-C0F8-487B-986A-415EA4E31A45}"/>
    <cellStyle name="Normal 7 2 2 3 2 8" xfId="16056" xr:uid="{00000000-0005-0000-0000-0000783B0000}"/>
    <cellStyle name="Normal 7 2 2 3 3" xfId="16057" xr:uid="{00000000-0005-0000-0000-0000793B0000}"/>
    <cellStyle name="Normal 7 2 2 3 3 2" xfId="16058" xr:uid="{00000000-0005-0000-0000-00007A3B0000}"/>
    <cellStyle name="Normal 7 2 2 3 3 2 2" xfId="16059" xr:uid="{00000000-0005-0000-0000-00007B3B0000}"/>
    <cellStyle name="Normal 7 2 2 3 3 2 3" xfId="16060" xr:uid="{00000000-0005-0000-0000-00007C3B0000}"/>
    <cellStyle name="Normal 7 2 2 3 3 3" xfId="16061" xr:uid="{00000000-0005-0000-0000-00007D3B0000}"/>
    <cellStyle name="Normal 7 2 2 3 3 4" xfId="16062" xr:uid="{00000000-0005-0000-0000-00007E3B0000}"/>
    <cellStyle name="Normal 7 2 2 3 3 4 2" xfId="26924" xr:uid="{0EC5824B-D2C6-48D5-961B-39DCDA204573}"/>
    <cellStyle name="Normal 7 2 2 3 3 4 2 2" xfId="41887" xr:uid="{D1678ECB-8A26-41FA-A6F8-64F95461419C}"/>
    <cellStyle name="Normal 7 2 2 3 3 4 3" xfId="34299" xr:uid="{07628F34-DA93-424D-A9E9-54CF9616D187}"/>
    <cellStyle name="Normal 7 2 2 3 3 5" xfId="16063" xr:uid="{00000000-0005-0000-0000-00007F3B0000}"/>
    <cellStyle name="Normal 7 2 2 3 3 5 2" xfId="26925" xr:uid="{7BED8E0C-5BE4-4777-BC63-CC333018CDB4}"/>
    <cellStyle name="Normal 7 2 2 3 3 5 2 2" xfId="41888" xr:uid="{85CE549B-34A2-4727-8C41-E07D83431B53}"/>
    <cellStyle name="Normal 7 2 2 3 3 5 3" xfId="34300" xr:uid="{C04245E1-D83E-4A59-9EE3-635CF71AA2E9}"/>
    <cellStyle name="Normal 7 2 2 3 3 6" xfId="16064" xr:uid="{00000000-0005-0000-0000-0000803B0000}"/>
    <cellStyle name="Normal 7 2 2 3 4" xfId="16065" xr:uid="{00000000-0005-0000-0000-0000813B0000}"/>
    <cellStyle name="Normal 7 2 2 3 4 2" xfId="16066" xr:uid="{00000000-0005-0000-0000-0000823B0000}"/>
    <cellStyle name="Normal 7 2 2 3 4 2 2" xfId="16067" xr:uid="{00000000-0005-0000-0000-0000833B0000}"/>
    <cellStyle name="Normal 7 2 2 3 4 2 3" xfId="16068" xr:uid="{00000000-0005-0000-0000-0000843B0000}"/>
    <cellStyle name="Normal 7 2 2 3 4 3" xfId="16069" xr:uid="{00000000-0005-0000-0000-0000853B0000}"/>
    <cellStyle name="Normal 7 2 2 3 4 3 2" xfId="16070" xr:uid="{00000000-0005-0000-0000-0000863B0000}"/>
    <cellStyle name="Normal 7 2 2 3 4 3 3" xfId="26926" xr:uid="{C55982D6-309E-4800-9FDE-234349D0F6A9}"/>
    <cellStyle name="Normal 7 2 2 3 4 3 3 2" xfId="41889" xr:uid="{37ED68D1-11C2-473C-8278-56D93455B3B0}"/>
    <cellStyle name="Normal 7 2 2 3 4 3 4" xfId="34301" xr:uid="{40F7CCDB-D3B5-44A0-B52A-0D46CF0CC439}"/>
    <cellStyle name="Normal 7 2 2 3 4 4" xfId="16071" xr:uid="{00000000-0005-0000-0000-0000873B0000}"/>
    <cellStyle name="Normal 7 2 2 3 5" xfId="16072" xr:uid="{00000000-0005-0000-0000-0000883B0000}"/>
    <cellStyle name="Normal 7 2 2 3 5 2" xfId="16073" xr:uid="{00000000-0005-0000-0000-0000893B0000}"/>
    <cellStyle name="Normal 7 2 2 3 5 3" xfId="16074" xr:uid="{00000000-0005-0000-0000-00008A3B0000}"/>
    <cellStyle name="Normal 7 2 2 3 6" xfId="16075" xr:uid="{00000000-0005-0000-0000-00008B3B0000}"/>
    <cellStyle name="Normal 7 2 2 3 7" xfId="16076" xr:uid="{00000000-0005-0000-0000-00008C3B0000}"/>
    <cellStyle name="Normal 7 2 2 3 7 2" xfId="26927" xr:uid="{B6F5AC3A-0E94-4235-A7C1-55CD7CD091A4}"/>
    <cellStyle name="Normal 7 2 2 3 7 2 2" xfId="41890" xr:uid="{189468FE-0A5D-4359-AF3C-65AD510FEE36}"/>
    <cellStyle name="Normal 7 2 2 3 7 3" xfId="34302" xr:uid="{056BB805-C45F-48CC-B8EA-CBD935188893}"/>
    <cellStyle name="Normal 7 2 2 3 8" xfId="16077" xr:uid="{00000000-0005-0000-0000-00008D3B0000}"/>
    <cellStyle name="Normal 7 2 2 3 8 2" xfId="26928" xr:uid="{BEA65FD3-1E8A-4333-AB34-3405E4D6B30D}"/>
    <cellStyle name="Normal 7 2 2 3 8 2 2" xfId="41891" xr:uid="{1157AD29-F9F6-40A5-A1BE-773887668A84}"/>
    <cellStyle name="Normal 7 2 2 3 8 3" xfId="34303" xr:uid="{E5211DA0-2633-4595-8048-8FF0F2665341}"/>
    <cellStyle name="Normal 7 2 2 3 9" xfId="16078" xr:uid="{00000000-0005-0000-0000-00008E3B0000}"/>
    <cellStyle name="Normal 7 2 2 4" xfId="16079" xr:uid="{00000000-0005-0000-0000-00008F3B0000}"/>
    <cellStyle name="Normal 7 2 2 4 2" xfId="16080" xr:uid="{00000000-0005-0000-0000-0000903B0000}"/>
    <cellStyle name="Normal 7 2 2 4 2 2" xfId="16081" xr:uid="{00000000-0005-0000-0000-0000913B0000}"/>
    <cellStyle name="Normal 7 2 2 4 2 2 2" xfId="16082" xr:uid="{00000000-0005-0000-0000-0000923B0000}"/>
    <cellStyle name="Normal 7 2 2 4 2 2 3" xfId="16083" xr:uid="{00000000-0005-0000-0000-0000933B0000}"/>
    <cellStyle name="Normal 7 2 2 4 2 2 3 2" xfId="26929" xr:uid="{E4779C46-85A2-442A-9D59-A29C99058A65}"/>
    <cellStyle name="Normal 7 2 2 4 2 2 3 2 2" xfId="41892" xr:uid="{F4E851E1-DFA5-4592-8477-7214DFFF4431}"/>
    <cellStyle name="Normal 7 2 2 4 2 2 3 3" xfId="34304" xr:uid="{336B75CF-33D2-4C30-B3B3-205673FD1B84}"/>
    <cellStyle name="Normal 7 2 2 4 2 2 4" xfId="16084" xr:uid="{00000000-0005-0000-0000-0000943B0000}"/>
    <cellStyle name="Normal 7 2 2 4 2 3" xfId="16085" xr:uid="{00000000-0005-0000-0000-0000953B0000}"/>
    <cellStyle name="Normal 7 2 2 4 2 4" xfId="16086" xr:uid="{00000000-0005-0000-0000-0000963B0000}"/>
    <cellStyle name="Normal 7 2 2 4 2 4 2" xfId="26930" xr:uid="{583B8FEA-61F7-4A8C-AB8C-9DE8A267862B}"/>
    <cellStyle name="Normal 7 2 2 4 2 4 2 2" xfId="41893" xr:uid="{42514EE4-6291-4F1F-B4D8-D84639CE1053}"/>
    <cellStyle name="Normal 7 2 2 4 2 4 3" xfId="34305" xr:uid="{8D8C6481-78B2-43B9-B6CD-81B9FF3F6515}"/>
    <cellStyle name="Normal 7 2 2 4 2 5" xfId="16087" xr:uid="{00000000-0005-0000-0000-0000973B0000}"/>
    <cellStyle name="Normal 7 2 2 4 2 5 2" xfId="26931" xr:uid="{129C1F83-578A-4C38-A091-209A101325DD}"/>
    <cellStyle name="Normal 7 2 2 4 2 5 2 2" xfId="41894" xr:uid="{549D011A-7053-4CEC-A71C-9DFF76DCD823}"/>
    <cellStyle name="Normal 7 2 2 4 2 5 3" xfId="34306" xr:uid="{2F245E09-92EE-4324-9F03-C975FE0CB744}"/>
    <cellStyle name="Normal 7 2 2 4 2 6" xfId="16088" xr:uid="{00000000-0005-0000-0000-0000983B0000}"/>
    <cellStyle name="Normal 7 2 2 4 3" xfId="16089" xr:uid="{00000000-0005-0000-0000-0000993B0000}"/>
    <cellStyle name="Normal 7 2 2 4 3 2" xfId="16090" xr:uid="{00000000-0005-0000-0000-00009A3B0000}"/>
    <cellStyle name="Normal 7 2 2 4 3 2 2" xfId="16091" xr:uid="{00000000-0005-0000-0000-00009B3B0000}"/>
    <cellStyle name="Normal 7 2 2 4 3 2 3" xfId="16092" xr:uid="{00000000-0005-0000-0000-00009C3B0000}"/>
    <cellStyle name="Normal 7 2 2 4 3 3" xfId="16093" xr:uid="{00000000-0005-0000-0000-00009D3B0000}"/>
    <cellStyle name="Normal 7 2 2 4 3 4" xfId="16094" xr:uid="{00000000-0005-0000-0000-00009E3B0000}"/>
    <cellStyle name="Normal 7 2 2 4 3 4 2" xfId="26932" xr:uid="{9D8AC08D-0231-49C9-BDF2-3E8F2D2AD76D}"/>
    <cellStyle name="Normal 7 2 2 4 3 4 2 2" xfId="41895" xr:uid="{133AFF8C-B976-491F-9DF6-129F0F14F459}"/>
    <cellStyle name="Normal 7 2 2 4 3 4 3" xfId="34307" xr:uid="{0A6C7CB6-95B7-4A36-B239-FE2228D830A7}"/>
    <cellStyle name="Normal 7 2 2 4 3 5" xfId="16095" xr:uid="{00000000-0005-0000-0000-00009F3B0000}"/>
    <cellStyle name="Normal 7 2 2 4 3 5 2" xfId="26933" xr:uid="{810AC6E0-4E39-463D-8DB7-C1CEF9408374}"/>
    <cellStyle name="Normal 7 2 2 4 3 5 2 2" xfId="41896" xr:uid="{9B95E5D5-61DB-4BCF-A3D9-93F521DDD998}"/>
    <cellStyle name="Normal 7 2 2 4 3 5 3" xfId="34308" xr:uid="{0BEAC4F0-E329-4589-86D1-E338CE6431FC}"/>
    <cellStyle name="Normal 7 2 2 4 3 6" xfId="16096" xr:uid="{00000000-0005-0000-0000-0000A03B0000}"/>
    <cellStyle name="Normal 7 2 2 4 4" xfId="16097" xr:uid="{00000000-0005-0000-0000-0000A13B0000}"/>
    <cellStyle name="Normal 7 2 2 4 4 2" xfId="16098" xr:uid="{00000000-0005-0000-0000-0000A23B0000}"/>
    <cellStyle name="Normal 7 2 2 4 4 3" xfId="16099" xr:uid="{00000000-0005-0000-0000-0000A33B0000}"/>
    <cellStyle name="Normal 7 2 2 4 5" xfId="16100" xr:uid="{00000000-0005-0000-0000-0000A43B0000}"/>
    <cellStyle name="Normal 7 2 2 4 6" xfId="16101" xr:uid="{00000000-0005-0000-0000-0000A53B0000}"/>
    <cellStyle name="Normal 7 2 2 4 6 2" xfId="26934" xr:uid="{5D2465ED-E2DB-4BE3-83EB-FD84F2C749BE}"/>
    <cellStyle name="Normal 7 2 2 4 6 2 2" xfId="41897" xr:uid="{1A4D292E-1884-4FA3-9F67-2D2D4AC87238}"/>
    <cellStyle name="Normal 7 2 2 4 6 3" xfId="34309" xr:uid="{EF740380-430F-445F-9049-803E257C9497}"/>
    <cellStyle name="Normal 7 2 2 4 7" xfId="16102" xr:uid="{00000000-0005-0000-0000-0000A63B0000}"/>
    <cellStyle name="Normal 7 2 2 4 7 2" xfId="26935" xr:uid="{340813A5-22DF-46E7-BC49-749FBF9220E0}"/>
    <cellStyle name="Normal 7 2 2 4 7 2 2" xfId="41898" xr:uid="{9543A68B-F382-4486-8A18-8E4525E673BC}"/>
    <cellStyle name="Normal 7 2 2 4 7 3" xfId="34310" xr:uid="{0721BEEC-726F-4446-8B91-E08D9215036B}"/>
    <cellStyle name="Normal 7 2 2 4 8" xfId="16103" xr:uid="{00000000-0005-0000-0000-0000A73B0000}"/>
    <cellStyle name="Normal 7 2 2 5" xfId="16104" xr:uid="{00000000-0005-0000-0000-0000A83B0000}"/>
    <cellStyle name="Normal 7 2 2 5 2" xfId="16105" xr:uid="{00000000-0005-0000-0000-0000A93B0000}"/>
    <cellStyle name="Normal 7 2 2 5 2 2" xfId="16106" xr:uid="{00000000-0005-0000-0000-0000AA3B0000}"/>
    <cellStyle name="Normal 7 2 2 5 2 3" xfId="26936" xr:uid="{6CA18D13-615B-48EE-AD17-9CAFC93698AF}"/>
    <cellStyle name="Normal 7 2 2 5 2 3 2" xfId="41899" xr:uid="{17CC65E6-5D7D-46AB-AA0A-657424371153}"/>
    <cellStyle name="Normal 7 2 2 5 2 4" xfId="34311" xr:uid="{5AFE977C-2A21-4C45-B484-E057EA6BF06D}"/>
    <cellStyle name="Normal 7 2 2 5 3" xfId="16107" xr:uid="{00000000-0005-0000-0000-0000AB3B0000}"/>
    <cellStyle name="Normal 7 2 2 5 4" xfId="16108" xr:uid="{00000000-0005-0000-0000-0000AC3B0000}"/>
    <cellStyle name="Normal 7 2 2 5 4 2" xfId="26937" xr:uid="{8F1C260A-0593-4F11-B876-C2D0AA42F16B}"/>
    <cellStyle name="Normal 7 2 2 5 4 2 2" xfId="41900" xr:uid="{B79E4804-9268-4511-8F07-D4D21C38DA10}"/>
    <cellStyle name="Normal 7 2 2 5 4 3" xfId="34312" xr:uid="{195C037C-EEF4-42C7-BBF0-13FBCCD467CC}"/>
    <cellStyle name="Normal 7 2 2 5 5" xfId="16109" xr:uid="{00000000-0005-0000-0000-0000AD3B0000}"/>
    <cellStyle name="Normal 7 2 2 6" xfId="16110" xr:uid="{00000000-0005-0000-0000-0000AE3B0000}"/>
    <cellStyle name="Normal 7 2 2 6 2" xfId="16111" xr:uid="{00000000-0005-0000-0000-0000AF3B0000}"/>
    <cellStyle name="Normal 7 2 2 6 2 2" xfId="16112" xr:uid="{00000000-0005-0000-0000-0000B03B0000}"/>
    <cellStyle name="Normal 7 2 2 6 2 3" xfId="16113" xr:uid="{00000000-0005-0000-0000-0000B13B0000}"/>
    <cellStyle name="Normal 7 2 2 6 3" xfId="16114" xr:uid="{00000000-0005-0000-0000-0000B23B0000}"/>
    <cellStyle name="Normal 7 2 2 6 4" xfId="16115" xr:uid="{00000000-0005-0000-0000-0000B33B0000}"/>
    <cellStyle name="Normal 7 2 2 6 4 2" xfId="26938" xr:uid="{49493727-B044-4A5B-BF6A-7B785F8CE774}"/>
    <cellStyle name="Normal 7 2 2 6 4 2 2" xfId="41901" xr:uid="{69849B70-AF74-4595-8F7A-A345414DD1A2}"/>
    <cellStyle name="Normal 7 2 2 6 4 3" xfId="34313" xr:uid="{E1E0DF85-BD56-4CD7-8DF7-C04298E8B116}"/>
    <cellStyle name="Normal 7 2 2 6 5" xfId="16116" xr:uid="{00000000-0005-0000-0000-0000B43B0000}"/>
    <cellStyle name="Normal 7 2 2 6 5 2" xfId="26939" xr:uid="{76AB1CC9-0C2B-482C-8FDD-264A3D6D6118}"/>
    <cellStyle name="Normal 7 2 2 6 5 2 2" xfId="41902" xr:uid="{C1DAB9F2-1D39-49CA-95A8-5380EED36AC0}"/>
    <cellStyle name="Normal 7 2 2 6 5 3" xfId="34314" xr:uid="{B1393346-19D2-47E6-87E2-F79DE96F82A5}"/>
    <cellStyle name="Normal 7 2 2 6 6" xfId="16117" xr:uid="{00000000-0005-0000-0000-0000B53B0000}"/>
    <cellStyle name="Normal 7 2 2 7" xfId="16118" xr:uid="{00000000-0005-0000-0000-0000B63B0000}"/>
    <cellStyle name="Normal 7 2 2 7 2" xfId="16119" xr:uid="{00000000-0005-0000-0000-0000B73B0000}"/>
    <cellStyle name="Normal 7 2 2 7 2 2" xfId="16120" xr:uid="{00000000-0005-0000-0000-0000B83B0000}"/>
    <cellStyle name="Normal 7 2 2 7 2 3" xfId="16121" xr:uid="{00000000-0005-0000-0000-0000B93B0000}"/>
    <cellStyle name="Normal 7 2 2 7 3" xfId="16122" xr:uid="{00000000-0005-0000-0000-0000BA3B0000}"/>
    <cellStyle name="Normal 7 2 2 7 4" xfId="16123" xr:uid="{00000000-0005-0000-0000-0000BB3B0000}"/>
    <cellStyle name="Normal 7 2 2 7 4 2" xfId="26940" xr:uid="{79FC38B2-C42C-451E-A783-4882BDD428B8}"/>
    <cellStyle name="Normal 7 2 2 7 4 2 2" xfId="41903" xr:uid="{A7D35DD4-C16E-4939-8B51-C8F2CB87AC7E}"/>
    <cellStyle name="Normal 7 2 2 7 4 3" xfId="34315" xr:uid="{3669292B-F3D5-4A01-A98F-2C243D7B21FE}"/>
    <cellStyle name="Normal 7 2 2 7 5" xfId="16124" xr:uid="{00000000-0005-0000-0000-0000BC3B0000}"/>
    <cellStyle name="Normal 7 2 2 7 5 2" xfId="26941" xr:uid="{8B1C33CA-CD14-4DDF-867A-7F68F22E1EF0}"/>
    <cellStyle name="Normal 7 2 2 7 5 2 2" xfId="41904" xr:uid="{91ADE361-53C3-4903-8411-90ABAED73E68}"/>
    <cellStyle name="Normal 7 2 2 7 5 3" xfId="34316" xr:uid="{47FBB4D1-AC23-48F4-9EBA-1AEE9BD79C19}"/>
    <cellStyle name="Normal 7 2 2 7 6" xfId="16125" xr:uid="{00000000-0005-0000-0000-0000BD3B0000}"/>
    <cellStyle name="Normal 7 2 2 8" xfId="16126" xr:uid="{00000000-0005-0000-0000-0000BE3B0000}"/>
    <cellStyle name="Normal 7 2 2 8 2" xfId="16127" xr:uid="{00000000-0005-0000-0000-0000BF3B0000}"/>
    <cellStyle name="Normal 7 2 2 8 3" xfId="16128" xr:uid="{00000000-0005-0000-0000-0000C03B0000}"/>
    <cellStyle name="Normal 7 2 2 9" xfId="16129" xr:uid="{00000000-0005-0000-0000-0000C13B0000}"/>
    <cellStyle name="Normal 7 2 2 9 2" xfId="16130" xr:uid="{00000000-0005-0000-0000-0000C23B0000}"/>
    <cellStyle name="Normal 7 2 20" xfId="2544" xr:uid="{00000000-0005-0000-0000-0000B7090000}"/>
    <cellStyle name="Normal 7 2 20 2" xfId="16131" xr:uid="{00000000-0005-0000-0000-0000C43B0000}"/>
    <cellStyle name="Normal 7 2 20 3" xfId="16132" xr:uid="{00000000-0005-0000-0000-0000C53B0000}"/>
    <cellStyle name="Normal 7 2 21" xfId="2545" xr:uid="{00000000-0005-0000-0000-0000B8090000}"/>
    <cellStyle name="Normal 7 2 21 2" xfId="16133" xr:uid="{00000000-0005-0000-0000-0000C73B0000}"/>
    <cellStyle name="Normal 7 2 21 3" xfId="16134" xr:uid="{00000000-0005-0000-0000-0000C83B0000}"/>
    <cellStyle name="Normal 7 2 22" xfId="2546" xr:uid="{00000000-0005-0000-0000-0000B9090000}"/>
    <cellStyle name="Normal 7 2 22 2" xfId="16135" xr:uid="{00000000-0005-0000-0000-0000CA3B0000}"/>
    <cellStyle name="Normal 7 2 22 3" xfId="16136" xr:uid="{00000000-0005-0000-0000-0000CB3B0000}"/>
    <cellStyle name="Normal 7 2 23" xfId="2547" xr:uid="{00000000-0005-0000-0000-0000BA090000}"/>
    <cellStyle name="Normal 7 2 23 2" xfId="16137" xr:uid="{00000000-0005-0000-0000-0000CD3B0000}"/>
    <cellStyle name="Normal 7 2 23 3" xfId="16138" xr:uid="{00000000-0005-0000-0000-0000CE3B0000}"/>
    <cellStyle name="Normal 7 2 24" xfId="16139" xr:uid="{00000000-0005-0000-0000-0000CF3B0000}"/>
    <cellStyle name="Normal 7 2 24 2" xfId="16140" xr:uid="{00000000-0005-0000-0000-0000D03B0000}"/>
    <cellStyle name="Normal 7 2 24 3" xfId="16141" xr:uid="{00000000-0005-0000-0000-0000D13B0000}"/>
    <cellStyle name="Normal 7 2 24 4" xfId="16142" xr:uid="{00000000-0005-0000-0000-0000D23B0000}"/>
    <cellStyle name="Normal 7 2 25" xfId="16143" xr:uid="{00000000-0005-0000-0000-0000D33B0000}"/>
    <cellStyle name="Normal 7 2 25 2" xfId="16144" xr:uid="{00000000-0005-0000-0000-0000D43B0000}"/>
    <cellStyle name="Normal 7 2 25 2 2" xfId="16145" xr:uid="{00000000-0005-0000-0000-0000D53B0000}"/>
    <cellStyle name="Normal 7 2 25 2 3" xfId="16146" xr:uid="{00000000-0005-0000-0000-0000D63B0000}"/>
    <cellStyle name="Normal 7 2 25 3" xfId="16147" xr:uid="{00000000-0005-0000-0000-0000D73B0000}"/>
    <cellStyle name="Normal 7 2 25 3 2" xfId="16148" xr:uid="{00000000-0005-0000-0000-0000D83B0000}"/>
    <cellStyle name="Normal 7 2 25 3 3" xfId="26942" xr:uid="{591889FC-11D6-4B1A-AFAB-A7DF8520CA2B}"/>
    <cellStyle name="Normal 7 2 25 3 3 2" xfId="41905" xr:uid="{E96B86C1-6500-427E-BE27-EDFAFC149BCD}"/>
    <cellStyle name="Normal 7 2 25 3 4" xfId="34317" xr:uid="{518597F6-DE3C-4254-B42F-76A98E2B48AE}"/>
    <cellStyle name="Normal 7 2 25 4" xfId="16149" xr:uid="{00000000-0005-0000-0000-0000D93B0000}"/>
    <cellStyle name="Normal 7 2 26" xfId="16150" xr:uid="{00000000-0005-0000-0000-0000DA3B0000}"/>
    <cellStyle name="Normal 7 2 26 2" xfId="16151" xr:uid="{00000000-0005-0000-0000-0000DB3B0000}"/>
    <cellStyle name="Normal 7 2 26 2 2" xfId="16152" xr:uid="{00000000-0005-0000-0000-0000DC3B0000}"/>
    <cellStyle name="Normal 7 2 26 2 3" xfId="16153" xr:uid="{00000000-0005-0000-0000-0000DD3B0000}"/>
    <cellStyle name="Normal 7 2 26 3" xfId="16154" xr:uid="{00000000-0005-0000-0000-0000DE3B0000}"/>
    <cellStyle name="Normal 7 2 26 3 2" xfId="16155" xr:uid="{00000000-0005-0000-0000-0000DF3B0000}"/>
    <cellStyle name="Normal 7 2 26 3 3" xfId="26943" xr:uid="{BB31E7E7-3776-42AE-BD67-05C8E2206EAB}"/>
    <cellStyle name="Normal 7 2 26 3 3 2" xfId="41906" xr:uid="{526B4C10-562F-4EA1-81F9-6D880ADFB56C}"/>
    <cellStyle name="Normal 7 2 26 3 4" xfId="34318" xr:uid="{D4A5E467-157E-4EA2-936C-844F5C6A5354}"/>
    <cellStyle name="Normal 7 2 26 4" xfId="16156" xr:uid="{00000000-0005-0000-0000-0000E03B0000}"/>
    <cellStyle name="Normal 7 2 27" xfId="16157" xr:uid="{00000000-0005-0000-0000-0000E13B0000}"/>
    <cellStyle name="Normal 7 2 27 2" xfId="16158" xr:uid="{00000000-0005-0000-0000-0000E23B0000}"/>
    <cellStyle name="Normal 7 2 27 3" xfId="16159" xr:uid="{00000000-0005-0000-0000-0000E33B0000}"/>
    <cellStyle name="Normal 7 2 28" xfId="16160" xr:uid="{00000000-0005-0000-0000-0000E43B0000}"/>
    <cellStyle name="Normal 7 2 28 2" xfId="16161" xr:uid="{00000000-0005-0000-0000-0000E53B0000}"/>
    <cellStyle name="Normal 7 2 28 3" xfId="16162" xr:uid="{00000000-0005-0000-0000-0000E63B0000}"/>
    <cellStyle name="Normal 7 2 28 4" xfId="26944" xr:uid="{1D663EBC-A374-40F5-B69B-2ABD26D148F0}"/>
    <cellStyle name="Normal 7 2 28 4 2" xfId="41907" xr:uid="{37E56D52-2D2E-4D38-8B10-D40AB589029A}"/>
    <cellStyle name="Normal 7 2 28 5" xfId="34319" xr:uid="{8029F95E-497D-4CAE-A69E-719558AAC108}"/>
    <cellStyle name="Normal 7 2 29" xfId="16163" xr:uid="{00000000-0005-0000-0000-0000E73B0000}"/>
    <cellStyle name="Normal 7 2 3" xfId="2548" xr:uid="{00000000-0005-0000-0000-0000BB090000}"/>
    <cellStyle name="Normal 7 2 3 10" xfId="16164" xr:uid="{00000000-0005-0000-0000-0000E93B0000}"/>
    <cellStyle name="Normal 7 2 3 2" xfId="16165" xr:uid="{00000000-0005-0000-0000-0000EA3B0000}"/>
    <cellStyle name="Normal 7 2 3 2 2" xfId="16166" xr:uid="{00000000-0005-0000-0000-0000EB3B0000}"/>
    <cellStyle name="Normal 7 2 3 2 2 2" xfId="16167" xr:uid="{00000000-0005-0000-0000-0000EC3B0000}"/>
    <cellStyle name="Normal 7 2 3 2 2 2 2" xfId="16168" xr:uid="{00000000-0005-0000-0000-0000ED3B0000}"/>
    <cellStyle name="Normal 7 2 3 2 2 2 2 2" xfId="16169" xr:uid="{00000000-0005-0000-0000-0000EE3B0000}"/>
    <cellStyle name="Normal 7 2 3 2 2 2 2 3" xfId="16170" xr:uid="{00000000-0005-0000-0000-0000EF3B0000}"/>
    <cellStyle name="Normal 7 2 3 2 2 2 3" xfId="16171" xr:uid="{00000000-0005-0000-0000-0000F03B0000}"/>
    <cellStyle name="Normal 7 2 3 2 2 2 4" xfId="16172" xr:uid="{00000000-0005-0000-0000-0000F13B0000}"/>
    <cellStyle name="Normal 7 2 3 2 2 2 4 2" xfId="26945" xr:uid="{C434BA28-2D5C-4C67-900C-639B56FEA6C0}"/>
    <cellStyle name="Normal 7 2 3 2 2 2 4 2 2" xfId="41908" xr:uid="{9F3FAF1F-D938-410F-9A89-68191CF5C500}"/>
    <cellStyle name="Normal 7 2 3 2 2 2 4 3" xfId="34320" xr:uid="{5105AE6C-B30A-44F5-99FD-08696AB9AFAA}"/>
    <cellStyle name="Normal 7 2 3 2 2 2 5" xfId="16173" xr:uid="{00000000-0005-0000-0000-0000F23B0000}"/>
    <cellStyle name="Normal 7 2 3 2 2 2 5 2" xfId="26946" xr:uid="{CAC5C68A-CDB5-474F-B84B-1F9B41464DE3}"/>
    <cellStyle name="Normal 7 2 3 2 2 2 5 2 2" xfId="41909" xr:uid="{15E3BA1E-C531-48C4-B3E5-703F59741310}"/>
    <cellStyle name="Normal 7 2 3 2 2 2 5 3" xfId="34321" xr:uid="{595DF1B0-07CD-4A5E-B468-FD6C1EE96AB2}"/>
    <cellStyle name="Normal 7 2 3 2 2 2 6" xfId="16174" xr:uid="{00000000-0005-0000-0000-0000F33B0000}"/>
    <cellStyle name="Normal 7 2 3 2 2 3" xfId="16175" xr:uid="{00000000-0005-0000-0000-0000F43B0000}"/>
    <cellStyle name="Normal 7 2 3 2 2 3 2" xfId="16176" xr:uid="{00000000-0005-0000-0000-0000F53B0000}"/>
    <cellStyle name="Normal 7 2 3 2 2 3 2 2" xfId="16177" xr:uid="{00000000-0005-0000-0000-0000F63B0000}"/>
    <cellStyle name="Normal 7 2 3 2 2 3 2 3" xfId="16178" xr:uid="{00000000-0005-0000-0000-0000F73B0000}"/>
    <cellStyle name="Normal 7 2 3 2 2 3 3" xfId="16179" xr:uid="{00000000-0005-0000-0000-0000F83B0000}"/>
    <cellStyle name="Normal 7 2 3 2 2 3 3 2" xfId="16180" xr:uid="{00000000-0005-0000-0000-0000F93B0000}"/>
    <cellStyle name="Normal 7 2 3 2 2 3 3 3" xfId="26947" xr:uid="{55BC4335-ED97-4B09-A4E2-47C299561411}"/>
    <cellStyle name="Normal 7 2 3 2 2 3 3 3 2" xfId="41910" xr:uid="{0657BABE-2237-4533-9D04-282371D5B057}"/>
    <cellStyle name="Normal 7 2 3 2 2 3 3 4" xfId="34322" xr:uid="{9BBF31F5-712D-4F88-AF60-6AD6741819E5}"/>
    <cellStyle name="Normal 7 2 3 2 2 3 4" xfId="16181" xr:uid="{00000000-0005-0000-0000-0000FA3B0000}"/>
    <cellStyle name="Normal 7 2 3 2 2 4" xfId="16182" xr:uid="{00000000-0005-0000-0000-0000FB3B0000}"/>
    <cellStyle name="Normal 7 2 3 2 2 4 2" xfId="16183" xr:uid="{00000000-0005-0000-0000-0000FC3B0000}"/>
    <cellStyle name="Normal 7 2 3 2 2 4 3" xfId="16184" xr:uid="{00000000-0005-0000-0000-0000FD3B0000}"/>
    <cellStyle name="Normal 7 2 3 2 2 5" xfId="16185" xr:uid="{00000000-0005-0000-0000-0000FE3B0000}"/>
    <cellStyle name="Normal 7 2 3 2 2 6" xfId="16186" xr:uid="{00000000-0005-0000-0000-0000FF3B0000}"/>
    <cellStyle name="Normal 7 2 3 2 2 6 2" xfId="26948" xr:uid="{247A83B9-0C21-490F-A63A-79BBA9B28A3A}"/>
    <cellStyle name="Normal 7 2 3 2 2 6 2 2" xfId="41911" xr:uid="{38641818-2C80-4B7D-B5F9-7268080A307E}"/>
    <cellStyle name="Normal 7 2 3 2 2 6 3" xfId="34323" xr:uid="{455FD6D1-705C-4947-A037-2590D17C3B93}"/>
    <cellStyle name="Normal 7 2 3 2 2 7" xfId="16187" xr:uid="{00000000-0005-0000-0000-0000003C0000}"/>
    <cellStyle name="Normal 7 2 3 2 2 7 2" xfId="26949" xr:uid="{E64AA69D-BB28-4EA7-88F1-82395E3A6036}"/>
    <cellStyle name="Normal 7 2 3 2 2 7 2 2" xfId="41912" xr:uid="{D25D1A52-BBA6-48EA-B422-F50D0E276DD7}"/>
    <cellStyle name="Normal 7 2 3 2 2 7 3" xfId="34324" xr:uid="{18A90423-96F9-4BC8-9D80-CD4C2D96FBB3}"/>
    <cellStyle name="Normal 7 2 3 2 2 8" xfId="16188" xr:uid="{00000000-0005-0000-0000-0000013C0000}"/>
    <cellStyle name="Normal 7 2 3 2 3" xfId="16189" xr:uid="{00000000-0005-0000-0000-0000023C0000}"/>
    <cellStyle name="Normal 7 2 3 2 3 2" xfId="16190" xr:uid="{00000000-0005-0000-0000-0000033C0000}"/>
    <cellStyle name="Normal 7 2 3 2 3 2 2" xfId="16191" xr:uid="{00000000-0005-0000-0000-0000043C0000}"/>
    <cellStyle name="Normal 7 2 3 2 3 2 3" xfId="16192" xr:uid="{00000000-0005-0000-0000-0000053C0000}"/>
    <cellStyle name="Normal 7 2 3 2 3 3" xfId="16193" xr:uid="{00000000-0005-0000-0000-0000063C0000}"/>
    <cellStyle name="Normal 7 2 3 2 3 4" xfId="16194" xr:uid="{00000000-0005-0000-0000-0000073C0000}"/>
    <cellStyle name="Normal 7 2 3 2 3 4 2" xfId="26950" xr:uid="{01086CB7-139F-4573-98E4-104C823017D3}"/>
    <cellStyle name="Normal 7 2 3 2 3 4 2 2" xfId="41913" xr:uid="{EC862C10-66DB-4CB6-B847-CDC5863E1A3E}"/>
    <cellStyle name="Normal 7 2 3 2 3 4 3" xfId="34325" xr:uid="{5EA568AF-2656-423E-97D0-9AF6DD360615}"/>
    <cellStyle name="Normal 7 2 3 2 3 5" xfId="16195" xr:uid="{00000000-0005-0000-0000-0000083C0000}"/>
    <cellStyle name="Normal 7 2 3 2 3 5 2" xfId="26951" xr:uid="{C819569B-B401-4596-8A32-F308ADC83BA7}"/>
    <cellStyle name="Normal 7 2 3 2 3 5 2 2" xfId="41914" xr:uid="{1F79A1E6-D9E1-452B-BBB7-7C5E64C0317B}"/>
    <cellStyle name="Normal 7 2 3 2 3 5 3" xfId="34326" xr:uid="{A04C848C-85E5-40B9-916F-D6F517D7BE41}"/>
    <cellStyle name="Normal 7 2 3 2 3 6" xfId="16196" xr:uid="{00000000-0005-0000-0000-0000093C0000}"/>
    <cellStyle name="Normal 7 2 3 2 4" xfId="16197" xr:uid="{00000000-0005-0000-0000-00000A3C0000}"/>
    <cellStyle name="Normal 7 2 3 2 4 2" xfId="16198" xr:uid="{00000000-0005-0000-0000-00000B3C0000}"/>
    <cellStyle name="Normal 7 2 3 2 4 2 2" xfId="16199" xr:uid="{00000000-0005-0000-0000-00000C3C0000}"/>
    <cellStyle name="Normal 7 2 3 2 4 2 3" xfId="16200" xr:uid="{00000000-0005-0000-0000-00000D3C0000}"/>
    <cellStyle name="Normal 7 2 3 2 4 3" xfId="16201" xr:uid="{00000000-0005-0000-0000-00000E3C0000}"/>
    <cellStyle name="Normal 7 2 3 2 4 3 2" xfId="16202" xr:uid="{00000000-0005-0000-0000-00000F3C0000}"/>
    <cellStyle name="Normal 7 2 3 2 4 3 3" xfId="26952" xr:uid="{522B2FAC-39D8-410B-ADDD-6FE6DE3A25B8}"/>
    <cellStyle name="Normal 7 2 3 2 4 3 3 2" xfId="41915" xr:uid="{4558160E-9A56-40BA-89B4-C25F6499502A}"/>
    <cellStyle name="Normal 7 2 3 2 4 3 4" xfId="34327" xr:uid="{1BA16827-7E66-4887-B2A4-1B19A8E183EC}"/>
    <cellStyle name="Normal 7 2 3 2 4 4" xfId="16203" xr:uid="{00000000-0005-0000-0000-0000103C0000}"/>
    <cellStyle name="Normal 7 2 3 2 5" xfId="16204" xr:uid="{00000000-0005-0000-0000-0000113C0000}"/>
    <cellStyle name="Normal 7 2 3 2 5 2" xfId="16205" xr:uid="{00000000-0005-0000-0000-0000123C0000}"/>
    <cellStyle name="Normal 7 2 3 2 5 3" xfId="16206" xr:uid="{00000000-0005-0000-0000-0000133C0000}"/>
    <cellStyle name="Normal 7 2 3 2 6" xfId="16207" xr:uid="{00000000-0005-0000-0000-0000143C0000}"/>
    <cellStyle name="Normal 7 2 3 2 7" xfId="16208" xr:uid="{00000000-0005-0000-0000-0000153C0000}"/>
    <cellStyle name="Normal 7 2 3 2 7 2" xfId="26953" xr:uid="{A99BB07A-32F4-404A-9806-DA91DA3DA162}"/>
    <cellStyle name="Normal 7 2 3 2 7 2 2" xfId="41916" xr:uid="{4BAFE6A0-C565-43A5-AF50-1EF3B71BD493}"/>
    <cellStyle name="Normal 7 2 3 2 7 3" xfId="34328" xr:uid="{62ED0AF1-17F2-4263-82BC-06F09BF9EEAD}"/>
    <cellStyle name="Normal 7 2 3 2 8" xfId="16209" xr:uid="{00000000-0005-0000-0000-0000163C0000}"/>
    <cellStyle name="Normal 7 2 3 2 8 2" xfId="26954" xr:uid="{CC64B379-A6E9-48EA-9ECD-EB87DAA470C6}"/>
    <cellStyle name="Normal 7 2 3 2 8 2 2" xfId="41917" xr:uid="{2A00460E-8FB0-44C4-8900-D0DE0120D890}"/>
    <cellStyle name="Normal 7 2 3 2 8 3" xfId="34329" xr:uid="{0FFFA0C3-F664-43EE-825A-9B79A1414F27}"/>
    <cellStyle name="Normal 7 2 3 2 9" xfId="16210" xr:uid="{00000000-0005-0000-0000-0000173C0000}"/>
    <cellStyle name="Normal 7 2 3 3" xfId="16211" xr:uid="{00000000-0005-0000-0000-0000183C0000}"/>
    <cellStyle name="Normal 7 2 3 3 2" xfId="16212" xr:uid="{00000000-0005-0000-0000-0000193C0000}"/>
    <cellStyle name="Normal 7 2 3 3 2 2" xfId="16213" xr:uid="{00000000-0005-0000-0000-00001A3C0000}"/>
    <cellStyle name="Normal 7 2 3 3 2 2 2" xfId="16214" xr:uid="{00000000-0005-0000-0000-00001B3C0000}"/>
    <cellStyle name="Normal 7 2 3 3 2 2 3" xfId="16215" xr:uid="{00000000-0005-0000-0000-00001C3C0000}"/>
    <cellStyle name="Normal 7 2 3 3 2 2 3 2" xfId="26955" xr:uid="{CA790367-05F3-4CD2-88BD-0235BF36C269}"/>
    <cellStyle name="Normal 7 2 3 3 2 2 3 2 2" xfId="41918" xr:uid="{11E8EE61-D4BE-41D2-84C1-E86A83E09E90}"/>
    <cellStyle name="Normal 7 2 3 3 2 2 3 3" xfId="34330" xr:uid="{172F20DD-0960-4EE0-AC21-31D1F88C6499}"/>
    <cellStyle name="Normal 7 2 3 3 2 2 4" xfId="16216" xr:uid="{00000000-0005-0000-0000-00001D3C0000}"/>
    <cellStyle name="Normal 7 2 3 3 2 3" xfId="16217" xr:uid="{00000000-0005-0000-0000-00001E3C0000}"/>
    <cellStyle name="Normal 7 2 3 3 2 4" xfId="16218" xr:uid="{00000000-0005-0000-0000-00001F3C0000}"/>
    <cellStyle name="Normal 7 2 3 3 2 4 2" xfId="26956" xr:uid="{A91BA964-ADC6-454B-AC20-C192356A7010}"/>
    <cellStyle name="Normal 7 2 3 3 2 4 2 2" xfId="41919" xr:uid="{CA01009E-1E01-4B9D-9138-4836E0C707D2}"/>
    <cellStyle name="Normal 7 2 3 3 2 4 3" xfId="34331" xr:uid="{868B1B1B-AB39-47B7-9BC6-D7B88322530A}"/>
    <cellStyle name="Normal 7 2 3 3 2 5" xfId="16219" xr:uid="{00000000-0005-0000-0000-0000203C0000}"/>
    <cellStyle name="Normal 7 2 3 3 2 5 2" xfId="26957" xr:uid="{95373916-F5AE-4EE8-8415-2C234229ABCE}"/>
    <cellStyle name="Normal 7 2 3 3 2 5 2 2" xfId="41920" xr:uid="{78EB6A0B-F57A-4A29-8E6C-2FF2DAEB66CB}"/>
    <cellStyle name="Normal 7 2 3 3 2 5 3" xfId="34332" xr:uid="{D0AC14DC-67DB-4091-9D6E-F5AFDFEEB4DC}"/>
    <cellStyle name="Normal 7 2 3 3 2 6" xfId="16220" xr:uid="{00000000-0005-0000-0000-0000213C0000}"/>
    <cellStyle name="Normal 7 2 3 3 3" xfId="16221" xr:uid="{00000000-0005-0000-0000-0000223C0000}"/>
    <cellStyle name="Normal 7 2 3 3 3 2" xfId="16222" xr:uid="{00000000-0005-0000-0000-0000233C0000}"/>
    <cellStyle name="Normal 7 2 3 3 3 2 2" xfId="16223" xr:uid="{00000000-0005-0000-0000-0000243C0000}"/>
    <cellStyle name="Normal 7 2 3 3 3 2 3" xfId="16224" xr:uid="{00000000-0005-0000-0000-0000253C0000}"/>
    <cellStyle name="Normal 7 2 3 3 3 3" xfId="16225" xr:uid="{00000000-0005-0000-0000-0000263C0000}"/>
    <cellStyle name="Normal 7 2 3 3 3 4" xfId="16226" xr:uid="{00000000-0005-0000-0000-0000273C0000}"/>
    <cellStyle name="Normal 7 2 3 3 3 4 2" xfId="26958" xr:uid="{C43B7A8A-9A78-42D7-AE15-B06DCCDFD765}"/>
    <cellStyle name="Normal 7 2 3 3 3 4 2 2" xfId="41921" xr:uid="{2FFD4CFF-EB05-43EE-BF10-8A62EEC8FE40}"/>
    <cellStyle name="Normal 7 2 3 3 3 4 3" xfId="34333" xr:uid="{85DBCDD4-A3B3-4F03-A06B-6FA85C8759BA}"/>
    <cellStyle name="Normal 7 2 3 3 3 5" xfId="16227" xr:uid="{00000000-0005-0000-0000-0000283C0000}"/>
    <cellStyle name="Normal 7 2 3 3 3 5 2" xfId="26959" xr:uid="{0D6E1304-89D7-4C9C-BA0A-BA6B42CFDC77}"/>
    <cellStyle name="Normal 7 2 3 3 3 5 2 2" xfId="41922" xr:uid="{D220BCD6-84C8-4111-B848-8A8450B2C68D}"/>
    <cellStyle name="Normal 7 2 3 3 3 5 3" xfId="34334" xr:uid="{1FF2AE24-1321-4232-8A8D-FDCEEE9EC7C4}"/>
    <cellStyle name="Normal 7 2 3 3 3 6" xfId="16228" xr:uid="{00000000-0005-0000-0000-0000293C0000}"/>
    <cellStyle name="Normal 7 2 3 3 4" xfId="16229" xr:uid="{00000000-0005-0000-0000-00002A3C0000}"/>
    <cellStyle name="Normal 7 2 3 3 4 2" xfId="16230" xr:uid="{00000000-0005-0000-0000-00002B3C0000}"/>
    <cellStyle name="Normal 7 2 3 3 4 3" xfId="16231" xr:uid="{00000000-0005-0000-0000-00002C3C0000}"/>
    <cellStyle name="Normal 7 2 3 3 5" xfId="16232" xr:uid="{00000000-0005-0000-0000-00002D3C0000}"/>
    <cellStyle name="Normal 7 2 3 3 6" xfId="16233" xr:uid="{00000000-0005-0000-0000-00002E3C0000}"/>
    <cellStyle name="Normal 7 2 3 3 6 2" xfId="26960" xr:uid="{D37B130F-AE63-4D55-9753-574598F6D65D}"/>
    <cellStyle name="Normal 7 2 3 3 6 2 2" xfId="41923" xr:uid="{BE9B2005-C12F-4DF4-A365-CA57F8209936}"/>
    <cellStyle name="Normal 7 2 3 3 6 3" xfId="34335" xr:uid="{4297492D-2A41-4B76-B706-4ADB9E27C7E2}"/>
    <cellStyle name="Normal 7 2 3 3 7" xfId="16234" xr:uid="{00000000-0005-0000-0000-00002F3C0000}"/>
    <cellStyle name="Normal 7 2 3 3 7 2" xfId="26961" xr:uid="{87A6E3E3-FDBD-4C05-9E7D-BB4A4449F08C}"/>
    <cellStyle name="Normal 7 2 3 3 7 2 2" xfId="41924" xr:uid="{089C0A41-5677-468B-A6F5-52EDE221FA15}"/>
    <cellStyle name="Normal 7 2 3 3 7 3" xfId="34336" xr:uid="{5843F409-18A6-476B-80A9-6CD96F888408}"/>
    <cellStyle name="Normal 7 2 3 3 8" xfId="16235" xr:uid="{00000000-0005-0000-0000-0000303C0000}"/>
    <cellStyle name="Normal 7 2 3 4" xfId="16236" xr:uid="{00000000-0005-0000-0000-0000313C0000}"/>
    <cellStyle name="Normal 7 2 3 4 2" xfId="16237" xr:uid="{00000000-0005-0000-0000-0000323C0000}"/>
    <cellStyle name="Normal 7 2 3 4 2 2" xfId="16238" xr:uid="{00000000-0005-0000-0000-0000333C0000}"/>
    <cellStyle name="Normal 7 2 3 4 2 3" xfId="26962" xr:uid="{799D05B8-8640-4E9E-AB24-3D1CFE54265A}"/>
    <cellStyle name="Normal 7 2 3 4 2 3 2" xfId="41925" xr:uid="{35698702-2548-4BC8-8ABC-BA285E1D9239}"/>
    <cellStyle name="Normal 7 2 3 4 2 4" xfId="34337" xr:uid="{F9210B09-A086-4C12-9F7A-297D3E061F25}"/>
    <cellStyle name="Normal 7 2 3 4 3" xfId="16239" xr:uid="{00000000-0005-0000-0000-0000343C0000}"/>
    <cellStyle name="Normal 7 2 3 4 4" xfId="16240" xr:uid="{00000000-0005-0000-0000-0000353C0000}"/>
    <cellStyle name="Normal 7 2 3 4 4 2" xfId="26963" xr:uid="{26B881B9-CAFC-4246-B713-9A685308AF9A}"/>
    <cellStyle name="Normal 7 2 3 4 4 2 2" xfId="41926" xr:uid="{A322FCC2-75ED-41B2-95D5-B7A7FC6317E3}"/>
    <cellStyle name="Normal 7 2 3 4 4 3" xfId="34338" xr:uid="{ED34FB40-0E0A-4F05-AC68-F7ED4C6D891D}"/>
    <cellStyle name="Normal 7 2 3 4 5" xfId="16241" xr:uid="{00000000-0005-0000-0000-0000363C0000}"/>
    <cellStyle name="Normal 7 2 3 5" xfId="16242" xr:uid="{00000000-0005-0000-0000-0000373C0000}"/>
    <cellStyle name="Normal 7 2 3 5 2" xfId="16243" xr:uid="{00000000-0005-0000-0000-0000383C0000}"/>
    <cellStyle name="Normal 7 2 3 5 2 2" xfId="16244" xr:uid="{00000000-0005-0000-0000-0000393C0000}"/>
    <cellStyle name="Normal 7 2 3 5 2 3" xfId="16245" xr:uid="{00000000-0005-0000-0000-00003A3C0000}"/>
    <cellStyle name="Normal 7 2 3 5 3" xfId="16246" xr:uid="{00000000-0005-0000-0000-00003B3C0000}"/>
    <cellStyle name="Normal 7 2 3 5 4" xfId="16247" xr:uid="{00000000-0005-0000-0000-00003C3C0000}"/>
    <cellStyle name="Normal 7 2 3 5 4 2" xfId="26964" xr:uid="{DFCAD4A2-31EC-4584-AF1D-7BD60DEAD227}"/>
    <cellStyle name="Normal 7 2 3 5 4 2 2" xfId="41927" xr:uid="{7B309AD7-27CB-4025-9367-F6168BD725E0}"/>
    <cellStyle name="Normal 7 2 3 5 4 3" xfId="34339" xr:uid="{D35BACDF-CE08-452F-A257-61FAFFB69C70}"/>
    <cellStyle name="Normal 7 2 3 5 5" xfId="16248" xr:uid="{00000000-0005-0000-0000-00003D3C0000}"/>
    <cellStyle name="Normal 7 2 3 5 5 2" xfId="26965" xr:uid="{7AC55ACD-0FD0-4253-B7DE-A4CD0A877021}"/>
    <cellStyle name="Normal 7 2 3 5 5 2 2" xfId="41928" xr:uid="{A7A67B20-B70A-4CE1-B4E3-DA1D1B0FC65F}"/>
    <cellStyle name="Normal 7 2 3 5 5 3" xfId="34340" xr:uid="{A3E56EA4-592E-4B0E-9558-BFD1D1B9E2E0}"/>
    <cellStyle name="Normal 7 2 3 5 6" xfId="16249" xr:uid="{00000000-0005-0000-0000-00003E3C0000}"/>
    <cellStyle name="Normal 7 2 3 6" xfId="16250" xr:uid="{00000000-0005-0000-0000-00003F3C0000}"/>
    <cellStyle name="Normal 7 2 3 6 2" xfId="16251" xr:uid="{00000000-0005-0000-0000-0000403C0000}"/>
    <cellStyle name="Normal 7 2 3 6 2 2" xfId="16252" xr:uid="{00000000-0005-0000-0000-0000413C0000}"/>
    <cellStyle name="Normal 7 2 3 6 2 3" xfId="16253" xr:uid="{00000000-0005-0000-0000-0000423C0000}"/>
    <cellStyle name="Normal 7 2 3 6 3" xfId="16254" xr:uid="{00000000-0005-0000-0000-0000433C0000}"/>
    <cellStyle name="Normal 7 2 3 6 4" xfId="16255" xr:uid="{00000000-0005-0000-0000-0000443C0000}"/>
    <cellStyle name="Normal 7 2 3 6 4 2" xfId="26966" xr:uid="{A3A27810-195D-41D2-B52E-17031F351835}"/>
    <cellStyle name="Normal 7 2 3 6 4 2 2" xfId="41929" xr:uid="{97F9DE77-27D0-4053-94AA-6DB71CB90ED2}"/>
    <cellStyle name="Normal 7 2 3 6 4 3" xfId="34341" xr:uid="{5D70C9B3-9555-42E9-82CA-65221F43B759}"/>
    <cellStyle name="Normal 7 2 3 6 5" xfId="16256" xr:uid="{00000000-0005-0000-0000-0000453C0000}"/>
    <cellStyle name="Normal 7 2 3 6 5 2" xfId="26967" xr:uid="{F4FCA973-AE77-4690-8740-22CF0942CB72}"/>
    <cellStyle name="Normal 7 2 3 6 5 2 2" xfId="41930" xr:uid="{998124C8-75BD-44B1-A494-674B99FD8B9D}"/>
    <cellStyle name="Normal 7 2 3 6 5 3" xfId="34342" xr:uid="{40821F29-8073-4636-84FB-22CFE3C2C887}"/>
    <cellStyle name="Normal 7 2 3 6 6" xfId="16257" xr:uid="{00000000-0005-0000-0000-0000463C0000}"/>
    <cellStyle name="Normal 7 2 3 7" xfId="16258" xr:uid="{00000000-0005-0000-0000-0000473C0000}"/>
    <cellStyle name="Normal 7 2 3 7 2" xfId="16259" xr:uid="{00000000-0005-0000-0000-0000483C0000}"/>
    <cellStyle name="Normal 7 2 3 7 3" xfId="16260" xr:uid="{00000000-0005-0000-0000-0000493C0000}"/>
    <cellStyle name="Normal 7 2 3 8" xfId="16261" xr:uid="{00000000-0005-0000-0000-00004A3C0000}"/>
    <cellStyle name="Normal 7 2 3 9" xfId="16262" xr:uid="{00000000-0005-0000-0000-00004B3C0000}"/>
    <cellStyle name="Normal 7 2 3 9 2" xfId="26968" xr:uid="{3AC30ACF-B6C2-4B33-A383-E0BC2AC4F601}"/>
    <cellStyle name="Normal 7 2 3 9 2 2" xfId="41931" xr:uid="{FC5D8A36-802B-4E7E-B667-CECA1107387F}"/>
    <cellStyle name="Normal 7 2 3 9 3" xfId="34343" xr:uid="{1AC325C4-BEED-4FDF-B702-92152B11D873}"/>
    <cellStyle name="Normal 7 2 4" xfId="2549" xr:uid="{00000000-0005-0000-0000-0000BC090000}"/>
    <cellStyle name="Normal 7 2 4 2" xfId="16263" xr:uid="{00000000-0005-0000-0000-00004D3C0000}"/>
    <cellStyle name="Normal 7 2 4 2 2" xfId="16264" xr:uid="{00000000-0005-0000-0000-00004E3C0000}"/>
    <cellStyle name="Normal 7 2 4 2 2 2" xfId="16265" xr:uid="{00000000-0005-0000-0000-00004F3C0000}"/>
    <cellStyle name="Normal 7 2 4 2 2 2 2" xfId="16266" xr:uid="{00000000-0005-0000-0000-0000503C0000}"/>
    <cellStyle name="Normal 7 2 4 2 2 2 2 2" xfId="16267" xr:uid="{00000000-0005-0000-0000-0000513C0000}"/>
    <cellStyle name="Normal 7 2 4 2 2 2 2 3" xfId="16268" xr:uid="{00000000-0005-0000-0000-0000523C0000}"/>
    <cellStyle name="Normal 7 2 4 2 2 2 3" xfId="16269" xr:uid="{00000000-0005-0000-0000-0000533C0000}"/>
    <cellStyle name="Normal 7 2 4 2 2 2 3 2" xfId="16270" xr:uid="{00000000-0005-0000-0000-0000543C0000}"/>
    <cellStyle name="Normal 7 2 4 2 2 2 3 3" xfId="26969" xr:uid="{1567395F-0352-4DEF-953A-CA085BB95BBE}"/>
    <cellStyle name="Normal 7 2 4 2 2 2 3 3 2" xfId="41932" xr:uid="{D52EAF9F-1867-4406-903E-41C6EBC7F800}"/>
    <cellStyle name="Normal 7 2 4 2 2 2 3 4" xfId="34344" xr:uid="{BD70EB32-70C6-4BF1-A515-B774B61BBD23}"/>
    <cellStyle name="Normal 7 2 4 2 2 2 4" xfId="16271" xr:uid="{00000000-0005-0000-0000-0000553C0000}"/>
    <cellStyle name="Normal 7 2 4 2 2 3" xfId="16272" xr:uid="{00000000-0005-0000-0000-0000563C0000}"/>
    <cellStyle name="Normal 7 2 4 2 2 3 2" xfId="16273" xr:uid="{00000000-0005-0000-0000-0000573C0000}"/>
    <cellStyle name="Normal 7 2 4 2 2 3 3" xfId="16274" xr:uid="{00000000-0005-0000-0000-0000583C0000}"/>
    <cellStyle name="Normal 7 2 4 2 2 4" xfId="16275" xr:uid="{00000000-0005-0000-0000-0000593C0000}"/>
    <cellStyle name="Normal 7 2 4 2 2 5" xfId="16276" xr:uid="{00000000-0005-0000-0000-00005A3C0000}"/>
    <cellStyle name="Normal 7 2 4 2 2 5 2" xfId="26970" xr:uid="{46453EB1-25FB-42DB-A3C9-AB007864D9A2}"/>
    <cellStyle name="Normal 7 2 4 2 2 5 2 2" xfId="41933" xr:uid="{82C453C2-B812-404A-B14B-0F66A8306CA9}"/>
    <cellStyle name="Normal 7 2 4 2 2 5 3" xfId="34345" xr:uid="{B7799F83-AA92-44CC-B2C8-C188AE81113E}"/>
    <cellStyle name="Normal 7 2 4 2 2 6" xfId="16277" xr:uid="{00000000-0005-0000-0000-00005B3C0000}"/>
    <cellStyle name="Normal 7 2 4 2 2 6 2" xfId="26971" xr:uid="{B5CA4CE4-DD0A-4CC7-8127-1C2120A64AA9}"/>
    <cellStyle name="Normal 7 2 4 2 2 6 2 2" xfId="41934" xr:uid="{9AC5B40D-68F1-48BC-8F87-3FBBCD692A60}"/>
    <cellStyle name="Normal 7 2 4 2 2 6 3" xfId="34346" xr:uid="{2B8CAFC3-717A-4075-8ABF-F730E7030083}"/>
    <cellStyle name="Normal 7 2 4 2 2 7" xfId="16278" xr:uid="{00000000-0005-0000-0000-00005C3C0000}"/>
    <cellStyle name="Normal 7 2 4 2 3" xfId="16279" xr:uid="{00000000-0005-0000-0000-00005D3C0000}"/>
    <cellStyle name="Normal 7 2 4 2 3 2" xfId="16280" xr:uid="{00000000-0005-0000-0000-00005E3C0000}"/>
    <cellStyle name="Normal 7 2 4 2 3 2 2" xfId="16281" xr:uid="{00000000-0005-0000-0000-00005F3C0000}"/>
    <cellStyle name="Normal 7 2 4 2 3 2 3" xfId="16282" xr:uid="{00000000-0005-0000-0000-0000603C0000}"/>
    <cellStyle name="Normal 7 2 4 2 3 3" xfId="16283" xr:uid="{00000000-0005-0000-0000-0000613C0000}"/>
    <cellStyle name="Normal 7 2 4 2 3 3 2" xfId="16284" xr:uid="{00000000-0005-0000-0000-0000623C0000}"/>
    <cellStyle name="Normal 7 2 4 2 3 3 3" xfId="26972" xr:uid="{DF45307E-D76D-495A-B2A1-D003EDD36081}"/>
    <cellStyle name="Normal 7 2 4 2 3 3 3 2" xfId="41935" xr:uid="{C160572D-ABF0-4B53-A886-7A86614C6641}"/>
    <cellStyle name="Normal 7 2 4 2 3 3 4" xfId="34347" xr:uid="{02839506-AC62-4439-BB23-162C7CDE3E71}"/>
    <cellStyle name="Normal 7 2 4 2 3 4" xfId="16285" xr:uid="{00000000-0005-0000-0000-0000633C0000}"/>
    <cellStyle name="Normal 7 2 4 2 4" xfId="16286" xr:uid="{00000000-0005-0000-0000-0000643C0000}"/>
    <cellStyle name="Normal 7 2 4 2 5" xfId="16287" xr:uid="{00000000-0005-0000-0000-0000653C0000}"/>
    <cellStyle name="Normal 7 2 4 2 5 2" xfId="26973" xr:uid="{8100016E-F200-4A61-AA26-E537871A82B4}"/>
    <cellStyle name="Normal 7 2 4 2 5 2 2" xfId="41936" xr:uid="{13CA3563-B5E5-4263-934A-4E2E87F06AB8}"/>
    <cellStyle name="Normal 7 2 4 2 5 3" xfId="34348" xr:uid="{8486E3E3-2FA4-4018-BD20-F40048360023}"/>
    <cellStyle name="Normal 7 2 4 2 6" xfId="16288" xr:uid="{00000000-0005-0000-0000-0000663C0000}"/>
    <cellStyle name="Normal 7 2 4 3" xfId="16289" xr:uid="{00000000-0005-0000-0000-0000673C0000}"/>
    <cellStyle name="Normal 7 2 4 3 2" xfId="16290" xr:uid="{00000000-0005-0000-0000-0000683C0000}"/>
    <cellStyle name="Normal 7 2 4 3 2 2" xfId="16291" xr:uid="{00000000-0005-0000-0000-0000693C0000}"/>
    <cellStyle name="Normal 7 2 4 3 2 3" xfId="16292" xr:uid="{00000000-0005-0000-0000-00006A3C0000}"/>
    <cellStyle name="Normal 7 2 4 3 3" xfId="16293" xr:uid="{00000000-0005-0000-0000-00006B3C0000}"/>
    <cellStyle name="Normal 7 2 4 3 4" xfId="16294" xr:uid="{00000000-0005-0000-0000-00006C3C0000}"/>
    <cellStyle name="Normal 7 2 4 3 4 2" xfId="26974" xr:uid="{A35218C2-4DD4-472F-B21F-A18FF67F06F2}"/>
    <cellStyle name="Normal 7 2 4 3 4 2 2" xfId="41937" xr:uid="{8013C708-6927-40DE-A963-43F8E5598FAB}"/>
    <cellStyle name="Normal 7 2 4 3 4 3" xfId="34349" xr:uid="{915DB0AF-85F4-45FB-8BD5-F6C1182A6E51}"/>
    <cellStyle name="Normal 7 2 4 3 5" xfId="16295" xr:uid="{00000000-0005-0000-0000-00006D3C0000}"/>
    <cellStyle name="Normal 7 2 4 3 5 2" xfId="26975" xr:uid="{413F1085-ED08-4993-A39B-81F286BA6007}"/>
    <cellStyle name="Normal 7 2 4 3 5 2 2" xfId="41938" xr:uid="{79178E31-A499-4C20-9DDF-C4C9612A7F52}"/>
    <cellStyle name="Normal 7 2 4 3 5 3" xfId="34350" xr:uid="{50463F47-6C60-49D9-813C-15947B9085D6}"/>
    <cellStyle name="Normal 7 2 4 3 6" xfId="16296" xr:uid="{00000000-0005-0000-0000-00006E3C0000}"/>
    <cellStyle name="Normal 7 2 4 4" xfId="16297" xr:uid="{00000000-0005-0000-0000-00006F3C0000}"/>
    <cellStyle name="Normal 7 2 4 4 2" xfId="16298" xr:uid="{00000000-0005-0000-0000-0000703C0000}"/>
    <cellStyle name="Normal 7 2 4 4 2 2" xfId="16299" xr:uid="{00000000-0005-0000-0000-0000713C0000}"/>
    <cellStyle name="Normal 7 2 4 4 2 3" xfId="16300" xr:uid="{00000000-0005-0000-0000-0000723C0000}"/>
    <cellStyle name="Normal 7 2 4 4 3" xfId="16301" xr:uid="{00000000-0005-0000-0000-0000733C0000}"/>
    <cellStyle name="Normal 7 2 4 4 4" xfId="16302" xr:uid="{00000000-0005-0000-0000-0000743C0000}"/>
    <cellStyle name="Normal 7 2 4 4 4 2" xfId="26976" xr:uid="{487D713D-5050-4346-BD05-64E2FB6A0CD1}"/>
    <cellStyle name="Normal 7 2 4 4 4 2 2" xfId="41939" xr:uid="{5D410E5E-841F-45B8-A54C-E9833740DB6C}"/>
    <cellStyle name="Normal 7 2 4 4 4 3" xfId="34351" xr:uid="{972ED02C-C316-4AB7-8CAE-191269F131E0}"/>
    <cellStyle name="Normal 7 2 4 4 5" xfId="16303" xr:uid="{00000000-0005-0000-0000-0000753C0000}"/>
    <cellStyle name="Normal 7 2 4 4 5 2" xfId="26977" xr:uid="{12763132-A3B2-43A2-89F0-62AC30D61BAD}"/>
    <cellStyle name="Normal 7 2 4 4 5 2 2" xfId="41940" xr:uid="{DB4494C6-69CA-4C1F-9B71-942C288295B4}"/>
    <cellStyle name="Normal 7 2 4 4 5 3" xfId="34352" xr:uid="{637E5146-6B88-42C5-8D48-B6BC9BFDC3CB}"/>
    <cellStyle name="Normal 7 2 4 4 6" xfId="16304" xr:uid="{00000000-0005-0000-0000-0000763C0000}"/>
    <cellStyle name="Normal 7 2 4 5" xfId="16305" xr:uid="{00000000-0005-0000-0000-0000773C0000}"/>
    <cellStyle name="Normal 7 2 4 5 2" xfId="16306" xr:uid="{00000000-0005-0000-0000-0000783C0000}"/>
    <cellStyle name="Normal 7 2 4 5 3" xfId="16307" xr:uid="{00000000-0005-0000-0000-0000793C0000}"/>
    <cellStyle name="Normal 7 2 4 6" xfId="16308" xr:uid="{00000000-0005-0000-0000-00007A3C0000}"/>
    <cellStyle name="Normal 7 2 4 7" xfId="16309" xr:uid="{00000000-0005-0000-0000-00007B3C0000}"/>
    <cellStyle name="Normal 7 2 4 7 2" xfId="26978" xr:uid="{BD7543A9-89A1-4B41-8631-11C434969370}"/>
    <cellStyle name="Normal 7 2 4 7 2 2" xfId="41941" xr:uid="{79596666-9F46-4E61-B8DD-F80C16B27B68}"/>
    <cellStyle name="Normal 7 2 4 7 3" xfId="34353" xr:uid="{F230BF40-1751-4DDE-9901-EBDC486DC459}"/>
    <cellStyle name="Normal 7 2 4 8" xfId="16310" xr:uid="{00000000-0005-0000-0000-00007C3C0000}"/>
    <cellStyle name="Normal 7 2 5" xfId="2550" xr:uid="{00000000-0005-0000-0000-0000BD090000}"/>
    <cellStyle name="Normal 7 2 5 2" xfId="16311" xr:uid="{00000000-0005-0000-0000-00007E3C0000}"/>
    <cellStyle name="Normal 7 2 5 2 2" xfId="16312" xr:uid="{00000000-0005-0000-0000-00007F3C0000}"/>
    <cellStyle name="Normal 7 2 5 2 2 2" xfId="16313" xr:uid="{00000000-0005-0000-0000-0000803C0000}"/>
    <cellStyle name="Normal 7 2 5 2 2 3" xfId="26979" xr:uid="{9F2B1AFD-805F-4258-83E7-AB6DE966F5B2}"/>
    <cellStyle name="Normal 7 2 5 2 2 3 2" xfId="41942" xr:uid="{02A49CAA-7B8C-4EBC-A2B8-50C1F2CC5EF4}"/>
    <cellStyle name="Normal 7 2 5 2 2 4" xfId="34354" xr:uid="{6E1312F3-3BAF-4715-879D-2E178C80DFF7}"/>
    <cellStyle name="Normal 7 2 5 2 3" xfId="16314" xr:uid="{00000000-0005-0000-0000-0000813C0000}"/>
    <cellStyle name="Normal 7 2 5 2 4" xfId="16315" xr:uid="{00000000-0005-0000-0000-0000823C0000}"/>
    <cellStyle name="Normal 7 2 5 2 4 2" xfId="26980" xr:uid="{FE61859B-4BEC-4755-B158-F04AD41B7A9C}"/>
    <cellStyle name="Normal 7 2 5 2 4 2 2" xfId="41943" xr:uid="{1E761F52-B745-499C-B8FC-481D618D8E36}"/>
    <cellStyle name="Normal 7 2 5 2 4 3" xfId="34355" xr:uid="{5BFA41F9-AF5F-4772-B77B-A85A8350A4DE}"/>
    <cellStyle name="Normal 7 2 5 2 5" xfId="16316" xr:uid="{00000000-0005-0000-0000-0000833C0000}"/>
    <cellStyle name="Normal 7 2 5 3" xfId="16317" xr:uid="{00000000-0005-0000-0000-0000843C0000}"/>
    <cellStyle name="Normal 7 2 5 3 2" xfId="16318" xr:uid="{00000000-0005-0000-0000-0000853C0000}"/>
    <cellStyle name="Normal 7 2 5 3 2 2" xfId="16319" xr:uid="{00000000-0005-0000-0000-0000863C0000}"/>
    <cellStyle name="Normal 7 2 5 3 2 3" xfId="16320" xr:uid="{00000000-0005-0000-0000-0000873C0000}"/>
    <cellStyle name="Normal 7 2 5 3 3" xfId="16321" xr:uid="{00000000-0005-0000-0000-0000883C0000}"/>
    <cellStyle name="Normal 7 2 5 3 4" xfId="16322" xr:uid="{00000000-0005-0000-0000-0000893C0000}"/>
    <cellStyle name="Normal 7 2 5 3 4 2" xfId="26981" xr:uid="{8C3C015E-2A79-41A0-BAB5-1CFF71B86BA9}"/>
    <cellStyle name="Normal 7 2 5 3 4 2 2" xfId="41944" xr:uid="{D6369520-A9ED-4BD1-9C15-B80FC4AFA9DB}"/>
    <cellStyle name="Normal 7 2 5 3 4 3" xfId="34356" xr:uid="{E07E6A2C-2F2B-4D3F-9F0B-DBEBD0EC4874}"/>
    <cellStyle name="Normal 7 2 5 3 5" xfId="16323" xr:uid="{00000000-0005-0000-0000-00008A3C0000}"/>
    <cellStyle name="Normal 7 2 5 3 5 2" xfId="26982" xr:uid="{AE2966F5-CB6F-4859-8325-692BC283AF73}"/>
    <cellStyle name="Normal 7 2 5 3 5 2 2" xfId="41945" xr:uid="{D1ABFDB0-39BA-4A13-AABF-85079DDE02AE}"/>
    <cellStyle name="Normal 7 2 5 3 5 3" xfId="34357" xr:uid="{E44694C8-61B3-4632-8350-81D3C499F183}"/>
    <cellStyle name="Normal 7 2 5 3 6" xfId="16324" xr:uid="{00000000-0005-0000-0000-00008B3C0000}"/>
    <cellStyle name="Normal 7 2 5 4" xfId="16325" xr:uid="{00000000-0005-0000-0000-00008C3C0000}"/>
    <cellStyle name="Normal 7 2 5 4 2" xfId="16326" xr:uid="{00000000-0005-0000-0000-00008D3C0000}"/>
    <cellStyle name="Normal 7 2 5 4 2 2" xfId="16327" xr:uid="{00000000-0005-0000-0000-00008E3C0000}"/>
    <cellStyle name="Normal 7 2 5 4 2 3" xfId="16328" xr:uid="{00000000-0005-0000-0000-00008F3C0000}"/>
    <cellStyle name="Normal 7 2 5 4 3" xfId="16329" xr:uid="{00000000-0005-0000-0000-0000903C0000}"/>
    <cellStyle name="Normal 7 2 5 4 4" xfId="16330" xr:uid="{00000000-0005-0000-0000-0000913C0000}"/>
    <cellStyle name="Normal 7 2 5 4 4 2" xfId="26983" xr:uid="{422FEF8A-B7F0-46BF-AEB5-FE4301F72812}"/>
    <cellStyle name="Normal 7 2 5 4 4 2 2" xfId="41946" xr:uid="{AEEB89F7-0325-4E4D-A48C-54A04FC65214}"/>
    <cellStyle name="Normal 7 2 5 4 4 3" xfId="34358" xr:uid="{32E7ED85-4389-4ADF-A579-8ED2F3E26249}"/>
    <cellStyle name="Normal 7 2 5 4 5" xfId="16331" xr:uid="{00000000-0005-0000-0000-0000923C0000}"/>
    <cellStyle name="Normal 7 2 5 4 5 2" xfId="26984" xr:uid="{A7F17FD9-066B-40EA-A53D-E6933264EDB9}"/>
    <cellStyle name="Normal 7 2 5 4 5 2 2" xfId="41947" xr:uid="{3AD32E48-AA4E-41B1-91E2-9D59DEB97522}"/>
    <cellStyle name="Normal 7 2 5 4 5 3" xfId="34359" xr:uid="{16D49AF9-7D3D-47A9-8F53-D829D0913EEC}"/>
    <cellStyle name="Normal 7 2 5 4 6" xfId="16332" xr:uid="{00000000-0005-0000-0000-0000933C0000}"/>
    <cellStyle name="Normal 7 2 5 5" xfId="16333" xr:uid="{00000000-0005-0000-0000-0000943C0000}"/>
    <cellStyle name="Normal 7 2 5 5 2" xfId="16334" xr:uid="{00000000-0005-0000-0000-0000953C0000}"/>
    <cellStyle name="Normal 7 2 5 5 3" xfId="16335" xr:uid="{00000000-0005-0000-0000-0000963C0000}"/>
    <cellStyle name="Normal 7 2 5 6" xfId="16336" xr:uid="{00000000-0005-0000-0000-0000973C0000}"/>
    <cellStyle name="Normal 7 2 5 7" xfId="16337" xr:uid="{00000000-0005-0000-0000-0000983C0000}"/>
    <cellStyle name="Normal 7 2 5 7 2" xfId="26985" xr:uid="{51CEF550-089C-4C4D-BE93-CE2BF133E735}"/>
    <cellStyle name="Normal 7 2 5 7 2 2" xfId="41948" xr:uid="{9FE458F3-AD7F-4059-88FC-230AE7719D7B}"/>
    <cellStyle name="Normal 7 2 5 7 3" xfId="34360" xr:uid="{6B5B1011-9EF6-42BB-8D83-273B81BD5645}"/>
    <cellStyle name="Normal 7 2 5 8" xfId="16338" xr:uid="{00000000-0005-0000-0000-0000993C0000}"/>
    <cellStyle name="Normal 7 2 6" xfId="2551" xr:uid="{00000000-0005-0000-0000-0000BE090000}"/>
    <cellStyle name="Normal 7 2 6 2" xfId="16339" xr:uid="{00000000-0005-0000-0000-00009B3C0000}"/>
    <cellStyle name="Normal 7 2 6 2 2" xfId="16340" xr:uid="{00000000-0005-0000-0000-00009C3C0000}"/>
    <cellStyle name="Normal 7 2 6 2 3" xfId="26986" xr:uid="{05E268A1-375E-4CED-A813-ADA53EC9A698}"/>
    <cellStyle name="Normal 7 2 6 2 3 2" xfId="41949" xr:uid="{83E284B6-574D-4BBA-B96E-8E2B75D1E549}"/>
    <cellStyle name="Normal 7 2 6 2 4" xfId="34361" xr:uid="{BA791D5D-FDE3-4302-9C01-219D34D8AB76}"/>
    <cellStyle name="Normal 7 2 6 3" xfId="16341" xr:uid="{00000000-0005-0000-0000-00009D3C0000}"/>
    <cellStyle name="Normal 7 2 6 3 2" xfId="26987" xr:uid="{0CAB6210-8D71-4DAE-B638-696C0EDBE047}"/>
    <cellStyle name="Normal 7 2 6 3 2 2" xfId="41950" xr:uid="{45530256-B3C4-4119-BCCF-18A9F5694984}"/>
    <cellStyle name="Normal 7 2 6 3 3" xfId="34362" xr:uid="{82590357-1D07-4F9C-9C7B-B66F8EC4B1FD}"/>
    <cellStyle name="Normal 7 2 6 4" xfId="16342" xr:uid="{00000000-0005-0000-0000-00009E3C0000}"/>
    <cellStyle name="Normal 7 2 6 5" xfId="16343" xr:uid="{00000000-0005-0000-0000-00009F3C0000}"/>
    <cellStyle name="Normal 7 2 7" xfId="2552" xr:uid="{00000000-0005-0000-0000-0000BF090000}"/>
    <cellStyle name="Normal 7 2 7 2" xfId="16345" xr:uid="{00000000-0005-0000-0000-0000A13C0000}"/>
    <cellStyle name="Normal 7 2 7 3" xfId="16346" xr:uid="{00000000-0005-0000-0000-0000A23C0000}"/>
    <cellStyle name="Normal 7 2 8" xfId="2553" xr:uid="{00000000-0005-0000-0000-0000C0090000}"/>
    <cellStyle name="Normal 7 2 8 2" xfId="16347" xr:uid="{00000000-0005-0000-0000-0000A43C0000}"/>
    <cellStyle name="Normal 7 2 8 3" xfId="16348" xr:uid="{00000000-0005-0000-0000-0000A53C0000}"/>
    <cellStyle name="Normal 7 2 9" xfId="2554" xr:uid="{00000000-0005-0000-0000-0000C1090000}"/>
    <cellStyle name="Normal 7 2 9 2" xfId="16349" xr:uid="{00000000-0005-0000-0000-0000A73C0000}"/>
    <cellStyle name="Normal 7 2 9 3" xfId="16350" xr:uid="{00000000-0005-0000-0000-0000A83C0000}"/>
    <cellStyle name="Normal 7 2_App b.3 Unspent_" xfId="2555" xr:uid="{00000000-0005-0000-0000-0000C2090000}"/>
    <cellStyle name="Normal 7 20" xfId="2556" xr:uid="{00000000-0005-0000-0000-0000C3090000}"/>
    <cellStyle name="Normal 7 20 2" xfId="16351" xr:uid="{00000000-0005-0000-0000-0000AA3C0000}"/>
    <cellStyle name="Normal 7 20 3" xfId="16352" xr:uid="{00000000-0005-0000-0000-0000AB3C0000}"/>
    <cellStyle name="Normal 7 21" xfId="2557" xr:uid="{00000000-0005-0000-0000-0000C4090000}"/>
    <cellStyle name="Normal 7 21 2" xfId="16354" xr:uid="{00000000-0005-0000-0000-0000AD3C0000}"/>
    <cellStyle name="Normal 7 21 3" xfId="16355" xr:uid="{00000000-0005-0000-0000-0000AE3C0000}"/>
    <cellStyle name="Normal 7 22" xfId="2558" xr:uid="{00000000-0005-0000-0000-0000C5090000}"/>
    <cellStyle name="Normal 7 22 2" xfId="16356" xr:uid="{00000000-0005-0000-0000-0000B03C0000}"/>
    <cellStyle name="Normal 7 22 3" xfId="16357" xr:uid="{00000000-0005-0000-0000-0000B13C0000}"/>
    <cellStyle name="Normal 7 23" xfId="2559" xr:uid="{00000000-0005-0000-0000-0000C6090000}"/>
    <cellStyle name="Normal 7 23 2" xfId="16358" xr:uid="{00000000-0005-0000-0000-0000B33C0000}"/>
    <cellStyle name="Normal 7 23 3" xfId="16359" xr:uid="{00000000-0005-0000-0000-0000B43C0000}"/>
    <cellStyle name="Normal 7 24" xfId="2560" xr:uid="{00000000-0005-0000-0000-0000C7090000}"/>
    <cellStyle name="Normal 7 24 2" xfId="16360" xr:uid="{00000000-0005-0000-0000-0000B63C0000}"/>
    <cellStyle name="Normal 7 24 3" xfId="16361" xr:uid="{00000000-0005-0000-0000-0000B73C0000}"/>
    <cellStyle name="Normal 7 25" xfId="16362" xr:uid="{00000000-0005-0000-0000-0000B83C0000}"/>
    <cellStyle name="Normal 7 25 2" xfId="16363" xr:uid="{00000000-0005-0000-0000-0000B93C0000}"/>
    <cellStyle name="Normal 7 25 2 2" xfId="16364" xr:uid="{00000000-0005-0000-0000-0000BA3C0000}"/>
    <cellStyle name="Normal 7 25 2 3" xfId="16365" xr:uid="{00000000-0005-0000-0000-0000BB3C0000}"/>
    <cellStyle name="Normal 7 25 2 3 2" xfId="26989" xr:uid="{BB038CEF-7850-412B-ADD8-187AC69D806C}"/>
    <cellStyle name="Normal 7 25 2 3 2 2" xfId="41952" xr:uid="{9ECB5F86-1E32-43BC-8988-25EC4230952A}"/>
    <cellStyle name="Normal 7 25 2 3 3" xfId="34365" xr:uid="{DAD6072D-9A90-4DFB-BC8F-177212FB14A3}"/>
    <cellStyle name="Normal 7 25 2 4" xfId="16366" xr:uid="{00000000-0005-0000-0000-0000BC3C0000}"/>
    <cellStyle name="Normal 7 25 3" xfId="16367" xr:uid="{00000000-0005-0000-0000-0000BD3C0000}"/>
    <cellStyle name="Normal 7 25 4" xfId="16368" xr:uid="{00000000-0005-0000-0000-0000BE3C0000}"/>
    <cellStyle name="Normal 7 25 4 2" xfId="26990" xr:uid="{ED36A405-C22C-4813-A00C-AA7EDA5BF630}"/>
    <cellStyle name="Normal 7 25 4 2 2" xfId="41953" xr:uid="{1335015A-BBDF-40E4-8F32-4EDF8C7AA310}"/>
    <cellStyle name="Normal 7 25 4 3" xfId="34366" xr:uid="{128643AD-3AC9-4CD3-9697-997C7DA52A3A}"/>
    <cellStyle name="Normal 7 25 5" xfId="16369" xr:uid="{00000000-0005-0000-0000-0000BF3C0000}"/>
    <cellStyle name="Normal 7 25 5 2" xfId="26991" xr:uid="{942E96B8-D7F0-48B7-AB5A-21448DFDE05F}"/>
    <cellStyle name="Normal 7 25 5 2 2" xfId="41954" xr:uid="{A54DD020-D140-4C60-9EC2-2DA211F4AE4A}"/>
    <cellStyle name="Normal 7 25 5 3" xfId="34367" xr:uid="{2667ECB6-2E82-405C-B92A-23717C807246}"/>
    <cellStyle name="Normal 7 25 6" xfId="16370" xr:uid="{00000000-0005-0000-0000-0000C03C0000}"/>
    <cellStyle name="Normal 7 26" xfId="16371" xr:uid="{00000000-0005-0000-0000-0000C13C0000}"/>
    <cellStyle name="Normal 7 26 2" xfId="16372" xr:uid="{00000000-0005-0000-0000-0000C23C0000}"/>
    <cellStyle name="Normal 7 26 2 2" xfId="16373" xr:uid="{00000000-0005-0000-0000-0000C33C0000}"/>
    <cellStyle name="Normal 7 26 2 3" xfId="16374" xr:uid="{00000000-0005-0000-0000-0000C43C0000}"/>
    <cellStyle name="Normal 7 26 3" xfId="16375" xr:uid="{00000000-0005-0000-0000-0000C53C0000}"/>
    <cellStyle name="Normal 7 26 4" xfId="16376" xr:uid="{00000000-0005-0000-0000-0000C63C0000}"/>
    <cellStyle name="Normal 7 26 4 2" xfId="26992" xr:uid="{3F960C33-591F-45AC-9573-5F0DC2E61FEC}"/>
    <cellStyle name="Normal 7 26 4 2 2" xfId="41955" xr:uid="{B5618CD9-0C66-4175-821E-691825741973}"/>
    <cellStyle name="Normal 7 26 4 3" xfId="34368" xr:uid="{9C2DE5B4-D3C1-4914-A85B-624B3C8A1E1B}"/>
    <cellStyle name="Normal 7 26 5" xfId="16377" xr:uid="{00000000-0005-0000-0000-0000C73C0000}"/>
    <cellStyle name="Normal 7 26 6" xfId="16378" xr:uid="{00000000-0005-0000-0000-0000C83C0000}"/>
    <cellStyle name="Normal 7 27" xfId="16379" xr:uid="{00000000-0005-0000-0000-0000C93C0000}"/>
    <cellStyle name="Normal 7 27 2" xfId="16380" xr:uid="{00000000-0005-0000-0000-0000CA3C0000}"/>
    <cellStyle name="Normal 7 27 3" xfId="16381" xr:uid="{00000000-0005-0000-0000-0000CB3C0000}"/>
    <cellStyle name="Normal 7 27 3 2" xfId="26993" xr:uid="{27026C7D-B351-4A85-941D-2731264CC5A3}"/>
    <cellStyle name="Normal 7 27 3 2 2" xfId="41956" xr:uid="{2AD57BBE-60C7-45A5-9F47-CBE207E297BA}"/>
    <cellStyle name="Normal 7 27 3 3" xfId="34369" xr:uid="{AA09E78B-618D-462C-806A-189F8BA01ED7}"/>
    <cellStyle name="Normal 7 27 4" xfId="16382" xr:uid="{00000000-0005-0000-0000-0000CC3C0000}"/>
    <cellStyle name="Normal 7 28" xfId="16383" xr:uid="{00000000-0005-0000-0000-0000CD3C0000}"/>
    <cellStyle name="Normal 7 28 2" xfId="16384" xr:uid="{00000000-0005-0000-0000-0000CE3C0000}"/>
    <cellStyle name="Normal 7 28 2 2" xfId="26995" xr:uid="{64E7A9F1-2CB6-4E3F-8295-16F798EFDEB9}"/>
    <cellStyle name="Normal 7 28 2 2 2" xfId="41958" xr:uid="{4E979F79-0EE2-44BF-81BB-BF42557F716D}"/>
    <cellStyle name="Normal 7 28 2 3" xfId="34371" xr:uid="{54C3A991-119D-4F3A-BD7A-A5591415C54E}"/>
    <cellStyle name="Normal 7 28 3" xfId="16385" xr:uid="{00000000-0005-0000-0000-0000CF3C0000}"/>
    <cellStyle name="Normal 7 28 3 2" xfId="26996" xr:uid="{79066896-A0BE-4E31-B6EA-D1840270BBAD}"/>
    <cellStyle name="Normal 7 28 3 2 2" xfId="41959" xr:uid="{A527461A-B2C4-4E94-BA89-831AEA41D9CD}"/>
    <cellStyle name="Normal 7 28 3 3" xfId="34372" xr:uid="{0C95B6CB-687C-4304-85BD-98168E6E51EE}"/>
    <cellStyle name="Normal 7 28 4" xfId="26994" xr:uid="{C4680AF2-4FF1-482C-BB14-F97D1D90B8F4}"/>
    <cellStyle name="Normal 7 28 4 2" xfId="41957" xr:uid="{F357CFE7-4DFF-4EBF-A468-7C6DCF31DC67}"/>
    <cellStyle name="Normal 7 28 5" xfId="34370" xr:uid="{B3937E1D-32D2-4196-83EC-854A15F1E513}"/>
    <cellStyle name="Normal 7 29" xfId="16386" xr:uid="{00000000-0005-0000-0000-0000D03C0000}"/>
    <cellStyle name="Normal 7 29 2" xfId="16387" xr:uid="{00000000-0005-0000-0000-0000D13C0000}"/>
    <cellStyle name="Normal 7 29 2 2" xfId="26997" xr:uid="{053488B4-213E-4523-87A8-61D9D3BD78BE}"/>
    <cellStyle name="Normal 7 29 2 2 2" xfId="41960" xr:uid="{1DEBD6EC-0A57-4F39-9A62-9AEED199048F}"/>
    <cellStyle name="Normal 7 29 2 3" xfId="34373" xr:uid="{3D2C01BE-4E6B-46A2-86E5-C6A8CEFB5D33}"/>
    <cellStyle name="Normal 7 3" xfId="2561" xr:uid="{00000000-0005-0000-0000-0000C8090000}"/>
    <cellStyle name="Normal 7 3 2" xfId="16388" xr:uid="{00000000-0005-0000-0000-0000D33C0000}"/>
    <cellStyle name="Normal 7 3 2 2" xfId="16389" xr:uid="{00000000-0005-0000-0000-0000D43C0000}"/>
    <cellStyle name="Normal 7 3 2 2 2" xfId="16390" xr:uid="{00000000-0005-0000-0000-0000D53C0000}"/>
    <cellStyle name="Normal 7 3 2 3" xfId="16391" xr:uid="{00000000-0005-0000-0000-0000D63C0000}"/>
    <cellStyle name="Normal 7 3 2 4" xfId="16392" xr:uid="{00000000-0005-0000-0000-0000D73C0000}"/>
    <cellStyle name="Normal 7 3 2 5" xfId="16393" xr:uid="{00000000-0005-0000-0000-0000D83C0000}"/>
    <cellStyle name="Normal 7 3 3" xfId="16394" xr:uid="{00000000-0005-0000-0000-0000D93C0000}"/>
    <cellStyle name="Normal 7 3 3 2" xfId="16395" xr:uid="{00000000-0005-0000-0000-0000DA3C0000}"/>
    <cellStyle name="Normal 7 3 3 3" xfId="16396" xr:uid="{00000000-0005-0000-0000-0000DB3C0000}"/>
    <cellStyle name="Normal 7 3 3 4" xfId="16397" xr:uid="{00000000-0005-0000-0000-0000DC3C0000}"/>
    <cellStyle name="Normal 7 3 4" xfId="16398" xr:uid="{00000000-0005-0000-0000-0000DD3C0000}"/>
    <cellStyle name="Normal 7 3 5" xfId="16399" xr:uid="{00000000-0005-0000-0000-0000DE3C0000}"/>
    <cellStyle name="Normal 7 30" xfId="16400" xr:uid="{00000000-0005-0000-0000-0000DF3C0000}"/>
    <cellStyle name="Normal 7 4" xfId="2562" xr:uid="{00000000-0005-0000-0000-0000C9090000}"/>
    <cellStyle name="Normal 7 4 2" xfId="16401" xr:uid="{00000000-0005-0000-0000-0000E13C0000}"/>
    <cellStyle name="Normal 7 4 2 2" xfId="16402" xr:uid="{00000000-0005-0000-0000-0000E23C0000}"/>
    <cellStyle name="Normal 7 4 2 2 2" xfId="26999" xr:uid="{B711F155-0DD5-48EC-B947-C4BFBBE41F4A}"/>
    <cellStyle name="Normal 7 4 2 2 2 2" xfId="41962" xr:uid="{D9AF2FBC-7107-4239-B92A-86D012B11A6F}"/>
    <cellStyle name="Normal 7 4 2 2 3" xfId="34375" xr:uid="{BF200CBF-33F7-47ED-9923-FF36F36D0CF6}"/>
    <cellStyle name="Normal 7 4 2 3" xfId="16403" xr:uid="{00000000-0005-0000-0000-0000E33C0000}"/>
    <cellStyle name="Normal 7 4 2 4" xfId="16404" xr:uid="{00000000-0005-0000-0000-0000E43C0000}"/>
    <cellStyle name="Normal 7 4 2 5" xfId="26998" xr:uid="{1E778B7F-BABD-4441-B875-5770F1CDEE76}"/>
    <cellStyle name="Normal 7 4 2 5 2" xfId="41961" xr:uid="{DBFACD39-12D9-49E6-AD4F-9A9EC6A33717}"/>
    <cellStyle name="Normal 7 4 2 6" xfId="34374" xr:uid="{9172B86F-B7A7-47FC-813F-08E4215DF3E6}"/>
    <cellStyle name="Normal 7 4 3" xfId="16405" xr:uid="{00000000-0005-0000-0000-0000E53C0000}"/>
    <cellStyle name="Normal 7 4 4" xfId="16406" xr:uid="{00000000-0005-0000-0000-0000E63C0000}"/>
    <cellStyle name="Normal 7 4 4 2" xfId="27000" xr:uid="{26677AD3-777C-4DA6-9F01-CD8E5099C78A}"/>
    <cellStyle name="Normal 7 4 4 2 2" xfId="41963" xr:uid="{DDB0B8F4-7766-4C1E-8EC0-795D2E7EFED6}"/>
    <cellStyle name="Normal 7 4 4 3" xfId="34376" xr:uid="{9881427F-DEC4-4417-8FA0-693B963432BB}"/>
    <cellStyle name="Normal 7 4 5" xfId="16407" xr:uid="{00000000-0005-0000-0000-0000E73C0000}"/>
    <cellStyle name="Normal 7 4 5 2" xfId="27001" xr:uid="{01979EBB-3494-439A-8F71-07EF9DC715B2}"/>
    <cellStyle name="Normal 7 4 5 2 2" xfId="41964" xr:uid="{CF58BEDA-1A85-4427-A05D-B7ED3ABD3F7F}"/>
    <cellStyle name="Normal 7 4 5 3" xfId="34377" xr:uid="{7946615F-241B-4762-BCE1-89F3A262ECDF}"/>
    <cellStyle name="Normal 7 4 6" xfId="16408" xr:uid="{00000000-0005-0000-0000-0000E83C0000}"/>
    <cellStyle name="Normal 7 5" xfId="2563" xr:uid="{00000000-0005-0000-0000-0000CA090000}"/>
    <cellStyle name="Normal 7 5 2" xfId="16409" xr:uid="{00000000-0005-0000-0000-0000EA3C0000}"/>
    <cellStyle name="Normal 7 5 2 2" xfId="16410" xr:uid="{00000000-0005-0000-0000-0000EB3C0000}"/>
    <cellStyle name="Normal 7 5 2 3" xfId="16411" xr:uid="{00000000-0005-0000-0000-0000EC3C0000}"/>
    <cellStyle name="Normal 7 5 3" xfId="16412" xr:uid="{00000000-0005-0000-0000-0000ED3C0000}"/>
    <cellStyle name="Normal 7 5 4" xfId="16413" xr:uid="{00000000-0005-0000-0000-0000EE3C0000}"/>
    <cellStyle name="Normal 7 6" xfId="2564" xr:uid="{00000000-0005-0000-0000-0000CB090000}"/>
    <cellStyle name="Normal 7 6 2" xfId="16414" xr:uid="{00000000-0005-0000-0000-0000F03C0000}"/>
    <cellStyle name="Normal 7 6 2 2" xfId="16415" xr:uid="{00000000-0005-0000-0000-0000F13C0000}"/>
    <cellStyle name="Normal 7 6 3" xfId="16416" xr:uid="{00000000-0005-0000-0000-0000F23C0000}"/>
    <cellStyle name="Normal 7 7" xfId="2565" xr:uid="{00000000-0005-0000-0000-0000CC090000}"/>
    <cellStyle name="Normal 7 7 2" xfId="16417" xr:uid="{00000000-0005-0000-0000-0000F43C0000}"/>
    <cellStyle name="Normal 7 7 2 2" xfId="16418" xr:uid="{00000000-0005-0000-0000-0000F53C0000}"/>
    <cellStyle name="Normal 7 7 2 3" xfId="27002" xr:uid="{67F376FC-0089-4DE2-BDF3-C2A3565458F0}"/>
    <cellStyle name="Normal 7 7 2 3 2" xfId="41965" xr:uid="{ABDAC2D1-411B-4573-B419-3BB9B28C142E}"/>
    <cellStyle name="Normal 7 7 2 4" xfId="34378" xr:uid="{60D757AA-2BB0-40BE-9919-D11421A741DB}"/>
    <cellStyle name="Normal 7 7 3" xfId="16419" xr:uid="{00000000-0005-0000-0000-0000F63C0000}"/>
    <cellStyle name="Normal 7 7 3 2" xfId="27003" xr:uid="{770C4827-ADAE-4108-B5A0-2E4A679B2AB9}"/>
    <cellStyle name="Normal 7 7 3 2 2" xfId="41966" xr:uid="{F168EF16-47C8-4971-950B-EC84EF2552FB}"/>
    <cellStyle name="Normal 7 7 3 3" xfId="34379" xr:uid="{BD6278DE-DFDC-4CC7-92FE-79F8E9F9689F}"/>
    <cellStyle name="Normal 7 7 4" xfId="16420" xr:uid="{00000000-0005-0000-0000-0000F73C0000}"/>
    <cellStyle name="Normal 7 7 5" xfId="16421" xr:uid="{00000000-0005-0000-0000-0000F83C0000}"/>
    <cellStyle name="Normal 7 8" xfId="2566" xr:uid="{00000000-0005-0000-0000-0000CD090000}"/>
    <cellStyle name="Normal 7 8 2" xfId="16422" xr:uid="{00000000-0005-0000-0000-0000FA3C0000}"/>
    <cellStyle name="Normal 7 8 2 2" xfId="16423" xr:uid="{00000000-0005-0000-0000-0000FB3C0000}"/>
    <cellStyle name="Normal 7 8 2 3" xfId="27004" xr:uid="{EEF9EF64-8151-4398-8F63-D82853AC2263}"/>
    <cellStyle name="Normal 7 8 2 3 2" xfId="41967" xr:uid="{11C0448C-C9ED-4FB7-BD47-FF85F347E329}"/>
    <cellStyle name="Normal 7 8 2 4" xfId="34380" xr:uid="{76FCE949-51E3-4A86-BDB7-FF08F5A095E5}"/>
    <cellStyle name="Normal 7 8 3" xfId="16424" xr:uid="{00000000-0005-0000-0000-0000FC3C0000}"/>
    <cellStyle name="Normal 7 8 3 2" xfId="27005" xr:uid="{60CEF095-AA1C-4F9A-B41F-DA128B2A4954}"/>
    <cellStyle name="Normal 7 8 3 2 2" xfId="41968" xr:uid="{7D46AD6A-B782-428E-B2DA-A9633167584D}"/>
    <cellStyle name="Normal 7 8 3 3" xfId="34381" xr:uid="{C3F181E0-7A78-4D64-A727-323A20E468F2}"/>
    <cellStyle name="Normal 7 8 4" xfId="16425" xr:uid="{00000000-0005-0000-0000-0000FD3C0000}"/>
    <cellStyle name="Normal 7 8 5" xfId="16426" xr:uid="{00000000-0005-0000-0000-0000FE3C0000}"/>
    <cellStyle name="Normal 7 9" xfId="2567" xr:uid="{00000000-0005-0000-0000-0000CE090000}"/>
    <cellStyle name="Normal 7 9 2" xfId="16427" xr:uid="{00000000-0005-0000-0000-0000003D0000}"/>
    <cellStyle name="Normal 7 9 3" xfId="16428" xr:uid="{00000000-0005-0000-0000-0000013D0000}"/>
    <cellStyle name="Normal 7_App b.3 Unspent_" xfId="2568" xr:uid="{00000000-0005-0000-0000-0000CF090000}"/>
    <cellStyle name="Normal 70" xfId="16429" xr:uid="{00000000-0005-0000-0000-0000033D0000}"/>
    <cellStyle name="Normal 70 2" xfId="16430" xr:uid="{00000000-0005-0000-0000-0000043D0000}"/>
    <cellStyle name="Normal 70 2 2" xfId="27006" xr:uid="{5EEAF728-A458-47DB-A708-DD2A0A8968B8}"/>
    <cellStyle name="Normal 70 2 2 2" xfId="41969" xr:uid="{6B014105-B9CE-4844-980D-25B71A851068}"/>
    <cellStyle name="Normal 70 2 3" xfId="34382" xr:uid="{EED40A3D-DF7C-43F5-9FE8-6AB5E0D2EE7F}"/>
    <cellStyle name="Normal 71" xfId="16431" xr:uid="{00000000-0005-0000-0000-0000053D0000}"/>
    <cellStyle name="Normal 71 2" xfId="16432" xr:uid="{00000000-0005-0000-0000-0000063D0000}"/>
    <cellStyle name="Normal 71 2 2" xfId="27007" xr:uid="{9E4CE5E5-3F85-4426-A0D1-79DF82358F41}"/>
    <cellStyle name="Normal 71 2 2 2" xfId="41970" xr:uid="{746A4FE8-FAE5-4BD6-94F2-D693F6018121}"/>
    <cellStyle name="Normal 71 2 3" xfId="34383" xr:uid="{4B2CB077-8AC9-487A-B4C3-5DDA3CC07F38}"/>
    <cellStyle name="Normal 71 3" xfId="49" xr:uid="{00000000-0005-0000-0000-000034000000}"/>
    <cellStyle name="Normal 71 3 2" xfId="151" xr:uid="{00000000-0005-0000-0000-000034000000}"/>
    <cellStyle name="Normal 71 3 2 2" xfId="20698" xr:uid="{901C4951-6C3F-4AFF-B86C-BF8530E09278}"/>
    <cellStyle name="Normal 71 3 2 2 2" xfId="35699" xr:uid="{B28A341C-906B-4810-9940-C1CD10A9E215}"/>
    <cellStyle name="Normal 71 3 2 3" xfId="28002" xr:uid="{FDC9145B-70FF-4E3D-B91E-90FC01337045}"/>
    <cellStyle name="Normal 71 3 3" xfId="20628" xr:uid="{98EB034B-EB95-40CA-9415-33B3ABA1BFBE}"/>
    <cellStyle name="Normal 71 3 3 2" xfId="35629" xr:uid="{25D0AFDD-9C9D-4CF3-8DD4-CDE723300605}"/>
    <cellStyle name="Normal 71 3 4" xfId="27932" xr:uid="{9C1C66EE-69E7-4D54-97D3-DD41108CC0C9}"/>
    <cellStyle name="Normal 72" xfId="16433" xr:uid="{00000000-0005-0000-0000-0000073D0000}"/>
    <cellStyle name="Normal 72 2" xfId="16434" xr:uid="{00000000-0005-0000-0000-0000083D0000}"/>
    <cellStyle name="Normal 72 2 2" xfId="27008" xr:uid="{0DB61665-F765-439C-B2C1-BFEDE6118D91}"/>
    <cellStyle name="Normal 72 2 2 2" xfId="41971" xr:uid="{3BF25050-555F-41A7-B560-BECB99D59F4F}"/>
    <cellStyle name="Normal 72 2 3" xfId="34384" xr:uid="{52BF4A12-101E-49E9-A323-CD751188193B}"/>
    <cellStyle name="Normal 72 3" xfId="50" xr:uid="{00000000-0005-0000-0000-000035000000}"/>
    <cellStyle name="Normal 72 3 2" xfId="152" xr:uid="{00000000-0005-0000-0000-000035000000}"/>
    <cellStyle name="Normal 72 3 2 2" xfId="20699" xr:uid="{5E4CC532-2917-46AD-8111-8F29C16ACA20}"/>
    <cellStyle name="Normal 72 3 2 2 2" xfId="35700" xr:uid="{24704C59-1A25-4E0E-84BE-6F2A0C5C1DF3}"/>
    <cellStyle name="Normal 72 3 2 3" xfId="28003" xr:uid="{29707A94-1061-4179-B868-E19D7D81C71B}"/>
    <cellStyle name="Normal 72 3 3" xfId="20629" xr:uid="{95513086-C199-4CA3-B552-F18B57A9C702}"/>
    <cellStyle name="Normal 72 3 3 2" xfId="35630" xr:uid="{3EE6821E-2EAA-4530-BF29-1B7586623349}"/>
    <cellStyle name="Normal 72 3 4" xfId="27933" xr:uid="{57574DD3-314F-4559-A8F0-595C514D4C6A}"/>
    <cellStyle name="Normal 73" xfId="16435" xr:uid="{00000000-0005-0000-0000-0000093D0000}"/>
    <cellStyle name="Normal 73 2" xfId="16436" xr:uid="{00000000-0005-0000-0000-00000A3D0000}"/>
    <cellStyle name="Normal 73 2 2" xfId="27009" xr:uid="{5BDC5E5A-B722-4A89-9F41-19EBE16C6252}"/>
    <cellStyle name="Normal 73 2 2 2" xfId="41972" xr:uid="{5C7B4845-3DB0-47A0-96D6-C7F8F61AC195}"/>
    <cellStyle name="Normal 73 2 3" xfId="34385" xr:uid="{4D3559DE-3F73-412E-AF8F-A6C7CF97F100}"/>
    <cellStyle name="Normal 73 3" xfId="51" xr:uid="{00000000-0005-0000-0000-000036000000}"/>
    <cellStyle name="Normal 73 3 2" xfId="153" xr:uid="{00000000-0005-0000-0000-000036000000}"/>
    <cellStyle name="Normal 73 3 2 2" xfId="20700" xr:uid="{20D9136C-C2E1-4D2C-9926-1B9F8E5FD78C}"/>
    <cellStyle name="Normal 73 3 2 2 2" xfId="35701" xr:uid="{734F9556-FF39-4A49-8CDB-5F49657DB4CB}"/>
    <cellStyle name="Normal 73 3 2 3" xfId="28004" xr:uid="{006D1652-509C-4F14-A125-3307D73B2124}"/>
    <cellStyle name="Normal 73 3 3" xfId="20630" xr:uid="{02F16F53-5972-4F17-8532-22881574BFC9}"/>
    <cellStyle name="Normal 73 3 3 2" xfId="35631" xr:uid="{6D0774D7-B682-4193-85BD-A6CBB4F4B482}"/>
    <cellStyle name="Normal 73 3 4" xfId="27934" xr:uid="{7AB62F90-B7DE-438E-AC4A-BBA0B0A66C97}"/>
    <cellStyle name="Normal 74" xfId="16437" xr:uid="{00000000-0005-0000-0000-00000B3D0000}"/>
    <cellStyle name="Normal 74 2" xfId="16438" xr:uid="{00000000-0005-0000-0000-00000C3D0000}"/>
    <cellStyle name="Normal 74 2 2" xfId="27010" xr:uid="{7F60C22E-1A5D-4887-A10A-C859E1CA7B80}"/>
    <cellStyle name="Normal 74 2 2 2" xfId="41973" xr:uid="{B2358D25-A32C-4057-9C89-6143FF2A57DA}"/>
    <cellStyle name="Normal 74 2 3" xfId="34386" xr:uid="{151213BB-BFB8-4E86-BA67-CE88FCEA6F6C}"/>
    <cellStyle name="Normal 74 3" xfId="55" xr:uid="{00000000-0005-0000-0000-000037000000}"/>
    <cellStyle name="Normal 74 3 2" xfId="157" xr:uid="{00000000-0005-0000-0000-000037000000}"/>
    <cellStyle name="Normal 74 3 2 2" xfId="20704" xr:uid="{0EDCF7F9-02C2-4D9D-81AB-E6E068C357E4}"/>
    <cellStyle name="Normal 74 3 2 2 2" xfId="35705" xr:uid="{F1F3284B-E908-4A83-9AF5-DD9D2E2DD879}"/>
    <cellStyle name="Normal 74 3 2 3" xfId="28008" xr:uid="{C16C2A14-C41B-409B-B40D-434B448F41CA}"/>
    <cellStyle name="Normal 74 3 3" xfId="20634" xr:uid="{E893AD91-C778-4441-8084-21D4B0B16E41}"/>
    <cellStyle name="Normal 74 3 3 2" xfId="35635" xr:uid="{0697167D-66E4-43EF-91F4-0AD3CB2F7DDE}"/>
    <cellStyle name="Normal 74 3 4" xfId="27938" xr:uid="{C70B3E5F-E4B3-4C80-A455-ECDADE4BCBB6}"/>
    <cellStyle name="Normal 75" xfId="16439" xr:uid="{00000000-0005-0000-0000-00000D3D0000}"/>
    <cellStyle name="Normal 75 2" xfId="16440" xr:uid="{00000000-0005-0000-0000-00000E3D0000}"/>
    <cellStyle name="Normal 75 2 2" xfId="27011" xr:uid="{132DACA9-7699-40E0-8761-5903AF491DA2}"/>
    <cellStyle name="Normal 75 2 2 2" xfId="41974" xr:uid="{F861AA49-BD48-4FD5-82CC-C7C37C599AE0}"/>
    <cellStyle name="Normal 75 2 3" xfId="34387" xr:uid="{AD4DED04-EDA8-4686-B098-DD5617E81030}"/>
    <cellStyle name="Normal 75 3" xfId="52" xr:uid="{00000000-0005-0000-0000-000038000000}"/>
    <cellStyle name="Normal 75 3 2" xfId="154" xr:uid="{00000000-0005-0000-0000-000038000000}"/>
    <cellStyle name="Normal 75 3 2 2" xfId="20701" xr:uid="{367E722B-62C6-4355-AE90-6E0C7E79705B}"/>
    <cellStyle name="Normal 75 3 2 2 2" xfId="35702" xr:uid="{B9E5186F-F688-41F7-AC35-E87EA104FD2E}"/>
    <cellStyle name="Normal 75 3 2 3" xfId="28005" xr:uid="{CFB7B218-5218-44BB-AC8D-F2F36C9EE22B}"/>
    <cellStyle name="Normal 75 3 3" xfId="20631" xr:uid="{5C7754B4-90E6-476B-AD0B-23CF465E43EF}"/>
    <cellStyle name="Normal 75 3 3 2" xfId="35632" xr:uid="{BE0404D0-884B-43F8-BEE5-E6D5A48C524A}"/>
    <cellStyle name="Normal 75 3 4" xfId="27935" xr:uid="{11DA7D5A-53C6-4544-BA0F-288A4D90580F}"/>
    <cellStyle name="Normal 76" xfId="16441" xr:uid="{00000000-0005-0000-0000-00000F3D0000}"/>
    <cellStyle name="Normal 76 2" xfId="16442" xr:uid="{00000000-0005-0000-0000-0000103D0000}"/>
    <cellStyle name="Normal 76 2 2" xfId="27012" xr:uid="{0EBE9B6D-D4F9-4D4D-B1BE-6E2D2182ADE9}"/>
    <cellStyle name="Normal 76 2 2 2" xfId="41975" xr:uid="{5FB61BA9-E3B6-4AEF-A003-DBB1DF8616AA}"/>
    <cellStyle name="Normal 76 2 3" xfId="34388" xr:uid="{4F37C798-2EDF-4F91-B0E8-F1068ADAD652}"/>
    <cellStyle name="Normal 76 3" xfId="54" xr:uid="{00000000-0005-0000-0000-000039000000}"/>
    <cellStyle name="Normal 76 3 2" xfId="156" xr:uid="{00000000-0005-0000-0000-000039000000}"/>
    <cellStyle name="Normal 76 3 2 2" xfId="20703" xr:uid="{2F404DEE-1A0A-45BC-BE73-2028651B1B9E}"/>
    <cellStyle name="Normal 76 3 2 2 2" xfId="35704" xr:uid="{CFB626F6-3F44-4826-85C0-661FEB16B9F0}"/>
    <cellStyle name="Normal 76 3 2 3" xfId="28007" xr:uid="{F63D46F0-38E7-473A-AABD-242B5D7AD02D}"/>
    <cellStyle name="Normal 76 3 3" xfId="20633" xr:uid="{827BF4A8-D1A7-4841-9560-1F5AD9858B7F}"/>
    <cellStyle name="Normal 76 3 3 2" xfId="35634" xr:uid="{39D15A32-D28D-4DA3-8D71-CCA0F068157C}"/>
    <cellStyle name="Normal 76 3 4" xfId="27937" xr:uid="{E3A4A4E4-1429-4A05-8414-A319D00AAABF}"/>
    <cellStyle name="Normal 77" xfId="16443" xr:uid="{00000000-0005-0000-0000-0000113D0000}"/>
    <cellStyle name="Normal 77 2" xfId="16444" xr:uid="{00000000-0005-0000-0000-0000123D0000}"/>
    <cellStyle name="Normal 77 2 2" xfId="27013" xr:uid="{B749B971-67C8-4BA8-9E52-08ED05988F19}"/>
    <cellStyle name="Normal 77 2 2 2" xfId="41976" xr:uid="{4761976C-3C32-4E41-875F-00164CD71765}"/>
    <cellStyle name="Normal 77 2 3" xfId="34389" xr:uid="{D4A17896-863D-4CCF-8E5E-BC8BC0FDD830}"/>
    <cellStyle name="Normal 77 3" xfId="53" xr:uid="{00000000-0005-0000-0000-00003A000000}"/>
    <cellStyle name="Normal 77 3 2" xfId="155" xr:uid="{00000000-0005-0000-0000-00003A000000}"/>
    <cellStyle name="Normal 77 3 2 2" xfId="20702" xr:uid="{AC27C797-9BDC-4F14-B9A0-B887BF07F7FB}"/>
    <cellStyle name="Normal 77 3 2 2 2" xfId="35703" xr:uid="{0AC15E41-B07D-46F8-A35C-0014835846C3}"/>
    <cellStyle name="Normal 77 3 2 3" xfId="28006" xr:uid="{9E607E30-A4FC-4645-8702-63BDE587D9C2}"/>
    <cellStyle name="Normal 77 3 3" xfId="20632" xr:uid="{7F434559-C37D-4B22-AC3E-81476DABD914}"/>
    <cellStyle name="Normal 77 3 3 2" xfId="35633" xr:uid="{5BAB5D19-FFF2-4146-BCBF-D25EDA46F478}"/>
    <cellStyle name="Normal 77 3 4" xfId="27936" xr:uid="{320F5499-2ECD-43E3-A723-ECC23CB6DE23}"/>
    <cellStyle name="Normal 78" xfId="16445" xr:uid="{00000000-0005-0000-0000-0000133D0000}"/>
    <cellStyle name="Normal 78 2" xfId="16446" xr:uid="{00000000-0005-0000-0000-0000143D0000}"/>
    <cellStyle name="Normal 78 2 2" xfId="16447" xr:uid="{00000000-0005-0000-0000-0000153D0000}"/>
    <cellStyle name="Normal 78 2 2 2" xfId="27015" xr:uid="{3D7A3B66-B718-4BB6-A7D5-7D5DA81D8208}"/>
    <cellStyle name="Normal 78 2 2 2 2" xfId="41978" xr:uid="{93071C98-D3A3-4365-8579-839E85EDEA5E}"/>
    <cellStyle name="Normal 78 2 2 3" xfId="34391" xr:uid="{71E80DAA-70E3-4A12-953E-65AD0A1F7537}"/>
    <cellStyle name="Normal 78 2 3" xfId="27014" xr:uid="{A5BA8DF7-E131-41BA-9F1E-4F047FF673E7}"/>
    <cellStyle name="Normal 78 2 3 2" xfId="41977" xr:uid="{31F84A44-A503-4869-8AF4-D4F32C8ED580}"/>
    <cellStyle name="Normal 78 2 4" xfId="34390" xr:uid="{ABC39042-567E-447F-BFEF-1899B070A589}"/>
    <cellStyle name="Normal 78 3" xfId="16448" xr:uid="{00000000-0005-0000-0000-0000163D0000}"/>
    <cellStyle name="Normal 78 3 2" xfId="27016" xr:uid="{11CFB61F-585F-4B93-A6C2-E6CC46D03339}"/>
    <cellStyle name="Normal 78 3 2 2" xfId="41979" xr:uid="{618A0FF1-2651-4D5F-9A11-893EC274EC18}"/>
    <cellStyle name="Normal 78 3 3" xfId="34392" xr:uid="{4632D1E9-9C64-4BE1-B328-6160797C566B}"/>
    <cellStyle name="Normal 79" xfId="16449" xr:uid="{00000000-0005-0000-0000-0000173D0000}"/>
    <cellStyle name="Normal 79 2" xfId="16450" xr:uid="{00000000-0005-0000-0000-0000183D0000}"/>
    <cellStyle name="Normal 79 2 2" xfId="16451" xr:uid="{00000000-0005-0000-0000-0000193D0000}"/>
    <cellStyle name="Normal 79 2 2 2" xfId="27018" xr:uid="{E9F2C804-854A-49AC-AEBA-28DD268D4D6C}"/>
    <cellStyle name="Normal 79 2 2 2 2" xfId="41981" xr:uid="{14F57F4C-2086-4984-B44A-39FAB93F9A2E}"/>
    <cellStyle name="Normal 79 2 2 3" xfId="34394" xr:uid="{68E3825C-11CA-4571-9618-B80F609017A8}"/>
    <cellStyle name="Normal 79 2 3" xfId="27017" xr:uid="{CE2BB5E1-34DF-4524-8424-36B3E1146CC5}"/>
    <cellStyle name="Normal 79 2 3 2" xfId="41980" xr:uid="{02CBCEE8-5669-457C-8B8D-E7F2912311B3}"/>
    <cellStyle name="Normal 79 2 4" xfId="34393" xr:uid="{6F2B74F8-B792-42C3-9A0A-ABA9F90B7196}"/>
    <cellStyle name="Normal 79 3" xfId="56" xr:uid="{00000000-0005-0000-0000-00003B000000}"/>
    <cellStyle name="Normal 79 3 2" xfId="158" xr:uid="{00000000-0005-0000-0000-00003B000000}"/>
    <cellStyle name="Normal 79 3 2 2" xfId="20705" xr:uid="{B44EB844-FC90-446A-9883-08BA6913F35F}"/>
    <cellStyle name="Normal 79 3 2 2 2" xfId="35706" xr:uid="{3EC70E99-9F6C-4A31-9C88-70FEE655B0B2}"/>
    <cellStyle name="Normal 79 3 2 3" xfId="28009" xr:uid="{DCD41163-39F0-474C-A486-45670538510E}"/>
    <cellStyle name="Normal 79 3 3" xfId="20635" xr:uid="{9108F162-F190-46DC-8565-7D4ED23FBD90}"/>
    <cellStyle name="Normal 79 3 3 2" xfId="35636" xr:uid="{68B4C905-B9FB-4895-81F6-0B493A2E2B72}"/>
    <cellStyle name="Normal 79 3 4" xfId="27939" xr:uid="{EE0A1F41-D798-42D4-8819-3415C8220F63}"/>
    <cellStyle name="Normal 8" xfId="2569" xr:uid="{00000000-0005-0000-0000-0000D0090000}"/>
    <cellStyle name="Normal 8 10" xfId="16452" xr:uid="{00000000-0005-0000-0000-00001C3D0000}"/>
    <cellStyle name="Normal 8 10 2" xfId="16453" xr:uid="{00000000-0005-0000-0000-00001D3D0000}"/>
    <cellStyle name="Normal 8 10 3" xfId="16454" xr:uid="{00000000-0005-0000-0000-00001E3D0000}"/>
    <cellStyle name="Normal 8 10 3 2" xfId="27019" xr:uid="{649ADCB4-3591-4AD2-A36F-1205268F9FAE}"/>
    <cellStyle name="Normal 8 10 3 2 2" xfId="41982" xr:uid="{4ACA8A61-0B95-4929-AD7E-482723A31984}"/>
    <cellStyle name="Normal 8 10 3 3" xfId="34395" xr:uid="{AF750FD3-9132-46F0-A614-788E3466D8C2}"/>
    <cellStyle name="Normal 8 10 4" xfId="16455" xr:uid="{00000000-0005-0000-0000-00001F3D0000}"/>
    <cellStyle name="Normal 8 11" xfId="16456" xr:uid="{00000000-0005-0000-0000-0000203D0000}"/>
    <cellStyle name="Normal 8 11 2" xfId="16457" xr:uid="{00000000-0005-0000-0000-0000213D0000}"/>
    <cellStyle name="Normal 8 11 2 2" xfId="16458" xr:uid="{00000000-0005-0000-0000-0000223D0000}"/>
    <cellStyle name="Normal 8 11 2 2 2" xfId="27021" xr:uid="{51D93CB4-1284-48F4-B625-3A5DC53B49A9}"/>
    <cellStyle name="Normal 8 11 2 2 2 2" xfId="41984" xr:uid="{AA981E16-79AC-4BDA-AFD5-F244CEBEE750}"/>
    <cellStyle name="Normal 8 11 2 2 3" xfId="34397" xr:uid="{059A5BAD-E544-445F-AD46-CDE52CBF167F}"/>
    <cellStyle name="Normal 8 11 3" xfId="16459" xr:uid="{00000000-0005-0000-0000-0000233D0000}"/>
    <cellStyle name="Normal 8 11 3 2" xfId="27022" xr:uid="{3B4969F1-523E-4C6B-A30A-4D1C6ECEE649}"/>
    <cellStyle name="Normal 8 11 3 2 2" xfId="41985" xr:uid="{601F64AB-2866-4029-90AC-ADAD7AE602F8}"/>
    <cellStyle name="Normal 8 11 3 3" xfId="34398" xr:uid="{DA253B06-BE34-404B-A431-5207AC851952}"/>
    <cellStyle name="Normal 8 11 4" xfId="27020" xr:uid="{8A4B721D-502C-44D4-ABAE-BBF72BA0F461}"/>
    <cellStyle name="Normal 8 11 4 2" xfId="41983" xr:uid="{FA6581DB-02A0-411B-ACBF-FE02652E2B10}"/>
    <cellStyle name="Normal 8 11 5" xfId="34396" xr:uid="{18832CF5-962D-45ED-A216-079292AD12F3}"/>
    <cellStyle name="Normal 8 12" xfId="16460" xr:uid="{00000000-0005-0000-0000-0000243D0000}"/>
    <cellStyle name="Normal 8 12 2" xfId="16461" xr:uid="{00000000-0005-0000-0000-0000253D0000}"/>
    <cellStyle name="Normal 8 12 2 2" xfId="27023" xr:uid="{7A3BD599-E436-4074-9271-B34D23EF0FD5}"/>
    <cellStyle name="Normal 8 12 2 2 2" xfId="41986" xr:uid="{352C9CB2-1EF3-481F-A659-0DBC0F565937}"/>
    <cellStyle name="Normal 8 12 2 3" xfId="34399" xr:uid="{32E0C2DE-A2C2-4A14-980E-B5F570B568BB}"/>
    <cellStyle name="Normal 8 13" xfId="16462" xr:uid="{00000000-0005-0000-0000-0000263D0000}"/>
    <cellStyle name="Normal 8 13 2" xfId="27024" xr:uid="{21B18B51-C090-462F-9584-97854BEB8B4C}"/>
    <cellStyle name="Normal 8 13 2 2" xfId="41987" xr:uid="{504890B0-2426-4344-9CB9-E044604778F8}"/>
    <cellStyle name="Normal 8 13 3" xfId="34400" xr:uid="{9016F536-D7E7-4492-83AF-327BE91CA13A}"/>
    <cellStyle name="Normal 8 14" xfId="16463" xr:uid="{00000000-0005-0000-0000-0000273D0000}"/>
    <cellStyle name="Normal 8 15" xfId="16464" xr:uid="{00000000-0005-0000-0000-0000283D0000}"/>
    <cellStyle name="Normal 8 16" xfId="5335" xr:uid="{00000000-0005-0000-0000-00001B3D0000}"/>
    <cellStyle name="Normal 8 2" xfId="2570" xr:uid="{00000000-0005-0000-0000-0000D1090000}"/>
    <cellStyle name="Normal 8 2 2" xfId="16465" xr:uid="{00000000-0005-0000-0000-00002A3D0000}"/>
    <cellStyle name="Normal 8 2 2 2" xfId="16466" xr:uid="{00000000-0005-0000-0000-00002B3D0000}"/>
    <cellStyle name="Normal 8 2 2 2 2" xfId="16467" xr:uid="{00000000-0005-0000-0000-00002C3D0000}"/>
    <cellStyle name="Normal 8 2 2 2 2 2" xfId="16468" xr:uid="{00000000-0005-0000-0000-00002D3D0000}"/>
    <cellStyle name="Normal 8 2 2 2 2 2 2" xfId="16469" xr:uid="{00000000-0005-0000-0000-00002E3D0000}"/>
    <cellStyle name="Normal 8 2 2 2 2 2 3" xfId="16470" xr:uid="{00000000-0005-0000-0000-00002F3D0000}"/>
    <cellStyle name="Normal 8 2 2 2 2 3" xfId="16471" xr:uid="{00000000-0005-0000-0000-0000303D0000}"/>
    <cellStyle name="Normal 8 2 2 2 2 4" xfId="16472" xr:uid="{00000000-0005-0000-0000-0000313D0000}"/>
    <cellStyle name="Normal 8 2 2 2 2 4 2" xfId="27025" xr:uid="{E414AA1C-D4C6-4531-A886-28713EE504E4}"/>
    <cellStyle name="Normal 8 2 2 2 2 4 2 2" xfId="41988" xr:uid="{B14F8F7B-B1F1-438B-B348-5522A320766B}"/>
    <cellStyle name="Normal 8 2 2 2 2 4 3" xfId="34401" xr:uid="{90962C09-C0AB-46E0-8307-52D3B5D63708}"/>
    <cellStyle name="Normal 8 2 2 2 2 5" xfId="16473" xr:uid="{00000000-0005-0000-0000-0000323D0000}"/>
    <cellStyle name="Normal 8 2 2 2 2 5 2" xfId="27026" xr:uid="{A8B83E50-5A22-4585-A552-34534E42D693}"/>
    <cellStyle name="Normal 8 2 2 2 2 5 2 2" xfId="41989" xr:uid="{9B9D5519-067D-4EDA-9BA0-D46E6F97AA6E}"/>
    <cellStyle name="Normal 8 2 2 2 2 5 3" xfId="34402" xr:uid="{902188AB-6DC6-4E4E-B7EC-C1D007802345}"/>
    <cellStyle name="Normal 8 2 2 2 2 6" xfId="16474" xr:uid="{00000000-0005-0000-0000-0000333D0000}"/>
    <cellStyle name="Normal 8 2 2 2 3" xfId="16475" xr:uid="{00000000-0005-0000-0000-0000343D0000}"/>
    <cellStyle name="Normal 8 2 2 2 3 2" xfId="16476" xr:uid="{00000000-0005-0000-0000-0000353D0000}"/>
    <cellStyle name="Normal 8 2 2 2 3 2 2" xfId="16477" xr:uid="{00000000-0005-0000-0000-0000363D0000}"/>
    <cellStyle name="Normal 8 2 2 2 3 2 3" xfId="16478" xr:uid="{00000000-0005-0000-0000-0000373D0000}"/>
    <cellStyle name="Normal 8 2 2 2 3 3" xfId="16479" xr:uid="{00000000-0005-0000-0000-0000383D0000}"/>
    <cellStyle name="Normal 8 2 2 2 3 3 2" xfId="16480" xr:uid="{00000000-0005-0000-0000-0000393D0000}"/>
    <cellStyle name="Normal 8 2 2 2 3 3 3" xfId="27027" xr:uid="{CEA93F23-5509-4828-8FD8-A8B60E3046E2}"/>
    <cellStyle name="Normal 8 2 2 2 3 3 3 2" xfId="41990" xr:uid="{3C90CD1C-FF6A-4A21-8516-659B8FD2B4E6}"/>
    <cellStyle name="Normal 8 2 2 2 3 3 4" xfId="34403" xr:uid="{15453915-C7C9-4E51-894C-D04155FC34F5}"/>
    <cellStyle name="Normal 8 2 2 2 3 4" xfId="16481" xr:uid="{00000000-0005-0000-0000-00003A3D0000}"/>
    <cellStyle name="Normal 8 2 2 2 4" xfId="16482" xr:uid="{00000000-0005-0000-0000-00003B3D0000}"/>
    <cellStyle name="Normal 8 2 2 2 4 2" xfId="16483" xr:uid="{00000000-0005-0000-0000-00003C3D0000}"/>
    <cellStyle name="Normal 8 2 2 2 4 3" xfId="16484" xr:uid="{00000000-0005-0000-0000-00003D3D0000}"/>
    <cellStyle name="Normal 8 2 2 2 5" xfId="16485" xr:uid="{00000000-0005-0000-0000-00003E3D0000}"/>
    <cellStyle name="Normal 8 2 2 2 6" xfId="16486" xr:uid="{00000000-0005-0000-0000-00003F3D0000}"/>
    <cellStyle name="Normal 8 2 2 2 6 2" xfId="27028" xr:uid="{A17C8782-6FF7-425A-9A91-99A418CBA0BB}"/>
    <cellStyle name="Normal 8 2 2 2 6 2 2" xfId="41991" xr:uid="{B2DEA751-7E68-490D-8D29-076FE573DE5F}"/>
    <cellStyle name="Normal 8 2 2 2 6 3" xfId="34404" xr:uid="{577B2D2E-3DFC-4B5F-8293-702784D34A2F}"/>
    <cellStyle name="Normal 8 2 2 2 7" xfId="16487" xr:uid="{00000000-0005-0000-0000-0000403D0000}"/>
    <cellStyle name="Normal 8 2 2 2 7 2" xfId="27029" xr:uid="{F785792C-952E-4793-AE3C-E0367A81A2C3}"/>
    <cellStyle name="Normal 8 2 2 2 7 2 2" xfId="41992" xr:uid="{99827236-A998-4AB4-9D38-7D0A15622463}"/>
    <cellStyle name="Normal 8 2 2 2 7 3" xfId="34405" xr:uid="{A3712E8D-9BA8-49C0-A933-C91A7ACEEF80}"/>
    <cellStyle name="Normal 8 2 2 2 8" xfId="16488" xr:uid="{00000000-0005-0000-0000-0000413D0000}"/>
    <cellStyle name="Normal 8 2 2 3" xfId="16489" xr:uid="{00000000-0005-0000-0000-0000423D0000}"/>
    <cellStyle name="Normal 8 2 2 3 2" xfId="16490" xr:uid="{00000000-0005-0000-0000-0000433D0000}"/>
    <cellStyle name="Normal 8 2 2 3 2 2" xfId="16491" xr:uid="{00000000-0005-0000-0000-0000443D0000}"/>
    <cellStyle name="Normal 8 2 2 3 2 3" xfId="16492" xr:uid="{00000000-0005-0000-0000-0000453D0000}"/>
    <cellStyle name="Normal 8 2 2 3 2 3 2" xfId="27030" xr:uid="{A32E0453-9802-4564-BD2B-0018C7B97793}"/>
    <cellStyle name="Normal 8 2 2 3 2 3 2 2" xfId="41993" xr:uid="{E559AC83-E03E-4935-9BCC-C460245D1947}"/>
    <cellStyle name="Normal 8 2 2 3 2 3 3" xfId="34406" xr:uid="{22236729-7A54-4B15-B798-C4FF1EA04E47}"/>
    <cellStyle name="Normal 8 2 2 3 2 4" xfId="16493" xr:uid="{00000000-0005-0000-0000-0000463D0000}"/>
    <cellStyle name="Normal 8 2 2 3 3" xfId="16494" xr:uid="{00000000-0005-0000-0000-0000473D0000}"/>
    <cellStyle name="Normal 8 2 2 3 4" xfId="16495" xr:uid="{00000000-0005-0000-0000-0000483D0000}"/>
    <cellStyle name="Normal 8 2 2 3 4 2" xfId="27031" xr:uid="{72595752-379A-46B4-BF35-85F0D661B27A}"/>
    <cellStyle name="Normal 8 2 2 3 4 2 2" xfId="41994" xr:uid="{0371F831-177E-4D58-8520-8324011B1CF2}"/>
    <cellStyle name="Normal 8 2 2 3 4 3" xfId="34407" xr:uid="{6DA38EAA-9CC6-4138-BE8F-3B54D3A7D816}"/>
    <cellStyle name="Normal 8 2 2 3 5" xfId="16496" xr:uid="{00000000-0005-0000-0000-0000493D0000}"/>
    <cellStyle name="Normal 8 2 2 3 5 2" xfId="27032" xr:uid="{D91B40B4-B988-4B5C-BC96-9E42752BE462}"/>
    <cellStyle name="Normal 8 2 2 3 5 2 2" xfId="41995" xr:uid="{139C477D-6E4D-4599-9733-8A92236567A0}"/>
    <cellStyle name="Normal 8 2 2 3 5 3" xfId="34408" xr:uid="{6C36F43B-608B-42B6-9E27-40A18E104E37}"/>
    <cellStyle name="Normal 8 2 2 3 6" xfId="16497" xr:uid="{00000000-0005-0000-0000-00004A3D0000}"/>
    <cellStyle name="Normal 8 2 2 4" xfId="16498" xr:uid="{00000000-0005-0000-0000-00004B3D0000}"/>
    <cellStyle name="Normal 8 2 2 4 2" xfId="16499" xr:uid="{00000000-0005-0000-0000-00004C3D0000}"/>
    <cellStyle name="Normal 8 2 2 4 2 2" xfId="16500" xr:uid="{00000000-0005-0000-0000-00004D3D0000}"/>
    <cellStyle name="Normal 8 2 2 4 2 3" xfId="16501" xr:uid="{00000000-0005-0000-0000-00004E3D0000}"/>
    <cellStyle name="Normal 8 2 2 4 3" xfId="16502" xr:uid="{00000000-0005-0000-0000-00004F3D0000}"/>
    <cellStyle name="Normal 8 2 2 4 3 2" xfId="16503" xr:uid="{00000000-0005-0000-0000-0000503D0000}"/>
    <cellStyle name="Normal 8 2 2 4 3 3" xfId="27033" xr:uid="{9928187A-7F66-4EE9-B3AC-4DD6D9D507CC}"/>
    <cellStyle name="Normal 8 2 2 4 3 3 2" xfId="41996" xr:uid="{0C999102-F91C-42A7-9CD3-B2AADBA945FE}"/>
    <cellStyle name="Normal 8 2 2 4 3 4" xfId="34409" xr:uid="{1611FB24-A73B-464D-9D31-DF0991438531}"/>
    <cellStyle name="Normal 8 2 2 4 4" xfId="16504" xr:uid="{00000000-0005-0000-0000-0000513D0000}"/>
    <cellStyle name="Normal 8 2 2 5" xfId="16505" xr:uid="{00000000-0005-0000-0000-0000523D0000}"/>
    <cellStyle name="Normal 8 2 2 5 2" xfId="16506" xr:uid="{00000000-0005-0000-0000-0000533D0000}"/>
    <cellStyle name="Normal 8 2 2 5 3" xfId="16507" xr:uid="{00000000-0005-0000-0000-0000543D0000}"/>
    <cellStyle name="Normal 8 2 2 6" xfId="16508" xr:uid="{00000000-0005-0000-0000-0000553D0000}"/>
    <cellStyle name="Normal 8 2 2 7" xfId="16509" xr:uid="{00000000-0005-0000-0000-0000563D0000}"/>
    <cellStyle name="Normal 8 2 2 7 2" xfId="27034" xr:uid="{04860440-61ED-4B84-8675-AF205471EA92}"/>
    <cellStyle name="Normal 8 2 2 7 2 2" xfId="41997" xr:uid="{0F468AD3-A994-41AC-A89E-16F4B0A6BE94}"/>
    <cellStyle name="Normal 8 2 2 7 3" xfId="34410" xr:uid="{D51058B2-F02C-4FE2-9B4E-C3DD412E2B40}"/>
    <cellStyle name="Normal 8 2 2 8" xfId="16510" xr:uid="{00000000-0005-0000-0000-0000573D0000}"/>
    <cellStyle name="Normal 8 2 2 9" xfId="16511" xr:uid="{00000000-0005-0000-0000-0000583D0000}"/>
    <cellStyle name="Normal 8 2 3" xfId="16512" xr:uid="{00000000-0005-0000-0000-0000593D0000}"/>
    <cellStyle name="Normal 8 2 3 2" xfId="16513" xr:uid="{00000000-0005-0000-0000-00005A3D0000}"/>
    <cellStyle name="Normal 8 2 3 2 2" xfId="16514" xr:uid="{00000000-0005-0000-0000-00005B3D0000}"/>
    <cellStyle name="Normal 8 2 3 2 2 2" xfId="16515" xr:uid="{00000000-0005-0000-0000-00005C3D0000}"/>
    <cellStyle name="Normal 8 2 3 2 2 3" xfId="16516" xr:uid="{00000000-0005-0000-0000-00005D3D0000}"/>
    <cellStyle name="Normal 8 2 3 2 2 3 2" xfId="27035" xr:uid="{C1FF955C-AF8A-4867-A7D9-D2A558A1C775}"/>
    <cellStyle name="Normal 8 2 3 2 2 3 2 2" xfId="41998" xr:uid="{A3F7E6F1-EAC1-4829-8739-CCC38EF3BD5C}"/>
    <cellStyle name="Normal 8 2 3 2 2 3 3" xfId="34411" xr:uid="{D2186B63-E5C6-4448-94E9-6EB5FB48059D}"/>
    <cellStyle name="Normal 8 2 3 2 2 4" xfId="16517" xr:uid="{00000000-0005-0000-0000-00005E3D0000}"/>
    <cellStyle name="Normal 8 2 3 2 3" xfId="16518" xr:uid="{00000000-0005-0000-0000-00005F3D0000}"/>
    <cellStyle name="Normal 8 2 3 2 4" xfId="16519" xr:uid="{00000000-0005-0000-0000-0000603D0000}"/>
    <cellStyle name="Normal 8 2 3 2 4 2" xfId="27036" xr:uid="{CF0C838A-26D7-4653-B1E4-2C42B1C33398}"/>
    <cellStyle name="Normal 8 2 3 2 4 2 2" xfId="41999" xr:uid="{9F19103A-4681-40DB-BA8F-6AF451E2C92E}"/>
    <cellStyle name="Normal 8 2 3 2 4 3" xfId="34412" xr:uid="{601487A5-18F1-495F-A098-E8FE0130E44E}"/>
    <cellStyle name="Normal 8 2 3 2 5" xfId="16520" xr:uid="{00000000-0005-0000-0000-0000613D0000}"/>
    <cellStyle name="Normal 8 2 3 2 5 2" xfId="27037" xr:uid="{EE58AFB6-3AA6-4E97-920E-202B9A19B861}"/>
    <cellStyle name="Normal 8 2 3 2 5 2 2" xfId="42000" xr:uid="{2EB6AE3A-2E3F-4B0B-9FAC-4B0FE8A495E4}"/>
    <cellStyle name="Normal 8 2 3 2 5 3" xfId="34413" xr:uid="{202AA6D4-4F1C-4134-9BA1-FC3190285792}"/>
    <cellStyle name="Normal 8 2 3 2 6" xfId="16521" xr:uid="{00000000-0005-0000-0000-0000623D0000}"/>
    <cellStyle name="Normal 8 2 3 3" xfId="16522" xr:uid="{00000000-0005-0000-0000-0000633D0000}"/>
    <cellStyle name="Normal 8 2 3 3 2" xfId="16523" xr:uid="{00000000-0005-0000-0000-0000643D0000}"/>
    <cellStyle name="Normal 8 2 3 3 2 2" xfId="16524" xr:uid="{00000000-0005-0000-0000-0000653D0000}"/>
    <cellStyle name="Normal 8 2 3 3 2 3" xfId="16525" xr:uid="{00000000-0005-0000-0000-0000663D0000}"/>
    <cellStyle name="Normal 8 2 3 3 3" xfId="16526" xr:uid="{00000000-0005-0000-0000-0000673D0000}"/>
    <cellStyle name="Normal 8 2 3 3 4" xfId="16527" xr:uid="{00000000-0005-0000-0000-0000683D0000}"/>
    <cellStyle name="Normal 8 2 3 3 4 2" xfId="27038" xr:uid="{0416567A-B87A-4582-BD7C-999A510CA87A}"/>
    <cellStyle name="Normal 8 2 3 3 4 2 2" xfId="42001" xr:uid="{E029BF36-B47D-4105-9A3D-6157F2B49D24}"/>
    <cellStyle name="Normal 8 2 3 3 4 3" xfId="34414" xr:uid="{D310354D-F14E-49C9-A25B-A01534AC4C8E}"/>
    <cellStyle name="Normal 8 2 3 3 5" xfId="16528" xr:uid="{00000000-0005-0000-0000-0000693D0000}"/>
    <cellStyle name="Normal 8 2 3 3 5 2" xfId="27039" xr:uid="{0D74DD73-A2DE-46DF-A959-569AC52C9292}"/>
    <cellStyle name="Normal 8 2 3 3 5 2 2" xfId="42002" xr:uid="{258CE1B7-AE0C-46E3-BA1C-78FD96878732}"/>
    <cellStyle name="Normal 8 2 3 3 5 3" xfId="34415" xr:uid="{E467D5AE-117B-4F42-B9F0-A9291E526049}"/>
    <cellStyle name="Normal 8 2 3 3 6" xfId="16529" xr:uid="{00000000-0005-0000-0000-00006A3D0000}"/>
    <cellStyle name="Normal 8 2 3 4" xfId="16530" xr:uid="{00000000-0005-0000-0000-00006B3D0000}"/>
    <cellStyle name="Normal 8 2 3 4 2" xfId="16531" xr:uid="{00000000-0005-0000-0000-00006C3D0000}"/>
    <cellStyle name="Normal 8 2 3 4 3" xfId="16532" xr:uid="{00000000-0005-0000-0000-00006D3D0000}"/>
    <cellStyle name="Normal 8 2 3 5" xfId="16533" xr:uid="{00000000-0005-0000-0000-00006E3D0000}"/>
    <cellStyle name="Normal 8 2 3 6" xfId="16534" xr:uid="{00000000-0005-0000-0000-00006F3D0000}"/>
    <cellStyle name="Normal 8 2 3 6 2" xfId="27040" xr:uid="{1BFE1B17-01A0-4789-828C-019833B971AD}"/>
    <cellStyle name="Normal 8 2 3 6 2 2" xfId="42003" xr:uid="{962D5853-6A6D-417C-814B-D503D2D8F6C9}"/>
    <cellStyle name="Normal 8 2 3 6 3" xfId="34416" xr:uid="{3D9648B3-F505-4A00-8282-14B3F7A7946D}"/>
    <cellStyle name="Normal 8 2 3 7" xfId="16535" xr:uid="{00000000-0005-0000-0000-0000703D0000}"/>
    <cellStyle name="Normal 8 2 3 7 2" xfId="27041" xr:uid="{18928050-6484-48DB-8318-201855F24EBB}"/>
    <cellStyle name="Normal 8 2 3 7 2 2" xfId="42004" xr:uid="{C06A0AD8-2CEA-4A83-83DE-CA15074F1957}"/>
    <cellStyle name="Normal 8 2 3 7 3" xfId="34417" xr:uid="{309B05DD-99BB-40A7-9B4F-56E543422152}"/>
    <cellStyle name="Normal 8 2 3 8" xfId="16536" xr:uid="{00000000-0005-0000-0000-0000713D0000}"/>
    <cellStyle name="Normal 8 2 4" xfId="16537" xr:uid="{00000000-0005-0000-0000-0000723D0000}"/>
    <cellStyle name="Normal 8 2 4 2" xfId="16538" xr:uid="{00000000-0005-0000-0000-0000733D0000}"/>
    <cellStyle name="Normal 8 2 4 2 2" xfId="16539" xr:uid="{00000000-0005-0000-0000-0000743D0000}"/>
    <cellStyle name="Normal 8 2 4 2 3" xfId="16540" xr:uid="{00000000-0005-0000-0000-0000753D0000}"/>
    <cellStyle name="Normal 8 2 4 2 3 2" xfId="27042" xr:uid="{6F386415-4231-4B6A-906F-433BA5FED58A}"/>
    <cellStyle name="Normal 8 2 4 2 3 2 2" xfId="42005" xr:uid="{1BD126AA-41DD-4182-A396-3B3620447523}"/>
    <cellStyle name="Normal 8 2 4 2 3 3" xfId="34418" xr:uid="{D6047912-E8E0-4F95-B1CC-2AB8630AAEAF}"/>
    <cellStyle name="Normal 8 2 4 2 4" xfId="16541" xr:uid="{00000000-0005-0000-0000-0000763D0000}"/>
    <cellStyle name="Normal 8 2 4 3" xfId="16542" xr:uid="{00000000-0005-0000-0000-0000773D0000}"/>
    <cellStyle name="Normal 8 2 4 4" xfId="16543" xr:uid="{00000000-0005-0000-0000-0000783D0000}"/>
    <cellStyle name="Normal 8 2 4 4 2" xfId="27043" xr:uid="{9A731F3E-10E8-4C07-B366-BCE9B8B91F32}"/>
    <cellStyle name="Normal 8 2 4 4 2 2" xfId="42006" xr:uid="{EC3F381B-25B1-49D0-870C-22A128095AEF}"/>
    <cellStyle name="Normal 8 2 4 4 3" xfId="34419" xr:uid="{B413F9AE-685C-4BA9-BA2D-09AA7070AE80}"/>
    <cellStyle name="Normal 8 2 4 5" xfId="16544" xr:uid="{00000000-0005-0000-0000-0000793D0000}"/>
    <cellStyle name="Normal 8 2 4 5 2" xfId="27044" xr:uid="{EF7374DB-24C6-460A-AE82-366F092541CF}"/>
    <cellStyle name="Normal 8 2 4 5 2 2" xfId="42007" xr:uid="{F5E3C319-E37D-4D08-B173-3957DBA3DB4D}"/>
    <cellStyle name="Normal 8 2 4 5 3" xfId="34420" xr:uid="{FB7E6BC8-7C3C-4FF9-B814-E66ECF5AC4C4}"/>
    <cellStyle name="Normal 8 2 4 6" xfId="16545" xr:uid="{00000000-0005-0000-0000-00007A3D0000}"/>
    <cellStyle name="Normal 8 2 5" xfId="16546" xr:uid="{00000000-0005-0000-0000-00007B3D0000}"/>
    <cellStyle name="Normal 8 2 5 2" xfId="16547" xr:uid="{00000000-0005-0000-0000-00007C3D0000}"/>
    <cellStyle name="Normal 8 2 5 2 2" xfId="16548" xr:uid="{00000000-0005-0000-0000-00007D3D0000}"/>
    <cellStyle name="Normal 8 2 5 2 3" xfId="16549" xr:uid="{00000000-0005-0000-0000-00007E3D0000}"/>
    <cellStyle name="Normal 8 2 5 3" xfId="16550" xr:uid="{00000000-0005-0000-0000-00007F3D0000}"/>
    <cellStyle name="Normal 8 2 5 3 2" xfId="16551" xr:uid="{00000000-0005-0000-0000-0000803D0000}"/>
    <cellStyle name="Normal 8 2 5 3 3" xfId="27045" xr:uid="{AD25494F-2128-45A8-921A-43881C557424}"/>
    <cellStyle name="Normal 8 2 5 3 3 2" xfId="42008" xr:uid="{9BC907A3-3B31-4E79-9D19-8B0CF0A20857}"/>
    <cellStyle name="Normal 8 2 5 3 4" xfId="34421" xr:uid="{388F3AE5-020B-42AF-B60A-08179D351ECB}"/>
    <cellStyle name="Normal 8 2 5 4" xfId="16552" xr:uid="{00000000-0005-0000-0000-0000813D0000}"/>
    <cellStyle name="Normal 8 2 6" xfId="16553" xr:uid="{00000000-0005-0000-0000-0000823D0000}"/>
    <cellStyle name="Normal 8 2 6 2" xfId="16554" xr:uid="{00000000-0005-0000-0000-0000833D0000}"/>
    <cellStyle name="Normal 8 2 6 3" xfId="16555" xr:uid="{00000000-0005-0000-0000-0000843D0000}"/>
    <cellStyle name="Normal 8 2 7" xfId="16556" xr:uid="{00000000-0005-0000-0000-0000853D0000}"/>
    <cellStyle name="Normal 8 2 7 2" xfId="16557" xr:uid="{00000000-0005-0000-0000-0000863D0000}"/>
    <cellStyle name="Normal 8 2 7 3" xfId="16558" xr:uid="{00000000-0005-0000-0000-0000873D0000}"/>
    <cellStyle name="Normal 8 2 7 4" xfId="27046" xr:uid="{7C2FC61F-0993-4AB9-B274-74BB50A8BD9D}"/>
    <cellStyle name="Normal 8 2 7 4 2" xfId="42009" xr:uid="{67E6756C-FB27-4395-A029-1653D754A86E}"/>
    <cellStyle name="Normal 8 2 7 5" xfId="34422" xr:uid="{D181E43C-99F1-45E5-A063-6825F8DE70EF}"/>
    <cellStyle name="Normal 8 2 8" xfId="16559" xr:uid="{00000000-0005-0000-0000-0000883D0000}"/>
    <cellStyle name="Normal 8 3" xfId="2571" xr:uid="{00000000-0005-0000-0000-0000D2090000}"/>
    <cellStyle name="Normal 8 3 2" xfId="16560" xr:uid="{00000000-0005-0000-0000-00008A3D0000}"/>
    <cellStyle name="Normal 8 3 2 2" xfId="16561" xr:uid="{00000000-0005-0000-0000-00008B3D0000}"/>
    <cellStyle name="Normal 8 3 2 2 2" xfId="16562" xr:uid="{00000000-0005-0000-0000-00008C3D0000}"/>
    <cellStyle name="Normal 8 3 2 2 2 2" xfId="16563" xr:uid="{00000000-0005-0000-0000-00008D3D0000}"/>
    <cellStyle name="Normal 8 3 2 2 2 3" xfId="16564" xr:uid="{00000000-0005-0000-0000-00008E3D0000}"/>
    <cellStyle name="Normal 8 3 2 2 3" xfId="16565" xr:uid="{00000000-0005-0000-0000-00008F3D0000}"/>
    <cellStyle name="Normal 8 3 2 2 4" xfId="16566" xr:uid="{00000000-0005-0000-0000-0000903D0000}"/>
    <cellStyle name="Normal 8 3 2 2 4 2" xfId="27047" xr:uid="{432B5066-0F56-432C-B9D8-68BB7BC9537E}"/>
    <cellStyle name="Normal 8 3 2 2 4 2 2" xfId="42010" xr:uid="{7CA70928-BE70-4403-A56B-CF3DD063ECE5}"/>
    <cellStyle name="Normal 8 3 2 2 4 3" xfId="34423" xr:uid="{8FE9D7B7-340F-451A-80A1-7A922194BD5D}"/>
    <cellStyle name="Normal 8 3 2 2 5" xfId="16567" xr:uid="{00000000-0005-0000-0000-0000913D0000}"/>
    <cellStyle name="Normal 8 3 2 2 5 2" xfId="27048" xr:uid="{5EE48830-1F8E-4068-9BEB-B06599D511F1}"/>
    <cellStyle name="Normal 8 3 2 2 5 2 2" xfId="42011" xr:uid="{F56B1EBF-9944-451A-9A85-EB00378FF8AA}"/>
    <cellStyle name="Normal 8 3 2 2 5 3" xfId="34424" xr:uid="{CACB7461-8364-4EA5-B763-AFAE135CECAA}"/>
    <cellStyle name="Normal 8 3 2 2 6" xfId="16568" xr:uid="{00000000-0005-0000-0000-0000923D0000}"/>
    <cellStyle name="Normal 8 3 2 3" xfId="16569" xr:uid="{00000000-0005-0000-0000-0000933D0000}"/>
    <cellStyle name="Normal 8 3 2 3 2" xfId="16570" xr:uid="{00000000-0005-0000-0000-0000943D0000}"/>
    <cellStyle name="Normal 8 3 2 3 2 2" xfId="16571" xr:uid="{00000000-0005-0000-0000-0000953D0000}"/>
    <cellStyle name="Normal 8 3 2 3 2 3" xfId="16572" xr:uid="{00000000-0005-0000-0000-0000963D0000}"/>
    <cellStyle name="Normal 8 3 2 3 3" xfId="16573" xr:uid="{00000000-0005-0000-0000-0000973D0000}"/>
    <cellStyle name="Normal 8 3 2 3 3 2" xfId="16574" xr:uid="{00000000-0005-0000-0000-0000983D0000}"/>
    <cellStyle name="Normal 8 3 2 3 3 3" xfId="27049" xr:uid="{B4EF53D8-8F99-4A2B-8989-25BE44FBEDED}"/>
    <cellStyle name="Normal 8 3 2 3 3 3 2" xfId="42012" xr:uid="{856CD933-E006-487D-8C73-76E7BD9A427B}"/>
    <cellStyle name="Normal 8 3 2 3 3 4" xfId="34425" xr:uid="{1C6D58CD-6FFE-41E1-91BF-104E3D240A97}"/>
    <cellStyle name="Normal 8 3 2 3 4" xfId="16575" xr:uid="{00000000-0005-0000-0000-0000993D0000}"/>
    <cellStyle name="Normal 8 3 2 4" xfId="16576" xr:uid="{00000000-0005-0000-0000-00009A3D0000}"/>
    <cellStyle name="Normal 8 3 2 4 2" xfId="16577" xr:uid="{00000000-0005-0000-0000-00009B3D0000}"/>
    <cellStyle name="Normal 8 3 2 4 3" xfId="16578" xr:uid="{00000000-0005-0000-0000-00009C3D0000}"/>
    <cellStyle name="Normal 8 3 2 5" xfId="16579" xr:uid="{00000000-0005-0000-0000-00009D3D0000}"/>
    <cellStyle name="Normal 8 3 2 6" xfId="16580" xr:uid="{00000000-0005-0000-0000-00009E3D0000}"/>
    <cellStyle name="Normal 8 3 2 6 2" xfId="27050" xr:uid="{F0571BE9-8E44-495B-BC43-EE1ADFBF7247}"/>
    <cellStyle name="Normal 8 3 2 6 2 2" xfId="42013" xr:uid="{E15B95BB-3C41-4896-A976-ABDE7CD999BC}"/>
    <cellStyle name="Normal 8 3 2 6 3" xfId="34426" xr:uid="{8DA9ED3A-4EFB-4446-AD1C-A46050BD3C0D}"/>
    <cellStyle name="Normal 8 3 2 7" xfId="16581" xr:uid="{00000000-0005-0000-0000-00009F3D0000}"/>
    <cellStyle name="Normal 8 3 2 7 2" xfId="27051" xr:uid="{79850C3E-F5C4-4BD6-8831-9F1D43EAE8DA}"/>
    <cellStyle name="Normal 8 3 2 7 2 2" xfId="42014" xr:uid="{C396EB44-21CE-4382-AE69-F312E791B77D}"/>
    <cellStyle name="Normal 8 3 2 7 3" xfId="34427" xr:uid="{E0158FEB-2ACD-4199-8747-BC116391E11B}"/>
    <cellStyle name="Normal 8 3 2 8" xfId="16582" xr:uid="{00000000-0005-0000-0000-0000A03D0000}"/>
    <cellStyle name="Normal 8 3 3" xfId="16583" xr:uid="{00000000-0005-0000-0000-0000A13D0000}"/>
    <cellStyle name="Normal 8 3 3 2" xfId="16584" xr:uid="{00000000-0005-0000-0000-0000A23D0000}"/>
    <cellStyle name="Normal 8 3 3 2 2" xfId="16585" xr:uid="{00000000-0005-0000-0000-0000A33D0000}"/>
    <cellStyle name="Normal 8 3 3 2 3" xfId="16586" xr:uid="{00000000-0005-0000-0000-0000A43D0000}"/>
    <cellStyle name="Normal 8 3 3 2 3 2" xfId="27052" xr:uid="{DF249B65-47AE-4EA8-8013-8C523B962EE3}"/>
    <cellStyle name="Normal 8 3 3 2 3 2 2" xfId="42015" xr:uid="{B78F30D8-FB61-4AEB-8DB5-89E12CC739DF}"/>
    <cellStyle name="Normal 8 3 3 2 3 3" xfId="34428" xr:uid="{5AED68D1-7CA1-4468-A75E-008BDAFD19BD}"/>
    <cellStyle name="Normal 8 3 3 2 4" xfId="16587" xr:uid="{00000000-0005-0000-0000-0000A53D0000}"/>
    <cellStyle name="Normal 8 3 3 3" xfId="16588" xr:uid="{00000000-0005-0000-0000-0000A63D0000}"/>
    <cellStyle name="Normal 8 3 3 4" xfId="16589" xr:uid="{00000000-0005-0000-0000-0000A73D0000}"/>
    <cellStyle name="Normal 8 3 3 4 2" xfId="27053" xr:uid="{ACB9B6DE-F0BB-477A-8273-003FE3E2603D}"/>
    <cellStyle name="Normal 8 3 3 4 2 2" xfId="42016" xr:uid="{922ACED2-8171-4334-8792-60464536779E}"/>
    <cellStyle name="Normal 8 3 3 4 3" xfId="34429" xr:uid="{5725C5A4-1DE6-49F1-B39D-DDC9B114B6FC}"/>
    <cellStyle name="Normal 8 3 3 5" xfId="16590" xr:uid="{00000000-0005-0000-0000-0000A83D0000}"/>
    <cellStyle name="Normal 8 3 3 5 2" xfId="27054" xr:uid="{83157D4D-349E-4390-9E96-06F24C5BAE7E}"/>
    <cellStyle name="Normal 8 3 3 5 2 2" xfId="42017" xr:uid="{3A20D9D5-61EA-453B-90BE-B08AD21C6E49}"/>
    <cellStyle name="Normal 8 3 3 5 3" xfId="34430" xr:uid="{5F04E80F-1B4B-42D2-A238-CE3E84BDA543}"/>
    <cellStyle name="Normal 8 3 3 6" xfId="16591" xr:uid="{00000000-0005-0000-0000-0000A93D0000}"/>
    <cellStyle name="Normal 8 3 4" xfId="16592" xr:uid="{00000000-0005-0000-0000-0000AA3D0000}"/>
    <cellStyle name="Normal 8 3 4 2" xfId="16593" xr:uid="{00000000-0005-0000-0000-0000AB3D0000}"/>
    <cellStyle name="Normal 8 3 4 2 2" xfId="16594" xr:uid="{00000000-0005-0000-0000-0000AC3D0000}"/>
    <cellStyle name="Normal 8 3 4 2 3" xfId="16595" xr:uid="{00000000-0005-0000-0000-0000AD3D0000}"/>
    <cellStyle name="Normal 8 3 4 2 3 2" xfId="27055" xr:uid="{EFDDD7E3-CD9C-4D0D-87B8-6FE4A1979FC7}"/>
    <cellStyle name="Normal 8 3 4 2 3 2 2" xfId="42018" xr:uid="{84A6C251-8EEC-413A-B2FD-FB5023448D51}"/>
    <cellStyle name="Normal 8 3 4 2 3 3" xfId="34431" xr:uid="{1E8D9CFA-F6E5-4572-9B6E-3EDB80737D18}"/>
    <cellStyle name="Normal 8 3 4 2 4" xfId="16596" xr:uid="{00000000-0005-0000-0000-0000AE3D0000}"/>
    <cellStyle name="Normal 8 3 4 3" xfId="16597" xr:uid="{00000000-0005-0000-0000-0000AF3D0000}"/>
    <cellStyle name="Normal 8 3 4 4" xfId="16598" xr:uid="{00000000-0005-0000-0000-0000B03D0000}"/>
    <cellStyle name="Normal 8 3 4 4 2" xfId="27056" xr:uid="{B4E50D30-B8D0-4448-B294-2FAA56955CF2}"/>
    <cellStyle name="Normal 8 3 4 4 2 2" xfId="42019" xr:uid="{BB47C58D-7479-4816-A518-54613F3708E5}"/>
    <cellStyle name="Normal 8 3 4 4 3" xfId="34432" xr:uid="{325AF982-E0C1-4345-964D-9B9D742B0B74}"/>
    <cellStyle name="Normal 8 3 4 5" xfId="16599" xr:uid="{00000000-0005-0000-0000-0000B13D0000}"/>
    <cellStyle name="Normal 8 3 4 5 2" xfId="27057" xr:uid="{296B656E-165B-412A-84A3-594CC41657C8}"/>
    <cellStyle name="Normal 8 3 4 5 2 2" xfId="42020" xr:uid="{5815BF8C-C712-4D27-9657-4E0D532815F4}"/>
    <cellStyle name="Normal 8 3 4 5 3" xfId="34433" xr:uid="{E78AF6F4-2A7F-44DF-89A1-BF9A1C11B5FA}"/>
    <cellStyle name="Normal 8 3 4 6" xfId="16600" xr:uid="{00000000-0005-0000-0000-0000B23D0000}"/>
    <cellStyle name="Normal 8 3 5" xfId="16601" xr:uid="{00000000-0005-0000-0000-0000B33D0000}"/>
    <cellStyle name="Normal 8 3 5 2" xfId="16602" xr:uid="{00000000-0005-0000-0000-0000B43D0000}"/>
    <cellStyle name="Normal 8 3 5 2 2" xfId="16603" xr:uid="{00000000-0005-0000-0000-0000B53D0000}"/>
    <cellStyle name="Normal 8 3 5 2 3" xfId="27058" xr:uid="{C39A5E12-426A-4AF4-BF45-2616AAE45700}"/>
    <cellStyle name="Normal 8 3 5 2 3 2" xfId="42021" xr:uid="{7664226E-254C-49B9-9A5B-ADC2634E4E9F}"/>
    <cellStyle name="Normal 8 3 5 2 4" xfId="34434" xr:uid="{634B4267-17F1-44DE-903A-2C13EFE7C017}"/>
    <cellStyle name="Normal 8 3 5 3" xfId="16604" xr:uid="{00000000-0005-0000-0000-0000B63D0000}"/>
    <cellStyle name="Normal 8 3 5 4" xfId="16605" xr:uid="{00000000-0005-0000-0000-0000B73D0000}"/>
    <cellStyle name="Normal 8 3 5 4 2" xfId="27059" xr:uid="{2E0AF526-851E-441F-8003-555D86498C48}"/>
    <cellStyle name="Normal 8 3 5 4 2 2" xfId="42022" xr:uid="{97FC60D5-1EA9-4496-B4F0-07D41829828B}"/>
    <cellStyle name="Normal 8 3 5 4 3" xfId="34435" xr:uid="{11BA728A-0403-4759-9A62-56A8109F82B0}"/>
    <cellStyle name="Normal 8 3 5 5" xfId="16606" xr:uid="{00000000-0005-0000-0000-0000B83D0000}"/>
    <cellStyle name="Normal 8 3 6" xfId="16607" xr:uid="{00000000-0005-0000-0000-0000B93D0000}"/>
    <cellStyle name="Normal 8 3 6 2" xfId="16608" xr:uid="{00000000-0005-0000-0000-0000BA3D0000}"/>
    <cellStyle name="Normal 8 3 6 3" xfId="27060" xr:uid="{83346545-CB39-43E1-A2FF-9368D24765FD}"/>
    <cellStyle name="Normal 8 3 6 3 2" xfId="42023" xr:uid="{8FC7CBCE-E0F9-4306-A372-23A57EF13985}"/>
    <cellStyle name="Normal 8 3 6 4" xfId="34436" xr:uid="{A33B3102-3E43-425D-9228-23F5F76DFA9A}"/>
    <cellStyle name="Normal 8 3 7" xfId="16609" xr:uid="{00000000-0005-0000-0000-0000BB3D0000}"/>
    <cellStyle name="Normal 8 3 8" xfId="5334" xr:uid="{00000000-0005-0000-0000-0000893D0000}"/>
    <cellStyle name="Normal 8 4" xfId="16610" xr:uid="{00000000-0005-0000-0000-0000BC3D0000}"/>
    <cellStyle name="Normal 8 4 2" xfId="16611" xr:uid="{00000000-0005-0000-0000-0000BD3D0000}"/>
    <cellStyle name="Normal 8 4 2 2" xfId="16612" xr:uid="{00000000-0005-0000-0000-0000BE3D0000}"/>
    <cellStyle name="Normal 8 4 2 3" xfId="16613" xr:uid="{00000000-0005-0000-0000-0000BF3D0000}"/>
    <cellStyle name="Normal 8 4 2 3 2" xfId="27061" xr:uid="{7625D62A-C511-4B79-84EF-D8B76328A390}"/>
    <cellStyle name="Normal 8 4 2 3 2 2" xfId="42024" xr:uid="{408E1F5D-A7B3-4F35-8F57-E6276F39F4FC}"/>
    <cellStyle name="Normal 8 4 2 3 3" xfId="34437" xr:uid="{331D4831-378C-4465-AAF2-20FF93335BA4}"/>
    <cellStyle name="Normal 8 4 2 4" xfId="16614" xr:uid="{00000000-0005-0000-0000-0000C03D0000}"/>
    <cellStyle name="Normal 8 4 2 4 2" xfId="27062" xr:uid="{C7BEEE76-B72C-42B4-B612-3642EE42914D}"/>
    <cellStyle name="Normal 8 4 2 4 2 2" xfId="42025" xr:uid="{77C3C858-4864-468A-B307-5FFD5886EA1F}"/>
    <cellStyle name="Normal 8 4 2 4 3" xfId="34438" xr:uid="{E38F2BC1-59AB-48B7-90EF-384C8DD28330}"/>
    <cellStyle name="Normal 8 4 2 5" xfId="16615" xr:uid="{00000000-0005-0000-0000-0000C13D0000}"/>
    <cellStyle name="Normal 8 4 3" xfId="16616" xr:uid="{00000000-0005-0000-0000-0000C23D0000}"/>
    <cellStyle name="Normal 8 4 3 2" xfId="16617" xr:uid="{00000000-0005-0000-0000-0000C33D0000}"/>
    <cellStyle name="Normal 8 4 3 2 2" xfId="16618" xr:uid="{00000000-0005-0000-0000-0000C43D0000}"/>
    <cellStyle name="Normal 8 4 3 2 3" xfId="16619" xr:uid="{00000000-0005-0000-0000-0000C53D0000}"/>
    <cellStyle name="Normal 8 4 3 2 3 2" xfId="27063" xr:uid="{05CC0690-94F5-4817-89FB-14F715DDDB3D}"/>
    <cellStyle name="Normal 8 4 3 2 3 2 2" xfId="42026" xr:uid="{C6AB0E82-DF1A-407E-8F47-D11FA9B4830A}"/>
    <cellStyle name="Normal 8 4 3 2 3 3" xfId="34439" xr:uid="{DCD98D7E-E83F-4FB2-A17E-1181E6311FFD}"/>
    <cellStyle name="Normal 8 4 3 2 4" xfId="16620" xr:uid="{00000000-0005-0000-0000-0000C63D0000}"/>
    <cellStyle name="Normal 8 4 3 3" xfId="16621" xr:uid="{00000000-0005-0000-0000-0000C73D0000}"/>
    <cellStyle name="Normal 8 4 3 4" xfId="16622" xr:uid="{00000000-0005-0000-0000-0000C83D0000}"/>
    <cellStyle name="Normal 8 4 3 4 2" xfId="27064" xr:uid="{8EA8B8B0-9ADC-4FC7-A261-FA02D5712AFA}"/>
    <cellStyle name="Normal 8 4 3 4 2 2" xfId="42027" xr:uid="{FDA9B743-9299-45E2-9A1D-B8F6AB5842B7}"/>
    <cellStyle name="Normal 8 4 3 4 3" xfId="34440" xr:uid="{D968DAE3-CC9A-4307-89D4-ED6428110AED}"/>
    <cellStyle name="Normal 8 4 3 5" xfId="16623" xr:uid="{00000000-0005-0000-0000-0000C93D0000}"/>
    <cellStyle name="Normal 8 4 3 5 2" xfId="27065" xr:uid="{387C42EE-7E33-430A-BE71-6F4B4C27BEDD}"/>
    <cellStyle name="Normal 8 4 3 5 2 2" xfId="42028" xr:uid="{B2AFD232-8B8B-4B8D-98B1-150538D326F4}"/>
    <cellStyle name="Normal 8 4 3 5 3" xfId="34441" xr:uid="{0291CEEB-E301-4689-8627-EE65D3B6C1A7}"/>
    <cellStyle name="Normal 8 4 3 6" xfId="16624" xr:uid="{00000000-0005-0000-0000-0000CA3D0000}"/>
    <cellStyle name="Normal 8 4 4" xfId="16625" xr:uid="{00000000-0005-0000-0000-0000CB3D0000}"/>
    <cellStyle name="Normal 8 4 4 2" xfId="16626" xr:uid="{00000000-0005-0000-0000-0000CC3D0000}"/>
    <cellStyle name="Normal 8 4 4 3" xfId="16627" xr:uid="{00000000-0005-0000-0000-0000CD3D0000}"/>
    <cellStyle name="Normal 8 4 4 3 2" xfId="27066" xr:uid="{33CFC6D4-B16B-4B17-8A87-8820D9A3C24F}"/>
    <cellStyle name="Normal 8 4 4 3 2 2" xfId="42029" xr:uid="{C04AA929-7520-4E83-9BC7-7C2E6AA9D955}"/>
    <cellStyle name="Normal 8 4 4 3 3" xfId="34442" xr:uid="{460F2E85-A474-4D1A-8DA6-53B972FCCC37}"/>
    <cellStyle name="Normal 8 4 4 4" xfId="16628" xr:uid="{00000000-0005-0000-0000-0000CE3D0000}"/>
    <cellStyle name="Normal 8 4 5" xfId="16629" xr:uid="{00000000-0005-0000-0000-0000CF3D0000}"/>
    <cellStyle name="Normal 8 4 5 2" xfId="16630" xr:uid="{00000000-0005-0000-0000-0000D03D0000}"/>
    <cellStyle name="Normal 8 4 5 3" xfId="16631" xr:uid="{00000000-0005-0000-0000-0000D13D0000}"/>
    <cellStyle name="Normal 8 4 5 4" xfId="27067" xr:uid="{4439B328-1949-462E-8CD3-2219DE689678}"/>
    <cellStyle name="Normal 8 4 5 4 2" xfId="42030" xr:uid="{F2F9D9B8-AD85-467A-AE7B-033651A801E2}"/>
    <cellStyle name="Normal 8 4 5 5" xfId="34443" xr:uid="{F8C06716-A884-4C81-8E47-AC3A82301BB6}"/>
    <cellStyle name="Normal 8 4 6" xfId="16632" xr:uid="{00000000-0005-0000-0000-0000D23D0000}"/>
    <cellStyle name="Normal 8 4 6 2" xfId="27068" xr:uid="{988B1BD8-3F11-4274-A42F-9E0A03201132}"/>
    <cellStyle name="Normal 8 4 6 2 2" xfId="42031" xr:uid="{08ECB9C6-D864-47C8-BF3D-B46055FE5EC6}"/>
    <cellStyle name="Normal 8 4 6 3" xfId="34444" xr:uid="{8FD95429-53E3-4CF2-BF93-4210372ACCC5}"/>
    <cellStyle name="Normal 8 4 7" xfId="16633" xr:uid="{00000000-0005-0000-0000-0000D33D0000}"/>
    <cellStyle name="Normal 8 5" xfId="16634" xr:uid="{00000000-0005-0000-0000-0000D43D0000}"/>
    <cellStyle name="Normal 8 5 2" xfId="16635" xr:uid="{00000000-0005-0000-0000-0000D53D0000}"/>
    <cellStyle name="Normal 8 5 2 2" xfId="16636" xr:uid="{00000000-0005-0000-0000-0000D63D0000}"/>
    <cellStyle name="Normal 8 5 2 2 2" xfId="16637" xr:uid="{00000000-0005-0000-0000-0000D73D0000}"/>
    <cellStyle name="Normal 8 5 2 2 2 2" xfId="16638" xr:uid="{00000000-0005-0000-0000-0000D83D0000}"/>
    <cellStyle name="Normal 8 5 2 2 2 3" xfId="16639" xr:uid="{00000000-0005-0000-0000-0000D93D0000}"/>
    <cellStyle name="Normal 8 5 2 2 3" xfId="16640" xr:uid="{00000000-0005-0000-0000-0000DA3D0000}"/>
    <cellStyle name="Normal 8 5 2 2 3 2" xfId="16641" xr:uid="{00000000-0005-0000-0000-0000DB3D0000}"/>
    <cellStyle name="Normal 8 5 2 2 3 3" xfId="27069" xr:uid="{E289E2D0-0675-44C3-8D20-AF1232E4B8F3}"/>
    <cellStyle name="Normal 8 5 2 2 3 3 2" xfId="42032" xr:uid="{641F745C-CB34-4064-8E93-E5746CD04176}"/>
    <cellStyle name="Normal 8 5 2 2 3 4" xfId="34445" xr:uid="{6A7841D7-499D-44DB-9E8B-7CD1BB7665D0}"/>
    <cellStyle name="Normal 8 5 2 2 4" xfId="16642" xr:uid="{00000000-0005-0000-0000-0000DC3D0000}"/>
    <cellStyle name="Normal 8 5 2 3" xfId="16643" xr:uid="{00000000-0005-0000-0000-0000DD3D0000}"/>
    <cellStyle name="Normal 8 5 2 3 2" xfId="16644" xr:uid="{00000000-0005-0000-0000-0000DE3D0000}"/>
    <cellStyle name="Normal 8 5 2 3 3" xfId="16645" xr:uid="{00000000-0005-0000-0000-0000DF3D0000}"/>
    <cellStyle name="Normal 8 5 2 4" xfId="16646" xr:uid="{00000000-0005-0000-0000-0000E03D0000}"/>
    <cellStyle name="Normal 8 5 2 4 2" xfId="16647" xr:uid="{00000000-0005-0000-0000-0000E13D0000}"/>
    <cellStyle name="Normal 8 5 2 4 3" xfId="27070" xr:uid="{9FFF15B8-8773-42ED-AE52-ADF41A6CA29D}"/>
    <cellStyle name="Normal 8 5 2 4 3 2" xfId="42033" xr:uid="{1089CBB8-BBA2-4531-823B-076A86D312F1}"/>
    <cellStyle name="Normal 8 5 2 4 4" xfId="34446" xr:uid="{3160DA06-106C-4C27-8810-5053606C658D}"/>
    <cellStyle name="Normal 8 5 2 5" xfId="16648" xr:uid="{00000000-0005-0000-0000-0000E23D0000}"/>
    <cellStyle name="Normal 8 5 3" xfId="16649" xr:uid="{00000000-0005-0000-0000-0000E33D0000}"/>
    <cellStyle name="Normal 8 5 3 2" xfId="16650" xr:uid="{00000000-0005-0000-0000-0000E43D0000}"/>
    <cellStyle name="Normal 8 5 3 2 2" xfId="16651" xr:uid="{00000000-0005-0000-0000-0000E53D0000}"/>
    <cellStyle name="Normal 8 5 3 2 3" xfId="16652" xr:uid="{00000000-0005-0000-0000-0000E63D0000}"/>
    <cellStyle name="Normal 8 5 3 3" xfId="16653" xr:uid="{00000000-0005-0000-0000-0000E73D0000}"/>
    <cellStyle name="Normal 8 5 3 3 2" xfId="16654" xr:uid="{00000000-0005-0000-0000-0000E83D0000}"/>
    <cellStyle name="Normal 8 5 3 3 3" xfId="27071" xr:uid="{A6CA8D4B-DC37-47D0-B75E-2167A5AE04DD}"/>
    <cellStyle name="Normal 8 5 3 3 3 2" xfId="42034" xr:uid="{21CE6CAA-8098-4E25-B7D8-5043010897F1}"/>
    <cellStyle name="Normal 8 5 3 3 4" xfId="34447" xr:uid="{A9CF0093-4C43-4DFD-AD28-F4CAB582725B}"/>
    <cellStyle name="Normal 8 5 3 4" xfId="16655" xr:uid="{00000000-0005-0000-0000-0000E93D0000}"/>
    <cellStyle name="Normal 8 5 4" xfId="16656" xr:uid="{00000000-0005-0000-0000-0000EA3D0000}"/>
    <cellStyle name="Normal 8 5 4 2" xfId="16657" xr:uid="{00000000-0005-0000-0000-0000EB3D0000}"/>
    <cellStyle name="Normal 8 5 5" xfId="16658" xr:uid="{00000000-0005-0000-0000-0000EC3D0000}"/>
    <cellStyle name="Normal 8 5 6" xfId="16659" xr:uid="{00000000-0005-0000-0000-0000ED3D0000}"/>
    <cellStyle name="Normal 8 5 7" xfId="16660" xr:uid="{00000000-0005-0000-0000-0000EE3D0000}"/>
    <cellStyle name="Normal 8 6" xfId="16661" xr:uid="{00000000-0005-0000-0000-0000EF3D0000}"/>
    <cellStyle name="Normal 8 6 2" xfId="16662" xr:uid="{00000000-0005-0000-0000-0000F03D0000}"/>
    <cellStyle name="Normal 8 6 2 2" xfId="16663" xr:uid="{00000000-0005-0000-0000-0000F13D0000}"/>
    <cellStyle name="Normal 8 6 2 3" xfId="16664" xr:uid="{00000000-0005-0000-0000-0000F23D0000}"/>
    <cellStyle name="Normal 8 6 2 3 2" xfId="27072" xr:uid="{38094461-798E-4FE4-8F4D-54FB7E49AF61}"/>
    <cellStyle name="Normal 8 6 2 3 2 2" xfId="42035" xr:uid="{170F7A55-8A43-47B6-ACA9-37CA06F2BEDB}"/>
    <cellStyle name="Normal 8 6 2 3 3" xfId="34448" xr:uid="{0E4C2F84-A4B1-4DB2-AB26-CF2F9AECEAE4}"/>
    <cellStyle name="Normal 8 6 2 4" xfId="16665" xr:uid="{00000000-0005-0000-0000-0000F33D0000}"/>
    <cellStyle name="Normal 8 6 3" xfId="16666" xr:uid="{00000000-0005-0000-0000-0000F43D0000}"/>
    <cellStyle name="Normal 8 6 4" xfId="16667" xr:uid="{00000000-0005-0000-0000-0000F53D0000}"/>
    <cellStyle name="Normal 8 6 4 2" xfId="27073" xr:uid="{124EB1FD-66BF-4FC3-8B90-25F3C6004370}"/>
    <cellStyle name="Normal 8 6 4 2 2" xfId="42036" xr:uid="{13C59738-96CA-4250-9931-75F47F30000C}"/>
    <cellStyle name="Normal 8 6 4 3" xfId="34449" xr:uid="{55117A57-CD05-496B-912C-D9CAF4F1CB87}"/>
    <cellStyle name="Normal 8 6 5" xfId="16668" xr:uid="{00000000-0005-0000-0000-0000F63D0000}"/>
    <cellStyle name="Normal 8 6 5 2" xfId="27074" xr:uid="{52B28E3B-3E1D-4194-8959-ED9FD51783E2}"/>
    <cellStyle name="Normal 8 6 5 2 2" xfId="42037" xr:uid="{7E12ECAE-9395-45A6-9151-6CB393532E08}"/>
    <cellStyle name="Normal 8 6 5 3" xfId="34450" xr:uid="{8F580E82-629B-4CAC-9BAB-4B002B5A3A86}"/>
    <cellStyle name="Normal 8 6 6" xfId="16669" xr:uid="{00000000-0005-0000-0000-0000F73D0000}"/>
    <cellStyle name="Normal 8 7" xfId="16670" xr:uid="{00000000-0005-0000-0000-0000F83D0000}"/>
    <cellStyle name="Normal 8 7 2" xfId="16671" xr:uid="{00000000-0005-0000-0000-0000F93D0000}"/>
    <cellStyle name="Normal 8 7 2 2" xfId="16672" xr:uid="{00000000-0005-0000-0000-0000FA3D0000}"/>
    <cellStyle name="Normal 8 7 2 3" xfId="16673" xr:uid="{00000000-0005-0000-0000-0000FB3D0000}"/>
    <cellStyle name="Normal 8 7 2 3 2" xfId="27075" xr:uid="{5ABE0B62-B7A3-4A0A-8CBD-ECA7D5A5D470}"/>
    <cellStyle name="Normal 8 7 2 3 2 2" xfId="42038" xr:uid="{4EDD1ED2-6EBD-4141-8119-9E0182AA6C15}"/>
    <cellStyle name="Normal 8 7 2 3 3" xfId="34451" xr:uid="{DCE2F897-8E19-4FFD-8B75-9F5B1C293509}"/>
    <cellStyle name="Normal 8 7 2 4" xfId="16674" xr:uid="{00000000-0005-0000-0000-0000FC3D0000}"/>
    <cellStyle name="Normal 8 7 3" xfId="16675" xr:uid="{00000000-0005-0000-0000-0000FD3D0000}"/>
    <cellStyle name="Normal 8 7 4" xfId="16676" xr:uid="{00000000-0005-0000-0000-0000FE3D0000}"/>
    <cellStyle name="Normal 8 7 4 2" xfId="27076" xr:uid="{D54B9E30-DAC4-4E13-8C2F-D7431C100B96}"/>
    <cellStyle name="Normal 8 7 4 2 2" xfId="42039" xr:uid="{A5B44AA6-CC53-473B-B7EB-DC054F578AA5}"/>
    <cellStyle name="Normal 8 7 4 3" xfId="34452" xr:uid="{5E1237A1-EDD9-4174-8811-AD0D53EE3300}"/>
    <cellStyle name="Normal 8 7 5" xfId="16677" xr:uid="{00000000-0005-0000-0000-0000FF3D0000}"/>
    <cellStyle name="Normal 8 7 5 2" xfId="27077" xr:uid="{451C7B0C-75B4-4A86-B483-B66EC3F0258C}"/>
    <cellStyle name="Normal 8 7 5 2 2" xfId="42040" xr:uid="{19D86796-7320-4A68-ABFA-38F76AAAB08E}"/>
    <cellStyle name="Normal 8 7 5 3" xfId="34453" xr:uid="{AEB1671C-D81F-40B6-892D-9B0D3D566134}"/>
    <cellStyle name="Normal 8 7 6" xfId="16678" xr:uid="{00000000-0005-0000-0000-0000003E0000}"/>
    <cellStyle name="Normal 8 8" xfId="16679" xr:uid="{00000000-0005-0000-0000-0000013E0000}"/>
    <cellStyle name="Normal 8 8 2" xfId="16680" xr:uid="{00000000-0005-0000-0000-0000023E0000}"/>
    <cellStyle name="Normal 8 8 2 2" xfId="16681" xr:uid="{00000000-0005-0000-0000-0000033E0000}"/>
    <cellStyle name="Normal 8 8 2 3" xfId="16682" xr:uid="{00000000-0005-0000-0000-0000043E0000}"/>
    <cellStyle name="Normal 8 8 2 3 2" xfId="27078" xr:uid="{7003815C-C077-4A6B-B261-6982ED12EA5F}"/>
    <cellStyle name="Normal 8 8 2 3 2 2" xfId="42041" xr:uid="{25162710-F2F9-4A33-98C1-2B4744305700}"/>
    <cellStyle name="Normal 8 8 2 3 3" xfId="34454" xr:uid="{DBFBE546-BF64-48FB-96F3-9CF21F64287E}"/>
    <cellStyle name="Normal 8 8 2 4" xfId="16683" xr:uid="{00000000-0005-0000-0000-0000053E0000}"/>
    <cellStyle name="Normal 8 8 3" xfId="16684" xr:uid="{00000000-0005-0000-0000-0000063E0000}"/>
    <cellStyle name="Normal 8 8 4" xfId="16685" xr:uid="{00000000-0005-0000-0000-0000073E0000}"/>
    <cellStyle name="Normal 8 8 4 2" xfId="27079" xr:uid="{B52065EF-7CB4-48C7-9579-AE3964B83FAA}"/>
    <cellStyle name="Normal 8 8 4 2 2" xfId="42042" xr:uid="{501A1307-2A38-4A92-A3BD-B66AC6F15291}"/>
    <cellStyle name="Normal 8 8 4 3" xfId="34455" xr:uid="{60A4B4A1-36AE-41DD-8A8F-97E2D09844A1}"/>
    <cellStyle name="Normal 8 8 5" xfId="16686" xr:uid="{00000000-0005-0000-0000-0000083E0000}"/>
    <cellStyle name="Normal 8 8 5 2" xfId="27080" xr:uid="{462289AE-2E3C-4288-A966-66C4359C2636}"/>
    <cellStyle name="Normal 8 8 5 2 2" xfId="42043" xr:uid="{5AA589B4-CF9C-404E-B837-A1973E543900}"/>
    <cellStyle name="Normal 8 8 5 3" xfId="34456" xr:uid="{B8905EDF-EFD6-4AD5-B8F8-6A43A094AE36}"/>
    <cellStyle name="Normal 8 8 6" xfId="16687" xr:uid="{00000000-0005-0000-0000-0000093E0000}"/>
    <cellStyle name="Normal 8 9" xfId="16688" xr:uid="{00000000-0005-0000-0000-00000A3E0000}"/>
    <cellStyle name="Normal 8 9 2" xfId="16689" xr:uid="{00000000-0005-0000-0000-00000B3E0000}"/>
    <cellStyle name="Normal 8 9 3" xfId="16690" xr:uid="{00000000-0005-0000-0000-00000C3E0000}"/>
    <cellStyle name="Normal 8_App b.3 Unspent_" xfId="2572" xr:uid="{00000000-0005-0000-0000-0000D3090000}"/>
    <cellStyle name="Normal 80" xfId="16691" xr:uid="{00000000-0005-0000-0000-00000D3E0000}"/>
    <cellStyle name="Normal 80 2" xfId="16692" xr:uid="{00000000-0005-0000-0000-00000E3E0000}"/>
    <cellStyle name="Normal 80 2 2" xfId="16693" xr:uid="{00000000-0005-0000-0000-00000F3E0000}"/>
    <cellStyle name="Normal 80 2 2 2" xfId="27082" xr:uid="{70121360-2D28-4D08-901A-8E004C45BDC6}"/>
    <cellStyle name="Normal 80 2 2 2 2" xfId="42045" xr:uid="{27E187A9-E756-439C-8418-62F94171ACB1}"/>
    <cellStyle name="Normal 80 2 2 3" xfId="34458" xr:uid="{DCC6154F-5B1C-44D3-91A5-FCF34549558F}"/>
    <cellStyle name="Normal 80 2 3" xfId="27081" xr:uid="{1EA7115D-E33A-4A3A-A1C6-CA534657435F}"/>
    <cellStyle name="Normal 80 2 3 2" xfId="42044" xr:uid="{AE80A976-46C5-4DAE-96D7-31C7D4A1D9FC}"/>
    <cellStyle name="Normal 80 2 4" xfId="34457" xr:uid="{4D13862D-6109-46F4-9764-4F0E454BCA5E}"/>
    <cellStyle name="Normal 80 3" xfId="16694" xr:uid="{00000000-0005-0000-0000-0000103E0000}"/>
    <cellStyle name="Normal 80 3 2" xfId="27083" xr:uid="{74684A15-BD96-421D-AE9D-5ECAFC4058E1}"/>
    <cellStyle name="Normal 80 3 2 2" xfId="42046" xr:uid="{718837BE-9677-4C1C-9BB9-E4E808B44761}"/>
    <cellStyle name="Normal 80 3 3" xfId="34459" xr:uid="{8747A916-F75C-4079-A59A-2B4C7198B78E}"/>
    <cellStyle name="Normal 81" xfId="16695" xr:uid="{00000000-0005-0000-0000-0000113E0000}"/>
    <cellStyle name="Normal 81 2" xfId="16696" xr:uid="{00000000-0005-0000-0000-0000123E0000}"/>
    <cellStyle name="Normal 81 2 2" xfId="16697" xr:uid="{00000000-0005-0000-0000-0000133E0000}"/>
    <cellStyle name="Normal 81 2 2 2" xfId="27085" xr:uid="{9643B218-3EF4-445B-9008-7B18DCFE85E2}"/>
    <cellStyle name="Normal 81 2 2 2 2" xfId="42048" xr:uid="{E6E747AE-0C68-40F5-8D7D-674ADEC6271E}"/>
    <cellStyle name="Normal 81 2 2 3" xfId="34461" xr:uid="{47F62D1F-CDA5-4974-8A41-38852F189042}"/>
    <cellStyle name="Normal 81 2 3" xfId="27084" xr:uid="{373E4F03-032A-4AFD-988C-0A67411FAD50}"/>
    <cellStyle name="Normal 81 2 3 2" xfId="42047" xr:uid="{573D0AAD-5C7C-4347-8F8A-7624824BED85}"/>
    <cellStyle name="Normal 81 2 4" xfId="34460" xr:uid="{D79BF36D-7F9E-461E-B057-7F6F7B07FC58}"/>
    <cellStyle name="Normal 81 3" xfId="16698" xr:uid="{00000000-0005-0000-0000-0000143E0000}"/>
    <cellStyle name="Normal 81 3 2" xfId="27086" xr:uid="{17A94AF8-0B54-46BF-8D42-979D7D6CDFA4}"/>
    <cellStyle name="Normal 81 3 2 2" xfId="42049" xr:uid="{C328A55A-6142-42C2-9C0C-C8B8BBAEC9D5}"/>
    <cellStyle name="Normal 81 3 3" xfId="34462" xr:uid="{478F8657-0EAC-4392-87D8-3802B2EE7F87}"/>
    <cellStyle name="Normal 82" xfId="16699" xr:uid="{00000000-0005-0000-0000-0000153E0000}"/>
    <cellStyle name="Normal 82 2" xfId="16700" xr:uid="{00000000-0005-0000-0000-0000163E0000}"/>
    <cellStyle name="Normal 82 2 2" xfId="16701" xr:uid="{00000000-0005-0000-0000-0000173E0000}"/>
    <cellStyle name="Normal 82 2 2 2" xfId="27088" xr:uid="{7E6F5EEC-C9BB-4A9E-A27A-8C85EE626A5C}"/>
    <cellStyle name="Normal 82 2 2 2 2" xfId="42051" xr:uid="{6589B621-F1C8-4FD0-A9DC-77B0B18710A1}"/>
    <cellStyle name="Normal 82 2 2 3" xfId="34464" xr:uid="{6FD3DDB5-6FFB-402C-8B0B-74F6395B4ABE}"/>
    <cellStyle name="Normal 82 2 3" xfId="27087" xr:uid="{9E8917C8-A766-4C31-850E-5DFCA62A2976}"/>
    <cellStyle name="Normal 82 2 3 2" xfId="42050" xr:uid="{B0CDA7D1-FE31-4023-9F2A-C4543773C094}"/>
    <cellStyle name="Normal 82 2 4" xfId="34463" xr:uid="{5F043484-B764-4D40-A93D-365C657633E9}"/>
    <cellStyle name="Normal 82 3" xfId="16702" xr:uid="{00000000-0005-0000-0000-0000183E0000}"/>
    <cellStyle name="Normal 82 3 2" xfId="27089" xr:uid="{CC208BEA-BEB4-4747-BB34-86750F65910D}"/>
    <cellStyle name="Normal 82 3 2 2" xfId="42052" xr:uid="{0C0404B7-4CA4-4A06-A1EB-917419B281D7}"/>
    <cellStyle name="Normal 82 3 3" xfId="34465" xr:uid="{CFFD77B0-B98E-40B8-843E-47A0995CC0AF}"/>
    <cellStyle name="Normal 83" xfId="16703" xr:uid="{00000000-0005-0000-0000-0000193E0000}"/>
    <cellStyle name="Normal 83 2" xfId="16704" xr:uid="{00000000-0005-0000-0000-00001A3E0000}"/>
    <cellStyle name="Normal 83 2 2" xfId="16705" xr:uid="{00000000-0005-0000-0000-00001B3E0000}"/>
    <cellStyle name="Normal 83 2 2 2" xfId="27091" xr:uid="{1F03A27F-B2F1-423A-9A4C-628FDD8371EE}"/>
    <cellStyle name="Normal 83 2 2 2 2" xfId="42054" xr:uid="{12865284-2455-43C9-BCF5-964E57B623C8}"/>
    <cellStyle name="Normal 83 2 2 3" xfId="34467" xr:uid="{6A926B5B-7DA5-4092-9834-AFA9E2A098BC}"/>
    <cellStyle name="Normal 83 2 3" xfId="27090" xr:uid="{47259242-0C84-4550-A0BB-C2FE4867464E}"/>
    <cellStyle name="Normal 83 2 3 2" xfId="42053" xr:uid="{19224555-B9D2-420C-BBBF-CE35E42B72C0}"/>
    <cellStyle name="Normal 83 2 4" xfId="34466" xr:uid="{0956FF54-F584-4560-B6D3-7470774006B0}"/>
    <cellStyle name="Normal 83 3" xfId="16706" xr:uid="{00000000-0005-0000-0000-00001C3E0000}"/>
    <cellStyle name="Normal 83 3 2" xfId="27092" xr:uid="{4BE5E991-BCD5-4C94-AE7D-78A07F86D4AA}"/>
    <cellStyle name="Normal 83 3 2 2" xfId="42055" xr:uid="{76C30C95-5D48-472E-88CC-86BC640EB21C}"/>
    <cellStyle name="Normal 83 3 3" xfId="34468" xr:uid="{3D457E3D-1E6B-47F9-B903-D174F20FAB1B}"/>
    <cellStyle name="Normal 84" xfId="16707" xr:uid="{00000000-0005-0000-0000-00001D3E0000}"/>
    <cellStyle name="Normal 84 2" xfId="16708" xr:uid="{00000000-0005-0000-0000-00001E3E0000}"/>
    <cellStyle name="Normal 84 2 2" xfId="16709" xr:uid="{00000000-0005-0000-0000-00001F3E0000}"/>
    <cellStyle name="Normal 84 2 2 2" xfId="27094" xr:uid="{BEF9BAA6-9BCD-4D87-B0FF-D05379A58162}"/>
    <cellStyle name="Normal 84 2 2 2 2" xfId="42057" xr:uid="{C8D5DEAC-7F24-47A2-BD2F-6EC58DBC3BC7}"/>
    <cellStyle name="Normal 84 2 2 3" xfId="34470" xr:uid="{67AC1DF5-7E39-4AF6-8B68-DBA076179E69}"/>
    <cellStyle name="Normal 84 2 3" xfId="27093" xr:uid="{B832018E-8CA8-46A1-B3B8-D6BBEC43BC98}"/>
    <cellStyle name="Normal 84 2 3 2" xfId="42056" xr:uid="{82754B21-388E-4533-9A40-918C7E2D8E2B}"/>
    <cellStyle name="Normal 84 2 4" xfId="34469" xr:uid="{5EA38E0F-3F04-4426-8580-1C9D035964D9}"/>
    <cellStyle name="Normal 84 3" xfId="16710" xr:uid="{00000000-0005-0000-0000-0000203E0000}"/>
    <cellStyle name="Normal 84 3 2" xfId="27095" xr:uid="{98DC98DC-C9A1-4DB5-8290-B5B0E55089AA}"/>
    <cellStyle name="Normal 84 3 2 2" xfId="42058" xr:uid="{61750CD7-74CE-4582-8E7E-D8C4F8F29F19}"/>
    <cellStyle name="Normal 84 3 3" xfId="34471" xr:uid="{F1A15C25-D592-4CDB-A528-503223C5B46C}"/>
    <cellStyle name="Normal 85" xfId="16711" xr:uid="{00000000-0005-0000-0000-0000213E0000}"/>
    <cellStyle name="Normal 85 2" xfId="16712" xr:uid="{00000000-0005-0000-0000-0000223E0000}"/>
    <cellStyle name="Normal 85 2 2" xfId="16713" xr:uid="{00000000-0005-0000-0000-0000233E0000}"/>
    <cellStyle name="Normal 85 2 2 2" xfId="27097" xr:uid="{F0F929DD-CE84-4B42-A26E-2953E7817F49}"/>
    <cellStyle name="Normal 85 2 2 2 2" xfId="42060" xr:uid="{AE7ED623-E2E6-4AE2-A2C7-B6A2F09026EF}"/>
    <cellStyle name="Normal 85 2 2 3" xfId="34473" xr:uid="{CC9764FB-2914-4EDF-9687-C0258829BE57}"/>
    <cellStyle name="Normal 85 2 3" xfId="27096" xr:uid="{AFF03F5E-51FF-435B-902D-E6A81A0E4E59}"/>
    <cellStyle name="Normal 85 2 3 2" xfId="42059" xr:uid="{2A141416-920D-450A-A4D8-804AEC2B45F3}"/>
    <cellStyle name="Normal 85 2 4" xfId="34472" xr:uid="{F370E929-4C0D-4161-9448-E35207C7968C}"/>
    <cellStyle name="Normal 85 3" xfId="16714" xr:uid="{00000000-0005-0000-0000-0000243E0000}"/>
    <cellStyle name="Normal 85 3 2" xfId="27098" xr:uid="{73C96DAF-263E-4143-82C3-81E45A8E59BF}"/>
    <cellStyle name="Normal 85 3 2 2" xfId="42061" xr:uid="{1A5686AD-6CE1-4EAA-BE1C-F14F54D4B6E4}"/>
    <cellStyle name="Normal 85 3 3" xfId="34474" xr:uid="{9ED9E4B4-31E0-4468-9F62-FA4FC1BBA844}"/>
    <cellStyle name="Normal 86" xfId="16715" xr:uid="{00000000-0005-0000-0000-0000253E0000}"/>
    <cellStyle name="Normal 86 2" xfId="16716" xr:uid="{00000000-0005-0000-0000-0000263E0000}"/>
    <cellStyle name="Normal 86 2 2" xfId="27099" xr:uid="{C34B87CB-AE1E-4AF1-B1D4-7546FC84B051}"/>
    <cellStyle name="Normal 86 2 2 2" xfId="42062" xr:uid="{5A19E08F-8F2E-4CFC-AFB9-A4895A0AB8CB}"/>
    <cellStyle name="Normal 86 2 3" xfId="34475" xr:uid="{89F291F9-CA78-46BA-8694-8D03BAB051F0}"/>
    <cellStyle name="Normal 87" xfId="16717" xr:uid="{00000000-0005-0000-0000-0000273E0000}"/>
    <cellStyle name="Normal 87 2" xfId="16718" xr:uid="{00000000-0005-0000-0000-0000283E0000}"/>
    <cellStyle name="Normal 87 2 2" xfId="27100" xr:uid="{77744B29-DBD9-4657-97F9-8F3C11B39DA9}"/>
    <cellStyle name="Normal 87 2 2 2" xfId="42063" xr:uid="{C7886CFB-5E05-4926-87CC-9FA8545B3E31}"/>
    <cellStyle name="Normal 87 2 3" xfId="34476" xr:uid="{F557B92C-E6F3-4618-9E76-987F4C9B4A43}"/>
    <cellStyle name="Normal 87 4" xfId="20561" xr:uid="{965650D4-4923-47E5-8D8B-7FB6C83294BB}"/>
    <cellStyle name="Normal 88" xfId="16719" xr:uid="{00000000-0005-0000-0000-0000293E0000}"/>
    <cellStyle name="Normal 88 2" xfId="16720" xr:uid="{00000000-0005-0000-0000-00002A3E0000}"/>
    <cellStyle name="Normal 88 2 2" xfId="27101" xr:uid="{A5CC81DC-65A9-4A4C-B6F1-FC50EF172303}"/>
    <cellStyle name="Normal 88 2 2 2" xfId="42064" xr:uid="{8C0E8B8F-B9A4-4FAC-ADBA-5305069B93B4}"/>
    <cellStyle name="Normal 88 2 3" xfId="34477" xr:uid="{D1A4F562-0A36-46F1-BF49-E6399F7916BF}"/>
    <cellStyle name="Normal 89" xfId="16721" xr:uid="{00000000-0005-0000-0000-00002B3E0000}"/>
    <cellStyle name="Normal 89 2" xfId="16722" xr:uid="{00000000-0005-0000-0000-00002C3E0000}"/>
    <cellStyle name="Normal 89 2 2" xfId="27102" xr:uid="{A40C3C3B-B33C-480D-9496-F37232B6FB95}"/>
    <cellStyle name="Normal 89 2 2 2" xfId="42065" xr:uid="{F30B5166-EEB0-4819-A71D-7CB4BF82045A}"/>
    <cellStyle name="Normal 89 2 3" xfId="34478" xr:uid="{C9C0FDB2-937A-4BDC-9653-AF9447B98BDC}"/>
    <cellStyle name="Normal 9" xfId="2573" xr:uid="{00000000-0005-0000-0000-0000D4090000}"/>
    <cellStyle name="Normal 9 10" xfId="16723" xr:uid="{00000000-0005-0000-0000-00002E3E0000}"/>
    <cellStyle name="Normal 9 11" xfId="16724" xr:uid="{00000000-0005-0000-0000-00002F3E0000}"/>
    <cellStyle name="Normal 9 2" xfId="2574" xr:uid="{00000000-0005-0000-0000-0000D5090000}"/>
    <cellStyle name="Normal 9 2 2" xfId="16725" xr:uid="{00000000-0005-0000-0000-0000313E0000}"/>
    <cellStyle name="Normal 9 2 2 2" xfId="16726" xr:uid="{00000000-0005-0000-0000-0000323E0000}"/>
    <cellStyle name="Normal 9 2 3" xfId="16727" xr:uid="{00000000-0005-0000-0000-0000333E0000}"/>
    <cellStyle name="Normal 9 3" xfId="16728" xr:uid="{00000000-0005-0000-0000-0000343E0000}"/>
    <cellStyle name="Normal 9 3 2" xfId="16729" xr:uid="{00000000-0005-0000-0000-0000353E0000}"/>
    <cellStyle name="Normal 9 3 2 2" xfId="16730" xr:uid="{00000000-0005-0000-0000-0000363E0000}"/>
    <cellStyle name="Normal 9 3 2 3" xfId="16731" xr:uid="{00000000-0005-0000-0000-0000373E0000}"/>
    <cellStyle name="Normal 9 3 2 4" xfId="16732" xr:uid="{00000000-0005-0000-0000-0000383E0000}"/>
    <cellStyle name="Normal 9 3 3" xfId="16733" xr:uid="{00000000-0005-0000-0000-0000393E0000}"/>
    <cellStyle name="Normal 9 3 3 2" xfId="16734" xr:uid="{00000000-0005-0000-0000-00003A3E0000}"/>
    <cellStyle name="Normal 9 3 4" xfId="16735" xr:uid="{00000000-0005-0000-0000-00003B3E0000}"/>
    <cellStyle name="Normal 9 3 5" xfId="16736" xr:uid="{00000000-0005-0000-0000-00003C3E0000}"/>
    <cellStyle name="Normal 9 3 6" xfId="16737" xr:uid="{00000000-0005-0000-0000-00003D3E0000}"/>
    <cellStyle name="Normal 9 4" xfId="16738" xr:uid="{00000000-0005-0000-0000-00003E3E0000}"/>
    <cellStyle name="Normal 9 4 2" xfId="16739" xr:uid="{00000000-0005-0000-0000-00003F3E0000}"/>
    <cellStyle name="Normal 9 4 2 2" xfId="16740" xr:uid="{00000000-0005-0000-0000-0000403E0000}"/>
    <cellStyle name="Normal 9 4 2 2 2" xfId="16741" xr:uid="{00000000-0005-0000-0000-0000413E0000}"/>
    <cellStyle name="Normal 9 4 2 2 3" xfId="16742" xr:uid="{00000000-0005-0000-0000-0000423E0000}"/>
    <cellStyle name="Normal 9 4 2 3" xfId="16743" xr:uid="{00000000-0005-0000-0000-0000433E0000}"/>
    <cellStyle name="Normal 9 4 2 4" xfId="16744" xr:uid="{00000000-0005-0000-0000-0000443E0000}"/>
    <cellStyle name="Normal 9 4 2 4 2" xfId="27103" xr:uid="{1D2D81C9-A188-4AFF-801B-E4080DD3B3A7}"/>
    <cellStyle name="Normal 9 4 2 4 2 2" xfId="42066" xr:uid="{341D030E-FA34-4A90-BA37-E0050EDB99B8}"/>
    <cellStyle name="Normal 9 4 2 4 3" xfId="34479" xr:uid="{5F250CAA-4B5F-48E5-A31A-2A741C34E31B}"/>
    <cellStyle name="Normal 9 4 2 5" xfId="16745" xr:uid="{00000000-0005-0000-0000-0000453E0000}"/>
    <cellStyle name="Normal 9 4 2 5 2" xfId="27104" xr:uid="{8C22ADBB-08F7-417A-A26F-ED33BB24EFEF}"/>
    <cellStyle name="Normal 9 4 2 5 2 2" xfId="42067" xr:uid="{180D966F-0D54-4A10-821B-860B79E120DE}"/>
    <cellStyle name="Normal 9 4 2 5 3" xfId="34480" xr:uid="{FFA6B57A-55FA-40FF-BD1F-608F17B45D1E}"/>
    <cellStyle name="Normal 9 4 2 6" xfId="16746" xr:uid="{00000000-0005-0000-0000-0000463E0000}"/>
    <cellStyle name="Normal 9 4 3" xfId="16747" xr:uid="{00000000-0005-0000-0000-0000473E0000}"/>
    <cellStyle name="Normal 9 4 3 2" xfId="16748" xr:uid="{00000000-0005-0000-0000-0000483E0000}"/>
    <cellStyle name="Normal 9 4 3 2 2" xfId="16749" xr:uid="{00000000-0005-0000-0000-0000493E0000}"/>
    <cellStyle name="Normal 9 4 3 2 3" xfId="16750" xr:uid="{00000000-0005-0000-0000-00004A3E0000}"/>
    <cellStyle name="Normal 9 4 3 3" xfId="16751" xr:uid="{00000000-0005-0000-0000-00004B3E0000}"/>
    <cellStyle name="Normal 9 4 3 3 2" xfId="16752" xr:uid="{00000000-0005-0000-0000-00004C3E0000}"/>
    <cellStyle name="Normal 9 4 3 3 3" xfId="27105" xr:uid="{3CB868F4-ADA4-488C-93D0-4A4C1B260CDB}"/>
    <cellStyle name="Normal 9 4 3 3 3 2" xfId="42068" xr:uid="{0ACB09EA-64B0-4F0F-A8A7-7CD159FC79F9}"/>
    <cellStyle name="Normal 9 4 3 3 4" xfId="34481" xr:uid="{6B768FAF-D5C3-4B10-BAFF-3D60529A4B5A}"/>
    <cellStyle name="Normal 9 4 3 4" xfId="16753" xr:uid="{00000000-0005-0000-0000-00004D3E0000}"/>
    <cellStyle name="Normal 9 4 4" xfId="16754" xr:uid="{00000000-0005-0000-0000-00004E3E0000}"/>
    <cellStyle name="Normal 9 4 4 2" xfId="16755" xr:uid="{00000000-0005-0000-0000-00004F3E0000}"/>
    <cellStyle name="Normal 9 4 4 3" xfId="16756" xr:uid="{00000000-0005-0000-0000-0000503E0000}"/>
    <cellStyle name="Normal 9 4 5" xfId="16757" xr:uid="{00000000-0005-0000-0000-0000513E0000}"/>
    <cellStyle name="Normal 9 4 6" xfId="16758" xr:uid="{00000000-0005-0000-0000-0000523E0000}"/>
    <cellStyle name="Normal 9 4 6 2" xfId="27106" xr:uid="{F4E33859-6CBE-4D12-A152-10DB4BDA262A}"/>
    <cellStyle name="Normal 9 4 6 2 2" xfId="42069" xr:uid="{E424E331-B5E3-4216-A896-8832025D3356}"/>
    <cellStyle name="Normal 9 4 6 3" xfId="34482" xr:uid="{7ECAC716-C7F3-4C13-AE1A-6DF31332FE4D}"/>
    <cellStyle name="Normal 9 4 7" xfId="16759" xr:uid="{00000000-0005-0000-0000-0000533E0000}"/>
    <cellStyle name="Normal 9 4 7 2" xfId="27107" xr:uid="{2847AD03-1FEB-4AFA-909D-F7921E0D0245}"/>
    <cellStyle name="Normal 9 4 7 2 2" xfId="42070" xr:uid="{B7DD4F60-3B5C-48FC-9664-64BB55EF28D8}"/>
    <cellStyle name="Normal 9 4 7 3" xfId="34483" xr:uid="{65BABE00-ACA7-4ADF-8A83-00E6C00B6C95}"/>
    <cellStyle name="Normal 9 4 8" xfId="16760" xr:uid="{00000000-0005-0000-0000-0000543E0000}"/>
    <cellStyle name="Normal 9 5" xfId="16761" xr:uid="{00000000-0005-0000-0000-0000553E0000}"/>
    <cellStyle name="Normal 9 5 2" xfId="16762" xr:uid="{00000000-0005-0000-0000-0000563E0000}"/>
    <cellStyle name="Normal 9 5 2 2" xfId="16763" xr:uid="{00000000-0005-0000-0000-0000573E0000}"/>
    <cellStyle name="Normal 9 5 2 3" xfId="27108" xr:uid="{7EFAD236-653D-46FA-834F-5F2F9B5C4911}"/>
    <cellStyle name="Normal 9 5 2 3 2" xfId="42071" xr:uid="{F87466FD-5C5D-494F-A183-2F6539559AF1}"/>
    <cellStyle name="Normal 9 5 2 4" xfId="34484" xr:uid="{A72A212E-736E-4578-96C8-00C00D0A07B1}"/>
    <cellStyle name="Normal 9 5 3" xfId="16764" xr:uid="{00000000-0005-0000-0000-0000583E0000}"/>
    <cellStyle name="Normal 9 5 4" xfId="16765" xr:uid="{00000000-0005-0000-0000-0000593E0000}"/>
    <cellStyle name="Normal 9 5 4 2" xfId="27109" xr:uid="{2B66FFE7-2224-438B-A074-59B13687F790}"/>
    <cellStyle name="Normal 9 5 4 2 2" xfId="42072" xr:uid="{C45CC05A-22AD-491C-9B53-EC0770735A7D}"/>
    <cellStyle name="Normal 9 5 4 3" xfId="34485" xr:uid="{6703729B-1764-427F-A120-121877D0DEB0}"/>
    <cellStyle name="Normal 9 5 5" xfId="16766" xr:uid="{00000000-0005-0000-0000-00005A3E0000}"/>
    <cellStyle name="Normal 9 6" xfId="16767" xr:uid="{00000000-0005-0000-0000-00005B3E0000}"/>
    <cellStyle name="Normal 9 6 2" xfId="16768" xr:uid="{00000000-0005-0000-0000-00005C3E0000}"/>
    <cellStyle name="Normal 9 6 2 2" xfId="16769" xr:uid="{00000000-0005-0000-0000-00005D3E0000}"/>
    <cellStyle name="Normal 9 6 2 3" xfId="16770" xr:uid="{00000000-0005-0000-0000-00005E3E0000}"/>
    <cellStyle name="Normal 9 6 3" xfId="16771" xr:uid="{00000000-0005-0000-0000-00005F3E0000}"/>
    <cellStyle name="Normal 9 6 4" xfId="16772" xr:uid="{00000000-0005-0000-0000-0000603E0000}"/>
    <cellStyle name="Normal 9 6 4 2" xfId="27110" xr:uid="{2BBDBB3C-6D2B-471B-9850-5575D5FD7D6D}"/>
    <cellStyle name="Normal 9 6 4 2 2" xfId="42073" xr:uid="{ECDC74B4-9011-47F7-A8C5-8C9FED1E4595}"/>
    <cellStyle name="Normal 9 6 4 3" xfId="34486" xr:uid="{C765B6EE-DCB4-45A3-B37B-4FCCF7707252}"/>
    <cellStyle name="Normal 9 6 5" xfId="16773" xr:uid="{00000000-0005-0000-0000-0000613E0000}"/>
    <cellStyle name="Normal 9 6 6" xfId="16774" xr:uid="{00000000-0005-0000-0000-0000623E0000}"/>
    <cellStyle name="Normal 9 7" xfId="16775" xr:uid="{00000000-0005-0000-0000-0000633E0000}"/>
    <cellStyle name="Normal 9 7 2" xfId="16776" xr:uid="{00000000-0005-0000-0000-0000643E0000}"/>
    <cellStyle name="Normal 9 7 2 2" xfId="16777" xr:uid="{00000000-0005-0000-0000-0000653E0000}"/>
    <cellStyle name="Normal 9 7 2 3" xfId="16778" xr:uid="{00000000-0005-0000-0000-0000663E0000}"/>
    <cellStyle name="Normal 9 7 3" xfId="16779" xr:uid="{00000000-0005-0000-0000-0000673E0000}"/>
    <cellStyle name="Normal 9 7 4" xfId="16780" xr:uid="{00000000-0005-0000-0000-0000683E0000}"/>
    <cellStyle name="Normal 9 7 4 2" xfId="27111" xr:uid="{1D02A20D-7A93-4F2A-B55B-D9922AF44FA4}"/>
    <cellStyle name="Normal 9 7 4 2 2" xfId="42074" xr:uid="{8A8A0896-B3A7-4BE8-BAF6-5B08447362B9}"/>
    <cellStyle name="Normal 9 7 4 3" xfId="34487" xr:uid="{2A6404AE-DFCC-44EF-9E5F-1AE3AEDFAEFA}"/>
    <cellStyle name="Normal 9 7 5" xfId="16781" xr:uid="{00000000-0005-0000-0000-0000693E0000}"/>
    <cellStyle name="Normal 9 7 5 2" xfId="27112" xr:uid="{74878A98-D69D-41A5-9D51-5B22DDD2A7A3}"/>
    <cellStyle name="Normal 9 7 5 2 2" xfId="42075" xr:uid="{002A7787-7CF9-49F0-A414-9382329BAE40}"/>
    <cellStyle name="Normal 9 7 5 3" xfId="34488" xr:uid="{83136153-7D10-4ACE-A4C9-10487ACF52FF}"/>
    <cellStyle name="Normal 9 7 6" xfId="16782" xr:uid="{00000000-0005-0000-0000-00006A3E0000}"/>
    <cellStyle name="Normal 9 8" xfId="16783" xr:uid="{00000000-0005-0000-0000-00006B3E0000}"/>
    <cellStyle name="Normal 9 8 2" xfId="16784" xr:uid="{00000000-0005-0000-0000-00006C3E0000}"/>
    <cellStyle name="Normal 9 8 3" xfId="16785" xr:uid="{00000000-0005-0000-0000-00006D3E0000}"/>
    <cellStyle name="Normal 9 9" xfId="16786" xr:uid="{00000000-0005-0000-0000-00006E3E0000}"/>
    <cellStyle name="Normal 9 9 2" xfId="16787" xr:uid="{00000000-0005-0000-0000-00006F3E0000}"/>
    <cellStyle name="Normal 9 9 2 2" xfId="27114" xr:uid="{3825648F-1773-4165-94F6-17D09E740C1E}"/>
    <cellStyle name="Normal 9 9 2 2 2" xfId="42077" xr:uid="{86CB257B-9669-422A-896C-D1D3F85A4CC7}"/>
    <cellStyle name="Normal 9 9 2 3" xfId="34490" xr:uid="{16F1D96E-7DC4-46F7-8810-3D48050924EC}"/>
    <cellStyle name="Normal 9 9 3" xfId="16788" xr:uid="{00000000-0005-0000-0000-0000703E0000}"/>
    <cellStyle name="Normal 9 9 3 2" xfId="27115" xr:uid="{62BB0379-B540-4417-8ABB-4DF3CFDFDBD1}"/>
    <cellStyle name="Normal 9 9 3 2 2" xfId="42078" xr:uid="{3D0EAF96-11DE-4DF9-AC36-395F3EC06E18}"/>
    <cellStyle name="Normal 9 9 3 3" xfId="34491" xr:uid="{5E03F994-FBD6-490D-B2F8-A9B3A9BEDF75}"/>
    <cellStyle name="Normal 9 9 4" xfId="27113" xr:uid="{6DF903DA-ABE4-4E2F-88BF-1427D7DF7CDF}"/>
    <cellStyle name="Normal 9 9 4 2" xfId="42076" xr:uid="{7843748F-6B56-4CED-9F87-26F9111D2745}"/>
    <cellStyle name="Normal 9 9 5" xfId="34489" xr:uid="{26332E38-FDDB-49FC-B88C-9D1F2805E7C7}"/>
    <cellStyle name="Normal 9_App b.3 Unspent_" xfId="2575" xr:uid="{00000000-0005-0000-0000-0000D6090000}"/>
    <cellStyle name="Normal 90" xfId="16789" xr:uid="{00000000-0005-0000-0000-0000713E0000}"/>
    <cellStyle name="Normal 90 2" xfId="16790" xr:uid="{00000000-0005-0000-0000-0000723E0000}"/>
    <cellStyle name="Normal 90 2 2" xfId="27116" xr:uid="{169CE6F7-A72F-4752-9B45-59CA94B05FFA}"/>
    <cellStyle name="Normal 90 2 2 2" xfId="42079" xr:uid="{8529A0CB-1C86-4A6F-A182-F02E65CBF320}"/>
    <cellStyle name="Normal 90 2 3" xfId="34492" xr:uid="{2B3B0F2B-836E-45F3-9C14-57E2A23F0637}"/>
    <cellStyle name="Normal 91" xfId="16791" xr:uid="{00000000-0005-0000-0000-0000733E0000}"/>
    <cellStyle name="Normal 91 2" xfId="16792" xr:uid="{00000000-0005-0000-0000-0000743E0000}"/>
    <cellStyle name="Normal 91 2 2" xfId="27117" xr:uid="{55808A66-2056-4F0D-ADA5-CCE45023AD00}"/>
    <cellStyle name="Normal 91 2 2 2" xfId="42080" xr:uid="{325D771D-D439-42ED-A675-EE7A63BE0EE9}"/>
    <cellStyle name="Normal 91 2 3" xfId="34493" xr:uid="{E3D2BC83-2E27-4E21-B3E2-805F206045B4}"/>
    <cellStyle name="Normal 92" xfId="16793" xr:uid="{00000000-0005-0000-0000-0000753E0000}"/>
    <cellStyle name="Normal 92 2" xfId="16794" xr:uid="{00000000-0005-0000-0000-0000763E0000}"/>
    <cellStyle name="Normal 92 2 2" xfId="27118" xr:uid="{3814ADAE-A683-4E54-BFBB-9934132E07EA}"/>
    <cellStyle name="Normal 92 2 2 2" xfId="42081" xr:uid="{04543D19-6D23-4568-8A06-433D4FD43A5E}"/>
    <cellStyle name="Normal 92 2 3" xfId="34494" xr:uid="{E164390C-6EA3-48B4-A887-CF076F837ABB}"/>
    <cellStyle name="Normal 93" xfId="16795" xr:uid="{00000000-0005-0000-0000-0000773E0000}"/>
    <cellStyle name="Normal 93 2" xfId="16796" xr:uid="{00000000-0005-0000-0000-0000783E0000}"/>
    <cellStyle name="Normal 93 2 2" xfId="27120" xr:uid="{EE1995E0-D875-4E03-99AA-845CC3288E7B}"/>
    <cellStyle name="Normal 93 2 2 2" xfId="42083" xr:uid="{188E51B6-42F9-40EA-ABC2-C7CDD1EAD6B4}"/>
    <cellStyle name="Normal 93 2 3" xfId="34496" xr:uid="{7FA793E4-F453-4122-B674-F4F2F6155E75}"/>
    <cellStyle name="Normal 93 3" xfId="16797" xr:uid="{00000000-0005-0000-0000-0000793E0000}"/>
    <cellStyle name="Normal 93 3 2" xfId="27121" xr:uid="{4A156AD5-C725-401C-B3D2-D414C8801DC9}"/>
    <cellStyle name="Normal 93 3 2 2" xfId="42084" xr:uid="{1FBDD99A-4FB3-4122-8C39-89CA363E77C5}"/>
    <cellStyle name="Normal 93 3 3" xfId="34497" xr:uid="{A3863B23-CEBC-40B1-BC1B-9FFB0F0FD066}"/>
    <cellStyle name="Normal 93 4" xfId="27119" xr:uid="{30493E15-1C7E-486A-B4BF-E88961CD5804}"/>
    <cellStyle name="Normal 93 4 2" xfId="42082" xr:uid="{9E3D74F4-7CB0-4FE3-B7C2-6ADD74F9851A}"/>
    <cellStyle name="Normal 93 5" xfId="34495" xr:uid="{70CEE505-A2EA-4C84-8A11-6AF6EF9A3E08}"/>
    <cellStyle name="Normal 94" xfId="16798" xr:uid="{00000000-0005-0000-0000-00007A3E0000}"/>
    <cellStyle name="Normal 94 2" xfId="16799" xr:uid="{00000000-0005-0000-0000-00007B3E0000}"/>
    <cellStyle name="Normal 94 2 2" xfId="27123" xr:uid="{BB6312D8-42AB-4F84-968E-64C6F860EF33}"/>
    <cellStyle name="Normal 94 2 2 2" xfId="42086" xr:uid="{2869D749-59FA-45F0-A06F-64E9CD661C2B}"/>
    <cellStyle name="Normal 94 2 3" xfId="34499" xr:uid="{BD2902A2-BA68-4784-9044-173BB4A87D44}"/>
    <cellStyle name="Normal 94 3" xfId="16800" xr:uid="{00000000-0005-0000-0000-00007C3E0000}"/>
    <cellStyle name="Normal 94 3 2" xfId="27124" xr:uid="{094896DE-5C3A-40E3-9FDC-D98671BA9E17}"/>
    <cellStyle name="Normal 94 3 2 2" xfId="42087" xr:uid="{3C374FA3-C74A-4BDF-AB2B-7C6C3DA5A62E}"/>
    <cellStyle name="Normal 94 3 3" xfId="34500" xr:uid="{40FB9BD1-6397-4A2E-83AC-73F1805C9E45}"/>
    <cellStyle name="Normal 94 4" xfId="27122" xr:uid="{2ABD26E8-C800-4676-B6D3-9360C60DA0C1}"/>
    <cellStyle name="Normal 94 4 2" xfId="42085" xr:uid="{C73C064B-52F9-4652-B71D-D84FBB99E9A2}"/>
    <cellStyle name="Normal 94 5" xfId="34498" xr:uid="{008F143B-6D42-4439-A312-DA216E1572EA}"/>
    <cellStyle name="Normal 95" xfId="16801" xr:uid="{00000000-0005-0000-0000-00007D3E0000}"/>
    <cellStyle name="Normal 95 2" xfId="16802" xr:uid="{00000000-0005-0000-0000-00007E3E0000}"/>
    <cellStyle name="Normal 95 2 2" xfId="27126" xr:uid="{7624ED6E-49D0-40E2-97AB-C43CA5C8A8C8}"/>
    <cellStyle name="Normal 95 2 2 2" xfId="42089" xr:uid="{63252225-4783-4EFA-9322-A1B273E853BE}"/>
    <cellStyle name="Normal 95 2 3" xfId="34502" xr:uid="{7617D9F2-7848-47A3-897B-4DF65E7B9136}"/>
    <cellStyle name="Normal 95 3" xfId="16803" xr:uid="{00000000-0005-0000-0000-00007F3E0000}"/>
    <cellStyle name="Normal 95 3 2" xfId="27127" xr:uid="{0583C89A-334E-461F-B8B8-870046A2943E}"/>
    <cellStyle name="Normal 95 3 2 2" xfId="42090" xr:uid="{81F043EB-A77A-4A36-B686-6F1666493BCE}"/>
    <cellStyle name="Normal 95 3 3" xfId="34503" xr:uid="{DCF0056B-EFBE-491C-A6A2-BA5052CCC39D}"/>
    <cellStyle name="Normal 95 4" xfId="27125" xr:uid="{CC240C38-1F64-4010-B678-34114040D591}"/>
    <cellStyle name="Normal 95 4 2" xfId="42088" xr:uid="{9010B6D7-6155-4E1A-836C-F680AEDA03C6}"/>
    <cellStyle name="Normal 95 5" xfId="34501" xr:uid="{F1F70823-EA49-44E0-AFFA-C579237D0D46}"/>
    <cellStyle name="Normal 96" xfId="16804" xr:uid="{00000000-0005-0000-0000-0000803E0000}"/>
    <cellStyle name="Normal 96 2" xfId="16805" xr:uid="{00000000-0005-0000-0000-0000813E0000}"/>
    <cellStyle name="Normal 96 2 2" xfId="27129" xr:uid="{B9333CAC-CDAD-4726-9791-B028985DFC32}"/>
    <cellStyle name="Normal 96 2 2 2" xfId="42092" xr:uid="{628A9590-290B-477C-BDE1-8633CFBA76C3}"/>
    <cellStyle name="Normal 96 2 3" xfId="34505" xr:uid="{54FBB4CA-46CD-4CAE-991F-41F2ADE0A3D8}"/>
    <cellStyle name="Normal 96 3" xfId="16806" xr:uid="{00000000-0005-0000-0000-0000823E0000}"/>
    <cellStyle name="Normal 96 3 2" xfId="27130" xr:uid="{CC5D12B2-639E-44D3-97D6-CCFF91F5F82F}"/>
    <cellStyle name="Normal 96 3 2 2" xfId="42093" xr:uid="{17C22E02-60B4-4493-8A2E-55EFD975927A}"/>
    <cellStyle name="Normal 96 3 3" xfId="34506" xr:uid="{209E81DE-F8DF-46BA-A769-73D40AFFAE56}"/>
    <cellStyle name="Normal 96 4" xfId="27128" xr:uid="{278C08D6-A9F7-4628-95B8-5DBB021628C6}"/>
    <cellStyle name="Normal 96 4 2" xfId="42091" xr:uid="{9FD9C83E-22A3-4C74-8856-01C19544D5D6}"/>
    <cellStyle name="Normal 96 5" xfId="34504" xr:uid="{DEC18BFA-1406-4685-82E1-F1A66FB7EA68}"/>
    <cellStyle name="Normal 97" xfId="16807" xr:uid="{00000000-0005-0000-0000-0000833E0000}"/>
    <cellStyle name="Normal 97 2" xfId="16808" xr:uid="{00000000-0005-0000-0000-0000843E0000}"/>
    <cellStyle name="Normal 97 2 2" xfId="27132" xr:uid="{426A700D-EBF3-4A56-856A-76231EC8BAA9}"/>
    <cellStyle name="Normal 97 2 2 2" xfId="42095" xr:uid="{ACC180D0-FEA6-4449-84A1-EF23F0CD7CDD}"/>
    <cellStyle name="Normal 97 2 3" xfId="34508" xr:uid="{EDB3E74E-303A-418E-B0D0-0D39E070E6E2}"/>
    <cellStyle name="Normal 97 3" xfId="16809" xr:uid="{00000000-0005-0000-0000-0000853E0000}"/>
    <cellStyle name="Normal 97 3 2" xfId="27133" xr:uid="{85ABCCB9-1CC0-45F5-ABD0-06BD59F1B2FA}"/>
    <cellStyle name="Normal 97 3 2 2" xfId="42096" xr:uid="{39444BC9-D578-4185-90A6-3984DB290F16}"/>
    <cellStyle name="Normal 97 3 3" xfId="34509" xr:uid="{0138AA62-2281-45B8-BF75-1FEFB3F6DC39}"/>
    <cellStyle name="Normal 97 4" xfId="27131" xr:uid="{34DB0824-9903-4C06-8122-AC56F3A784BB}"/>
    <cellStyle name="Normal 97 4 2" xfId="42094" xr:uid="{3505BC74-2F2F-4BBF-AE9A-E2F1E8A03184}"/>
    <cellStyle name="Normal 97 5" xfId="34507" xr:uid="{54B59201-51E4-4168-AB01-D771C5F28702}"/>
    <cellStyle name="Normal 98" xfId="16810" xr:uid="{00000000-0005-0000-0000-0000863E0000}"/>
    <cellStyle name="Normal 98 2" xfId="16811" xr:uid="{00000000-0005-0000-0000-0000873E0000}"/>
    <cellStyle name="Normal 98 2 2" xfId="27135" xr:uid="{29DE321D-1977-41C3-A294-873A7C219B46}"/>
    <cellStyle name="Normal 98 2 2 2" xfId="42098" xr:uid="{91FCA7D3-3C3D-4E7F-93E9-5C825D22B7B8}"/>
    <cellStyle name="Normal 98 2 3" xfId="34511" xr:uid="{E3CCEB5C-76E0-448A-831A-4A339D7E6B64}"/>
    <cellStyle name="Normal 98 3" xfId="16812" xr:uid="{00000000-0005-0000-0000-0000883E0000}"/>
    <cellStyle name="Normal 98 3 2" xfId="27136" xr:uid="{741004E0-705D-4BED-93B7-E3F4CDE72CEA}"/>
    <cellStyle name="Normal 98 3 2 2" xfId="42099" xr:uid="{56405645-75C8-44FC-AFE6-B19878FA792F}"/>
    <cellStyle name="Normal 98 3 3" xfId="34512" xr:uid="{E5A36ECB-C808-48AF-8733-B8BECCEB8C1C}"/>
    <cellStyle name="Normal 98 4" xfId="27134" xr:uid="{8BB87413-FCBB-4D35-8219-68034AC53027}"/>
    <cellStyle name="Normal 98 4 2" xfId="42097" xr:uid="{BA8012D3-40DD-454B-90BB-BDE358EAA08D}"/>
    <cellStyle name="Normal 98 5" xfId="34510" xr:uid="{BB8D9F08-0A91-4E09-BF72-3C60F0942AC0}"/>
    <cellStyle name="Normal 99" xfId="16813" xr:uid="{00000000-0005-0000-0000-0000893E0000}"/>
    <cellStyle name="Normal 99 2" xfId="16814" xr:uid="{00000000-0005-0000-0000-00008A3E0000}"/>
    <cellStyle name="Normal 99 2 2" xfId="27138" xr:uid="{2EDFBE4D-D617-431A-9B6D-D7563EDBDD20}"/>
    <cellStyle name="Normal 99 2 2 2" xfId="42101" xr:uid="{50782DB1-028E-41A8-B91D-524284E8A791}"/>
    <cellStyle name="Normal 99 2 3" xfId="34514" xr:uid="{CBB557D3-B4B1-49B5-8658-5796ED989C49}"/>
    <cellStyle name="Normal 99 3" xfId="16815" xr:uid="{00000000-0005-0000-0000-00008B3E0000}"/>
    <cellStyle name="Normal 99 3 2" xfId="27139" xr:uid="{E716990B-812D-4758-8200-33613313F120}"/>
    <cellStyle name="Normal 99 3 2 2" xfId="42102" xr:uid="{508A98BF-9236-415F-AC6F-E1D2A3F5237F}"/>
    <cellStyle name="Normal 99 3 3" xfId="34515" xr:uid="{53A5229C-4F45-41C3-82C5-B8F00D2E5E98}"/>
    <cellStyle name="Normal 99 4" xfId="27137" xr:uid="{3C0AC113-8179-40EC-A0F4-0E71FC50B40E}"/>
    <cellStyle name="Normal 99 4 2" xfId="42100" xr:uid="{AECFBA42-0007-451D-9C68-3D3731AE1BE7}"/>
    <cellStyle name="Normal 99 5" xfId="34513" xr:uid="{A7D589F6-20C0-43F7-88F0-57BB004BFBEA}"/>
    <cellStyle name="Normal_Attachment 5A - Program Budget Workbook Dec22" xfId="6" xr:uid="{00000000-0005-0000-0000-00003C000000}"/>
    <cellStyle name="Normal_DRAFT_June1Filing_v02_zap041405" xfId="20559" xr:uid="{E01134FE-BB5F-48EE-BA76-F3563DA614E8}"/>
    <cellStyle name="Normal_DRAFT_June1Filing_v05_zap041705" xfId="9" xr:uid="{00000000-0005-0000-0000-00003D000000}"/>
    <cellStyle name="Normal_DRAFT_June1Filing_v05_zap041705 2" xfId="20558" xr:uid="{ABB86883-0E33-45BC-895A-E85E0B614677}"/>
    <cellStyle name="Normal_New Budget Table - 4.2" xfId="20557" xr:uid="{7CC6DD39-2CD1-439D-87A7-62259A36A113}"/>
    <cellStyle name="Normal_PY2006-8_Planning_PreliminaryFunding-Budgets_forJune1Filing_05-23-05" xfId="2" xr:uid="{00000000-0005-0000-0000-00003E000000}"/>
    <cellStyle name="Note 10" xfId="16816" xr:uid="{00000000-0005-0000-0000-0000903E0000}"/>
    <cellStyle name="Note 10 2" xfId="20157" xr:uid="{00000000-0005-0000-0000-0000903E0000}"/>
    <cellStyle name="Note 10 2 2" xfId="27599" xr:uid="{423F65FC-E25B-4F7A-ABC5-322FE741E4E3}"/>
    <cellStyle name="Note 10 2 2 2" xfId="42536" xr:uid="{356F8D7A-E04E-43B2-9B6E-E20AA0267249}"/>
    <cellStyle name="Note 10 2 3" xfId="35175" xr:uid="{7831683B-72BF-4583-8229-270081D53BDE}"/>
    <cellStyle name="Note 10 3" xfId="34516" xr:uid="{3D6E716F-48D5-4C42-8051-2D28987D23D5}"/>
    <cellStyle name="Note 11" xfId="16817" xr:uid="{00000000-0005-0000-0000-0000913E0000}"/>
    <cellStyle name="Note 2" xfId="2577" xr:uid="{00000000-0005-0000-0000-0000D8090000}"/>
    <cellStyle name="Note 2 10" xfId="16819" xr:uid="{00000000-0005-0000-0000-0000933E0000}"/>
    <cellStyle name="Note 2 10 2" xfId="16820" xr:uid="{00000000-0005-0000-0000-0000943E0000}"/>
    <cellStyle name="Note 2 10 3" xfId="16821" xr:uid="{00000000-0005-0000-0000-0000953E0000}"/>
    <cellStyle name="Note 2 11" xfId="16822" xr:uid="{00000000-0005-0000-0000-0000963E0000}"/>
    <cellStyle name="Note 2 11 2" xfId="16823" xr:uid="{00000000-0005-0000-0000-0000973E0000}"/>
    <cellStyle name="Note 2 11 2 2" xfId="16824" xr:uid="{00000000-0005-0000-0000-0000983E0000}"/>
    <cellStyle name="Note 2 11 2 2 2" xfId="27142" xr:uid="{40EBE0FC-CC1F-4CD4-B97C-BE61F8A6BBCF}"/>
    <cellStyle name="Note 2 11 2 2 2 2" xfId="42105" xr:uid="{19B6DD5F-1328-4176-AB2D-B0D8A3F78C77}"/>
    <cellStyle name="Note 2 11 2 2 3" xfId="34519" xr:uid="{6A530CAB-D80D-475C-A6FF-0BB65DC2C10A}"/>
    <cellStyle name="Note 2 11 3" xfId="16825" xr:uid="{00000000-0005-0000-0000-0000993E0000}"/>
    <cellStyle name="Note 2 11 3 2" xfId="27143" xr:uid="{51D7B75F-4DED-45BC-913B-EF3245C30145}"/>
    <cellStyle name="Note 2 11 3 2 2" xfId="42106" xr:uid="{3C8EEB6A-96DB-42AB-9B48-A3E89ABD567F}"/>
    <cellStyle name="Note 2 11 3 3" xfId="34520" xr:uid="{601EA534-CD2C-458E-B8F0-98ACD167EB28}"/>
    <cellStyle name="Note 2 11 4" xfId="27141" xr:uid="{F5A9F224-B6E1-4E4D-90D6-C3EB2DFE7885}"/>
    <cellStyle name="Note 2 11 4 2" xfId="42104" xr:uid="{0D402177-4FD4-4745-8A76-FA53D6121C85}"/>
    <cellStyle name="Note 2 11 5" xfId="34518" xr:uid="{EE0FE6BB-E978-4FE3-8DF5-81FEF6843A6D}"/>
    <cellStyle name="Note 2 12" xfId="16826" xr:uid="{00000000-0005-0000-0000-00009A3E0000}"/>
    <cellStyle name="Note 2 12 2" xfId="16827" xr:uid="{00000000-0005-0000-0000-00009B3E0000}"/>
    <cellStyle name="Note 2 12 2 2" xfId="27144" xr:uid="{36557182-E7C5-419E-AF01-D06C1A99D94A}"/>
    <cellStyle name="Note 2 12 2 2 2" xfId="42107" xr:uid="{1531056F-B84E-4C9D-8309-8FD64DB565FB}"/>
    <cellStyle name="Note 2 12 2 3" xfId="34521" xr:uid="{29327DF9-6307-4C7B-832A-D48A90A8059D}"/>
    <cellStyle name="Note 2 13" xfId="16828" xr:uid="{00000000-0005-0000-0000-00009C3E0000}"/>
    <cellStyle name="Note 2 13 2" xfId="20158" xr:uid="{00000000-0005-0000-0000-00009C3E0000}"/>
    <cellStyle name="Note 2 13 2 2" xfId="27600" xr:uid="{7558367E-5B4C-4513-AAAB-2199D1B7D5B5}"/>
    <cellStyle name="Note 2 13 2 2 2" xfId="42537" xr:uid="{ADE73F7D-37F2-44C5-9E15-25F0DC729F1E}"/>
    <cellStyle name="Note 2 13 2 3" xfId="35176" xr:uid="{7399B6E6-0A6D-42DD-859E-AB40D786067C}"/>
    <cellStyle name="Note 2 13 3" xfId="34522" xr:uid="{53DFD15C-60CC-471A-A38A-62F5B90DFD09}"/>
    <cellStyle name="Note 2 14" xfId="16829" xr:uid="{00000000-0005-0000-0000-00009D3E0000}"/>
    <cellStyle name="Note 2 15" xfId="16818" xr:uid="{00000000-0005-0000-0000-0000923E0000}"/>
    <cellStyle name="Note 2 15 2" xfId="27140" xr:uid="{D5F8AE2D-DD14-4DA6-920D-3875E78CF1CE}"/>
    <cellStyle name="Note 2 15 2 2" xfId="42103" xr:uid="{678FA70A-FDF0-4B58-A836-12C67EBCCCDA}"/>
    <cellStyle name="Note 2 15 3" xfId="34517" xr:uid="{713618F6-DB2C-4B69-A666-64682208A3A1}"/>
    <cellStyle name="Note 2 16" xfId="28067" xr:uid="{AAF0E777-8B18-4EC4-8690-22ADBA327DFB}"/>
    <cellStyle name="Note 2 2" xfId="16830" xr:uid="{00000000-0005-0000-0000-00009E3E0000}"/>
    <cellStyle name="Note 2 2 2" xfId="16831" xr:uid="{00000000-0005-0000-0000-00009F3E0000}"/>
    <cellStyle name="Note 2 2 2 2" xfId="16832" xr:uid="{00000000-0005-0000-0000-0000A03E0000}"/>
    <cellStyle name="Note 2 2 2 2 2" xfId="16833" xr:uid="{00000000-0005-0000-0000-0000A13E0000}"/>
    <cellStyle name="Note 2 2 2 2 3" xfId="16834" xr:uid="{00000000-0005-0000-0000-0000A23E0000}"/>
    <cellStyle name="Note 2 2 2 2 4" xfId="16835" xr:uid="{00000000-0005-0000-0000-0000A33E0000}"/>
    <cellStyle name="Note 2 2 2 3" xfId="16836" xr:uid="{00000000-0005-0000-0000-0000A43E0000}"/>
    <cellStyle name="Note 2 2 2 4" xfId="16837" xr:uid="{00000000-0005-0000-0000-0000A53E0000}"/>
    <cellStyle name="Note 2 2 2 5" xfId="16838" xr:uid="{00000000-0005-0000-0000-0000A63E0000}"/>
    <cellStyle name="Note 2 2 3" xfId="16839" xr:uid="{00000000-0005-0000-0000-0000A73E0000}"/>
    <cellStyle name="Note 2 2 3 2" xfId="16840" xr:uid="{00000000-0005-0000-0000-0000A83E0000}"/>
    <cellStyle name="Note 2 2 3 2 2" xfId="20159" xr:uid="{00000000-0005-0000-0000-0000A83E0000}"/>
    <cellStyle name="Note 2 2 3 2 2 2" xfId="27601" xr:uid="{E83C9669-B342-4AD1-91BF-1C374108C26E}"/>
    <cellStyle name="Note 2 2 3 2 2 2 2" xfId="42538" xr:uid="{BC47D4C3-42EE-42DF-8CD7-83C7D1964473}"/>
    <cellStyle name="Note 2 2 3 2 2 3" xfId="35177" xr:uid="{03D703D6-8B8C-4592-9460-FC5D206AEBB5}"/>
    <cellStyle name="Note 2 2 3 2 3" xfId="27145" xr:uid="{2FEA44C6-8A90-41A4-AB6F-49ECA38239B8}"/>
    <cellStyle name="Note 2 2 3 2 3 2" xfId="42108" xr:uid="{DD799E05-AA90-47E4-89E1-4A4EABFD11BA}"/>
    <cellStyle name="Note 2 2 3 2 4" xfId="34523" xr:uid="{2B06E291-E8A2-4124-9D47-84FDD82707FC}"/>
    <cellStyle name="Note 2 2 4" xfId="16841" xr:uid="{00000000-0005-0000-0000-0000A93E0000}"/>
    <cellStyle name="Note 2 2 4 2" xfId="20160" xr:uid="{00000000-0005-0000-0000-0000A93E0000}"/>
    <cellStyle name="Note 2 2 4 2 2" xfId="27602" xr:uid="{ACE8030F-10A4-496D-B308-88DF8E52A4F7}"/>
    <cellStyle name="Note 2 2 4 2 2 2" xfId="42539" xr:uid="{4290435A-67B8-4631-84AD-3C5638C75560}"/>
    <cellStyle name="Note 2 2 4 2 3" xfId="35178" xr:uid="{4752DA47-BD56-49EF-83CA-FD19BDB077FC}"/>
    <cellStyle name="Note 2 2 4 3" xfId="34524" xr:uid="{B428ED49-CBDF-4060-8D84-034D234EE5C5}"/>
    <cellStyle name="Note 2 2 5" xfId="16842" xr:uid="{00000000-0005-0000-0000-0000AA3E0000}"/>
    <cellStyle name="Note 2 3" xfId="16843" xr:uid="{00000000-0005-0000-0000-0000AB3E0000}"/>
    <cellStyle name="Note 2 3 2" xfId="16844" xr:uid="{00000000-0005-0000-0000-0000AC3E0000}"/>
    <cellStyle name="Note 2 3 2 2" xfId="16845" xr:uid="{00000000-0005-0000-0000-0000AD3E0000}"/>
    <cellStyle name="Note 2 3 2 2 2" xfId="20162" xr:uid="{00000000-0005-0000-0000-0000AD3E0000}"/>
    <cellStyle name="Note 2 3 2 2 2 2" xfId="27604" xr:uid="{7DC41CDB-E9DA-4B2F-811B-B4383450C7CB}"/>
    <cellStyle name="Note 2 3 2 2 2 2 2" xfId="42541" xr:uid="{947F2395-4FED-48CC-8C1F-8DD91111925C}"/>
    <cellStyle name="Note 2 3 2 2 2 3" xfId="35180" xr:uid="{64EB3873-8535-4D95-A335-CC3BD49DC3A8}"/>
    <cellStyle name="Note 2 3 2 2 3" xfId="34526" xr:uid="{D2F943C0-AA05-469B-BDF1-721E08F5F6C4}"/>
    <cellStyle name="Note 2 3 2 3" xfId="16846" xr:uid="{00000000-0005-0000-0000-0000AE3E0000}"/>
    <cellStyle name="Note 2 3 2 4" xfId="20161" xr:uid="{00000000-0005-0000-0000-0000AC3E0000}"/>
    <cellStyle name="Note 2 3 2 4 2" xfId="27603" xr:uid="{33D42AA3-63DB-4F79-82FF-76C5CC5FBA74}"/>
    <cellStyle name="Note 2 3 2 4 2 2" xfId="42540" xr:uid="{297814D1-A09B-45C0-B903-2AEC56392BD2}"/>
    <cellStyle name="Note 2 3 2 4 3" xfId="35179" xr:uid="{07D06BB2-5BE2-4CA0-9052-281F7B4EED73}"/>
    <cellStyle name="Note 2 3 2 5" xfId="27146" xr:uid="{843467A8-64D4-4890-A7B3-45B226F8281D}"/>
    <cellStyle name="Note 2 3 2 5 2" xfId="42109" xr:uid="{84D7C145-7F1A-49C8-BDAC-BB6754DD547C}"/>
    <cellStyle name="Note 2 3 2 6" xfId="34525" xr:uid="{A54C9351-AE48-4FC8-977F-B8536E7FE9C6}"/>
    <cellStyle name="Note 2 3 3" xfId="16847" xr:uid="{00000000-0005-0000-0000-0000AF3E0000}"/>
    <cellStyle name="Note 2 3 3 2" xfId="27147" xr:uid="{2CFC3050-D4F3-4B71-87B7-EEA7D1A489C2}"/>
    <cellStyle name="Note 2 3 3 2 2" xfId="42110" xr:uid="{AA6318FD-5AB1-4281-8619-F6C08D4DE234}"/>
    <cellStyle name="Note 2 3 3 3" xfId="34527" xr:uid="{46F1814D-25F7-4F51-8ED0-2D24E3BF1C9E}"/>
    <cellStyle name="Note 2 3 4" xfId="16848" xr:uid="{00000000-0005-0000-0000-0000B03E0000}"/>
    <cellStyle name="Note 2 3 5" xfId="16849" xr:uid="{00000000-0005-0000-0000-0000B13E0000}"/>
    <cellStyle name="Note 2 3 5 2" xfId="27148" xr:uid="{DCE22AF1-FA07-4A4D-BBEE-1AA38B1E228A}"/>
    <cellStyle name="Note 2 3 5 2 2" xfId="42111" xr:uid="{0D114A3A-1D14-4C67-8827-DA74F2F6D5E4}"/>
    <cellStyle name="Note 2 3 5 3" xfId="34528" xr:uid="{D091FDCF-85B7-4614-B8F2-C5DCB3967A98}"/>
    <cellStyle name="Note 2 3 6" xfId="16850" xr:uid="{00000000-0005-0000-0000-0000B23E0000}"/>
    <cellStyle name="Note 2 4" xfId="16851" xr:uid="{00000000-0005-0000-0000-0000B33E0000}"/>
    <cellStyle name="Note 2 4 2" xfId="16852" xr:uid="{00000000-0005-0000-0000-0000B43E0000}"/>
    <cellStyle name="Note 2 4 2 2" xfId="16853" xr:uid="{00000000-0005-0000-0000-0000B53E0000}"/>
    <cellStyle name="Note 2 4 2 3" xfId="16854" xr:uid="{00000000-0005-0000-0000-0000B63E0000}"/>
    <cellStyle name="Note 2 4 2 4" xfId="16855" xr:uid="{00000000-0005-0000-0000-0000B73E0000}"/>
    <cellStyle name="Note 2 4 3" xfId="16856" xr:uid="{00000000-0005-0000-0000-0000B83E0000}"/>
    <cellStyle name="Note 2 4 3 2" xfId="16857" xr:uid="{00000000-0005-0000-0000-0000B93E0000}"/>
    <cellStyle name="Note 2 4 3 2 2" xfId="20163" xr:uid="{00000000-0005-0000-0000-0000B93E0000}"/>
    <cellStyle name="Note 2 4 3 2 2 2" xfId="27605" xr:uid="{D547A731-13CB-4B90-9C1D-C88195A8FE39}"/>
    <cellStyle name="Note 2 4 3 2 2 2 2" xfId="42542" xr:uid="{6DE98C57-11B1-4BD6-9070-234AA66882A4}"/>
    <cellStyle name="Note 2 4 3 2 2 3" xfId="35181" xr:uid="{627ABCBD-F7E7-423B-915B-ABA8EC8F504A}"/>
    <cellStyle name="Note 2 4 3 2 3" xfId="34529" xr:uid="{F1B58627-72C2-4B8C-80FF-D7D4BAD0143F}"/>
    <cellStyle name="Note 2 4 3 3" xfId="16858" xr:uid="{00000000-0005-0000-0000-0000BA3E0000}"/>
    <cellStyle name="Note 2 4 4" xfId="16859" xr:uid="{00000000-0005-0000-0000-0000BB3E0000}"/>
    <cellStyle name="Note 2 4 4 2" xfId="27149" xr:uid="{7F9C0FE6-210D-4C30-B2AD-05DA8311F4E5}"/>
    <cellStyle name="Note 2 4 4 2 2" xfId="42112" xr:uid="{98337EFE-4972-43E7-900A-F91DC15E5D33}"/>
    <cellStyle name="Note 2 4 4 3" xfId="34530" xr:uid="{9BCDC98D-4F08-4BB6-8820-C0DBAAEA6AB3}"/>
    <cellStyle name="Note 2 4 5" xfId="16860" xr:uid="{00000000-0005-0000-0000-0000BC3E0000}"/>
    <cellStyle name="Note 2 4 6" xfId="16861" xr:uid="{00000000-0005-0000-0000-0000BD3E0000}"/>
    <cellStyle name="Note 2 4 6 2" xfId="27150" xr:uid="{0385734B-EA44-47C2-96CA-F53E97722B9A}"/>
    <cellStyle name="Note 2 4 6 2 2" xfId="42113" xr:uid="{90BE85D7-5896-47F1-B81A-C2C2B1E9DF9F}"/>
    <cellStyle name="Note 2 4 6 3" xfId="34531" xr:uid="{B3D4E055-2CE7-4F86-943C-B98555ED8D38}"/>
    <cellStyle name="Note 2 4 7" xfId="16862" xr:uid="{00000000-0005-0000-0000-0000BE3E0000}"/>
    <cellStyle name="Note 2 5" xfId="16863" xr:uid="{00000000-0005-0000-0000-0000BF3E0000}"/>
    <cellStyle name="Note 2 5 2" xfId="16864" xr:uid="{00000000-0005-0000-0000-0000C03E0000}"/>
    <cellStyle name="Note 2 5 3" xfId="16865" xr:uid="{00000000-0005-0000-0000-0000C13E0000}"/>
    <cellStyle name="Note 2 5 4" xfId="16866" xr:uid="{00000000-0005-0000-0000-0000C23E0000}"/>
    <cellStyle name="Note 2 6" xfId="16867" xr:uid="{00000000-0005-0000-0000-0000C33E0000}"/>
    <cellStyle name="Note 2 6 2" xfId="16868" xr:uid="{00000000-0005-0000-0000-0000C43E0000}"/>
    <cellStyle name="Note 2 6 2 2" xfId="16869" xr:uid="{00000000-0005-0000-0000-0000C53E0000}"/>
    <cellStyle name="Note 2 6 2 2 2" xfId="16870" xr:uid="{00000000-0005-0000-0000-0000C63E0000}"/>
    <cellStyle name="Note 2 6 2 2 2 2" xfId="16871" xr:uid="{00000000-0005-0000-0000-0000C73E0000}"/>
    <cellStyle name="Note 2 6 2 2 3" xfId="16872" xr:uid="{00000000-0005-0000-0000-0000C83E0000}"/>
    <cellStyle name="Note 2 6 2 3" xfId="16873" xr:uid="{00000000-0005-0000-0000-0000C93E0000}"/>
    <cellStyle name="Note 2 6 2 3 2" xfId="16874" xr:uid="{00000000-0005-0000-0000-0000CA3E0000}"/>
    <cellStyle name="Note 2 6 2 4" xfId="16875" xr:uid="{00000000-0005-0000-0000-0000CB3E0000}"/>
    <cellStyle name="Note 2 6 3" xfId="16876" xr:uid="{00000000-0005-0000-0000-0000CC3E0000}"/>
    <cellStyle name="Note 2 6 4" xfId="16877" xr:uid="{00000000-0005-0000-0000-0000CD3E0000}"/>
    <cellStyle name="Note 2 6 4 2" xfId="20164" xr:uid="{00000000-0005-0000-0000-0000CD3E0000}"/>
    <cellStyle name="Note 2 6 4 2 2" xfId="27606" xr:uid="{22D4BBD2-6BC5-47D8-AAB1-15124E12BB74}"/>
    <cellStyle name="Note 2 6 4 2 2 2" xfId="42543" xr:uid="{15F6D61D-4D71-4351-87D4-091846D93E2E}"/>
    <cellStyle name="Note 2 6 4 2 3" xfId="35182" xr:uid="{90C035ED-8018-4ABD-9A69-4011988AE871}"/>
    <cellStyle name="Note 2 6 4 3" xfId="34532" xr:uid="{9AA0419B-37EC-4FBD-A956-D2535418F59F}"/>
    <cellStyle name="Note 2 6 5" xfId="16878" xr:uid="{00000000-0005-0000-0000-0000CE3E0000}"/>
    <cellStyle name="Note 2 6 6" xfId="16879" xr:uid="{00000000-0005-0000-0000-0000CF3E0000}"/>
    <cellStyle name="Note 2 7" xfId="16880" xr:uid="{00000000-0005-0000-0000-0000D03E0000}"/>
    <cellStyle name="Note 2 7 2" xfId="16881" xr:uid="{00000000-0005-0000-0000-0000D13E0000}"/>
    <cellStyle name="Note 2 7 2 2" xfId="16882" xr:uid="{00000000-0005-0000-0000-0000D23E0000}"/>
    <cellStyle name="Note 2 7 2 3" xfId="16883" xr:uid="{00000000-0005-0000-0000-0000D33E0000}"/>
    <cellStyle name="Note 2 7 2 4" xfId="16884" xr:uid="{00000000-0005-0000-0000-0000D43E0000}"/>
    <cellStyle name="Note 2 7 2 4 2" xfId="27151" xr:uid="{861635DB-A205-4635-9393-16548867A6A9}"/>
    <cellStyle name="Note 2 7 2 4 2 2" xfId="42114" xr:uid="{51CE3EAA-8850-418F-92DD-41A6F7D9176C}"/>
    <cellStyle name="Note 2 7 2 4 3" xfId="34533" xr:uid="{20B1179D-B4DB-4B1A-B6C5-11ED2DB49CFB}"/>
    <cellStyle name="Note 2 7 2 5" xfId="16885" xr:uid="{00000000-0005-0000-0000-0000D53E0000}"/>
    <cellStyle name="Note 2 7 3" xfId="16886" xr:uid="{00000000-0005-0000-0000-0000D63E0000}"/>
    <cellStyle name="Note 2 7 4" xfId="16887" xr:uid="{00000000-0005-0000-0000-0000D73E0000}"/>
    <cellStyle name="Note 2 7 5" xfId="16888" xr:uid="{00000000-0005-0000-0000-0000D83E0000}"/>
    <cellStyle name="Note 2 7 5 2" xfId="27152" xr:uid="{40B3C331-8589-4CEC-A735-52A3D0D9D6E8}"/>
    <cellStyle name="Note 2 7 5 2 2" xfId="42115" xr:uid="{2AF58EFD-1E49-4D51-BD09-66F5F163273A}"/>
    <cellStyle name="Note 2 7 5 3" xfId="34534" xr:uid="{AC57DA0B-A34D-4D2E-AD19-63D5986A8AD4}"/>
    <cellStyle name="Note 2 7 6" xfId="16889" xr:uid="{00000000-0005-0000-0000-0000D93E0000}"/>
    <cellStyle name="Note 2 8" xfId="16890" xr:uid="{00000000-0005-0000-0000-0000DA3E0000}"/>
    <cellStyle name="Note 2 8 2" xfId="16891" xr:uid="{00000000-0005-0000-0000-0000DB3E0000}"/>
    <cellStyle name="Note 2 8 2 2" xfId="16892" xr:uid="{00000000-0005-0000-0000-0000DC3E0000}"/>
    <cellStyle name="Note 2 8 2 2 2" xfId="16893" xr:uid="{00000000-0005-0000-0000-0000DD3E0000}"/>
    <cellStyle name="Note 2 8 2 3" xfId="16894" xr:uid="{00000000-0005-0000-0000-0000DE3E0000}"/>
    <cellStyle name="Note 2 8 3" xfId="16895" xr:uid="{00000000-0005-0000-0000-0000DF3E0000}"/>
    <cellStyle name="Note 2 8 4" xfId="16896" xr:uid="{00000000-0005-0000-0000-0000E03E0000}"/>
    <cellStyle name="Note 2 8 5" xfId="16897" xr:uid="{00000000-0005-0000-0000-0000E13E0000}"/>
    <cellStyle name="Note 2 8 5 2" xfId="20165" xr:uid="{00000000-0005-0000-0000-0000E13E0000}"/>
    <cellStyle name="Note 2 8 5 2 2" xfId="27607" xr:uid="{79F1D470-04F3-468B-B3E6-3F8993585398}"/>
    <cellStyle name="Note 2 8 5 2 2 2" xfId="42544" xr:uid="{7FF7E1BA-EAED-423D-9086-F82A1DE2CEC8}"/>
    <cellStyle name="Note 2 8 5 2 3" xfId="35183" xr:uid="{8795B9AC-336A-4A74-84FD-9545AAAB6AF1}"/>
    <cellStyle name="Note 2 8 5 3" xfId="27153" xr:uid="{472B56AD-1D09-4D08-B568-05A7AB65D4DC}"/>
    <cellStyle name="Note 2 8 5 3 2" xfId="42116" xr:uid="{6FA28FE4-3406-4908-8003-035EE2681D10}"/>
    <cellStyle name="Note 2 8 5 4" xfId="34535" xr:uid="{5F1DE532-52C6-4B6D-9F79-460EDC95E240}"/>
    <cellStyle name="Note 2 8 6" xfId="16898" xr:uid="{00000000-0005-0000-0000-0000E23E0000}"/>
    <cellStyle name="Note 2 9" xfId="16899" xr:uid="{00000000-0005-0000-0000-0000E33E0000}"/>
    <cellStyle name="Note 2 9 2" xfId="16900" xr:uid="{00000000-0005-0000-0000-0000E43E0000}"/>
    <cellStyle name="Note 2 9 2 2" xfId="16901" xr:uid="{00000000-0005-0000-0000-0000E53E0000}"/>
    <cellStyle name="Note 2 9 2 3" xfId="16902" xr:uid="{00000000-0005-0000-0000-0000E63E0000}"/>
    <cellStyle name="Note 2 9 3" xfId="16903" xr:uid="{00000000-0005-0000-0000-0000E73E0000}"/>
    <cellStyle name="Note 2 9 4" xfId="16904" xr:uid="{00000000-0005-0000-0000-0000E83E0000}"/>
    <cellStyle name="Note 2 9 4 2" xfId="27154" xr:uid="{CC7B92D1-6C7F-4E45-A7A2-767474431060}"/>
    <cellStyle name="Note 2 9 4 2 2" xfId="42117" xr:uid="{05840592-2FF0-4BB4-88E1-85053D6F2AB3}"/>
    <cellStyle name="Note 2 9 4 3" xfId="34536" xr:uid="{E2144D78-3766-400D-A550-8AAB0313D26B}"/>
    <cellStyle name="Note 2 9 5" xfId="16905" xr:uid="{00000000-0005-0000-0000-0000E93E0000}"/>
    <cellStyle name="Note 2 9 5 2" xfId="27155" xr:uid="{B7C799E3-2629-4C9D-B260-98A9C1AC5E5A}"/>
    <cellStyle name="Note 2 9 5 2 2" xfId="42118" xr:uid="{EDC5A4D8-2029-456F-B534-92104901B6B1}"/>
    <cellStyle name="Note 2 9 5 3" xfId="34537" xr:uid="{D8A944AD-C8D2-4F93-AFFC-74E7244D50E8}"/>
    <cellStyle name="Note 2 9 6" xfId="16906" xr:uid="{00000000-0005-0000-0000-0000EA3E0000}"/>
    <cellStyle name="Note 3" xfId="2578" xr:uid="{00000000-0005-0000-0000-0000D9090000}"/>
    <cellStyle name="Note 3 10" xfId="16908" xr:uid="{00000000-0005-0000-0000-0000EC3E0000}"/>
    <cellStyle name="Note 3 10 2" xfId="16909" xr:uid="{00000000-0005-0000-0000-0000ED3E0000}"/>
    <cellStyle name="Note 3 10 2 2" xfId="16910" xr:uid="{00000000-0005-0000-0000-0000EE3E0000}"/>
    <cellStyle name="Note 3 10 2 2 2" xfId="16911" xr:uid="{00000000-0005-0000-0000-0000EF3E0000}"/>
    <cellStyle name="Note 3 10 2 3" xfId="16912" xr:uid="{00000000-0005-0000-0000-0000F03E0000}"/>
    <cellStyle name="Note 3 10 3" xfId="16913" xr:uid="{00000000-0005-0000-0000-0000F13E0000}"/>
    <cellStyle name="Note 3 10 3 2" xfId="16914" xr:uid="{00000000-0005-0000-0000-0000F23E0000}"/>
    <cellStyle name="Note 3 10 4" xfId="16915" xr:uid="{00000000-0005-0000-0000-0000F33E0000}"/>
    <cellStyle name="Note 3 11" xfId="16916" xr:uid="{00000000-0005-0000-0000-0000F43E0000}"/>
    <cellStyle name="Note 3 11 2" xfId="16917" xr:uid="{00000000-0005-0000-0000-0000F53E0000}"/>
    <cellStyle name="Note 3 11 2 2" xfId="16918" xr:uid="{00000000-0005-0000-0000-0000F63E0000}"/>
    <cellStyle name="Note 3 11 2 3" xfId="16919" xr:uid="{00000000-0005-0000-0000-0000F73E0000}"/>
    <cellStyle name="Note 3 11 3" xfId="16920" xr:uid="{00000000-0005-0000-0000-0000F83E0000}"/>
    <cellStyle name="Note 3 11 3 2" xfId="16921" xr:uid="{00000000-0005-0000-0000-0000F93E0000}"/>
    <cellStyle name="Note 3 11 3 3" xfId="27156" xr:uid="{9DF82D50-9F7B-4CEF-BA63-79EEC50EAD41}"/>
    <cellStyle name="Note 3 11 3 3 2" xfId="42119" xr:uid="{96505AA7-023E-4A1A-91D9-D4D905DA338D}"/>
    <cellStyle name="Note 3 11 3 4" xfId="34538" xr:uid="{BDA66E6F-4870-4FE8-803A-10E1E706388E}"/>
    <cellStyle name="Note 3 11 4" xfId="16922" xr:uid="{00000000-0005-0000-0000-0000FA3E0000}"/>
    <cellStyle name="Note 3 12" xfId="16923" xr:uid="{00000000-0005-0000-0000-0000FB3E0000}"/>
    <cellStyle name="Note 3 12 2" xfId="16924" xr:uid="{00000000-0005-0000-0000-0000FC3E0000}"/>
    <cellStyle name="Note 3 12 2 2" xfId="16925" xr:uid="{00000000-0005-0000-0000-0000FD3E0000}"/>
    <cellStyle name="Note 3 12 2 3" xfId="16926" xr:uid="{00000000-0005-0000-0000-0000FE3E0000}"/>
    <cellStyle name="Note 3 12 3" xfId="16927" xr:uid="{00000000-0005-0000-0000-0000FF3E0000}"/>
    <cellStyle name="Note 3 12 3 2" xfId="16928" xr:uid="{00000000-0005-0000-0000-0000003F0000}"/>
    <cellStyle name="Note 3 12 3 3" xfId="27157" xr:uid="{573DB05B-CC9E-45B8-ACA7-7554E5AF8BBE}"/>
    <cellStyle name="Note 3 12 3 3 2" xfId="42120" xr:uid="{6D988020-1F55-4B95-BBFE-6F7288985DB3}"/>
    <cellStyle name="Note 3 12 3 4" xfId="34539" xr:uid="{3C792EF8-04A8-4C8B-AE0E-9B350CC287FD}"/>
    <cellStyle name="Note 3 12 4" xfId="16929" xr:uid="{00000000-0005-0000-0000-0000013F0000}"/>
    <cellStyle name="Note 3 13" xfId="16930" xr:uid="{00000000-0005-0000-0000-0000023F0000}"/>
    <cellStyle name="Note 3 13 2" xfId="16931" xr:uid="{00000000-0005-0000-0000-0000033F0000}"/>
    <cellStyle name="Note 3 13 3" xfId="16932" xr:uid="{00000000-0005-0000-0000-0000043F0000}"/>
    <cellStyle name="Note 3 14" xfId="16933" xr:uid="{00000000-0005-0000-0000-0000053F0000}"/>
    <cellStyle name="Note 3 15" xfId="16934" xr:uid="{00000000-0005-0000-0000-0000063F0000}"/>
    <cellStyle name="Note 3 16" xfId="16935" xr:uid="{00000000-0005-0000-0000-0000073F0000}"/>
    <cellStyle name="Note 3 16 2" xfId="27158" xr:uid="{1993634A-E117-4872-B346-F6E76268CBB6}"/>
    <cellStyle name="Note 3 16 2 2" xfId="42121" xr:uid="{5BCFE341-85A7-4A64-957B-18E96529A824}"/>
    <cellStyle name="Note 3 16 3" xfId="34540" xr:uid="{99D29DF4-067D-49F1-9093-8B21E0D6014E}"/>
    <cellStyle name="Note 3 17" xfId="16936" xr:uid="{00000000-0005-0000-0000-0000083F0000}"/>
    <cellStyle name="Note 3 18" xfId="16907" xr:uid="{00000000-0005-0000-0000-0000EB3E0000}"/>
    <cellStyle name="Note 3 19" xfId="28068" xr:uid="{0E9F6327-93AE-470C-B1C9-3E9B6F83D9A9}"/>
    <cellStyle name="Note 3 2" xfId="2579" xr:uid="{00000000-0005-0000-0000-0000DA090000}"/>
    <cellStyle name="Note 3 2 10" xfId="16938" xr:uid="{00000000-0005-0000-0000-00000A3F0000}"/>
    <cellStyle name="Note 3 2 10 2" xfId="27159" xr:uid="{8D480B99-64A3-4E1D-9D76-DF0CEAA66688}"/>
    <cellStyle name="Note 3 2 10 2 2" xfId="42122" xr:uid="{6A90CAF4-8346-4A9C-9341-E122D4D2D609}"/>
    <cellStyle name="Note 3 2 10 3" xfId="34541" xr:uid="{DBAE54E1-C8EA-47C8-A10E-2BBD59D1809A}"/>
    <cellStyle name="Note 3 2 11" xfId="16939" xr:uid="{00000000-0005-0000-0000-00000B3F0000}"/>
    <cellStyle name="Note 3 2 12" xfId="16937" xr:uid="{00000000-0005-0000-0000-0000093F0000}"/>
    <cellStyle name="Note 3 2 13" xfId="20750" xr:uid="{41B4A78B-1C41-4CDD-B374-E31DF42C625E}"/>
    <cellStyle name="Note 3 2 13 2" xfId="35743" xr:uid="{F6ADC4C2-BAB6-4DA4-9142-5D6796203EEC}"/>
    <cellStyle name="Note 3 2 14" xfId="28069" xr:uid="{2910F7AC-C318-4220-8582-827153A7B20B}"/>
    <cellStyle name="Note 3 2 2" xfId="16940" xr:uid="{00000000-0005-0000-0000-00000C3F0000}"/>
    <cellStyle name="Note 3 2 2 2" xfId="16941" xr:uid="{00000000-0005-0000-0000-00000D3F0000}"/>
    <cellStyle name="Note 3 2 2 2 2" xfId="16942" xr:uid="{00000000-0005-0000-0000-00000E3F0000}"/>
    <cellStyle name="Note 3 2 2 2 2 2" xfId="16943" xr:uid="{00000000-0005-0000-0000-00000F3F0000}"/>
    <cellStyle name="Note 3 2 2 2 2 2 2" xfId="16944" xr:uid="{00000000-0005-0000-0000-0000103F0000}"/>
    <cellStyle name="Note 3 2 2 2 2 3" xfId="16945" xr:uid="{00000000-0005-0000-0000-0000113F0000}"/>
    <cellStyle name="Note 3 2 2 2 3" xfId="16946" xr:uid="{00000000-0005-0000-0000-0000123F0000}"/>
    <cellStyle name="Note 3 2 2 2 4" xfId="16947" xr:uid="{00000000-0005-0000-0000-0000133F0000}"/>
    <cellStyle name="Note 3 2 2 2 5" xfId="16948" xr:uid="{00000000-0005-0000-0000-0000143F0000}"/>
    <cellStyle name="Note 3 2 2 2 5 2" xfId="27160" xr:uid="{1F53D944-C4AB-48BA-9187-5C8C908DA4D1}"/>
    <cellStyle name="Note 3 2 2 2 5 2 2" xfId="42123" xr:uid="{2328623B-CD79-47FF-B3EF-AA3280478F79}"/>
    <cellStyle name="Note 3 2 2 2 5 3" xfId="34542" xr:uid="{400BB511-8C75-46E8-9D09-585EAF868E33}"/>
    <cellStyle name="Note 3 2 2 2 6" xfId="16949" xr:uid="{00000000-0005-0000-0000-0000153F0000}"/>
    <cellStyle name="Note 3 2 2 3" xfId="16950" xr:uid="{00000000-0005-0000-0000-0000163F0000}"/>
    <cellStyle name="Note 3 2 2 3 2" xfId="16951" xr:uid="{00000000-0005-0000-0000-0000173F0000}"/>
    <cellStyle name="Note 3 2 2 3 2 2" xfId="16952" xr:uid="{00000000-0005-0000-0000-0000183F0000}"/>
    <cellStyle name="Note 3 2 2 3 3" xfId="16953" xr:uid="{00000000-0005-0000-0000-0000193F0000}"/>
    <cellStyle name="Note 3 2 2 4" xfId="16954" xr:uid="{00000000-0005-0000-0000-00001A3F0000}"/>
    <cellStyle name="Note 3 2 2 4 2" xfId="16955" xr:uid="{00000000-0005-0000-0000-00001B3F0000}"/>
    <cellStyle name="Note 3 2 2 4 2 2" xfId="16956" xr:uid="{00000000-0005-0000-0000-00001C3F0000}"/>
    <cellStyle name="Note 3 2 2 4 2 2 2" xfId="16957" xr:uid="{00000000-0005-0000-0000-00001D3F0000}"/>
    <cellStyle name="Note 3 2 2 4 2 3" xfId="16958" xr:uid="{00000000-0005-0000-0000-00001E3F0000}"/>
    <cellStyle name="Note 3 2 2 4 3" xfId="16959" xr:uid="{00000000-0005-0000-0000-00001F3F0000}"/>
    <cellStyle name="Note 3 2 2 4 3 2" xfId="16960" xr:uid="{00000000-0005-0000-0000-0000203F0000}"/>
    <cellStyle name="Note 3 2 2 4 4" xfId="16961" xr:uid="{00000000-0005-0000-0000-0000213F0000}"/>
    <cellStyle name="Note 3 2 2 5" xfId="16962" xr:uid="{00000000-0005-0000-0000-0000223F0000}"/>
    <cellStyle name="Note 3 2 2 5 2" xfId="16963" xr:uid="{00000000-0005-0000-0000-0000233F0000}"/>
    <cellStyle name="Note 3 2 2 5 2 2" xfId="16964" xr:uid="{00000000-0005-0000-0000-0000243F0000}"/>
    <cellStyle name="Note 3 2 2 5 2 3" xfId="16965" xr:uid="{00000000-0005-0000-0000-0000253F0000}"/>
    <cellStyle name="Note 3 2 2 5 3" xfId="16966" xr:uid="{00000000-0005-0000-0000-0000263F0000}"/>
    <cellStyle name="Note 3 2 2 5 3 2" xfId="16967" xr:uid="{00000000-0005-0000-0000-0000273F0000}"/>
    <cellStyle name="Note 3 2 2 5 3 3" xfId="27161" xr:uid="{3B6CC676-8394-454C-AC88-78164434B7DB}"/>
    <cellStyle name="Note 3 2 2 5 3 3 2" xfId="42124" xr:uid="{A7EEEC5F-11F5-4D8D-855A-B6B7A3F8BB59}"/>
    <cellStyle name="Note 3 2 2 5 3 4" xfId="34543" xr:uid="{E2D389B3-CD77-4239-B3D3-1A1FD023149B}"/>
    <cellStyle name="Note 3 2 2 5 4" xfId="16968" xr:uid="{00000000-0005-0000-0000-0000283F0000}"/>
    <cellStyle name="Note 3 2 2 6" xfId="16969" xr:uid="{00000000-0005-0000-0000-0000293F0000}"/>
    <cellStyle name="Note 3 2 2 7" xfId="16970" xr:uid="{00000000-0005-0000-0000-00002A3F0000}"/>
    <cellStyle name="Note 3 2 2 8" xfId="16971" xr:uid="{00000000-0005-0000-0000-00002B3F0000}"/>
    <cellStyle name="Note 3 2 2 8 2" xfId="27162" xr:uid="{33931E84-A8F9-4643-809C-42155CBE8560}"/>
    <cellStyle name="Note 3 2 2 8 2 2" xfId="42125" xr:uid="{72899F8D-187F-4144-9A33-6908FF0C58D7}"/>
    <cellStyle name="Note 3 2 2 8 3" xfId="34544" xr:uid="{EE3D5C27-1715-4A4E-BDBD-E8FD415813D6}"/>
    <cellStyle name="Note 3 2 2 9" xfId="16972" xr:uid="{00000000-0005-0000-0000-00002C3F0000}"/>
    <cellStyle name="Note 3 2 3" xfId="16973" xr:uid="{00000000-0005-0000-0000-00002D3F0000}"/>
    <cellStyle name="Note 3 2 3 2" xfId="16974" xr:uid="{00000000-0005-0000-0000-00002E3F0000}"/>
    <cellStyle name="Note 3 2 3 2 2" xfId="16975" xr:uid="{00000000-0005-0000-0000-00002F3F0000}"/>
    <cellStyle name="Note 3 2 3 2 2 2" xfId="16976" xr:uid="{00000000-0005-0000-0000-0000303F0000}"/>
    <cellStyle name="Note 3 2 3 2 3" xfId="16977" xr:uid="{00000000-0005-0000-0000-0000313F0000}"/>
    <cellStyle name="Note 3 2 3 3" xfId="16978" xr:uid="{00000000-0005-0000-0000-0000323F0000}"/>
    <cellStyle name="Note 3 2 3 4" xfId="16979" xr:uid="{00000000-0005-0000-0000-0000333F0000}"/>
    <cellStyle name="Note 3 2 3 5" xfId="16980" xr:uid="{00000000-0005-0000-0000-0000343F0000}"/>
    <cellStyle name="Note 3 2 3 5 2" xfId="27163" xr:uid="{952F549F-9668-41BB-AB23-1AAD4D301319}"/>
    <cellStyle name="Note 3 2 3 5 2 2" xfId="42126" xr:uid="{73D9A9D7-59AE-4ECC-9D08-5248988B0F72}"/>
    <cellStyle name="Note 3 2 3 5 3" xfId="34545" xr:uid="{68229E0D-496D-42E5-9BFB-B10F4E75F4C0}"/>
    <cellStyle name="Note 3 2 3 6" xfId="16981" xr:uid="{00000000-0005-0000-0000-0000353F0000}"/>
    <cellStyle name="Note 3 2 4" xfId="16982" xr:uid="{00000000-0005-0000-0000-0000363F0000}"/>
    <cellStyle name="Note 3 2 4 2" xfId="16983" xr:uid="{00000000-0005-0000-0000-0000373F0000}"/>
    <cellStyle name="Note 3 2 4 2 2" xfId="16984" xr:uid="{00000000-0005-0000-0000-0000383F0000}"/>
    <cellStyle name="Note 3 2 4 2 2 2" xfId="16985" xr:uid="{00000000-0005-0000-0000-0000393F0000}"/>
    <cellStyle name="Note 3 2 4 2 3" xfId="16986" xr:uid="{00000000-0005-0000-0000-00003A3F0000}"/>
    <cellStyle name="Note 3 2 4 3" xfId="16987" xr:uid="{00000000-0005-0000-0000-00003B3F0000}"/>
    <cellStyle name="Note 3 2 4 3 2" xfId="16988" xr:uid="{00000000-0005-0000-0000-00003C3F0000}"/>
    <cellStyle name="Note 3 2 4 4" xfId="16989" xr:uid="{00000000-0005-0000-0000-00003D3F0000}"/>
    <cellStyle name="Note 3 2 5" xfId="16990" xr:uid="{00000000-0005-0000-0000-00003E3F0000}"/>
    <cellStyle name="Note 3 2 5 2" xfId="16991" xr:uid="{00000000-0005-0000-0000-00003F3F0000}"/>
    <cellStyle name="Note 3 2 5 2 2" xfId="16992" xr:uid="{00000000-0005-0000-0000-0000403F0000}"/>
    <cellStyle name="Note 3 2 5 3" xfId="16993" xr:uid="{00000000-0005-0000-0000-0000413F0000}"/>
    <cellStyle name="Note 3 2 6" xfId="16994" xr:uid="{00000000-0005-0000-0000-0000423F0000}"/>
    <cellStyle name="Note 3 2 6 2" xfId="16995" xr:uid="{00000000-0005-0000-0000-0000433F0000}"/>
    <cellStyle name="Note 3 2 6 2 2" xfId="16996" xr:uid="{00000000-0005-0000-0000-0000443F0000}"/>
    <cellStyle name="Note 3 2 6 2 2 2" xfId="16997" xr:uid="{00000000-0005-0000-0000-0000453F0000}"/>
    <cellStyle name="Note 3 2 6 2 3" xfId="16998" xr:uid="{00000000-0005-0000-0000-0000463F0000}"/>
    <cellStyle name="Note 3 2 6 3" xfId="16999" xr:uid="{00000000-0005-0000-0000-0000473F0000}"/>
    <cellStyle name="Note 3 2 6 3 2" xfId="17000" xr:uid="{00000000-0005-0000-0000-0000483F0000}"/>
    <cellStyle name="Note 3 2 6 4" xfId="17001" xr:uid="{00000000-0005-0000-0000-0000493F0000}"/>
    <cellStyle name="Note 3 2 7" xfId="17002" xr:uid="{00000000-0005-0000-0000-00004A3F0000}"/>
    <cellStyle name="Note 3 2 7 2" xfId="17003" xr:uid="{00000000-0005-0000-0000-00004B3F0000}"/>
    <cellStyle name="Note 3 2 7 2 2" xfId="17004" xr:uid="{00000000-0005-0000-0000-00004C3F0000}"/>
    <cellStyle name="Note 3 2 7 2 3" xfId="17005" xr:uid="{00000000-0005-0000-0000-00004D3F0000}"/>
    <cellStyle name="Note 3 2 7 3" xfId="17006" xr:uid="{00000000-0005-0000-0000-00004E3F0000}"/>
    <cellStyle name="Note 3 2 7 3 2" xfId="17007" xr:uid="{00000000-0005-0000-0000-00004F3F0000}"/>
    <cellStyle name="Note 3 2 7 3 3" xfId="27164" xr:uid="{9DC0F397-84AC-45ED-B672-EC5F0E108DD8}"/>
    <cellStyle name="Note 3 2 7 3 3 2" xfId="42127" xr:uid="{CF91161A-47F9-43A9-BC26-EA7E01928A8F}"/>
    <cellStyle name="Note 3 2 7 3 4" xfId="34546" xr:uid="{7A16AC65-1305-4E01-B64D-7D766AA5D17B}"/>
    <cellStyle name="Note 3 2 7 4" xfId="17008" xr:uid="{00000000-0005-0000-0000-0000503F0000}"/>
    <cellStyle name="Note 3 2 8" xfId="17009" xr:uid="{00000000-0005-0000-0000-0000513F0000}"/>
    <cellStyle name="Note 3 2 9" xfId="17010" xr:uid="{00000000-0005-0000-0000-0000523F0000}"/>
    <cellStyle name="Note 3 3" xfId="17011" xr:uid="{00000000-0005-0000-0000-0000533F0000}"/>
    <cellStyle name="Note 3 3 10" xfId="17012" xr:uid="{00000000-0005-0000-0000-0000543F0000}"/>
    <cellStyle name="Note 3 3 10 2" xfId="27165" xr:uid="{65C85659-A1C5-4727-AD79-2585F1FDB442}"/>
    <cellStyle name="Note 3 3 10 2 2" xfId="42128" xr:uid="{879A39E1-BC0C-42AA-BF88-DA936723C196}"/>
    <cellStyle name="Note 3 3 10 3" xfId="34547" xr:uid="{F74E250D-C077-40BE-9FA4-99C541C98A27}"/>
    <cellStyle name="Note 3 3 11" xfId="17013" xr:uid="{00000000-0005-0000-0000-0000553F0000}"/>
    <cellStyle name="Note 3 3 2" xfId="17014" xr:uid="{00000000-0005-0000-0000-0000563F0000}"/>
    <cellStyle name="Note 3 3 2 2" xfId="17015" xr:uid="{00000000-0005-0000-0000-0000573F0000}"/>
    <cellStyle name="Note 3 3 2 2 2" xfId="17016" xr:uid="{00000000-0005-0000-0000-0000583F0000}"/>
    <cellStyle name="Note 3 3 2 2 2 2" xfId="17017" xr:uid="{00000000-0005-0000-0000-0000593F0000}"/>
    <cellStyle name="Note 3 3 2 2 2 2 2" xfId="17018" xr:uid="{00000000-0005-0000-0000-00005A3F0000}"/>
    <cellStyle name="Note 3 3 2 2 2 3" xfId="17019" xr:uid="{00000000-0005-0000-0000-00005B3F0000}"/>
    <cellStyle name="Note 3 3 2 2 3" xfId="17020" xr:uid="{00000000-0005-0000-0000-00005C3F0000}"/>
    <cellStyle name="Note 3 3 2 2 3 2" xfId="17021" xr:uid="{00000000-0005-0000-0000-00005D3F0000}"/>
    <cellStyle name="Note 3 3 2 2 4" xfId="17022" xr:uid="{00000000-0005-0000-0000-00005E3F0000}"/>
    <cellStyle name="Note 3 3 2 3" xfId="17023" xr:uid="{00000000-0005-0000-0000-00005F3F0000}"/>
    <cellStyle name="Note 3 3 2 3 2" xfId="17024" xr:uid="{00000000-0005-0000-0000-0000603F0000}"/>
    <cellStyle name="Note 3 3 2 3 2 2" xfId="17025" xr:uid="{00000000-0005-0000-0000-0000613F0000}"/>
    <cellStyle name="Note 3 3 2 3 3" xfId="17026" xr:uid="{00000000-0005-0000-0000-0000623F0000}"/>
    <cellStyle name="Note 3 3 2 4" xfId="17027" xr:uid="{00000000-0005-0000-0000-0000633F0000}"/>
    <cellStyle name="Note 3 3 2 4 2" xfId="17028" xr:uid="{00000000-0005-0000-0000-0000643F0000}"/>
    <cellStyle name="Note 3 3 2 4 2 2" xfId="17029" xr:uid="{00000000-0005-0000-0000-0000653F0000}"/>
    <cellStyle name="Note 3 3 2 4 2 2 2" xfId="17030" xr:uid="{00000000-0005-0000-0000-0000663F0000}"/>
    <cellStyle name="Note 3 3 2 4 2 3" xfId="17031" xr:uid="{00000000-0005-0000-0000-0000673F0000}"/>
    <cellStyle name="Note 3 3 2 4 3" xfId="17032" xr:uid="{00000000-0005-0000-0000-0000683F0000}"/>
    <cellStyle name="Note 3 3 2 4 3 2" xfId="17033" xr:uid="{00000000-0005-0000-0000-0000693F0000}"/>
    <cellStyle name="Note 3 3 2 4 4" xfId="17034" xr:uid="{00000000-0005-0000-0000-00006A3F0000}"/>
    <cellStyle name="Note 3 3 2 5" xfId="17035" xr:uid="{00000000-0005-0000-0000-00006B3F0000}"/>
    <cellStyle name="Note 3 3 2 5 2" xfId="17036" xr:uid="{00000000-0005-0000-0000-00006C3F0000}"/>
    <cellStyle name="Note 3 3 2 5 2 2" xfId="17037" xr:uid="{00000000-0005-0000-0000-00006D3F0000}"/>
    <cellStyle name="Note 3 3 2 5 2 3" xfId="17038" xr:uid="{00000000-0005-0000-0000-00006E3F0000}"/>
    <cellStyle name="Note 3 3 2 5 3" xfId="17039" xr:uid="{00000000-0005-0000-0000-00006F3F0000}"/>
    <cellStyle name="Note 3 3 2 5 3 2" xfId="17040" xr:uid="{00000000-0005-0000-0000-0000703F0000}"/>
    <cellStyle name="Note 3 3 2 5 3 3" xfId="27166" xr:uid="{6BBA5EA3-48A5-463E-80E5-AE66A72A0C7F}"/>
    <cellStyle name="Note 3 3 2 5 3 3 2" xfId="42129" xr:uid="{A8B1E056-83A4-4F80-9241-2A023F663674}"/>
    <cellStyle name="Note 3 3 2 5 3 4" xfId="34548" xr:uid="{8ECC2F52-3429-48E4-85C9-9D0E1D19BA2F}"/>
    <cellStyle name="Note 3 3 2 5 4" xfId="17041" xr:uid="{00000000-0005-0000-0000-0000713F0000}"/>
    <cellStyle name="Note 3 3 2 6" xfId="17042" xr:uid="{00000000-0005-0000-0000-0000723F0000}"/>
    <cellStyle name="Note 3 3 2 7" xfId="17043" xr:uid="{00000000-0005-0000-0000-0000733F0000}"/>
    <cellStyle name="Note 3 3 2 8" xfId="17044" xr:uid="{00000000-0005-0000-0000-0000743F0000}"/>
    <cellStyle name="Note 3 3 2 8 2" xfId="27167" xr:uid="{5553867A-2FA0-474C-92A5-CAF006F38598}"/>
    <cellStyle name="Note 3 3 2 8 2 2" xfId="42130" xr:uid="{3B914D52-F76E-4D4A-888F-B04859588A28}"/>
    <cellStyle name="Note 3 3 2 8 3" xfId="34549" xr:uid="{6ACB44D5-3C9A-48F6-8975-9B68F223DF0E}"/>
    <cellStyle name="Note 3 3 2 9" xfId="17045" xr:uid="{00000000-0005-0000-0000-0000753F0000}"/>
    <cellStyle name="Note 3 3 3" xfId="17046" xr:uid="{00000000-0005-0000-0000-0000763F0000}"/>
    <cellStyle name="Note 3 3 3 2" xfId="17047" xr:uid="{00000000-0005-0000-0000-0000773F0000}"/>
    <cellStyle name="Note 3 3 3 2 2" xfId="17048" xr:uid="{00000000-0005-0000-0000-0000783F0000}"/>
    <cellStyle name="Note 3 3 3 2 2 2" xfId="17049" xr:uid="{00000000-0005-0000-0000-0000793F0000}"/>
    <cellStyle name="Note 3 3 3 2 3" xfId="17050" xr:uid="{00000000-0005-0000-0000-00007A3F0000}"/>
    <cellStyle name="Note 3 3 3 3" xfId="17051" xr:uid="{00000000-0005-0000-0000-00007B3F0000}"/>
    <cellStyle name="Note 3 3 3 3 2" xfId="17052" xr:uid="{00000000-0005-0000-0000-00007C3F0000}"/>
    <cellStyle name="Note 3 3 3 4" xfId="17053" xr:uid="{00000000-0005-0000-0000-00007D3F0000}"/>
    <cellStyle name="Note 3 3 4" xfId="17054" xr:uid="{00000000-0005-0000-0000-00007E3F0000}"/>
    <cellStyle name="Note 3 3 4 2" xfId="17055" xr:uid="{00000000-0005-0000-0000-00007F3F0000}"/>
    <cellStyle name="Note 3 3 4 2 2" xfId="17056" xr:uid="{00000000-0005-0000-0000-0000803F0000}"/>
    <cellStyle name="Note 3 3 4 2 2 2" xfId="17057" xr:uid="{00000000-0005-0000-0000-0000813F0000}"/>
    <cellStyle name="Note 3 3 4 2 3" xfId="17058" xr:uid="{00000000-0005-0000-0000-0000823F0000}"/>
    <cellStyle name="Note 3 3 4 3" xfId="17059" xr:uid="{00000000-0005-0000-0000-0000833F0000}"/>
    <cellStyle name="Note 3 3 4 3 2" xfId="17060" xr:uid="{00000000-0005-0000-0000-0000843F0000}"/>
    <cellStyle name="Note 3 3 4 4" xfId="17061" xr:uid="{00000000-0005-0000-0000-0000853F0000}"/>
    <cellStyle name="Note 3 3 5" xfId="17062" xr:uid="{00000000-0005-0000-0000-0000863F0000}"/>
    <cellStyle name="Note 3 3 5 2" xfId="17063" xr:uid="{00000000-0005-0000-0000-0000873F0000}"/>
    <cellStyle name="Note 3 3 5 2 2" xfId="17064" xr:uid="{00000000-0005-0000-0000-0000883F0000}"/>
    <cellStyle name="Note 3 3 5 3" xfId="17065" xr:uid="{00000000-0005-0000-0000-0000893F0000}"/>
    <cellStyle name="Note 3 3 6" xfId="17066" xr:uid="{00000000-0005-0000-0000-00008A3F0000}"/>
    <cellStyle name="Note 3 3 6 2" xfId="17067" xr:uid="{00000000-0005-0000-0000-00008B3F0000}"/>
    <cellStyle name="Note 3 3 6 2 2" xfId="17068" xr:uid="{00000000-0005-0000-0000-00008C3F0000}"/>
    <cellStyle name="Note 3 3 6 2 2 2" xfId="17069" xr:uid="{00000000-0005-0000-0000-00008D3F0000}"/>
    <cellStyle name="Note 3 3 6 2 3" xfId="17070" xr:uid="{00000000-0005-0000-0000-00008E3F0000}"/>
    <cellStyle name="Note 3 3 6 3" xfId="17071" xr:uid="{00000000-0005-0000-0000-00008F3F0000}"/>
    <cellStyle name="Note 3 3 6 3 2" xfId="17072" xr:uid="{00000000-0005-0000-0000-0000903F0000}"/>
    <cellStyle name="Note 3 3 6 4" xfId="17073" xr:uid="{00000000-0005-0000-0000-0000913F0000}"/>
    <cellStyle name="Note 3 3 7" xfId="17074" xr:uid="{00000000-0005-0000-0000-0000923F0000}"/>
    <cellStyle name="Note 3 3 7 2" xfId="17075" xr:uid="{00000000-0005-0000-0000-0000933F0000}"/>
    <cellStyle name="Note 3 3 7 2 2" xfId="17076" xr:uid="{00000000-0005-0000-0000-0000943F0000}"/>
    <cellStyle name="Note 3 3 7 2 3" xfId="17077" xr:uid="{00000000-0005-0000-0000-0000953F0000}"/>
    <cellStyle name="Note 3 3 7 3" xfId="17078" xr:uid="{00000000-0005-0000-0000-0000963F0000}"/>
    <cellStyle name="Note 3 3 7 3 2" xfId="17079" xr:uid="{00000000-0005-0000-0000-0000973F0000}"/>
    <cellStyle name="Note 3 3 7 3 3" xfId="27168" xr:uid="{DE0ADFDD-C503-4C41-8217-52EABFA6DC20}"/>
    <cellStyle name="Note 3 3 7 3 3 2" xfId="42131" xr:uid="{5F6C6224-5226-4643-988F-99B7CFFAC949}"/>
    <cellStyle name="Note 3 3 7 3 4" xfId="34550" xr:uid="{5E12BAC5-0C3E-4EEA-8474-0353CC39003B}"/>
    <cellStyle name="Note 3 3 7 4" xfId="17080" xr:uid="{00000000-0005-0000-0000-0000983F0000}"/>
    <cellStyle name="Note 3 3 8" xfId="17081" xr:uid="{00000000-0005-0000-0000-0000993F0000}"/>
    <cellStyle name="Note 3 3 9" xfId="17082" xr:uid="{00000000-0005-0000-0000-00009A3F0000}"/>
    <cellStyle name="Note 3 4" xfId="17083" xr:uid="{00000000-0005-0000-0000-00009B3F0000}"/>
    <cellStyle name="Note 3 4 10" xfId="17084" xr:uid="{00000000-0005-0000-0000-00009C3F0000}"/>
    <cellStyle name="Note 3 4 10 2" xfId="27169" xr:uid="{C9383624-EE37-41D6-ABB1-95132955D768}"/>
    <cellStyle name="Note 3 4 10 2 2" xfId="42132" xr:uid="{97FB538B-A8C1-4BD8-B806-EC6A97F619D7}"/>
    <cellStyle name="Note 3 4 10 3" xfId="34551" xr:uid="{5B86092C-8ACA-45F1-B560-AA04F8280298}"/>
    <cellStyle name="Note 3 4 11" xfId="17085" xr:uid="{00000000-0005-0000-0000-00009D3F0000}"/>
    <cellStyle name="Note 3 4 2" xfId="17086" xr:uid="{00000000-0005-0000-0000-00009E3F0000}"/>
    <cellStyle name="Note 3 4 2 2" xfId="17087" xr:uid="{00000000-0005-0000-0000-00009F3F0000}"/>
    <cellStyle name="Note 3 4 2 2 2" xfId="17088" xr:uid="{00000000-0005-0000-0000-0000A03F0000}"/>
    <cellStyle name="Note 3 4 2 2 2 2" xfId="17089" xr:uid="{00000000-0005-0000-0000-0000A13F0000}"/>
    <cellStyle name="Note 3 4 2 2 2 2 2" xfId="17090" xr:uid="{00000000-0005-0000-0000-0000A23F0000}"/>
    <cellStyle name="Note 3 4 2 2 2 3" xfId="17091" xr:uid="{00000000-0005-0000-0000-0000A33F0000}"/>
    <cellStyle name="Note 3 4 2 2 3" xfId="17092" xr:uid="{00000000-0005-0000-0000-0000A43F0000}"/>
    <cellStyle name="Note 3 4 2 2 3 2" xfId="17093" xr:uid="{00000000-0005-0000-0000-0000A53F0000}"/>
    <cellStyle name="Note 3 4 2 2 4" xfId="17094" xr:uid="{00000000-0005-0000-0000-0000A63F0000}"/>
    <cellStyle name="Note 3 4 2 3" xfId="17095" xr:uid="{00000000-0005-0000-0000-0000A73F0000}"/>
    <cellStyle name="Note 3 4 2 3 2" xfId="17096" xr:uid="{00000000-0005-0000-0000-0000A83F0000}"/>
    <cellStyle name="Note 3 4 2 3 2 2" xfId="17097" xr:uid="{00000000-0005-0000-0000-0000A93F0000}"/>
    <cellStyle name="Note 3 4 2 3 3" xfId="17098" xr:uid="{00000000-0005-0000-0000-0000AA3F0000}"/>
    <cellStyle name="Note 3 4 2 4" xfId="17099" xr:uid="{00000000-0005-0000-0000-0000AB3F0000}"/>
    <cellStyle name="Note 3 4 2 4 2" xfId="17100" xr:uid="{00000000-0005-0000-0000-0000AC3F0000}"/>
    <cellStyle name="Note 3 4 2 4 2 2" xfId="17101" xr:uid="{00000000-0005-0000-0000-0000AD3F0000}"/>
    <cellStyle name="Note 3 4 2 4 2 2 2" xfId="17102" xr:uid="{00000000-0005-0000-0000-0000AE3F0000}"/>
    <cellStyle name="Note 3 4 2 4 2 3" xfId="17103" xr:uid="{00000000-0005-0000-0000-0000AF3F0000}"/>
    <cellStyle name="Note 3 4 2 4 3" xfId="17104" xr:uid="{00000000-0005-0000-0000-0000B03F0000}"/>
    <cellStyle name="Note 3 4 2 4 3 2" xfId="17105" xr:uid="{00000000-0005-0000-0000-0000B13F0000}"/>
    <cellStyle name="Note 3 4 2 4 4" xfId="17106" xr:uid="{00000000-0005-0000-0000-0000B23F0000}"/>
    <cellStyle name="Note 3 4 2 5" xfId="17107" xr:uid="{00000000-0005-0000-0000-0000B33F0000}"/>
    <cellStyle name="Note 3 4 2 5 2" xfId="17108" xr:uid="{00000000-0005-0000-0000-0000B43F0000}"/>
    <cellStyle name="Note 3 4 2 5 2 2" xfId="17109" xr:uid="{00000000-0005-0000-0000-0000B53F0000}"/>
    <cellStyle name="Note 3 4 2 5 2 3" xfId="17110" xr:uid="{00000000-0005-0000-0000-0000B63F0000}"/>
    <cellStyle name="Note 3 4 2 5 3" xfId="17111" xr:uid="{00000000-0005-0000-0000-0000B73F0000}"/>
    <cellStyle name="Note 3 4 2 5 3 2" xfId="17112" xr:uid="{00000000-0005-0000-0000-0000B83F0000}"/>
    <cellStyle name="Note 3 4 2 5 3 3" xfId="27170" xr:uid="{BCC707B8-DDDC-4BB5-8AEF-05754FD4E501}"/>
    <cellStyle name="Note 3 4 2 5 3 3 2" xfId="42133" xr:uid="{13E3E9DF-1B97-4292-BB72-90940A7C81A9}"/>
    <cellStyle name="Note 3 4 2 5 3 4" xfId="34552" xr:uid="{79E9F945-C2C7-4D26-81CB-145EDED4E569}"/>
    <cellStyle name="Note 3 4 2 5 4" xfId="17113" xr:uid="{00000000-0005-0000-0000-0000B93F0000}"/>
    <cellStyle name="Note 3 4 2 6" xfId="17114" xr:uid="{00000000-0005-0000-0000-0000BA3F0000}"/>
    <cellStyle name="Note 3 4 2 7" xfId="17115" xr:uid="{00000000-0005-0000-0000-0000BB3F0000}"/>
    <cellStyle name="Note 3 4 2 8" xfId="17116" xr:uid="{00000000-0005-0000-0000-0000BC3F0000}"/>
    <cellStyle name="Note 3 4 2 8 2" xfId="27171" xr:uid="{EAC6904C-4DEA-4DAF-983A-1AC5D77C2AE3}"/>
    <cellStyle name="Note 3 4 2 8 2 2" xfId="42134" xr:uid="{13FA96EF-5443-4CF2-A72A-778BDA19AEBA}"/>
    <cellStyle name="Note 3 4 2 8 3" xfId="34553" xr:uid="{07A86667-FE26-4D38-B4E5-686C5640C3B2}"/>
    <cellStyle name="Note 3 4 2 9" xfId="17117" xr:uid="{00000000-0005-0000-0000-0000BD3F0000}"/>
    <cellStyle name="Note 3 4 3" xfId="17118" xr:uid="{00000000-0005-0000-0000-0000BE3F0000}"/>
    <cellStyle name="Note 3 4 3 2" xfId="17119" xr:uid="{00000000-0005-0000-0000-0000BF3F0000}"/>
    <cellStyle name="Note 3 4 3 2 2" xfId="17120" xr:uid="{00000000-0005-0000-0000-0000C03F0000}"/>
    <cellStyle name="Note 3 4 3 2 2 2" xfId="17121" xr:uid="{00000000-0005-0000-0000-0000C13F0000}"/>
    <cellStyle name="Note 3 4 3 2 3" xfId="17122" xr:uid="{00000000-0005-0000-0000-0000C23F0000}"/>
    <cellStyle name="Note 3 4 3 3" xfId="17123" xr:uid="{00000000-0005-0000-0000-0000C33F0000}"/>
    <cellStyle name="Note 3 4 3 3 2" xfId="17124" xr:uid="{00000000-0005-0000-0000-0000C43F0000}"/>
    <cellStyle name="Note 3 4 3 4" xfId="17125" xr:uid="{00000000-0005-0000-0000-0000C53F0000}"/>
    <cellStyle name="Note 3 4 4" xfId="17126" xr:uid="{00000000-0005-0000-0000-0000C63F0000}"/>
    <cellStyle name="Note 3 4 4 2" xfId="17127" xr:uid="{00000000-0005-0000-0000-0000C73F0000}"/>
    <cellStyle name="Note 3 4 4 2 2" xfId="17128" xr:uid="{00000000-0005-0000-0000-0000C83F0000}"/>
    <cellStyle name="Note 3 4 4 2 2 2" xfId="17129" xr:uid="{00000000-0005-0000-0000-0000C93F0000}"/>
    <cellStyle name="Note 3 4 4 2 3" xfId="17130" xr:uid="{00000000-0005-0000-0000-0000CA3F0000}"/>
    <cellStyle name="Note 3 4 4 3" xfId="17131" xr:uid="{00000000-0005-0000-0000-0000CB3F0000}"/>
    <cellStyle name="Note 3 4 4 3 2" xfId="17132" xr:uid="{00000000-0005-0000-0000-0000CC3F0000}"/>
    <cellStyle name="Note 3 4 4 4" xfId="17133" xr:uid="{00000000-0005-0000-0000-0000CD3F0000}"/>
    <cellStyle name="Note 3 4 5" xfId="17134" xr:uid="{00000000-0005-0000-0000-0000CE3F0000}"/>
    <cellStyle name="Note 3 4 5 2" xfId="17135" xr:uid="{00000000-0005-0000-0000-0000CF3F0000}"/>
    <cellStyle name="Note 3 4 5 2 2" xfId="17136" xr:uid="{00000000-0005-0000-0000-0000D03F0000}"/>
    <cellStyle name="Note 3 4 5 3" xfId="17137" xr:uid="{00000000-0005-0000-0000-0000D13F0000}"/>
    <cellStyle name="Note 3 4 6" xfId="17138" xr:uid="{00000000-0005-0000-0000-0000D23F0000}"/>
    <cellStyle name="Note 3 4 6 2" xfId="17139" xr:uid="{00000000-0005-0000-0000-0000D33F0000}"/>
    <cellStyle name="Note 3 4 6 2 2" xfId="17140" xr:uid="{00000000-0005-0000-0000-0000D43F0000}"/>
    <cellStyle name="Note 3 4 6 2 2 2" xfId="17141" xr:uid="{00000000-0005-0000-0000-0000D53F0000}"/>
    <cellStyle name="Note 3 4 6 2 3" xfId="17142" xr:uid="{00000000-0005-0000-0000-0000D63F0000}"/>
    <cellStyle name="Note 3 4 6 3" xfId="17143" xr:uid="{00000000-0005-0000-0000-0000D73F0000}"/>
    <cellStyle name="Note 3 4 6 3 2" xfId="17144" xr:uid="{00000000-0005-0000-0000-0000D83F0000}"/>
    <cellStyle name="Note 3 4 6 4" xfId="17145" xr:uid="{00000000-0005-0000-0000-0000D93F0000}"/>
    <cellStyle name="Note 3 4 7" xfId="17146" xr:uid="{00000000-0005-0000-0000-0000DA3F0000}"/>
    <cellStyle name="Note 3 4 7 2" xfId="17147" xr:uid="{00000000-0005-0000-0000-0000DB3F0000}"/>
    <cellStyle name="Note 3 4 7 2 2" xfId="17148" xr:uid="{00000000-0005-0000-0000-0000DC3F0000}"/>
    <cellStyle name="Note 3 4 7 2 3" xfId="17149" xr:uid="{00000000-0005-0000-0000-0000DD3F0000}"/>
    <cellStyle name="Note 3 4 7 3" xfId="17150" xr:uid="{00000000-0005-0000-0000-0000DE3F0000}"/>
    <cellStyle name="Note 3 4 7 3 2" xfId="17151" xr:uid="{00000000-0005-0000-0000-0000DF3F0000}"/>
    <cellStyle name="Note 3 4 7 3 3" xfId="27172" xr:uid="{CBF208FF-2BAA-4A38-93A9-C49745A3D40F}"/>
    <cellStyle name="Note 3 4 7 3 3 2" xfId="42135" xr:uid="{31ADCE07-2F13-454E-9BE1-EA0EED5CEE3C}"/>
    <cellStyle name="Note 3 4 7 3 4" xfId="34554" xr:uid="{3C669DB7-C3C4-40D9-8328-7E09A9EB89B4}"/>
    <cellStyle name="Note 3 4 7 4" xfId="17152" xr:uid="{00000000-0005-0000-0000-0000E03F0000}"/>
    <cellStyle name="Note 3 4 8" xfId="17153" xr:uid="{00000000-0005-0000-0000-0000E13F0000}"/>
    <cellStyle name="Note 3 4 9" xfId="17154" xr:uid="{00000000-0005-0000-0000-0000E23F0000}"/>
    <cellStyle name="Note 3 5" xfId="17155" xr:uid="{00000000-0005-0000-0000-0000E33F0000}"/>
    <cellStyle name="Note 3 5 2" xfId="17156" xr:uid="{00000000-0005-0000-0000-0000E43F0000}"/>
    <cellStyle name="Note 3 5 2 2" xfId="17157" xr:uid="{00000000-0005-0000-0000-0000E53F0000}"/>
    <cellStyle name="Note 3 5 2 2 2" xfId="17158" xr:uid="{00000000-0005-0000-0000-0000E63F0000}"/>
    <cellStyle name="Note 3 5 2 2 2 2" xfId="17159" xr:uid="{00000000-0005-0000-0000-0000E73F0000}"/>
    <cellStyle name="Note 3 5 2 2 3" xfId="17160" xr:uid="{00000000-0005-0000-0000-0000E83F0000}"/>
    <cellStyle name="Note 3 5 2 3" xfId="17161" xr:uid="{00000000-0005-0000-0000-0000E93F0000}"/>
    <cellStyle name="Note 3 5 2 4" xfId="17162" xr:uid="{00000000-0005-0000-0000-0000EA3F0000}"/>
    <cellStyle name="Note 3 5 2 5" xfId="17163" xr:uid="{00000000-0005-0000-0000-0000EB3F0000}"/>
    <cellStyle name="Note 3 5 2 5 2" xfId="27173" xr:uid="{2EC18AEA-2D81-4EDF-90DD-EA29C51601BB}"/>
    <cellStyle name="Note 3 5 2 5 2 2" xfId="42136" xr:uid="{25779D36-4EF6-44FD-B114-A7626ED51DEF}"/>
    <cellStyle name="Note 3 5 2 5 3" xfId="34555" xr:uid="{4A0B92D7-F9BF-425E-9C8B-8954DD15475C}"/>
    <cellStyle name="Note 3 5 2 6" xfId="17164" xr:uid="{00000000-0005-0000-0000-0000EC3F0000}"/>
    <cellStyle name="Note 3 5 3" xfId="17165" xr:uid="{00000000-0005-0000-0000-0000ED3F0000}"/>
    <cellStyle name="Note 3 5 3 2" xfId="17166" xr:uid="{00000000-0005-0000-0000-0000EE3F0000}"/>
    <cellStyle name="Note 3 5 3 2 2" xfId="17167" xr:uid="{00000000-0005-0000-0000-0000EF3F0000}"/>
    <cellStyle name="Note 3 5 3 2 2 2" xfId="17168" xr:uid="{00000000-0005-0000-0000-0000F03F0000}"/>
    <cellStyle name="Note 3 5 3 2 3" xfId="17169" xr:uid="{00000000-0005-0000-0000-0000F13F0000}"/>
    <cellStyle name="Note 3 5 3 3" xfId="17170" xr:uid="{00000000-0005-0000-0000-0000F23F0000}"/>
    <cellStyle name="Note 3 5 3 3 2" xfId="17171" xr:uid="{00000000-0005-0000-0000-0000F33F0000}"/>
    <cellStyle name="Note 3 5 3 4" xfId="17172" xr:uid="{00000000-0005-0000-0000-0000F43F0000}"/>
    <cellStyle name="Note 3 5 4" xfId="17173" xr:uid="{00000000-0005-0000-0000-0000F53F0000}"/>
    <cellStyle name="Note 3 5 4 2" xfId="17174" xr:uid="{00000000-0005-0000-0000-0000F63F0000}"/>
    <cellStyle name="Note 3 5 4 2 2" xfId="17175" xr:uid="{00000000-0005-0000-0000-0000F73F0000}"/>
    <cellStyle name="Note 3 5 4 2 2 2" xfId="17176" xr:uid="{00000000-0005-0000-0000-0000F83F0000}"/>
    <cellStyle name="Note 3 5 4 2 3" xfId="17177" xr:uid="{00000000-0005-0000-0000-0000F93F0000}"/>
    <cellStyle name="Note 3 5 4 3" xfId="17178" xr:uid="{00000000-0005-0000-0000-0000FA3F0000}"/>
    <cellStyle name="Note 3 5 4 3 2" xfId="17179" xr:uid="{00000000-0005-0000-0000-0000FB3F0000}"/>
    <cellStyle name="Note 3 5 4 4" xfId="17180" xr:uid="{00000000-0005-0000-0000-0000FC3F0000}"/>
    <cellStyle name="Note 3 5 5" xfId="17181" xr:uid="{00000000-0005-0000-0000-0000FD3F0000}"/>
    <cellStyle name="Note 3 5 5 2" xfId="17182" xr:uid="{00000000-0005-0000-0000-0000FE3F0000}"/>
    <cellStyle name="Note 3 5 5 2 2" xfId="17183" xr:uid="{00000000-0005-0000-0000-0000FF3F0000}"/>
    <cellStyle name="Note 3 5 5 2 3" xfId="17184" xr:uid="{00000000-0005-0000-0000-000000400000}"/>
    <cellStyle name="Note 3 5 5 3" xfId="17185" xr:uid="{00000000-0005-0000-0000-000001400000}"/>
    <cellStyle name="Note 3 5 5 3 2" xfId="17186" xr:uid="{00000000-0005-0000-0000-000002400000}"/>
    <cellStyle name="Note 3 5 5 3 3" xfId="27174" xr:uid="{265848D1-2638-492B-9BC9-E9DC43106658}"/>
    <cellStyle name="Note 3 5 5 3 3 2" xfId="42137" xr:uid="{3A071D7B-0383-4EB0-8AD5-6C6B38A43665}"/>
    <cellStyle name="Note 3 5 5 3 4" xfId="34556" xr:uid="{A30D58BD-6742-461F-832A-7AD088A7FB05}"/>
    <cellStyle name="Note 3 5 5 4" xfId="17187" xr:uid="{00000000-0005-0000-0000-000003400000}"/>
    <cellStyle name="Note 3 5 6" xfId="17188" xr:uid="{00000000-0005-0000-0000-000004400000}"/>
    <cellStyle name="Note 3 5 7" xfId="17189" xr:uid="{00000000-0005-0000-0000-000005400000}"/>
    <cellStyle name="Note 3 5 7 2" xfId="20166" xr:uid="{00000000-0005-0000-0000-000005400000}"/>
    <cellStyle name="Note 3 5 7 2 2" xfId="27608" xr:uid="{8569B46E-43A8-4C9F-AF49-0980B29080C1}"/>
    <cellStyle name="Note 3 5 7 2 2 2" xfId="42545" xr:uid="{03EF790F-5FA5-4155-855B-3B273FBB8F5F}"/>
    <cellStyle name="Note 3 5 7 2 3" xfId="35184" xr:uid="{91D44CC4-2CE5-44B0-99BE-156F173A176E}"/>
    <cellStyle name="Note 3 5 7 3" xfId="34557" xr:uid="{5B7709A0-C9E8-45AA-B194-B26E19ED9665}"/>
    <cellStyle name="Note 3 5 8" xfId="17190" xr:uid="{00000000-0005-0000-0000-000006400000}"/>
    <cellStyle name="Note 3 5 8 2" xfId="27175" xr:uid="{3A38FDDB-16FD-46A1-9FD5-AA48B2E578F5}"/>
    <cellStyle name="Note 3 5 8 2 2" xfId="42138" xr:uid="{85D780F4-9A39-48AB-8D56-C347A580FD20}"/>
    <cellStyle name="Note 3 5 8 3" xfId="34558" xr:uid="{05DCB88C-6C76-4AB2-A287-6B98A10F93F6}"/>
    <cellStyle name="Note 3 5 9" xfId="17191" xr:uid="{00000000-0005-0000-0000-000007400000}"/>
    <cellStyle name="Note 3 6" xfId="17192" xr:uid="{00000000-0005-0000-0000-000008400000}"/>
    <cellStyle name="Note 3 6 2" xfId="17193" xr:uid="{00000000-0005-0000-0000-000009400000}"/>
    <cellStyle name="Note 3 6 2 2" xfId="17194" xr:uid="{00000000-0005-0000-0000-00000A400000}"/>
    <cellStyle name="Note 3 6 2 2 2" xfId="17195" xr:uid="{00000000-0005-0000-0000-00000B400000}"/>
    <cellStyle name="Note 3 6 2 3" xfId="17196" xr:uid="{00000000-0005-0000-0000-00000C400000}"/>
    <cellStyle name="Note 3 6 3" xfId="17197" xr:uid="{00000000-0005-0000-0000-00000D400000}"/>
    <cellStyle name="Note 3 6 4" xfId="17198" xr:uid="{00000000-0005-0000-0000-00000E400000}"/>
    <cellStyle name="Note 3 6 5" xfId="17199" xr:uid="{00000000-0005-0000-0000-00000F400000}"/>
    <cellStyle name="Note 3 6 5 2" xfId="27176" xr:uid="{CBF4520A-971A-49C9-9D2D-B7BDCF874413}"/>
    <cellStyle name="Note 3 6 5 2 2" xfId="42139" xr:uid="{2BD748DF-91B5-49C0-A275-4F67B29E53F6}"/>
    <cellStyle name="Note 3 6 5 3" xfId="34559" xr:uid="{B176ABC1-9A5F-4636-BD57-FD2C659D7874}"/>
    <cellStyle name="Note 3 6 6" xfId="17200" xr:uid="{00000000-0005-0000-0000-000010400000}"/>
    <cellStyle name="Note 3 7" xfId="17201" xr:uid="{00000000-0005-0000-0000-000011400000}"/>
    <cellStyle name="Note 3 7 2" xfId="17202" xr:uid="{00000000-0005-0000-0000-000012400000}"/>
    <cellStyle name="Note 3 7 2 2" xfId="17203" xr:uid="{00000000-0005-0000-0000-000013400000}"/>
    <cellStyle name="Note 3 7 2 2 2" xfId="17204" xr:uid="{00000000-0005-0000-0000-000014400000}"/>
    <cellStyle name="Note 3 7 2 3" xfId="17205" xr:uid="{00000000-0005-0000-0000-000015400000}"/>
    <cellStyle name="Note 3 7 3" xfId="17206" xr:uid="{00000000-0005-0000-0000-000016400000}"/>
    <cellStyle name="Note 3 7 3 2" xfId="17207" xr:uid="{00000000-0005-0000-0000-000017400000}"/>
    <cellStyle name="Note 3 7 4" xfId="17208" xr:uid="{00000000-0005-0000-0000-000018400000}"/>
    <cellStyle name="Note 3 8" xfId="17209" xr:uid="{00000000-0005-0000-0000-000019400000}"/>
    <cellStyle name="Note 3 8 2" xfId="17210" xr:uid="{00000000-0005-0000-0000-00001A400000}"/>
    <cellStyle name="Note 3 8 2 2" xfId="17211" xr:uid="{00000000-0005-0000-0000-00001B400000}"/>
    <cellStyle name="Note 3 8 2 2 2" xfId="17212" xr:uid="{00000000-0005-0000-0000-00001C400000}"/>
    <cellStyle name="Note 3 8 2 3" xfId="17213" xr:uid="{00000000-0005-0000-0000-00001D400000}"/>
    <cellStyle name="Note 3 8 3" xfId="17214" xr:uid="{00000000-0005-0000-0000-00001E400000}"/>
    <cellStyle name="Note 3 8 3 2" xfId="17215" xr:uid="{00000000-0005-0000-0000-00001F400000}"/>
    <cellStyle name="Note 3 8 4" xfId="17216" xr:uid="{00000000-0005-0000-0000-000020400000}"/>
    <cellStyle name="Note 3 9" xfId="17217" xr:uid="{00000000-0005-0000-0000-000021400000}"/>
    <cellStyle name="Note 3 9 2" xfId="17218" xr:uid="{00000000-0005-0000-0000-000022400000}"/>
    <cellStyle name="Note 3 9 2 2" xfId="17219" xr:uid="{00000000-0005-0000-0000-000023400000}"/>
    <cellStyle name="Note 3 9 3" xfId="17220" xr:uid="{00000000-0005-0000-0000-000024400000}"/>
    <cellStyle name="Note 4" xfId="2580" xr:uid="{00000000-0005-0000-0000-0000DB090000}"/>
    <cellStyle name="Note 4 2" xfId="2581" xr:uid="{00000000-0005-0000-0000-0000DC090000}"/>
    <cellStyle name="Note 4 2 2" xfId="17223" xr:uid="{00000000-0005-0000-0000-000027400000}"/>
    <cellStyle name="Note 4 2 2 2" xfId="17224" xr:uid="{00000000-0005-0000-0000-000028400000}"/>
    <cellStyle name="Note 4 2 2 3" xfId="20167" xr:uid="{00000000-0005-0000-0000-000027400000}"/>
    <cellStyle name="Note 4 2 2 3 2" xfId="27609" xr:uid="{14F01FC2-A3B3-40B6-8651-77D6B9D20115}"/>
    <cellStyle name="Note 4 2 2 3 2 2" xfId="42546" xr:uid="{F69F8F09-3B46-4A5B-AABA-27F7E447A984}"/>
    <cellStyle name="Note 4 2 2 3 3" xfId="35185" xr:uid="{CE823AD7-F38D-4297-B774-98C0242AB56A}"/>
    <cellStyle name="Note 4 2 2 4" xfId="34560" xr:uid="{0C7AFBEE-F10F-4C36-A779-DD7058DE86F4}"/>
    <cellStyle name="Note 4 2 3" xfId="17225" xr:uid="{00000000-0005-0000-0000-000029400000}"/>
    <cellStyle name="Note 4 2 4" xfId="17222" xr:uid="{00000000-0005-0000-0000-000026400000}"/>
    <cellStyle name="Note 4 2 5" xfId="28071" xr:uid="{A101842B-F55F-4AB8-847C-290828939CB1}"/>
    <cellStyle name="Note 4 3" xfId="17226" xr:uid="{00000000-0005-0000-0000-00002A400000}"/>
    <cellStyle name="Note 4 3 2" xfId="17227" xr:uid="{00000000-0005-0000-0000-00002B400000}"/>
    <cellStyle name="Note 4 3 2 2" xfId="17228" xr:uid="{00000000-0005-0000-0000-00002C400000}"/>
    <cellStyle name="Note 4 3 2 3" xfId="17229" xr:uid="{00000000-0005-0000-0000-00002D400000}"/>
    <cellStyle name="Note 4 3 3" xfId="17230" xr:uid="{00000000-0005-0000-0000-00002E400000}"/>
    <cellStyle name="Note 4 3 3 2" xfId="17231" xr:uid="{00000000-0005-0000-0000-00002F400000}"/>
    <cellStyle name="Note 4 3 3 3" xfId="27177" xr:uid="{6648B222-A855-4700-ACBC-92E7E334544F}"/>
    <cellStyle name="Note 4 3 3 3 2" xfId="42140" xr:uid="{236ADF3E-0931-4B8D-8C72-042232C5D105}"/>
    <cellStyle name="Note 4 3 3 4" xfId="34561" xr:uid="{51653C71-5DEA-49EE-8D2A-205733E982E5}"/>
    <cellStyle name="Note 4 3 4" xfId="17232" xr:uid="{00000000-0005-0000-0000-000030400000}"/>
    <cellStyle name="Note 4 4" xfId="17233" xr:uid="{00000000-0005-0000-0000-000031400000}"/>
    <cellStyle name="Note 4 5" xfId="17234" xr:uid="{00000000-0005-0000-0000-000032400000}"/>
    <cellStyle name="Note 4 5 2" xfId="20168" xr:uid="{00000000-0005-0000-0000-000032400000}"/>
    <cellStyle name="Note 4 5 2 2" xfId="27610" xr:uid="{1F0B1F9E-D7DA-403A-B9F1-3FC5F0EFD77A}"/>
    <cellStyle name="Note 4 5 2 2 2" xfId="42547" xr:uid="{6797CF41-F4EB-4AF1-B14F-C93EF4C0F5DD}"/>
    <cellStyle name="Note 4 5 2 3" xfId="35186" xr:uid="{2EBD5A4E-EC8F-4FB6-8F54-16ECECDBF774}"/>
    <cellStyle name="Note 4 5 3" xfId="27178" xr:uid="{1C1DE336-926B-4C0E-BCB6-BF603D6D3E9A}"/>
    <cellStyle name="Note 4 5 3 2" xfId="42141" xr:uid="{B2A26349-470C-46B1-AD36-7AF4C8DC6403}"/>
    <cellStyle name="Note 4 5 4" xfId="34562" xr:uid="{649EC6A9-CEE9-4537-96DC-A7F67BE53CB3}"/>
    <cellStyle name="Note 4 6" xfId="17235" xr:uid="{00000000-0005-0000-0000-000033400000}"/>
    <cellStyle name="Note 4 7" xfId="17221" xr:uid="{00000000-0005-0000-0000-000025400000}"/>
    <cellStyle name="Note 4 8" xfId="28070" xr:uid="{A0B8E583-BDD8-470A-814B-A9B505390642}"/>
    <cellStyle name="Note 5" xfId="2582" xr:uid="{00000000-0005-0000-0000-0000DD090000}"/>
    <cellStyle name="Note 5 10" xfId="17237" xr:uid="{00000000-0005-0000-0000-000035400000}"/>
    <cellStyle name="Note 5 11" xfId="17238" xr:uid="{00000000-0005-0000-0000-000036400000}"/>
    <cellStyle name="Note 5 11 2" xfId="27179" xr:uid="{C0C100C2-E12A-436F-B259-824973E74640}"/>
    <cellStyle name="Note 5 11 2 2" xfId="42142" xr:uid="{6D9E90B3-409C-4C50-82D0-E961C66B438E}"/>
    <cellStyle name="Note 5 11 3" xfId="34563" xr:uid="{65ED16B4-7945-4775-BD98-15D5983A47B2}"/>
    <cellStyle name="Note 5 12" xfId="17239" xr:uid="{00000000-0005-0000-0000-000037400000}"/>
    <cellStyle name="Note 5 13" xfId="17236" xr:uid="{00000000-0005-0000-0000-000034400000}"/>
    <cellStyle name="Note 5 14" xfId="28072" xr:uid="{35474C9D-B825-45A1-87F2-88E974D96548}"/>
    <cellStyle name="Note 5 2" xfId="2583" xr:uid="{00000000-0005-0000-0000-0000DE090000}"/>
    <cellStyle name="Note 5 2 10" xfId="17240" xr:uid="{00000000-0005-0000-0000-000038400000}"/>
    <cellStyle name="Note 5 2 11" xfId="28073" xr:uid="{ECEAA1CC-0A3D-47ED-BD2E-9AB05E702291}"/>
    <cellStyle name="Note 5 2 2" xfId="17241" xr:uid="{00000000-0005-0000-0000-000039400000}"/>
    <cellStyle name="Note 5 2 2 2" xfId="17242" xr:uid="{00000000-0005-0000-0000-00003A400000}"/>
    <cellStyle name="Note 5 2 2 2 2" xfId="17243" xr:uid="{00000000-0005-0000-0000-00003B400000}"/>
    <cellStyle name="Note 5 2 2 2 2 2" xfId="17244" xr:uid="{00000000-0005-0000-0000-00003C400000}"/>
    <cellStyle name="Note 5 2 2 2 3" xfId="17245" xr:uid="{00000000-0005-0000-0000-00003D400000}"/>
    <cellStyle name="Note 5 2 2 3" xfId="17246" xr:uid="{00000000-0005-0000-0000-00003E400000}"/>
    <cellStyle name="Note 5 2 2 3 2" xfId="17247" xr:uid="{00000000-0005-0000-0000-00003F400000}"/>
    <cellStyle name="Note 5 2 2 4" xfId="17248" xr:uid="{00000000-0005-0000-0000-000040400000}"/>
    <cellStyle name="Note 5 2 3" xfId="17249" xr:uid="{00000000-0005-0000-0000-000041400000}"/>
    <cellStyle name="Note 5 2 3 2" xfId="17250" xr:uid="{00000000-0005-0000-0000-000042400000}"/>
    <cellStyle name="Note 5 2 3 2 2" xfId="17251" xr:uid="{00000000-0005-0000-0000-000043400000}"/>
    <cellStyle name="Note 5 2 3 2 2 2" xfId="17252" xr:uid="{00000000-0005-0000-0000-000044400000}"/>
    <cellStyle name="Note 5 2 3 2 3" xfId="17253" xr:uid="{00000000-0005-0000-0000-000045400000}"/>
    <cellStyle name="Note 5 2 3 3" xfId="17254" xr:uid="{00000000-0005-0000-0000-000046400000}"/>
    <cellStyle name="Note 5 2 3 3 2" xfId="17255" xr:uid="{00000000-0005-0000-0000-000047400000}"/>
    <cellStyle name="Note 5 2 3 4" xfId="17256" xr:uid="{00000000-0005-0000-0000-000048400000}"/>
    <cellStyle name="Note 5 2 4" xfId="17257" xr:uid="{00000000-0005-0000-0000-000049400000}"/>
    <cellStyle name="Note 5 2 4 2" xfId="17258" xr:uid="{00000000-0005-0000-0000-00004A400000}"/>
    <cellStyle name="Note 5 2 4 2 2" xfId="17259" xr:uid="{00000000-0005-0000-0000-00004B400000}"/>
    <cellStyle name="Note 5 2 4 2 2 2" xfId="17260" xr:uid="{00000000-0005-0000-0000-00004C400000}"/>
    <cellStyle name="Note 5 2 4 2 3" xfId="17261" xr:uid="{00000000-0005-0000-0000-00004D400000}"/>
    <cellStyle name="Note 5 2 4 3" xfId="17262" xr:uid="{00000000-0005-0000-0000-00004E400000}"/>
    <cellStyle name="Note 5 2 4 3 2" xfId="17263" xr:uid="{00000000-0005-0000-0000-00004F400000}"/>
    <cellStyle name="Note 5 2 4 4" xfId="17264" xr:uid="{00000000-0005-0000-0000-000050400000}"/>
    <cellStyle name="Note 5 2 5" xfId="17265" xr:uid="{00000000-0005-0000-0000-000051400000}"/>
    <cellStyle name="Note 5 2 5 2" xfId="17266" xr:uid="{00000000-0005-0000-0000-000052400000}"/>
    <cellStyle name="Note 5 2 5 2 2" xfId="17267" xr:uid="{00000000-0005-0000-0000-000053400000}"/>
    <cellStyle name="Note 5 2 5 2 3" xfId="17268" xr:uid="{00000000-0005-0000-0000-000054400000}"/>
    <cellStyle name="Note 5 2 5 3" xfId="17269" xr:uid="{00000000-0005-0000-0000-000055400000}"/>
    <cellStyle name="Note 5 2 5 3 2" xfId="17270" xr:uid="{00000000-0005-0000-0000-000056400000}"/>
    <cellStyle name="Note 5 2 5 3 3" xfId="27180" xr:uid="{6B149016-3B13-40D0-BE92-BB4CE0B222B1}"/>
    <cellStyle name="Note 5 2 5 3 3 2" xfId="42143" xr:uid="{1BCB3A6C-D54B-4786-AB74-D01051D3E314}"/>
    <cellStyle name="Note 5 2 5 3 4" xfId="34564" xr:uid="{DE761784-4BFE-4906-AE40-536BF25AB0C6}"/>
    <cellStyle name="Note 5 2 5 4" xfId="17271" xr:uid="{00000000-0005-0000-0000-000057400000}"/>
    <cellStyle name="Note 5 2 6" xfId="17272" xr:uid="{00000000-0005-0000-0000-000058400000}"/>
    <cellStyle name="Note 5 2 7" xfId="17273" xr:uid="{00000000-0005-0000-0000-000059400000}"/>
    <cellStyle name="Note 5 2 7 2" xfId="20169" xr:uid="{00000000-0005-0000-0000-000059400000}"/>
    <cellStyle name="Note 5 2 7 2 2" xfId="27611" xr:uid="{A0A71D8B-88F8-427F-A98C-87E89972F633}"/>
    <cellStyle name="Note 5 2 7 2 2 2" xfId="42548" xr:uid="{B01F23D4-B8C8-4CCF-A4E6-D570A1A152DC}"/>
    <cellStyle name="Note 5 2 7 2 3" xfId="35187" xr:uid="{558D8B09-9F42-4E3B-A779-288009F3B301}"/>
    <cellStyle name="Note 5 2 7 3" xfId="34565" xr:uid="{98C3B045-2348-4D19-87C5-6A4B73AF9BF5}"/>
    <cellStyle name="Note 5 2 8" xfId="17274" xr:uid="{00000000-0005-0000-0000-00005A400000}"/>
    <cellStyle name="Note 5 2 8 2" xfId="27181" xr:uid="{23E21F0F-6DF8-450E-8802-642621DC408B}"/>
    <cellStyle name="Note 5 2 8 2 2" xfId="42144" xr:uid="{61E51289-1E9A-414A-94B1-136954F84D73}"/>
    <cellStyle name="Note 5 2 8 3" xfId="34566" xr:uid="{1452D64B-69A2-4931-BFBB-868C7355EA74}"/>
    <cellStyle name="Note 5 2 9" xfId="17275" xr:uid="{00000000-0005-0000-0000-00005B400000}"/>
    <cellStyle name="Note 5 3" xfId="17276" xr:uid="{00000000-0005-0000-0000-00005C400000}"/>
    <cellStyle name="Note 5 3 2" xfId="17277" xr:uid="{00000000-0005-0000-0000-00005D400000}"/>
    <cellStyle name="Note 5 3 2 2" xfId="17278" xr:uid="{00000000-0005-0000-0000-00005E400000}"/>
    <cellStyle name="Note 5 3 2 2 2" xfId="17279" xr:uid="{00000000-0005-0000-0000-00005F400000}"/>
    <cellStyle name="Note 5 3 2 3" xfId="17280" xr:uid="{00000000-0005-0000-0000-000060400000}"/>
    <cellStyle name="Note 5 3 3" xfId="17281" xr:uid="{00000000-0005-0000-0000-000061400000}"/>
    <cellStyle name="Note 5 3 3 2" xfId="17282" xr:uid="{00000000-0005-0000-0000-000062400000}"/>
    <cellStyle name="Note 5 3 4" xfId="17283" xr:uid="{00000000-0005-0000-0000-000063400000}"/>
    <cellStyle name="Note 5 4" xfId="17284" xr:uid="{00000000-0005-0000-0000-000064400000}"/>
    <cellStyle name="Note 5 4 2" xfId="17285" xr:uid="{00000000-0005-0000-0000-000065400000}"/>
    <cellStyle name="Note 5 4 2 2" xfId="17286" xr:uid="{00000000-0005-0000-0000-000066400000}"/>
    <cellStyle name="Note 5 4 2 2 2" xfId="17287" xr:uid="{00000000-0005-0000-0000-000067400000}"/>
    <cellStyle name="Note 5 4 2 3" xfId="17288" xr:uid="{00000000-0005-0000-0000-000068400000}"/>
    <cellStyle name="Note 5 4 3" xfId="17289" xr:uid="{00000000-0005-0000-0000-000069400000}"/>
    <cellStyle name="Note 5 4 3 2" xfId="17290" xr:uid="{00000000-0005-0000-0000-00006A400000}"/>
    <cellStyle name="Note 5 4 4" xfId="17291" xr:uid="{00000000-0005-0000-0000-00006B400000}"/>
    <cellStyle name="Note 5 5" xfId="17292" xr:uid="{00000000-0005-0000-0000-00006C400000}"/>
    <cellStyle name="Note 5 5 2" xfId="17293" xr:uid="{00000000-0005-0000-0000-00006D400000}"/>
    <cellStyle name="Note 5 5 2 2" xfId="17294" xr:uid="{00000000-0005-0000-0000-00006E400000}"/>
    <cellStyle name="Note 5 5 3" xfId="17295" xr:uid="{00000000-0005-0000-0000-00006F400000}"/>
    <cellStyle name="Note 5 6" xfId="17296" xr:uid="{00000000-0005-0000-0000-000070400000}"/>
    <cellStyle name="Note 5 6 2" xfId="17297" xr:uid="{00000000-0005-0000-0000-000071400000}"/>
    <cellStyle name="Note 5 6 2 2" xfId="17298" xr:uid="{00000000-0005-0000-0000-000072400000}"/>
    <cellStyle name="Note 5 6 2 2 2" xfId="17299" xr:uid="{00000000-0005-0000-0000-000073400000}"/>
    <cellStyle name="Note 5 6 2 3" xfId="17300" xr:uid="{00000000-0005-0000-0000-000074400000}"/>
    <cellStyle name="Note 5 6 3" xfId="17301" xr:uid="{00000000-0005-0000-0000-000075400000}"/>
    <cellStyle name="Note 5 6 3 2" xfId="17302" xr:uid="{00000000-0005-0000-0000-000076400000}"/>
    <cellStyle name="Note 5 6 4" xfId="17303" xr:uid="{00000000-0005-0000-0000-000077400000}"/>
    <cellStyle name="Note 5 7" xfId="17304" xr:uid="{00000000-0005-0000-0000-000078400000}"/>
    <cellStyle name="Note 5 7 2" xfId="17305" xr:uid="{00000000-0005-0000-0000-000079400000}"/>
    <cellStyle name="Note 5 7 2 2" xfId="17306" xr:uid="{00000000-0005-0000-0000-00007A400000}"/>
    <cellStyle name="Note 5 7 2 3" xfId="17307" xr:uid="{00000000-0005-0000-0000-00007B400000}"/>
    <cellStyle name="Note 5 7 3" xfId="17308" xr:uid="{00000000-0005-0000-0000-00007C400000}"/>
    <cellStyle name="Note 5 7 3 2" xfId="17309" xr:uid="{00000000-0005-0000-0000-00007D400000}"/>
    <cellStyle name="Note 5 7 3 3" xfId="27182" xr:uid="{72B09906-5290-40EE-A104-487A9F361980}"/>
    <cellStyle name="Note 5 7 3 3 2" xfId="42145" xr:uid="{99B2615E-37E5-4B24-855D-106581255AC7}"/>
    <cellStyle name="Note 5 7 3 4" xfId="34567" xr:uid="{C5A7BFC5-D081-4016-8537-7FA47BB77F41}"/>
    <cellStyle name="Note 5 7 4" xfId="17310" xr:uid="{00000000-0005-0000-0000-00007E400000}"/>
    <cellStyle name="Note 5 8" xfId="17311" xr:uid="{00000000-0005-0000-0000-00007F400000}"/>
    <cellStyle name="Note 5 8 2" xfId="17312" xr:uid="{00000000-0005-0000-0000-000080400000}"/>
    <cellStyle name="Note 5 8 2 2" xfId="17313" xr:uid="{00000000-0005-0000-0000-000081400000}"/>
    <cellStyle name="Note 5 8 2 3" xfId="17314" xr:uid="{00000000-0005-0000-0000-000082400000}"/>
    <cellStyle name="Note 5 8 3" xfId="17315" xr:uid="{00000000-0005-0000-0000-000083400000}"/>
    <cellStyle name="Note 5 8 3 2" xfId="17316" xr:uid="{00000000-0005-0000-0000-000084400000}"/>
    <cellStyle name="Note 5 8 3 3" xfId="27183" xr:uid="{D5D0BB72-5745-45E9-B5CA-61A0E42F2B29}"/>
    <cellStyle name="Note 5 8 3 3 2" xfId="42146" xr:uid="{444C70CB-BC4E-4DB1-A389-CF108E100667}"/>
    <cellStyle name="Note 5 8 3 4" xfId="34568" xr:uid="{13F77F1F-CF81-4AA5-AFC8-E46B406AB62A}"/>
    <cellStyle name="Note 5 8 4" xfId="17317" xr:uid="{00000000-0005-0000-0000-000085400000}"/>
    <cellStyle name="Note 5 9" xfId="17318" xr:uid="{00000000-0005-0000-0000-000086400000}"/>
    <cellStyle name="Note 6" xfId="2584" xr:uid="{00000000-0005-0000-0000-0000DF090000}"/>
    <cellStyle name="Note 6 10" xfId="17320" xr:uid="{00000000-0005-0000-0000-000088400000}"/>
    <cellStyle name="Note 6 10 2" xfId="27184" xr:uid="{A3F011DC-85AA-4676-8406-DF054BA3861A}"/>
    <cellStyle name="Note 6 10 2 2" xfId="42147" xr:uid="{4B18F04B-316A-4EEE-A453-EEB6074D13EF}"/>
    <cellStyle name="Note 6 10 3" xfId="34569" xr:uid="{F1B68D93-2ACB-4CD3-89D1-6BE99FC78C8B}"/>
    <cellStyle name="Note 6 11" xfId="17321" xr:uid="{00000000-0005-0000-0000-000089400000}"/>
    <cellStyle name="Note 6 12" xfId="17319" xr:uid="{00000000-0005-0000-0000-000087400000}"/>
    <cellStyle name="Note 6 13" xfId="28074" xr:uid="{60A5DEEA-B4CC-4506-BC45-6E80FEC6E830}"/>
    <cellStyle name="Note 6 2" xfId="2585" xr:uid="{00000000-0005-0000-0000-0000E0090000}"/>
    <cellStyle name="Note 6 2 10" xfId="17322" xr:uid="{00000000-0005-0000-0000-00008A400000}"/>
    <cellStyle name="Note 6 2 11" xfId="28075" xr:uid="{79F76624-FCF3-4C94-A4DA-74E2784CCA20}"/>
    <cellStyle name="Note 6 2 2" xfId="17323" xr:uid="{00000000-0005-0000-0000-00008B400000}"/>
    <cellStyle name="Note 6 2 2 2" xfId="17324" xr:uid="{00000000-0005-0000-0000-00008C400000}"/>
    <cellStyle name="Note 6 2 2 2 2" xfId="17325" xr:uid="{00000000-0005-0000-0000-00008D400000}"/>
    <cellStyle name="Note 6 2 2 2 2 2" xfId="17326" xr:uid="{00000000-0005-0000-0000-00008E400000}"/>
    <cellStyle name="Note 6 2 2 2 3" xfId="17327" xr:uid="{00000000-0005-0000-0000-00008F400000}"/>
    <cellStyle name="Note 6 2 2 3" xfId="17328" xr:uid="{00000000-0005-0000-0000-000090400000}"/>
    <cellStyle name="Note 6 2 2 3 2" xfId="17329" xr:uid="{00000000-0005-0000-0000-000091400000}"/>
    <cellStyle name="Note 6 2 2 4" xfId="17330" xr:uid="{00000000-0005-0000-0000-000092400000}"/>
    <cellStyle name="Note 6 2 3" xfId="17331" xr:uid="{00000000-0005-0000-0000-000093400000}"/>
    <cellStyle name="Note 6 2 3 2" xfId="17332" xr:uid="{00000000-0005-0000-0000-000094400000}"/>
    <cellStyle name="Note 6 2 3 2 2" xfId="17333" xr:uid="{00000000-0005-0000-0000-000095400000}"/>
    <cellStyle name="Note 6 2 3 2 2 2" xfId="17334" xr:uid="{00000000-0005-0000-0000-000096400000}"/>
    <cellStyle name="Note 6 2 3 2 3" xfId="17335" xr:uid="{00000000-0005-0000-0000-000097400000}"/>
    <cellStyle name="Note 6 2 3 3" xfId="17336" xr:uid="{00000000-0005-0000-0000-000098400000}"/>
    <cellStyle name="Note 6 2 3 3 2" xfId="17337" xr:uid="{00000000-0005-0000-0000-000099400000}"/>
    <cellStyle name="Note 6 2 3 4" xfId="17338" xr:uid="{00000000-0005-0000-0000-00009A400000}"/>
    <cellStyle name="Note 6 2 4" xfId="17339" xr:uid="{00000000-0005-0000-0000-00009B400000}"/>
    <cellStyle name="Note 6 2 4 2" xfId="17340" xr:uid="{00000000-0005-0000-0000-00009C400000}"/>
    <cellStyle name="Note 6 2 4 2 2" xfId="17341" xr:uid="{00000000-0005-0000-0000-00009D400000}"/>
    <cellStyle name="Note 6 2 4 2 2 2" xfId="17342" xr:uid="{00000000-0005-0000-0000-00009E400000}"/>
    <cellStyle name="Note 6 2 4 2 3" xfId="17343" xr:uid="{00000000-0005-0000-0000-00009F400000}"/>
    <cellStyle name="Note 6 2 4 3" xfId="17344" xr:uid="{00000000-0005-0000-0000-0000A0400000}"/>
    <cellStyle name="Note 6 2 4 3 2" xfId="17345" xr:uid="{00000000-0005-0000-0000-0000A1400000}"/>
    <cellStyle name="Note 6 2 4 4" xfId="17346" xr:uid="{00000000-0005-0000-0000-0000A2400000}"/>
    <cellStyle name="Note 6 2 5" xfId="17347" xr:uid="{00000000-0005-0000-0000-0000A3400000}"/>
    <cellStyle name="Note 6 2 5 2" xfId="17348" xr:uid="{00000000-0005-0000-0000-0000A4400000}"/>
    <cellStyle name="Note 6 2 5 2 2" xfId="17349" xr:uid="{00000000-0005-0000-0000-0000A5400000}"/>
    <cellStyle name="Note 6 2 5 2 3" xfId="17350" xr:uid="{00000000-0005-0000-0000-0000A6400000}"/>
    <cellStyle name="Note 6 2 5 3" xfId="17351" xr:uid="{00000000-0005-0000-0000-0000A7400000}"/>
    <cellStyle name="Note 6 2 5 3 2" xfId="17352" xr:uid="{00000000-0005-0000-0000-0000A8400000}"/>
    <cellStyle name="Note 6 2 5 3 3" xfId="27185" xr:uid="{25DF3A48-05D8-4DBC-B522-E6FE304A8467}"/>
    <cellStyle name="Note 6 2 5 3 3 2" xfId="42148" xr:uid="{E142B756-EC40-4EB6-A617-07EF853B20D6}"/>
    <cellStyle name="Note 6 2 5 3 4" xfId="34570" xr:uid="{DE7AE04D-4E6D-4425-BD9C-72F99080C6E7}"/>
    <cellStyle name="Note 6 2 5 4" xfId="17353" xr:uid="{00000000-0005-0000-0000-0000A9400000}"/>
    <cellStyle name="Note 6 2 6" xfId="17354" xr:uid="{00000000-0005-0000-0000-0000AA400000}"/>
    <cellStyle name="Note 6 2 7" xfId="17355" xr:uid="{00000000-0005-0000-0000-0000AB400000}"/>
    <cellStyle name="Note 6 2 7 2" xfId="20170" xr:uid="{00000000-0005-0000-0000-0000AB400000}"/>
    <cellStyle name="Note 6 2 7 2 2" xfId="27612" xr:uid="{5B56944A-44E6-486F-A85A-744E70405866}"/>
    <cellStyle name="Note 6 2 7 2 2 2" xfId="42549" xr:uid="{25F601E3-6E16-4C02-925F-1AC871AA7A50}"/>
    <cellStyle name="Note 6 2 7 2 3" xfId="35188" xr:uid="{EC54C9DB-A8D1-4F9E-BD3C-F4B9C6105438}"/>
    <cellStyle name="Note 6 2 7 3" xfId="34571" xr:uid="{5F6E4934-B61D-47DE-A16D-66DC19E5B5A6}"/>
    <cellStyle name="Note 6 2 8" xfId="17356" xr:uid="{00000000-0005-0000-0000-0000AC400000}"/>
    <cellStyle name="Note 6 2 8 2" xfId="27186" xr:uid="{2AF073BB-E345-4F96-9F8E-39D83F62B61A}"/>
    <cellStyle name="Note 6 2 8 2 2" xfId="42149" xr:uid="{59F3EF1A-D639-403A-A2CB-0542B8B5713F}"/>
    <cellStyle name="Note 6 2 8 3" xfId="34572" xr:uid="{12ABB477-CF2F-4FFB-9EEC-AD6EE53EF0D5}"/>
    <cellStyle name="Note 6 2 9" xfId="17357" xr:uid="{00000000-0005-0000-0000-0000AD400000}"/>
    <cellStyle name="Note 6 3" xfId="17358" xr:uid="{00000000-0005-0000-0000-0000AE400000}"/>
    <cellStyle name="Note 6 3 2" xfId="17359" xr:uid="{00000000-0005-0000-0000-0000AF400000}"/>
    <cellStyle name="Note 6 3 2 2" xfId="17360" xr:uid="{00000000-0005-0000-0000-0000B0400000}"/>
    <cellStyle name="Note 6 3 2 2 2" xfId="17361" xr:uid="{00000000-0005-0000-0000-0000B1400000}"/>
    <cellStyle name="Note 6 3 2 3" xfId="17362" xr:uid="{00000000-0005-0000-0000-0000B2400000}"/>
    <cellStyle name="Note 6 3 3" xfId="17363" xr:uid="{00000000-0005-0000-0000-0000B3400000}"/>
    <cellStyle name="Note 6 3 3 2" xfId="17364" xr:uid="{00000000-0005-0000-0000-0000B4400000}"/>
    <cellStyle name="Note 6 3 4" xfId="17365" xr:uid="{00000000-0005-0000-0000-0000B5400000}"/>
    <cellStyle name="Note 6 4" xfId="17366" xr:uid="{00000000-0005-0000-0000-0000B6400000}"/>
    <cellStyle name="Note 6 4 2" xfId="17367" xr:uid="{00000000-0005-0000-0000-0000B7400000}"/>
    <cellStyle name="Note 6 4 2 2" xfId="17368" xr:uid="{00000000-0005-0000-0000-0000B8400000}"/>
    <cellStyle name="Note 6 4 2 2 2" xfId="17369" xr:uid="{00000000-0005-0000-0000-0000B9400000}"/>
    <cellStyle name="Note 6 4 2 3" xfId="17370" xr:uid="{00000000-0005-0000-0000-0000BA400000}"/>
    <cellStyle name="Note 6 4 3" xfId="17371" xr:uid="{00000000-0005-0000-0000-0000BB400000}"/>
    <cellStyle name="Note 6 4 3 2" xfId="17372" xr:uid="{00000000-0005-0000-0000-0000BC400000}"/>
    <cellStyle name="Note 6 4 4" xfId="17373" xr:uid="{00000000-0005-0000-0000-0000BD400000}"/>
    <cellStyle name="Note 6 5" xfId="17374" xr:uid="{00000000-0005-0000-0000-0000BE400000}"/>
    <cellStyle name="Note 6 5 2" xfId="17375" xr:uid="{00000000-0005-0000-0000-0000BF400000}"/>
    <cellStyle name="Note 6 5 2 2" xfId="17376" xr:uid="{00000000-0005-0000-0000-0000C0400000}"/>
    <cellStyle name="Note 6 5 3" xfId="17377" xr:uid="{00000000-0005-0000-0000-0000C1400000}"/>
    <cellStyle name="Note 6 6" xfId="17378" xr:uid="{00000000-0005-0000-0000-0000C2400000}"/>
    <cellStyle name="Note 6 6 2" xfId="17379" xr:uid="{00000000-0005-0000-0000-0000C3400000}"/>
    <cellStyle name="Note 6 6 2 2" xfId="17380" xr:uid="{00000000-0005-0000-0000-0000C4400000}"/>
    <cellStyle name="Note 6 6 2 2 2" xfId="17381" xr:uid="{00000000-0005-0000-0000-0000C5400000}"/>
    <cellStyle name="Note 6 6 2 3" xfId="17382" xr:uid="{00000000-0005-0000-0000-0000C6400000}"/>
    <cellStyle name="Note 6 6 3" xfId="17383" xr:uid="{00000000-0005-0000-0000-0000C7400000}"/>
    <cellStyle name="Note 6 6 3 2" xfId="17384" xr:uid="{00000000-0005-0000-0000-0000C8400000}"/>
    <cellStyle name="Note 6 6 4" xfId="17385" xr:uid="{00000000-0005-0000-0000-0000C9400000}"/>
    <cellStyle name="Note 6 7" xfId="17386" xr:uid="{00000000-0005-0000-0000-0000CA400000}"/>
    <cellStyle name="Note 6 7 2" xfId="17387" xr:uid="{00000000-0005-0000-0000-0000CB400000}"/>
    <cellStyle name="Note 6 7 2 2" xfId="17388" xr:uid="{00000000-0005-0000-0000-0000CC400000}"/>
    <cellStyle name="Note 6 7 2 3" xfId="17389" xr:uid="{00000000-0005-0000-0000-0000CD400000}"/>
    <cellStyle name="Note 6 7 3" xfId="17390" xr:uid="{00000000-0005-0000-0000-0000CE400000}"/>
    <cellStyle name="Note 6 7 3 2" xfId="17391" xr:uid="{00000000-0005-0000-0000-0000CF400000}"/>
    <cellStyle name="Note 6 7 3 3" xfId="27187" xr:uid="{863BCE39-1170-470E-82A8-187158E27E5D}"/>
    <cellStyle name="Note 6 7 3 3 2" xfId="42150" xr:uid="{37B6A538-2AFF-4F35-BDBC-04C7941C7FDC}"/>
    <cellStyle name="Note 6 7 3 4" xfId="34573" xr:uid="{0DED6B3C-0BAB-4E83-B47B-658ADEF75F4D}"/>
    <cellStyle name="Note 6 7 4" xfId="17392" xr:uid="{00000000-0005-0000-0000-0000D0400000}"/>
    <cellStyle name="Note 6 8" xfId="17393" xr:uid="{00000000-0005-0000-0000-0000D1400000}"/>
    <cellStyle name="Note 6 9" xfId="17394" xr:uid="{00000000-0005-0000-0000-0000D2400000}"/>
    <cellStyle name="Note 7" xfId="2586" xr:uid="{00000000-0005-0000-0000-0000E1090000}"/>
    <cellStyle name="Note 7 10" xfId="17396" xr:uid="{00000000-0005-0000-0000-0000D4400000}"/>
    <cellStyle name="Note 7 10 2" xfId="27188" xr:uid="{239139F9-FE5C-4CF9-A5F3-6EB4A6650F24}"/>
    <cellStyle name="Note 7 10 2 2" xfId="42151" xr:uid="{94557967-6881-4B69-9BBE-AEB07B200B49}"/>
    <cellStyle name="Note 7 10 3" xfId="34574" xr:uid="{5AFDEE83-964E-4692-9ECA-3EC9A9FBD6A3}"/>
    <cellStyle name="Note 7 11" xfId="17397" xr:uid="{00000000-0005-0000-0000-0000D5400000}"/>
    <cellStyle name="Note 7 12" xfId="17395" xr:uid="{00000000-0005-0000-0000-0000D3400000}"/>
    <cellStyle name="Note 7 13" xfId="28076" xr:uid="{0ABD4F9C-517C-4E1A-92AB-2D0147CA028B}"/>
    <cellStyle name="Note 7 2" xfId="2587" xr:uid="{00000000-0005-0000-0000-0000E2090000}"/>
    <cellStyle name="Note 7 2 10" xfId="17398" xr:uid="{00000000-0005-0000-0000-0000D6400000}"/>
    <cellStyle name="Note 7 2 11" xfId="28077" xr:uid="{1031B254-4C0E-4DE7-8DA8-8004BC1CF049}"/>
    <cellStyle name="Note 7 2 2" xfId="17399" xr:uid="{00000000-0005-0000-0000-0000D7400000}"/>
    <cellStyle name="Note 7 2 2 2" xfId="17400" xr:uid="{00000000-0005-0000-0000-0000D8400000}"/>
    <cellStyle name="Note 7 2 2 2 2" xfId="17401" xr:uid="{00000000-0005-0000-0000-0000D9400000}"/>
    <cellStyle name="Note 7 2 2 2 2 2" xfId="17402" xr:uid="{00000000-0005-0000-0000-0000DA400000}"/>
    <cellStyle name="Note 7 2 2 2 3" xfId="17403" xr:uid="{00000000-0005-0000-0000-0000DB400000}"/>
    <cellStyle name="Note 7 2 2 3" xfId="17404" xr:uid="{00000000-0005-0000-0000-0000DC400000}"/>
    <cellStyle name="Note 7 2 2 3 2" xfId="17405" xr:uid="{00000000-0005-0000-0000-0000DD400000}"/>
    <cellStyle name="Note 7 2 2 4" xfId="17406" xr:uid="{00000000-0005-0000-0000-0000DE400000}"/>
    <cellStyle name="Note 7 2 3" xfId="17407" xr:uid="{00000000-0005-0000-0000-0000DF400000}"/>
    <cellStyle name="Note 7 2 3 2" xfId="17408" xr:uid="{00000000-0005-0000-0000-0000E0400000}"/>
    <cellStyle name="Note 7 2 3 2 2" xfId="17409" xr:uid="{00000000-0005-0000-0000-0000E1400000}"/>
    <cellStyle name="Note 7 2 3 2 2 2" xfId="17410" xr:uid="{00000000-0005-0000-0000-0000E2400000}"/>
    <cellStyle name="Note 7 2 3 2 3" xfId="17411" xr:uid="{00000000-0005-0000-0000-0000E3400000}"/>
    <cellStyle name="Note 7 2 3 3" xfId="17412" xr:uid="{00000000-0005-0000-0000-0000E4400000}"/>
    <cellStyle name="Note 7 2 3 3 2" xfId="17413" xr:uid="{00000000-0005-0000-0000-0000E5400000}"/>
    <cellStyle name="Note 7 2 3 4" xfId="17414" xr:uid="{00000000-0005-0000-0000-0000E6400000}"/>
    <cellStyle name="Note 7 2 4" xfId="17415" xr:uid="{00000000-0005-0000-0000-0000E7400000}"/>
    <cellStyle name="Note 7 2 4 2" xfId="17416" xr:uid="{00000000-0005-0000-0000-0000E8400000}"/>
    <cellStyle name="Note 7 2 4 2 2" xfId="17417" xr:uid="{00000000-0005-0000-0000-0000E9400000}"/>
    <cellStyle name="Note 7 2 4 2 2 2" xfId="17418" xr:uid="{00000000-0005-0000-0000-0000EA400000}"/>
    <cellStyle name="Note 7 2 4 2 3" xfId="17419" xr:uid="{00000000-0005-0000-0000-0000EB400000}"/>
    <cellStyle name="Note 7 2 4 3" xfId="17420" xr:uid="{00000000-0005-0000-0000-0000EC400000}"/>
    <cellStyle name="Note 7 2 4 3 2" xfId="17421" xr:uid="{00000000-0005-0000-0000-0000ED400000}"/>
    <cellStyle name="Note 7 2 4 4" xfId="17422" xr:uid="{00000000-0005-0000-0000-0000EE400000}"/>
    <cellStyle name="Note 7 2 5" xfId="17423" xr:uid="{00000000-0005-0000-0000-0000EF400000}"/>
    <cellStyle name="Note 7 2 5 2" xfId="17424" xr:uid="{00000000-0005-0000-0000-0000F0400000}"/>
    <cellStyle name="Note 7 2 5 2 2" xfId="17425" xr:uid="{00000000-0005-0000-0000-0000F1400000}"/>
    <cellStyle name="Note 7 2 5 2 3" xfId="17426" xr:uid="{00000000-0005-0000-0000-0000F2400000}"/>
    <cellStyle name="Note 7 2 5 3" xfId="17427" xr:uid="{00000000-0005-0000-0000-0000F3400000}"/>
    <cellStyle name="Note 7 2 5 3 2" xfId="17428" xr:uid="{00000000-0005-0000-0000-0000F4400000}"/>
    <cellStyle name="Note 7 2 5 3 3" xfId="27189" xr:uid="{BE7ECFF0-0A8E-49E9-BBB4-4E197379B2BD}"/>
    <cellStyle name="Note 7 2 5 3 3 2" xfId="42152" xr:uid="{F871AC9F-B98F-4891-80AC-074A7F8A8A28}"/>
    <cellStyle name="Note 7 2 5 3 4" xfId="34575" xr:uid="{C5B1B4C5-8B1E-46D3-B921-9A81E8025DFA}"/>
    <cellStyle name="Note 7 2 5 4" xfId="17429" xr:uid="{00000000-0005-0000-0000-0000F5400000}"/>
    <cellStyle name="Note 7 2 6" xfId="17430" xr:uid="{00000000-0005-0000-0000-0000F6400000}"/>
    <cellStyle name="Note 7 2 7" xfId="17431" xr:uid="{00000000-0005-0000-0000-0000F7400000}"/>
    <cellStyle name="Note 7 2 7 2" xfId="20171" xr:uid="{00000000-0005-0000-0000-0000F7400000}"/>
    <cellStyle name="Note 7 2 7 2 2" xfId="27613" xr:uid="{CEE7AE94-BC53-4875-B920-2069EE9238DE}"/>
    <cellStyle name="Note 7 2 7 2 2 2" xfId="42550" xr:uid="{AA023352-923C-403B-AE33-7B3F7E71C3E2}"/>
    <cellStyle name="Note 7 2 7 2 3" xfId="35189" xr:uid="{C07717ED-AE7E-48A3-BE96-56BA4DD79D7B}"/>
    <cellStyle name="Note 7 2 7 3" xfId="34576" xr:uid="{A9E89376-C246-4795-A5F5-510050C0C781}"/>
    <cellStyle name="Note 7 2 8" xfId="17432" xr:uid="{00000000-0005-0000-0000-0000F8400000}"/>
    <cellStyle name="Note 7 2 8 2" xfId="27190" xr:uid="{15B316D0-7BCC-4325-9F8E-21DBA24057BC}"/>
    <cellStyle name="Note 7 2 8 2 2" xfId="42153" xr:uid="{EE00EC6E-73B1-4297-89D9-F7B6685A938B}"/>
    <cellStyle name="Note 7 2 8 3" xfId="34577" xr:uid="{B53589EA-6336-4131-BCEF-4274278B8354}"/>
    <cellStyle name="Note 7 2 9" xfId="17433" xr:uid="{00000000-0005-0000-0000-0000F9400000}"/>
    <cellStyle name="Note 7 3" xfId="17434" xr:uid="{00000000-0005-0000-0000-0000FA400000}"/>
    <cellStyle name="Note 7 3 2" xfId="17435" xr:uid="{00000000-0005-0000-0000-0000FB400000}"/>
    <cellStyle name="Note 7 3 2 2" xfId="17436" xr:uid="{00000000-0005-0000-0000-0000FC400000}"/>
    <cellStyle name="Note 7 3 2 2 2" xfId="17437" xr:uid="{00000000-0005-0000-0000-0000FD400000}"/>
    <cellStyle name="Note 7 3 2 3" xfId="17438" xr:uid="{00000000-0005-0000-0000-0000FE400000}"/>
    <cellStyle name="Note 7 3 3" xfId="17439" xr:uid="{00000000-0005-0000-0000-0000FF400000}"/>
    <cellStyle name="Note 7 3 3 2" xfId="17440" xr:uid="{00000000-0005-0000-0000-000000410000}"/>
    <cellStyle name="Note 7 3 4" xfId="17441" xr:uid="{00000000-0005-0000-0000-000001410000}"/>
    <cellStyle name="Note 7 4" xfId="17442" xr:uid="{00000000-0005-0000-0000-000002410000}"/>
    <cellStyle name="Note 7 4 2" xfId="17443" xr:uid="{00000000-0005-0000-0000-000003410000}"/>
    <cellStyle name="Note 7 4 2 2" xfId="17444" xr:uid="{00000000-0005-0000-0000-000004410000}"/>
    <cellStyle name="Note 7 4 2 2 2" xfId="17445" xr:uid="{00000000-0005-0000-0000-000005410000}"/>
    <cellStyle name="Note 7 4 2 3" xfId="17446" xr:uid="{00000000-0005-0000-0000-000006410000}"/>
    <cellStyle name="Note 7 4 3" xfId="17447" xr:uid="{00000000-0005-0000-0000-000007410000}"/>
    <cellStyle name="Note 7 4 3 2" xfId="17448" xr:uid="{00000000-0005-0000-0000-000008410000}"/>
    <cellStyle name="Note 7 4 4" xfId="17449" xr:uid="{00000000-0005-0000-0000-000009410000}"/>
    <cellStyle name="Note 7 5" xfId="17450" xr:uid="{00000000-0005-0000-0000-00000A410000}"/>
    <cellStyle name="Note 7 5 2" xfId="17451" xr:uid="{00000000-0005-0000-0000-00000B410000}"/>
    <cellStyle name="Note 7 5 2 2" xfId="17452" xr:uid="{00000000-0005-0000-0000-00000C410000}"/>
    <cellStyle name="Note 7 5 3" xfId="17453" xr:uid="{00000000-0005-0000-0000-00000D410000}"/>
    <cellStyle name="Note 7 6" xfId="17454" xr:uid="{00000000-0005-0000-0000-00000E410000}"/>
    <cellStyle name="Note 7 6 2" xfId="17455" xr:uid="{00000000-0005-0000-0000-00000F410000}"/>
    <cellStyle name="Note 7 6 2 2" xfId="17456" xr:uid="{00000000-0005-0000-0000-000010410000}"/>
    <cellStyle name="Note 7 6 2 2 2" xfId="17457" xr:uid="{00000000-0005-0000-0000-000011410000}"/>
    <cellStyle name="Note 7 6 2 3" xfId="17458" xr:uid="{00000000-0005-0000-0000-000012410000}"/>
    <cellStyle name="Note 7 6 3" xfId="17459" xr:uid="{00000000-0005-0000-0000-000013410000}"/>
    <cellStyle name="Note 7 6 3 2" xfId="17460" xr:uid="{00000000-0005-0000-0000-000014410000}"/>
    <cellStyle name="Note 7 6 4" xfId="17461" xr:uid="{00000000-0005-0000-0000-000015410000}"/>
    <cellStyle name="Note 7 7" xfId="17462" xr:uid="{00000000-0005-0000-0000-000016410000}"/>
    <cellStyle name="Note 7 7 2" xfId="17463" xr:uid="{00000000-0005-0000-0000-000017410000}"/>
    <cellStyle name="Note 7 7 2 2" xfId="17464" xr:uid="{00000000-0005-0000-0000-000018410000}"/>
    <cellStyle name="Note 7 7 2 3" xfId="17465" xr:uid="{00000000-0005-0000-0000-000019410000}"/>
    <cellStyle name="Note 7 7 3" xfId="17466" xr:uid="{00000000-0005-0000-0000-00001A410000}"/>
    <cellStyle name="Note 7 7 3 2" xfId="17467" xr:uid="{00000000-0005-0000-0000-00001B410000}"/>
    <cellStyle name="Note 7 7 3 3" xfId="27191" xr:uid="{45B8AB9C-C826-4F23-AAE2-28B839BCADDF}"/>
    <cellStyle name="Note 7 7 3 3 2" xfId="42154" xr:uid="{DCEDF088-998C-43B5-AC29-907191B64941}"/>
    <cellStyle name="Note 7 7 3 4" xfId="34578" xr:uid="{FE87E86D-E635-403A-96C3-F7B1196709B8}"/>
    <cellStyle name="Note 7 7 4" xfId="17468" xr:uid="{00000000-0005-0000-0000-00001C410000}"/>
    <cellStyle name="Note 7 8" xfId="17469" xr:uid="{00000000-0005-0000-0000-00001D410000}"/>
    <cellStyle name="Note 7 9" xfId="17470" xr:uid="{00000000-0005-0000-0000-00001E410000}"/>
    <cellStyle name="Note 8" xfId="17471" xr:uid="{00000000-0005-0000-0000-00001F410000}"/>
    <cellStyle name="Note 8 10" xfId="17472" xr:uid="{00000000-0005-0000-0000-000020410000}"/>
    <cellStyle name="Note 8 10 2" xfId="27192" xr:uid="{A3151364-FECE-4B1D-9009-4EDA702EBC17}"/>
    <cellStyle name="Note 8 10 2 2" xfId="42155" xr:uid="{B16A3EC0-06D1-4DBF-A8D5-2FC1291D2E98}"/>
    <cellStyle name="Note 8 10 3" xfId="34579" xr:uid="{8269B824-0370-47D2-ABC5-3EAF17A45256}"/>
    <cellStyle name="Note 8 11" xfId="17473" xr:uid="{00000000-0005-0000-0000-000021410000}"/>
    <cellStyle name="Note 8 2" xfId="17474" xr:uid="{00000000-0005-0000-0000-000022410000}"/>
    <cellStyle name="Note 8 2 2" xfId="17475" xr:uid="{00000000-0005-0000-0000-000023410000}"/>
    <cellStyle name="Note 8 2 2 2" xfId="17476" xr:uid="{00000000-0005-0000-0000-000024410000}"/>
    <cellStyle name="Note 8 2 2 2 2" xfId="17477" xr:uid="{00000000-0005-0000-0000-000025410000}"/>
    <cellStyle name="Note 8 2 2 2 2 2" xfId="17478" xr:uid="{00000000-0005-0000-0000-000026410000}"/>
    <cellStyle name="Note 8 2 2 2 3" xfId="17479" xr:uid="{00000000-0005-0000-0000-000027410000}"/>
    <cellStyle name="Note 8 2 2 3" xfId="17480" xr:uid="{00000000-0005-0000-0000-000028410000}"/>
    <cellStyle name="Note 8 2 2 3 2" xfId="17481" xr:uid="{00000000-0005-0000-0000-000029410000}"/>
    <cellStyle name="Note 8 2 2 4" xfId="17482" xr:uid="{00000000-0005-0000-0000-00002A410000}"/>
    <cellStyle name="Note 8 2 3" xfId="17483" xr:uid="{00000000-0005-0000-0000-00002B410000}"/>
    <cellStyle name="Note 8 2 3 2" xfId="17484" xr:uid="{00000000-0005-0000-0000-00002C410000}"/>
    <cellStyle name="Note 8 2 3 2 2" xfId="17485" xr:uid="{00000000-0005-0000-0000-00002D410000}"/>
    <cellStyle name="Note 8 2 3 3" xfId="17486" xr:uid="{00000000-0005-0000-0000-00002E410000}"/>
    <cellStyle name="Note 8 2 4" xfId="17487" xr:uid="{00000000-0005-0000-0000-00002F410000}"/>
    <cellStyle name="Note 8 2 4 2" xfId="17488" xr:uid="{00000000-0005-0000-0000-000030410000}"/>
    <cellStyle name="Note 8 2 4 2 2" xfId="17489" xr:uid="{00000000-0005-0000-0000-000031410000}"/>
    <cellStyle name="Note 8 2 4 2 2 2" xfId="17490" xr:uid="{00000000-0005-0000-0000-000032410000}"/>
    <cellStyle name="Note 8 2 4 2 3" xfId="17491" xr:uid="{00000000-0005-0000-0000-000033410000}"/>
    <cellStyle name="Note 8 2 4 3" xfId="17492" xr:uid="{00000000-0005-0000-0000-000034410000}"/>
    <cellStyle name="Note 8 2 4 3 2" xfId="17493" xr:uid="{00000000-0005-0000-0000-000035410000}"/>
    <cellStyle name="Note 8 2 4 4" xfId="17494" xr:uid="{00000000-0005-0000-0000-000036410000}"/>
    <cellStyle name="Note 8 2 5" xfId="17495" xr:uid="{00000000-0005-0000-0000-000037410000}"/>
    <cellStyle name="Note 8 2 5 2" xfId="17496" xr:uid="{00000000-0005-0000-0000-000038410000}"/>
    <cellStyle name="Note 8 2 5 2 2" xfId="17497" xr:uid="{00000000-0005-0000-0000-000039410000}"/>
    <cellStyle name="Note 8 2 5 2 3" xfId="17498" xr:uid="{00000000-0005-0000-0000-00003A410000}"/>
    <cellStyle name="Note 8 2 5 3" xfId="17499" xr:uid="{00000000-0005-0000-0000-00003B410000}"/>
    <cellStyle name="Note 8 2 5 3 2" xfId="17500" xr:uid="{00000000-0005-0000-0000-00003C410000}"/>
    <cellStyle name="Note 8 2 5 3 3" xfId="27193" xr:uid="{0C27B11B-7193-4033-93A3-DCA33D00D59F}"/>
    <cellStyle name="Note 8 2 5 3 3 2" xfId="42156" xr:uid="{62D4A626-6907-44E1-8D28-261BB04CA8ED}"/>
    <cellStyle name="Note 8 2 5 3 4" xfId="34580" xr:uid="{E3BA88B6-D25D-440A-A6B5-3354B47A724F}"/>
    <cellStyle name="Note 8 2 5 4" xfId="17501" xr:uid="{00000000-0005-0000-0000-00003D410000}"/>
    <cellStyle name="Note 8 2 6" xfId="17502" xr:uid="{00000000-0005-0000-0000-00003E410000}"/>
    <cellStyle name="Note 8 2 7" xfId="17503" xr:uid="{00000000-0005-0000-0000-00003F410000}"/>
    <cellStyle name="Note 8 2 8" xfId="17504" xr:uid="{00000000-0005-0000-0000-000040410000}"/>
    <cellStyle name="Note 8 2 8 2" xfId="27194" xr:uid="{AD9B4226-115E-4450-9C04-7DB25B287810}"/>
    <cellStyle name="Note 8 2 8 2 2" xfId="42157" xr:uid="{E2289160-8B29-4A62-8592-54C5953345F8}"/>
    <cellStyle name="Note 8 2 8 3" xfId="34581" xr:uid="{99F89409-399F-421D-903E-91CA0FF827F9}"/>
    <cellStyle name="Note 8 2 9" xfId="17505" xr:uid="{00000000-0005-0000-0000-000041410000}"/>
    <cellStyle name="Note 8 3" xfId="17506" xr:uid="{00000000-0005-0000-0000-000042410000}"/>
    <cellStyle name="Note 8 3 2" xfId="17507" xr:uid="{00000000-0005-0000-0000-000043410000}"/>
    <cellStyle name="Note 8 3 2 2" xfId="17508" xr:uid="{00000000-0005-0000-0000-000044410000}"/>
    <cellStyle name="Note 8 3 2 2 2" xfId="17509" xr:uid="{00000000-0005-0000-0000-000045410000}"/>
    <cellStyle name="Note 8 3 2 3" xfId="17510" xr:uid="{00000000-0005-0000-0000-000046410000}"/>
    <cellStyle name="Note 8 3 3" xfId="17511" xr:uid="{00000000-0005-0000-0000-000047410000}"/>
    <cellStyle name="Note 8 3 3 2" xfId="17512" xr:uid="{00000000-0005-0000-0000-000048410000}"/>
    <cellStyle name="Note 8 3 4" xfId="17513" xr:uid="{00000000-0005-0000-0000-000049410000}"/>
    <cellStyle name="Note 8 4" xfId="17514" xr:uid="{00000000-0005-0000-0000-00004A410000}"/>
    <cellStyle name="Note 8 4 2" xfId="17515" xr:uid="{00000000-0005-0000-0000-00004B410000}"/>
    <cellStyle name="Note 8 4 2 2" xfId="17516" xr:uid="{00000000-0005-0000-0000-00004C410000}"/>
    <cellStyle name="Note 8 4 2 2 2" xfId="17517" xr:uid="{00000000-0005-0000-0000-00004D410000}"/>
    <cellStyle name="Note 8 4 2 3" xfId="17518" xr:uid="{00000000-0005-0000-0000-00004E410000}"/>
    <cellStyle name="Note 8 4 3" xfId="17519" xr:uid="{00000000-0005-0000-0000-00004F410000}"/>
    <cellStyle name="Note 8 4 3 2" xfId="17520" xr:uid="{00000000-0005-0000-0000-000050410000}"/>
    <cellStyle name="Note 8 4 4" xfId="17521" xr:uid="{00000000-0005-0000-0000-000051410000}"/>
    <cellStyle name="Note 8 5" xfId="17522" xr:uid="{00000000-0005-0000-0000-000052410000}"/>
    <cellStyle name="Note 8 5 2" xfId="17523" xr:uid="{00000000-0005-0000-0000-000053410000}"/>
    <cellStyle name="Note 8 5 2 2" xfId="17524" xr:uid="{00000000-0005-0000-0000-000054410000}"/>
    <cellStyle name="Note 8 5 3" xfId="17525" xr:uid="{00000000-0005-0000-0000-000055410000}"/>
    <cellStyle name="Note 8 6" xfId="17526" xr:uid="{00000000-0005-0000-0000-000056410000}"/>
    <cellStyle name="Note 8 6 2" xfId="17527" xr:uid="{00000000-0005-0000-0000-000057410000}"/>
    <cellStyle name="Note 8 6 2 2" xfId="17528" xr:uid="{00000000-0005-0000-0000-000058410000}"/>
    <cellStyle name="Note 8 6 2 2 2" xfId="17529" xr:uid="{00000000-0005-0000-0000-000059410000}"/>
    <cellStyle name="Note 8 6 2 3" xfId="17530" xr:uid="{00000000-0005-0000-0000-00005A410000}"/>
    <cellStyle name="Note 8 6 3" xfId="17531" xr:uid="{00000000-0005-0000-0000-00005B410000}"/>
    <cellStyle name="Note 8 6 3 2" xfId="17532" xr:uid="{00000000-0005-0000-0000-00005C410000}"/>
    <cellStyle name="Note 8 6 4" xfId="17533" xr:uid="{00000000-0005-0000-0000-00005D410000}"/>
    <cellStyle name="Note 8 7" xfId="17534" xr:uid="{00000000-0005-0000-0000-00005E410000}"/>
    <cellStyle name="Note 8 7 2" xfId="17535" xr:uid="{00000000-0005-0000-0000-00005F410000}"/>
    <cellStyle name="Note 8 7 2 2" xfId="17536" xr:uid="{00000000-0005-0000-0000-000060410000}"/>
    <cellStyle name="Note 8 7 2 3" xfId="17537" xr:uid="{00000000-0005-0000-0000-000061410000}"/>
    <cellStyle name="Note 8 7 3" xfId="17538" xr:uid="{00000000-0005-0000-0000-000062410000}"/>
    <cellStyle name="Note 8 7 3 2" xfId="17539" xr:uid="{00000000-0005-0000-0000-000063410000}"/>
    <cellStyle name="Note 8 7 3 3" xfId="27195" xr:uid="{0804A3CC-7D79-4FE9-BCC8-1C1B50881FDE}"/>
    <cellStyle name="Note 8 7 3 3 2" xfId="42158" xr:uid="{5685E3D6-CF22-4E40-A0BD-8E14E64F9364}"/>
    <cellStyle name="Note 8 7 3 4" xfId="34582" xr:uid="{37DE1757-FB93-4FAE-A54A-67328314BF8F}"/>
    <cellStyle name="Note 8 7 4" xfId="17540" xr:uid="{00000000-0005-0000-0000-000064410000}"/>
    <cellStyle name="Note 8 8" xfId="17541" xr:uid="{00000000-0005-0000-0000-000065410000}"/>
    <cellStyle name="Note 8 9" xfId="17542" xr:uid="{00000000-0005-0000-0000-000066410000}"/>
    <cellStyle name="Note 9" xfId="17543" xr:uid="{00000000-0005-0000-0000-000067410000}"/>
    <cellStyle name="Notes" xfId="2588" xr:uid="{00000000-0005-0000-0000-0000E3090000}"/>
    <cellStyle name="Output" xfId="74" builtinId="21" customBuiltin="1"/>
    <cellStyle name="Output 10" xfId="17544" xr:uid="{00000000-0005-0000-0000-000069410000}"/>
    <cellStyle name="Output 11" xfId="17545" xr:uid="{00000000-0005-0000-0000-00006A410000}"/>
    <cellStyle name="Output 11 2" xfId="20172" xr:uid="{00000000-0005-0000-0000-00006A410000}"/>
    <cellStyle name="Output 11 2 2" xfId="35190" xr:uid="{CAA7415B-3683-43E4-B515-C7FC34A18349}"/>
    <cellStyle name="Output 11 3" xfId="34583" xr:uid="{DBD3FEE6-176C-4A3C-AA64-BB00C6E94B45}"/>
    <cellStyle name="Output 12" xfId="17546" xr:uid="{00000000-0005-0000-0000-00006B410000}"/>
    <cellStyle name="Output 2" xfId="2589" xr:uid="{00000000-0005-0000-0000-0000E4090000}"/>
    <cellStyle name="Output 2 2" xfId="2590" xr:uid="{00000000-0005-0000-0000-0000E5090000}"/>
    <cellStyle name="Output 2 2 2" xfId="17549" xr:uid="{00000000-0005-0000-0000-00006E410000}"/>
    <cellStyle name="Output 2 2 2 2" xfId="17550" xr:uid="{00000000-0005-0000-0000-00006F410000}"/>
    <cellStyle name="Output 2 2 2 2 2" xfId="20173" xr:uid="{00000000-0005-0000-0000-00006F410000}"/>
    <cellStyle name="Output 2 2 2 2 2 2" xfId="35191" xr:uid="{BE62257C-6510-4326-99D6-0F8ABF287C79}"/>
    <cellStyle name="Output 2 2 2 2 3" xfId="34584" xr:uid="{440A521F-C27E-411E-AF72-111F855D37BB}"/>
    <cellStyle name="Output 2 2 3" xfId="17551" xr:uid="{00000000-0005-0000-0000-000070410000}"/>
    <cellStyle name="Output 2 2 3 2" xfId="20174" xr:uid="{00000000-0005-0000-0000-000070410000}"/>
    <cellStyle name="Output 2 2 3 2 2" xfId="35192" xr:uid="{6A95098A-7D30-4CA1-8B24-7BE488FFCD3D}"/>
    <cellStyle name="Output 2 2 3 3" xfId="34585" xr:uid="{B6856C44-0211-44A7-B8D2-C43779527177}"/>
    <cellStyle name="Output 2 2 4" xfId="17552" xr:uid="{00000000-0005-0000-0000-000071410000}"/>
    <cellStyle name="Output 2 2 5" xfId="17548" xr:uid="{00000000-0005-0000-0000-00006D410000}"/>
    <cellStyle name="Output 2 2 6" xfId="28079" xr:uid="{3C97ECC3-131E-491A-9846-21EFD89EA0D6}"/>
    <cellStyle name="Output 2 3" xfId="17553" xr:uid="{00000000-0005-0000-0000-000072410000}"/>
    <cellStyle name="Output 2 3 2" xfId="17554" xr:uid="{00000000-0005-0000-0000-000073410000}"/>
    <cellStyle name="Output 2 3 2 2" xfId="20176" xr:uid="{00000000-0005-0000-0000-000073410000}"/>
    <cellStyle name="Output 2 3 2 2 2" xfId="35194" xr:uid="{16D7BEA0-A5C0-42E4-BEC5-CC5A6CFB4350}"/>
    <cellStyle name="Output 2 3 2 3" xfId="34587" xr:uid="{31F6ABA1-CEB5-44F1-AA91-882A372D6835}"/>
    <cellStyle name="Output 2 3 3" xfId="17555" xr:uid="{00000000-0005-0000-0000-000074410000}"/>
    <cellStyle name="Output 2 3 4" xfId="20175" xr:uid="{00000000-0005-0000-0000-000072410000}"/>
    <cellStyle name="Output 2 3 4 2" xfId="35193" xr:uid="{470E12EB-533D-4A3F-AAAB-4B432245A32B}"/>
    <cellStyle name="Output 2 3 5" xfId="34586" xr:uid="{5BB2AD8D-73A7-461B-B40C-45103A069EEF}"/>
    <cellStyle name="Output 2 4" xfId="17556" xr:uid="{00000000-0005-0000-0000-000075410000}"/>
    <cellStyle name="Output 2 5" xfId="17557" xr:uid="{00000000-0005-0000-0000-000076410000}"/>
    <cellStyle name="Output 2 5 2" xfId="20177" xr:uid="{00000000-0005-0000-0000-000076410000}"/>
    <cellStyle name="Output 2 5 2 2" xfId="35195" xr:uid="{18E79820-3E69-4FD1-BC29-B7AE8AE128A6}"/>
    <cellStyle name="Output 2 5 3" xfId="34588" xr:uid="{5DAD5422-E292-4327-B93A-8B36730E9AAB}"/>
    <cellStyle name="Output 2 6" xfId="17558" xr:uid="{00000000-0005-0000-0000-000077410000}"/>
    <cellStyle name="Output 2 7" xfId="17547" xr:uid="{00000000-0005-0000-0000-00006C410000}"/>
    <cellStyle name="Output 2 8" xfId="28078" xr:uid="{24ACEA13-D735-4901-B7B6-D1479990F688}"/>
    <cellStyle name="Output 3" xfId="2591" xr:uid="{00000000-0005-0000-0000-0000E6090000}"/>
    <cellStyle name="Output 3 2" xfId="2592" xr:uid="{00000000-0005-0000-0000-0000E7090000}"/>
    <cellStyle name="Output 3 2 2" xfId="17560" xr:uid="{00000000-0005-0000-0000-000079410000}"/>
    <cellStyle name="Output 3 2 3" xfId="20751" xr:uid="{868163AF-D0D7-44A7-A7D1-356690635A4E}"/>
    <cellStyle name="Output 3 2 3 2" xfId="35744" xr:uid="{55678915-EB6C-4BAB-A8CE-2602AB5DEC47}"/>
    <cellStyle name="Output 3 2 4" xfId="28081" xr:uid="{BB620470-F428-466B-8BEC-592A23067EAD}"/>
    <cellStyle name="Output 3 3" xfId="17561" xr:uid="{00000000-0005-0000-0000-00007A410000}"/>
    <cellStyle name="Output 3 3 2" xfId="20178" xr:uid="{00000000-0005-0000-0000-00007A410000}"/>
    <cellStyle name="Output 3 3 2 2" xfId="35196" xr:uid="{B7DBE18B-99CE-4154-AB3E-EEF39797ACF3}"/>
    <cellStyle name="Output 3 3 3" xfId="34589" xr:uid="{D734C977-D2F3-423E-B11B-FC760EC8C911}"/>
    <cellStyle name="Output 3 4" xfId="17562" xr:uid="{00000000-0005-0000-0000-00007B410000}"/>
    <cellStyle name="Output 3 5" xfId="17563" xr:uid="{00000000-0005-0000-0000-00007C410000}"/>
    <cellStyle name="Output 3 6" xfId="17559" xr:uid="{00000000-0005-0000-0000-000078410000}"/>
    <cellStyle name="Output 3 7" xfId="28080" xr:uid="{ED733910-3E11-4014-BDDB-389CFBCFB094}"/>
    <cellStyle name="Output 4" xfId="2593" xr:uid="{00000000-0005-0000-0000-0000E8090000}"/>
    <cellStyle name="Output 4 2" xfId="2594" xr:uid="{00000000-0005-0000-0000-0000E9090000}"/>
    <cellStyle name="Output 4 2 2" xfId="17565" xr:uid="{00000000-0005-0000-0000-00007F410000}"/>
    <cellStyle name="Output 4 2 3" xfId="20179" xr:uid="{00000000-0005-0000-0000-00007E410000}"/>
    <cellStyle name="Output 4 2 3 2" xfId="35197" xr:uid="{63893715-EA3B-4D08-8F3C-4F19372A0ACD}"/>
    <cellStyle name="Output 4 2 4" xfId="28083" xr:uid="{99FA3F54-C47E-4C22-BAC3-02079279F01E}"/>
    <cellStyle name="Output 4 3" xfId="17566" xr:uid="{00000000-0005-0000-0000-000080410000}"/>
    <cellStyle name="Output 4 4" xfId="17564" xr:uid="{00000000-0005-0000-0000-00007D410000}"/>
    <cellStyle name="Output 4 5" xfId="28082" xr:uid="{E1501484-4DD5-4E9C-AC88-CBC14CD1C0E4}"/>
    <cellStyle name="Output 5" xfId="2595" xr:uid="{00000000-0005-0000-0000-0000EA090000}"/>
    <cellStyle name="Output 5 2" xfId="2596" xr:uid="{00000000-0005-0000-0000-0000EB090000}"/>
    <cellStyle name="Output 5 2 2" xfId="17568" xr:uid="{00000000-0005-0000-0000-000083410000}"/>
    <cellStyle name="Output 5 2 3" xfId="20180" xr:uid="{00000000-0005-0000-0000-000082410000}"/>
    <cellStyle name="Output 5 2 3 2" xfId="35198" xr:uid="{60DFE55E-071D-4E0D-9309-79EEDEF035AF}"/>
    <cellStyle name="Output 5 2 4" xfId="28085" xr:uid="{AA04BDC7-7A3A-4B1A-87F6-D1966F25C71C}"/>
    <cellStyle name="Output 5 3" xfId="17569" xr:uid="{00000000-0005-0000-0000-000084410000}"/>
    <cellStyle name="Output 5 4" xfId="17567" xr:uid="{00000000-0005-0000-0000-000081410000}"/>
    <cellStyle name="Output 5 5" xfId="28084" xr:uid="{20B5CC3B-F367-41E9-8325-FB8070B03C6A}"/>
    <cellStyle name="Output 6" xfId="2597" xr:uid="{00000000-0005-0000-0000-0000EC090000}"/>
    <cellStyle name="Output 6 2" xfId="2598" xr:uid="{00000000-0005-0000-0000-0000ED090000}"/>
    <cellStyle name="Output 6 2 2" xfId="17571" xr:uid="{00000000-0005-0000-0000-000087410000}"/>
    <cellStyle name="Output 6 2 3" xfId="20181" xr:uid="{00000000-0005-0000-0000-000086410000}"/>
    <cellStyle name="Output 6 2 3 2" xfId="35199" xr:uid="{04FBC20B-7B00-4F5F-9C36-C43B226231D1}"/>
    <cellStyle name="Output 6 2 4" xfId="28087" xr:uid="{59189552-5065-4630-875F-B36A9D628108}"/>
    <cellStyle name="Output 6 3" xfId="17572" xr:uid="{00000000-0005-0000-0000-000088410000}"/>
    <cellStyle name="Output 6 4" xfId="17570" xr:uid="{00000000-0005-0000-0000-000085410000}"/>
    <cellStyle name="Output 6 5" xfId="28086" xr:uid="{8CF08216-F2A7-4436-8416-1A13A0B50192}"/>
    <cellStyle name="Output 7" xfId="2599" xr:uid="{00000000-0005-0000-0000-0000EE090000}"/>
    <cellStyle name="Output 7 2" xfId="2600" xr:uid="{00000000-0005-0000-0000-0000EF090000}"/>
    <cellStyle name="Output 7 2 2" xfId="17574" xr:uid="{00000000-0005-0000-0000-00008B410000}"/>
    <cellStyle name="Output 7 2 3" xfId="20182" xr:uid="{00000000-0005-0000-0000-00008A410000}"/>
    <cellStyle name="Output 7 2 3 2" xfId="35200" xr:uid="{7F767485-3AF3-42D2-83F7-D24D8E9872CB}"/>
    <cellStyle name="Output 7 2 4" xfId="28089" xr:uid="{B4E3C3C0-6D8A-456F-970E-C4E67E9230D0}"/>
    <cellStyle name="Output 7 3" xfId="17575" xr:uid="{00000000-0005-0000-0000-00008C410000}"/>
    <cellStyle name="Output 7 4" xfId="17573" xr:uid="{00000000-0005-0000-0000-000089410000}"/>
    <cellStyle name="Output 7 5" xfId="28088" xr:uid="{5CC725D5-46AD-4B88-853D-5DF1320FA1D3}"/>
    <cellStyle name="Output 8" xfId="17576" xr:uid="{00000000-0005-0000-0000-00008D410000}"/>
    <cellStyle name="Output 8 2" xfId="17577" xr:uid="{00000000-0005-0000-0000-00008E410000}"/>
    <cellStyle name="Output 8 3" xfId="17578" xr:uid="{00000000-0005-0000-0000-00008F410000}"/>
    <cellStyle name="Output 9" xfId="17579" xr:uid="{00000000-0005-0000-0000-000090410000}"/>
    <cellStyle name="Output 9 2" xfId="17580" xr:uid="{00000000-0005-0000-0000-000091410000}"/>
    <cellStyle name="Owed_Amt" xfId="2601" xr:uid="{00000000-0005-0000-0000-0000F0090000}"/>
    <cellStyle name="Paid_Amt" xfId="2602" xr:uid="{00000000-0005-0000-0000-0000F1090000}"/>
    <cellStyle name="pb_page_heading_LS" xfId="2603" xr:uid="{00000000-0005-0000-0000-0000F2090000}"/>
    <cellStyle name="Pct_of_Sales" xfId="2604" xr:uid="{00000000-0005-0000-0000-0000F3090000}"/>
    <cellStyle name="Percent" xfId="58" builtinId="5"/>
    <cellStyle name="Percent [2]" xfId="2605" xr:uid="{00000000-0005-0000-0000-0000F5090000}"/>
    <cellStyle name="Percent [2] 2" xfId="2606" xr:uid="{00000000-0005-0000-0000-0000F6090000}"/>
    <cellStyle name="Percent [2] 2 2" xfId="17581" xr:uid="{00000000-0005-0000-0000-000099410000}"/>
    <cellStyle name="Percent [2] 2 3" xfId="17582" xr:uid="{00000000-0005-0000-0000-00009A410000}"/>
    <cellStyle name="Percent [2] 2 4" xfId="17583" xr:uid="{00000000-0005-0000-0000-00009B410000}"/>
    <cellStyle name="Percent [2] 3" xfId="2607" xr:uid="{00000000-0005-0000-0000-0000F7090000}"/>
    <cellStyle name="Percent [2] 3 2" xfId="17585" xr:uid="{00000000-0005-0000-0000-00009D410000}"/>
    <cellStyle name="Percent [2] 3 2 2" xfId="17586" xr:uid="{00000000-0005-0000-0000-00009E410000}"/>
    <cellStyle name="Percent [2] 3 3" xfId="17587" xr:uid="{00000000-0005-0000-0000-00009F410000}"/>
    <cellStyle name="Percent [2] 3 4" xfId="17584" xr:uid="{00000000-0005-0000-0000-00009C410000}"/>
    <cellStyle name="Percent [2] 4" xfId="17588" xr:uid="{00000000-0005-0000-0000-0000A0410000}"/>
    <cellStyle name="Percent [2] 5" xfId="17589" xr:uid="{00000000-0005-0000-0000-0000A1410000}"/>
    <cellStyle name="Percent [2] 6" xfId="17590" xr:uid="{00000000-0005-0000-0000-0000A2410000}"/>
    <cellStyle name="Percent 10" xfId="2608" xr:uid="{00000000-0005-0000-0000-0000F8090000}"/>
    <cellStyle name="Percent 10 2" xfId="5332" xr:uid="{00000000-0005-0000-0000-0000A4410000}"/>
    <cellStyle name="Percent 10 2 2" xfId="17591" xr:uid="{00000000-0005-0000-0000-0000A5410000}"/>
    <cellStyle name="Percent 10 2 3" xfId="17592" xr:uid="{00000000-0005-0000-0000-0000A6410000}"/>
    <cellStyle name="Percent 10 3" xfId="17593" xr:uid="{00000000-0005-0000-0000-0000A7410000}"/>
    <cellStyle name="Percent 10 3 2" xfId="17594" xr:uid="{00000000-0005-0000-0000-0000A8410000}"/>
    <cellStyle name="Percent 10 4" xfId="17595" xr:uid="{00000000-0005-0000-0000-0000A9410000}"/>
    <cellStyle name="Percent 10 4 2" xfId="17596" xr:uid="{00000000-0005-0000-0000-0000AA410000}"/>
    <cellStyle name="Percent 10 5" xfId="17597" xr:uid="{00000000-0005-0000-0000-0000AB410000}"/>
    <cellStyle name="Percent 10 6" xfId="17598" xr:uid="{00000000-0005-0000-0000-0000AC410000}"/>
    <cellStyle name="Percent 10 7" xfId="5333" xr:uid="{00000000-0005-0000-0000-0000A3410000}"/>
    <cellStyle name="Percent 11" xfId="2609" xr:uid="{00000000-0005-0000-0000-0000F9090000}"/>
    <cellStyle name="Percent 11 2" xfId="17599" xr:uid="{00000000-0005-0000-0000-0000AE410000}"/>
    <cellStyle name="Percent 11 2 2" xfId="17600" xr:uid="{00000000-0005-0000-0000-0000AF410000}"/>
    <cellStyle name="Percent 11 2 3" xfId="17601" xr:uid="{00000000-0005-0000-0000-0000B0410000}"/>
    <cellStyle name="Percent 11 3" xfId="17602" xr:uid="{00000000-0005-0000-0000-0000B1410000}"/>
    <cellStyle name="Percent 11 4" xfId="17603" xr:uid="{00000000-0005-0000-0000-0000B2410000}"/>
    <cellStyle name="Percent 11 5" xfId="17604" xr:uid="{00000000-0005-0000-0000-0000B3410000}"/>
    <cellStyle name="Percent 12" xfId="2610" xr:uid="{00000000-0005-0000-0000-0000FA090000}"/>
    <cellStyle name="Percent 12 2" xfId="5330" xr:uid="{00000000-0005-0000-0000-0000B5410000}"/>
    <cellStyle name="Percent 12 2 2" xfId="17605" xr:uid="{00000000-0005-0000-0000-0000B6410000}"/>
    <cellStyle name="Percent 12 2 2 2" xfId="17606" xr:uid="{00000000-0005-0000-0000-0000B7410000}"/>
    <cellStyle name="Percent 12 2 2 3" xfId="17607" xr:uid="{00000000-0005-0000-0000-0000B8410000}"/>
    <cellStyle name="Percent 12 2 2 4" xfId="17608" xr:uid="{00000000-0005-0000-0000-0000B9410000}"/>
    <cellStyle name="Percent 12 2 3" xfId="17609" xr:uid="{00000000-0005-0000-0000-0000BA410000}"/>
    <cellStyle name="Percent 12 2 3 2" xfId="17610" xr:uid="{00000000-0005-0000-0000-0000BB410000}"/>
    <cellStyle name="Percent 12 2 3 2 2" xfId="27196" xr:uid="{1F4AAB1D-93A8-42EC-9D80-602DF96AA7FE}"/>
    <cellStyle name="Percent 12 2 3 2 2 2" xfId="42159" xr:uid="{5755968B-C917-4A91-B627-6820A8FBA933}"/>
    <cellStyle name="Percent 12 2 3 2 3" xfId="34590" xr:uid="{15441A93-60E3-4872-8AAE-1DDC5B6B4598}"/>
    <cellStyle name="Percent 12 2 3 3" xfId="17611" xr:uid="{00000000-0005-0000-0000-0000BC410000}"/>
    <cellStyle name="Percent 12 2 4" xfId="17612" xr:uid="{00000000-0005-0000-0000-0000BD410000}"/>
    <cellStyle name="Percent 12 2 5" xfId="17613" xr:uid="{00000000-0005-0000-0000-0000BE410000}"/>
    <cellStyle name="Percent 12 2 6" xfId="17614" xr:uid="{00000000-0005-0000-0000-0000BF410000}"/>
    <cellStyle name="Percent 12 3" xfId="17615" xr:uid="{00000000-0005-0000-0000-0000C0410000}"/>
    <cellStyle name="Percent 12 3 2" xfId="17616" xr:uid="{00000000-0005-0000-0000-0000C1410000}"/>
    <cellStyle name="Percent 12 3 3" xfId="17617" xr:uid="{00000000-0005-0000-0000-0000C2410000}"/>
    <cellStyle name="Percent 12 3 4" xfId="17618" xr:uid="{00000000-0005-0000-0000-0000C3410000}"/>
    <cellStyle name="Percent 12 4" xfId="17619" xr:uid="{00000000-0005-0000-0000-0000C4410000}"/>
    <cellStyle name="Percent 12 4 2" xfId="17620" xr:uid="{00000000-0005-0000-0000-0000C5410000}"/>
    <cellStyle name="Percent 12 4 3" xfId="17621" xr:uid="{00000000-0005-0000-0000-0000C6410000}"/>
    <cellStyle name="Percent 12 4 4" xfId="17622" xr:uid="{00000000-0005-0000-0000-0000C7410000}"/>
    <cellStyle name="Percent 12 4 5" xfId="17623" xr:uid="{00000000-0005-0000-0000-0000C8410000}"/>
    <cellStyle name="Percent 12 5" xfId="17624" xr:uid="{00000000-0005-0000-0000-0000C9410000}"/>
    <cellStyle name="Percent 12 5 2" xfId="17625" xr:uid="{00000000-0005-0000-0000-0000CA410000}"/>
    <cellStyle name="Percent 12 5 2 2" xfId="27197" xr:uid="{2ECBB92D-6594-459A-A7B5-5674D3D322F5}"/>
    <cellStyle name="Percent 12 5 2 2 2" xfId="42160" xr:uid="{367B2F43-EED4-420E-B45F-30E26A29F2BF}"/>
    <cellStyle name="Percent 12 5 2 3" xfId="34591" xr:uid="{9C57E35C-BBCE-43C7-A7E0-ECDF479D5AE5}"/>
    <cellStyle name="Percent 12 5 3" xfId="17626" xr:uid="{00000000-0005-0000-0000-0000CB410000}"/>
    <cellStyle name="Percent 12 6" xfId="17627" xr:uid="{00000000-0005-0000-0000-0000CC410000}"/>
    <cellStyle name="Percent 12 7" xfId="17628" xr:uid="{00000000-0005-0000-0000-0000CD410000}"/>
    <cellStyle name="Percent 12 8" xfId="17629" xr:uid="{00000000-0005-0000-0000-0000CE410000}"/>
    <cellStyle name="Percent 12 9" xfId="5331" xr:uid="{00000000-0005-0000-0000-0000B4410000}"/>
    <cellStyle name="Percent 13" xfId="2611" xr:uid="{00000000-0005-0000-0000-0000FB090000}"/>
    <cellStyle name="Percent 13 2" xfId="17630" xr:uid="{00000000-0005-0000-0000-0000D0410000}"/>
    <cellStyle name="Percent 13 2 2" xfId="17631" xr:uid="{00000000-0005-0000-0000-0000D1410000}"/>
    <cellStyle name="Percent 13 2 2 2" xfId="17632" xr:uid="{00000000-0005-0000-0000-0000D2410000}"/>
    <cellStyle name="Percent 13 2 3" xfId="17633" xr:uid="{00000000-0005-0000-0000-0000D3410000}"/>
    <cellStyle name="Percent 13 2 3 2" xfId="17634" xr:uid="{00000000-0005-0000-0000-0000D4410000}"/>
    <cellStyle name="Percent 13 2 4" xfId="17635" xr:uid="{00000000-0005-0000-0000-0000D5410000}"/>
    <cellStyle name="Percent 13 3" xfId="17636" xr:uid="{00000000-0005-0000-0000-0000D6410000}"/>
    <cellStyle name="Percent 13 3 2" xfId="17637" xr:uid="{00000000-0005-0000-0000-0000D7410000}"/>
    <cellStyle name="Percent 13 3 2 2" xfId="17638" xr:uid="{00000000-0005-0000-0000-0000D8410000}"/>
    <cellStyle name="Percent 13 3 3" xfId="17639" xr:uid="{00000000-0005-0000-0000-0000D9410000}"/>
    <cellStyle name="Percent 13 3 4" xfId="17640" xr:uid="{00000000-0005-0000-0000-0000DA410000}"/>
    <cellStyle name="Percent 13 3 5" xfId="17641" xr:uid="{00000000-0005-0000-0000-0000DB410000}"/>
    <cellStyle name="Percent 13 4" xfId="17642" xr:uid="{00000000-0005-0000-0000-0000DC410000}"/>
    <cellStyle name="Percent 13 4 2" xfId="17643" xr:uid="{00000000-0005-0000-0000-0000DD410000}"/>
    <cellStyle name="Percent 13 5" xfId="17644" xr:uid="{00000000-0005-0000-0000-0000DE410000}"/>
    <cellStyle name="Percent 13 6" xfId="17645" xr:uid="{00000000-0005-0000-0000-0000DF410000}"/>
    <cellStyle name="Percent 14" xfId="2612" xr:uid="{00000000-0005-0000-0000-0000FC090000}"/>
    <cellStyle name="Percent 14 2" xfId="5328" xr:uid="{00000000-0005-0000-0000-0000E1410000}"/>
    <cellStyle name="Percent 14 2 2" xfId="17646" xr:uid="{00000000-0005-0000-0000-0000E2410000}"/>
    <cellStyle name="Percent 14 2 2 2" xfId="17647" xr:uid="{00000000-0005-0000-0000-0000E3410000}"/>
    <cellStyle name="Percent 14 2 3" xfId="17648" xr:uid="{00000000-0005-0000-0000-0000E4410000}"/>
    <cellStyle name="Percent 14 2 3 2" xfId="17649" xr:uid="{00000000-0005-0000-0000-0000E5410000}"/>
    <cellStyle name="Percent 14 2 4" xfId="17650" xr:uid="{00000000-0005-0000-0000-0000E6410000}"/>
    <cellStyle name="Percent 14 2 5" xfId="17651" xr:uid="{00000000-0005-0000-0000-0000E7410000}"/>
    <cellStyle name="Percent 14 3" xfId="17652" xr:uid="{00000000-0005-0000-0000-0000E8410000}"/>
    <cellStyle name="Percent 14 3 2" xfId="17653" xr:uid="{00000000-0005-0000-0000-0000E9410000}"/>
    <cellStyle name="Percent 14 3 2 2" xfId="17654" xr:uid="{00000000-0005-0000-0000-0000EA410000}"/>
    <cellStyle name="Percent 14 3 3" xfId="17655" xr:uid="{00000000-0005-0000-0000-0000EB410000}"/>
    <cellStyle name="Percent 14 3 4" xfId="17656" xr:uid="{00000000-0005-0000-0000-0000EC410000}"/>
    <cellStyle name="Percent 14 3 5" xfId="17657" xr:uid="{00000000-0005-0000-0000-0000ED410000}"/>
    <cellStyle name="Percent 14 4" xfId="17658" xr:uid="{00000000-0005-0000-0000-0000EE410000}"/>
    <cellStyle name="Percent 14 4 2" xfId="17659" xr:uid="{00000000-0005-0000-0000-0000EF410000}"/>
    <cellStyle name="Percent 14 4 3" xfId="17660" xr:uid="{00000000-0005-0000-0000-0000F0410000}"/>
    <cellStyle name="Percent 14 5" xfId="17661" xr:uid="{00000000-0005-0000-0000-0000F1410000}"/>
    <cellStyle name="Percent 14 6" xfId="17662" xr:uid="{00000000-0005-0000-0000-0000F2410000}"/>
    <cellStyle name="Percent 14 7" xfId="17663" xr:uid="{00000000-0005-0000-0000-0000F3410000}"/>
    <cellStyle name="Percent 14 8" xfId="5329" xr:uid="{00000000-0005-0000-0000-0000E0410000}"/>
    <cellStyle name="Percent 15" xfId="2613" xr:uid="{00000000-0005-0000-0000-0000FD090000}"/>
    <cellStyle name="Percent 15 2" xfId="17664" xr:uid="{00000000-0005-0000-0000-0000F5410000}"/>
    <cellStyle name="Percent 15 2 2" xfId="17665" xr:uid="{00000000-0005-0000-0000-0000F6410000}"/>
    <cellStyle name="Percent 15 2 2 2" xfId="17666" xr:uid="{00000000-0005-0000-0000-0000F7410000}"/>
    <cellStyle name="Percent 15 2 3" xfId="17667" xr:uid="{00000000-0005-0000-0000-0000F8410000}"/>
    <cellStyle name="Percent 15 2 4" xfId="17668" xr:uid="{00000000-0005-0000-0000-0000F9410000}"/>
    <cellStyle name="Percent 15 3" xfId="17669" xr:uid="{00000000-0005-0000-0000-0000FA410000}"/>
    <cellStyle name="Percent 15 3 2" xfId="17670" xr:uid="{00000000-0005-0000-0000-0000FB410000}"/>
    <cellStyle name="Percent 15 3 3" xfId="17671" xr:uid="{00000000-0005-0000-0000-0000FC410000}"/>
    <cellStyle name="Percent 15 3 4" xfId="17672" xr:uid="{00000000-0005-0000-0000-0000FD410000}"/>
    <cellStyle name="Percent 15 3 5" xfId="17673" xr:uid="{00000000-0005-0000-0000-0000FE410000}"/>
    <cellStyle name="Percent 15 4" xfId="17674" xr:uid="{00000000-0005-0000-0000-0000FF410000}"/>
    <cellStyle name="Percent 15 4 2" xfId="17675" xr:uid="{00000000-0005-0000-0000-000000420000}"/>
    <cellStyle name="Percent 15 5" xfId="17676" xr:uid="{00000000-0005-0000-0000-000001420000}"/>
    <cellStyle name="Percent 15 6" xfId="17677" xr:uid="{00000000-0005-0000-0000-000002420000}"/>
    <cellStyle name="Percent 16" xfId="2614" xr:uid="{00000000-0005-0000-0000-0000FE090000}"/>
    <cellStyle name="Percent 16 2" xfId="17678" xr:uid="{00000000-0005-0000-0000-000004420000}"/>
    <cellStyle name="Percent 16 2 2" xfId="17679" xr:uid="{00000000-0005-0000-0000-000005420000}"/>
    <cellStyle name="Percent 16 2 2 2" xfId="17680" xr:uid="{00000000-0005-0000-0000-000006420000}"/>
    <cellStyle name="Percent 16 2 3" xfId="17681" xr:uid="{00000000-0005-0000-0000-000007420000}"/>
    <cellStyle name="Percent 16 2 4" xfId="17682" xr:uid="{00000000-0005-0000-0000-000008420000}"/>
    <cellStyle name="Percent 16 3" xfId="17683" xr:uid="{00000000-0005-0000-0000-000009420000}"/>
    <cellStyle name="Percent 16 3 2" xfId="17684" xr:uid="{00000000-0005-0000-0000-00000A420000}"/>
    <cellStyle name="Percent 16 3 3" xfId="17685" xr:uid="{00000000-0005-0000-0000-00000B420000}"/>
    <cellStyle name="Percent 16 3 4" xfId="17686" xr:uid="{00000000-0005-0000-0000-00000C420000}"/>
    <cellStyle name="Percent 16 3 5" xfId="17687" xr:uid="{00000000-0005-0000-0000-00000D420000}"/>
    <cellStyle name="Percent 16 4" xfId="17688" xr:uid="{00000000-0005-0000-0000-00000E420000}"/>
    <cellStyle name="Percent 16 4 2" xfId="17689" xr:uid="{00000000-0005-0000-0000-00000F420000}"/>
    <cellStyle name="Percent 16 5" xfId="17690" xr:uid="{00000000-0005-0000-0000-000010420000}"/>
    <cellStyle name="Percent 16 6" xfId="17691" xr:uid="{00000000-0005-0000-0000-000011420000}"/>
    <cellStyle name="Percent 17" xfId="2615" xr:uid="{00000000-0005-0000-0000-0000FF090000}"/>
    <cellStyle name="Percent 17 2" xfId="17692" xr:uid="{00000000-0005-0000-0000-000013420000}"/>
    <cellStyle name="Percent 17 2 2" xfId="17693" xr:uid="{00000000-0005-0000-0000-000014420000}"/>
    <cellStyle name="Percent 17 2 3" xfId="17694" xr:uid="{00000000-0005-0000-0000-000015420000}"/>
    <cellStyle name="Percent 17 2 4" xfId="17695" xr:uid="{00000000-0005-0000-0000-000016420000}"/>
    <cellStyle name="Percent 17 2 5" xfId="17696" xr:uid="{00000000-0005-0000-0000-000017420000}"/>
    <cellStyle name="Percent 17 3" xfId="17697" xr:uid="{00000000-0005-0000-0000-000018420000}"/>
    <cellStyle name="Percent 17 3 2" xfId="17698" xr:uid="{00000000-0005-0000-0000-000019420000}"/>
    <cellStyle name="Percent 17 4" xfId="17699" xr:uid="{00000000-0005-0000-0000-00001A420000}"/>
    <cellStyle name="Percent 17 5" xfId="17700" xr:uid="{00000000-0005-0000-0000-00001B420000}"/>
    <cellStyle name="Percent 17 6" xfId="17701" xr:uid="{00000000-0005-0000-0000-00001C420000}"/>
    <cellStyle name="Percent 17 7" xfId="17702" xr:uid="{00000000-0005-0000-0000-00001D420000}"/>
    <cellStyle name="Percent 17 8" xfId="5327" xr:uid="{00000000-0005-0000-0000-000012420000}"/>
    <cellStyle name="Percent 18" xfId="2616" xr:uid="{00000000-0005-0000-0000-0000000A0000}"/>
    <cellStyle name="Percent 18 2" xfId="17703" xr:uid="{00000000-0005-0000-0000-00001F420000}"/>
    <cellStyle name="Percent 18 2 2" xfId="17704" xr:uid="{00000000-0005-0000-0000-000020420000}"/>
    <cellStyle name="Percent 18 3" xfId="17705" xr:uid="{00000000-0005-0000-0000-000021420000}"/>
    <cellStyle name="Percent 18 4" xfId="17706" xr:uid="{00000000-0005-0000-0000-000022420000}"/>
    <cellStyle name="Percent 18 5" xfId="17707" xr:uid="{00000000-0005-0000-0000-000023420000}"/>
    <cellStyle name="Percent 18 6" xfId="5326" xr:uid="{00000000-0005-0000-0000-00001E420000}"/>
    <cellStyle name="Percent 19" xfId="2617" xr:uid="{00000000-0005-0000-0000-0000010A0000}"/>
    <cellStyle name="Percent 19 2" xfId="17709" xr:uid="{00000000-0005-0000-0000-000025420000}"/>
    <cellStyle name="Percent 19 2 2" xfId="17710" xr:uid="{00000000-0005-0000-0000-000026420000}"/>
    <cellStyle name="Percent 19 2 3" xfId="17711" xr:uid="{00000000-0005-0000-0000-000027420000}"/>
    <cellStyle name="Percent 19 2 4" xfId="17712" xr:uid="{00000000-0005-0000-0000-000028420000}"/>
    <cellStyle name="Percent 19 2 4 2" xfId="27198" xr:uid="{CFFFB6D2-6F64-425C-923F-E7018041B926}"/>
    <cellStyle name="Percent 19 2 4 2 2" xfId="42161" xr:uid="{258252CD-F41E-4B49-82B7-555587753417}"/>
    <cellStyle name="Percent 19 2 4 3" xfId="34592" xr:uid="{B2E59BA7-5EA2-4F4B-90C8-5C2D1EF855B4}"/>
    <cellStyle name="Percent 19 2 5" xfId="17713" xr:uid="{00000000-0005-0000-0000-000029420000}"/>
    <cellStyle name="Percent 19 3" xfId="17714" xr:uid="{00000000-0005-0000-0000-00002A420000}"/>
    <cellStyle name="Percent 19 3 2" xfId="17715" xr:uid="{00000000-0005-0000-0000-00002B420000}"/>
    <cellStyle name="Percent 19 3 3" xfId="17716" xr:uid="{00000000-0005-0000-0000-00002C420000}"/>
    <cellStyle name="Percent 19 3 4" xfId="17717" xr:uid="{00000000-0005-0000-0000-00002D420000}"/>
    <cellStyle name="Percent 19 3 4 2" xfId="27199" xr:uid="{9B5337E3-5B61-4485-B92C-F3948D4FA7B0}"/>
    <cellStyle name="Percent 19 3 4 2 2" xfId="42162" xr:uid="{5FEEC8A3-0B6F-422B-B9AB-3DFFD30D606D}"/>
    <cellStyle name="Percent 19 3 4 3" xfId="34593" xr:uid="{A6751716-52D9-43BB-B54F-32269899BDA1}"/>
    <cellStyle name="Percent 19 3 5" xfId="17718" xr:uid="{00000000-0005-0000-0000-00002E420000}"/>
    <cellStyle name="Percent 19 4" xfId="17719" xr:uid="{00000000-0005-0000-0000-00002F420000}"/>
    <cellStyle name="Percent 19 5" xfId="17720" xr:uid="{00000000-0005-0000-0000-000030420000}"/>
    <cellStyle name="Percent 19 6" xfId="17721" xr:uid="{00000000-0005-0000-0000-000031420000}"/>
    <cellStyle name="Percent 19 7" xfId="17722" xr:uid="{00000000-0005-0000-0000-000032420000}"/>
    <cellStyle name="Percent 19 8" xfId="17708" xr:uid="{00000000-0005-0000-0000-000024420000}"/>
    <cellStyle name="Percent 2" xfId="174" xr:uid="{00000000-0005-0000-0000-0000020A0000}"/>
    <cellStyle name="Percent 2 10" xfId="17723" xr:uid="{00000000-0005-0000-0000-000034420000}"/>
    <cellStyle name="Percent 2 11" xfId="17724" xr:uid="{00000000-0005-0000-0000-000035420000}"/>
    <cellStyle name="Percent 2 12" xfId="20544" xr:uid="{DCE5DAF8-994E-4A5F-B8B0-B116129741BD}"/>
    <cellStyle name="Percent 2 13" xfId="20715" xr:uid="{FC02D731-7AEC-42EF-82C6-B6487BD9FA45}"/>
    <cellStyle name="Percent 2 13 2" xfId="35716" xr:uid="{87B667F2-2C7C-41FA-B17C-1A35B0F610DC}"/>
    <cellStyle name="Percent 2 14" xfId="28019" xr:uid="{18968EC2-83EC-44D4-B240-3137B59FC699}"/>
    <cellStyle name="Percent 2 2" xfId="2618" xr:uid="{00000000-0005-0000-0000-0000030A0000}"/>
    <cellStyle name="Percent 2 2 2" xfId="5325" xr:uid="{00000000-0005-0000-0000-000037420000}"/>
    <cellStyle name="Percent 2 2 2 2" xfId="17725" xr:uid="{00000000-0005-0000-0000-000038420000}"/>
    <cellStyle name="Percent 2 2 2 2 2" xfId="17726" xr:uid="{00000000-0005-0000-0000-000039420000}"/>
    <cellStyle name="Percent 2 2 2 3" xfId="17727" xr:uid="{00000000-0005-0000-0000-00003A420000}"/>
    <cellStyle name="Percent 2 2 2 4" xfId="17728" xr:uid="{00000000-0005-0000-0000-00003B420000}"/>
    <cellStyle name="Percent 2 2 3" xfId="17729" xr:uid="{00000000-0005-0000-0000-00003C420000}"/>
    <cellStyle name="Percent 2 2 3 2" xfId="17730" xr:uid="{00000000-0005-0000-0000-00003D420000}"/>
    <cellStyle name="Percent 2 2 3 3" xfId="17731" xr:uid="{00000000-0005-0000-0000-00003E420000}"/>
    <cellStyle name="Percent 2 2 3 4" xfId="17732" xr:uid="{00000000-0005-0000-0000-00003F420000}"/>
    <cellStyle name="Percent 2 2 4" xfId="17733" xr:uid="{00000000-0005-0000-0000-000040420000}"/>
    <cellStyle name="Percent 2 2 4 2" xfId="17734" xr:uid="{00000000-0005-0000-0000-000041420000}"/>
    <cellStyle name="Percent 2 2 4 3" xfId="17735" xr:uid="{00000000-0005-0000-0000-000042420000}"/>
    <cellStyle name="Percent 2 2 4 4" xfId="17736" xr:uid="{00000000-0005-0000-0000-000043420000}"/>
    <cellStyle name="Percent 2 2 5" xfId="17737" xr:uid="{00000000-0005-0000-0000-000044420000}"/>
    <cellStyle name="Percent 2 2 5 2" xfId="17738" xr:uid="{00000000-0005-0000-0000-000045420000}"/>
    <cellStyle name="Percent 2 2 6" xfId="17739" xr:uid="{00000000-0005-0000-0000-000046420000}"/>
    <cellStyle name="Percent 2 2 7" xfId="17740" xr:uid="{00000000-0005-0000-0000-000047420000}"/>
    <cellStyle name="Percent 2 3" xfId="2619" xr:uid="{00000000-0005-0000-0000-0000040A0000}"/>
    <cellStyle name="Percent 2 3 2" xfId="17741" xr:uid="{00000000-0005-0000-0000-000049420000}"/>
    <cellStyle name="Percent 2 3 2 2" xfId="17742" xr:uid="{00000000-0005-0000-0000-00004A420000}"/>
    <cellStyle name="Percent 2 3 2 2 2" xfId="17743" xr:uid="{00000000-0005-0000-0000-00004B420000}"/>
    <cellStyle name="Percent 2 3 2 2 2 2" xfId="17744" xr:uid="{00000000-0005-0000-0000-00004C420000}"/>
    <cellStyle name="Percent 2 3 2 2 3" xfId="17745" xr:uid="{00000000-0005-0000-0000-00004D420000}"/>
    <cellStyle name="Percent 2 3 2 2 4" xfId="17746" xr:uid="{00000000-0005-0000-0000-00004E420000}"/>
    <cellStyle name="Percent 2 3 2 3" xfId="17747" xr:uid="{00000000-0005-0000-0000-00004F420000}"/>
    <cellStyle name="Percent 2 3 2 3 2" xfId="17748" xr:uid="{00000000-0005-0000-0000-000050420000}"/>
    <cellStyle name="Percent 2 3 2 4" xfId="17749" xr:uid="{00000000-0005-0000-0000-000051420000}"/>
    <cellStyle name="Percent 2 3 2 5" xfId="17750" xr:uid="{00000000-0005-0000-0000-000052420000}"/>
    <cellStyle name="Percent 2 3 3" xfId="17751" xr:uid="{00000000-0005-0000-0000-000053420000}"/>
    <cellStyle name="Percent 2 3 3 2" xfId="17752" xr:uid="{00000000-0005-0000-0000-000054420000}"/>
    <cellStyle name="Percent 2 3 3 2 2" xfId="17753" xr:uid="{00000000-0005-0000-0000-000055420000}"/>
    <cellStyle name="Percent 2 3 3 2 3" xfId="17754" xr:uid="{00000000-0005-0000-0000-000056420000}"/>
    <cellStyle name="Percent 2 3 3 2 4" xfId="17755" xr:uid="{00000000-0005-0000-0000-000057420000}"/>
    <cellStyle name="Percent 2 3 3 3" xfId="17756" xr:uid="{00000000-0005-0000-0000-000058420000}"/>
    <cellStyle name="Percent 2 3 3 3 2" xfId="17757" xr:uid="{00000000-0005-0000-0000-000059420000}"/>
    <cellStyle name="Percent 2 3 3 4" xfId="17758" xr:uid="{00000000-0005-0000-0000-00005A420000}"/>
    <cellStyle name="Percent 2 3 3 5" xfId="17759" xr:uid="{00000000-0005-0000-0000-00005B420000}"/>
    <cellStyle name="Percent 2 3 4" xfId="17760" xr:uid="{00000000-0005-0000-0000-00005C420000}"/>
    <cellStyle name="Percent 2 3 4 2" xfId="17761" xr:uid="{00000000-0005-0000-0000-00005D420000}"/>
    <cellStyle name="Percent 2 3 4 3" xfId="17762" xr:uid="{00000000-0005-0000-0000-00005E420000}"/>
    <cellStyle name="Percent 2 3 5" xfId="17763" xr:uid="{00000000-0005-0000-0000-00005F420000}"/>
    <cellStyle name="Percent 2 3 6" xfId="17764" xr:uid="{00000000-0005-0000-0000-000060420000}"/>
    <cellStyle name="Percent 2 3 7" xfId="17765" xr:uid="{00000000-0005-0000-0000-000061420000}"/>
    <cellStyle name="Percent 2 4" xfId="2620" xr:uid="{00000000-0005-0000-0000-0000050A0000}"/>
    <cellStyle name="Percent 2 4 2" xfId="5324" xr:uid="{00000000-0005-0000-0000-000063420000}"/>
    <cellStyle name="Percent 2 4 2 2" xfId="17766" xr:uid="{00000000-0005-0000-0000-000064420000}"/>
    <cellStyle name="Percent 2 4 2 3" xfId="17767" xr:uid="{00000000-0005-0000-0000-000065420000}"/>
    <cellStyle name="Percent 2 4 3" xfId="17768" xr:uid="{00000000-0005-0000-0000-000066420000}"/>
    <cellStyle name="Percent 2 4 3 2" xfId="17769" xr:uid="{00000000-0005-0000-0000-000067420000}"/>
    <cellStyle name="Percent 2 4 4" xfId="17770" xr:uid="{00000000-0005-0000-0000-000068420000}"/>
    <cellStyle name="Percent 2 4 5" xfId="17771" xr:uid="{00000000-0005-0000-0000-000069420000}"/>
    <cellStyle name="Percent 2 5" xfId="2864" xr:uid="{00000000-0005-0000-0000-0000060A0000}"/>
    <cellStyle name="Percent 2 5 2" xfId="17773" xr:uid="{00000000-0005-0000-0000-00006B420000}"/>
    <cellStyle name="Percent 2 5 2 2" xfId="17774" xr:uid="{00000000-0005-0000-0000-00006C420000}"/>
    <cellStyle name="Percent 2 5 2 2 2" xfId="17775" xr:uid="{00000000-0005-0000-0000-00006D420000}"/>
    <cellStyle name="Percent 2 5 2 3" xfId="17776" xr:uid="{00000000-0005-0000-0000-00006E420000}"/>
    <cellStyle name="Percent 2 5 2 4" xfId="17777" xr:uid="{00000000-0005-0000-0000-00006F420000}"/>
    <cellStyle name="Percent 2 5 3" xfId="17778" xr:uid="{00000000-0005-0000-0000-000070420000}"/>
    <cellStyle name="Percent 2 5 3 2" xfId="17779" xr:uid="{00000000-0005-0000-0000-000071420000}"/>
    <cellStyle name="Percent 2 5 4" xfId="17780" xr:uid="{00000000-0005-0000-0000-000072420000}"/>
    <cellStyle name="Percent 2 5 4 2" xfId="17781" xr:uid="{00000000-0005-0000-0000-000073420000}"/>
    <cellStyle name="Percent 2 5 5" xfId="17782" xr:uid="{00000000-0005-0000-0000-000074420000}"/>
    <cellStyle name="Percent 2 5 6" xfId="17772" xr:uid="{00000000-0005-0000-0000-00006A420000}"/>
    <cellStyle name="Percent 2 6" xfId="2870" xr:uid="{00000000-0005-0000-0000-0000070A0000}"/>
    <cellStyle name="Percent 2 6 2" xfId="2931" xr:uid="{00000000-0005-0000-0000-0000080A0000}"/>
    <cellStyle name="Percent 2 6 2 2" xfId="17785" xr:uid="{00000000-0005-0000-0000-000077420000}"/>
    <cellStyle name="Percent 2 6 2 3" xfId="17786" xr:uid="{00000000-0005-0000-0000-000078420000}"/>
    <cellStyle name="Percent 2 6 2 4" xfId="17784" xr:uid="{00000000-0005-0000-0000-000076420000}"/>
    <cellStyle name="Percent 2 6 2 5" xfId="20887" xr:uid="{5923FA0E-9311-4CC1-A7F5-91661FF37AF9}"/>
    <cellStyle name="Percent 2 6 2 5 2" xfId="35863" xr:uid="{F00DBC44-95A8-4BCF-96B5-3CB5EE39A17D}"/>
    <cellStyle name="Percent 2 6 2 6" xfId="28259" xr:uid="{8AC7E0B4-DEDE-4B58-A19B-859FD970537D}"/>
    <cellStyle name="Percent 2 6 3" xfId="17787" xr:uid="{00000000-0005-0000-0000-000079420000}"/>
    <cellStyle name="Percent 2 6 4" xfId="17788" xr:uid="{00000000-0005-0000-0000-00007A420000}"/>
    <cellStyle name="Percent 2 6 5" xfId="17789" xr:uid="{00000000-0005-0000-0000-00007B420000}"/>
    <cellStyle name="Percent 2 6 6" xfId="17783" xr:uid="{00000000-0005-0000-0000-000075420000}"/>
    <cellStyle name="Percent 2 6 7" xfId="20827" xr:uid="{138A4FCD-1D32-4713-851C-A24AAD6965C2}"/>
    <cellStyle name="Percent 2 6 7 2" xfId="35803" xr:uid="{9041270B-6A8D-4A74-A0B7-ED2893A69281}"/>
    <cellStyle name="Percent 2 6 8" xfId="28199" xr:uid="{C9C6B2C3-7454-4A3A-8490-DB62854A5273}"/>
    <cellStyle name="Percent 2 7" xfId="2875" xr:uid="{00000000-0005-0000-0000-0000090A0000}"/>
    <cellStyle name="Percent 2 7 2" xfId="17791" xr:uid="{00000000-0005-0000-0000-00007D420000}"/>
    <cellStyle name="Percent 2 7 3" xfId="17792" xr:uid="{00000000-0005-0000-0000-00007E420000}"/>
    <cellStyle name="Percent 2 7 4" xfId="17793" xr:uid="{00000000-0005-0000-0000-00007F420000}"/>
    <cellStyle name="Percent 2 7 5" xfId="17794" xr:uid="{00000000-0005-0000-0000-000080420000}"/>
    <cellStyle name="Percent 2 7 6" xfId="17790" xr:uid="{00000000-0005-0000-0000-00007C420000}"/>
    <cellStyle name="Percent 2 7 7" xfId="20831" xr:uid="{A90C62B8-2BFD-4F12-A7DE-97D958601A7E}"/>
    <cellStyle name="Percent 2 7 7 2" xfId="35807" xr:uid="{A45ABA4B-5759-41AE-8346-742DAFA2B6B4}"/>
    <cellStyle name="Percent 2 7 8" xfId="28203" xr:uid="{1585D2AF-61CD-439F-9CBB-F13BC5892F19}"/>
    <cellStyle name="Percent 2 8" xfId="2935" xr:uid="{00000000-0005-0000-0000-00000A0A0000}"/>
    <cellStyle name="Percent 2 8 2" xfId="17796" xr:uid="{00000000-0005-0000-0000-000082420000}"/>
    <cellStyle name="Percent 2 8 2 2" xfId="17797" xr:uid="{00000000-0005-0000-0000-000083420000}"/>
    <cellStyle name="Percent 2 8 3" xfId="17798" xr:uid="{00000000-0005-0000-0000-000084420000}"/>
    <cellStyle name="Percent 2 8 4" xfId="17795" xr:uid="{00000000-0005-0000-0000-000081420000}"/>
    <cellStyle name="Percent 2 8 5" xfId="20891" xr:uid="{DE301A3A-E7DE-45B0-A10E-5777FF1B4E88}"/>
    <cellStyle name="Percent 2 8 5 2" xfId="35867" xr:uid="{6B41363F-BA6F-41E1-AF13-9DBCAC3694B3}"/>
    <cellStyle name="Percent 2 8 6" xfId="28263" xr:uid="{AF8FDC58-3427-4F27-A780-BA5F09F4AF73}"/>
    <cellStyle name="Percent 2 9" xfId="17799" xr:uid="{00000000-0005-0000-0000-000085420000}"/>
    <cellStyle name="Percent 2 9 2" xfId="17800" xr:uid="{00000000-0005-0000-0000-000086420000}"/>
    <cellStyle name="Percent 20" xfId="2621" xr:uid="{00000000-0005-0000-0000-00000B0A0000}"/>
    <cellStyle name="Percent 20 2" xfId="17802" xr:uid="{00000000-0005-0000-0000-000088420000}"/>
    <cellStyle name="Percent 20 3" xfId="17803" xr:uid="{00000000-0005-0000-0000-000089420000}"/>
    <cellStyle name="Percent 20 4" xfId="17804" xr:uid="{00000000-0005-0000-0000-00008A420000}"/>
    <cellStyle name="Percent 20 5" xfId="17801" xr:uid="{00000000-0005-0000-0000-000087420000}"/>
    <cellStyle name="Percent 21" xfId="2622" xr:uid="{00000000-0005-0000-0000-00000C0A0000}"/>
    <cellStyle name="Percent 21 10" xfId="28090" xr:uid="{DCF3D092-52DD-4AF5-B4FF-029ECE8887B8}"/>
    <cellStyle name="Percent 21 2" xfId="2892" xr:uid="{00000000-0005-0000-0000-00000D0A0000}"/>
    <cellStyle name="Percent 21 2 2" xfId="17807" xr:uid="{00000000-0005-0000-0000-00008D420000}"/>
    <cellStyle name="Percent 21 2 2 2" xfId="17808" xr:uid="{00000000-0005-0000-0000-00008E420000}"/>
    <cellStyle name="Percent 21 2 2 2 2" xfId="17809" xr:uid="{00000000-0005-0000-0000-00008F420000}"/>
    <cellStyle name="Percent 21 2 2 3" xfId="17810" xr:uid="{00000000-0005-0000-0000-000090420000}"/>
    <cellStyle name="Percent 21 2 3" xfId="17811" xr:uid="{00000000-0005-0000-0000-000091420000}"/>
    <cellStyle name="Percent 21 2 3 2" xfId="17812" xr:uid="{00000000-0005-0000-0000-000092420000}"/>
    <cellStyle name="Percent 21 2 4" xfId="17813" xr:uid="{00000000-0005-0000-0000-000093420000}"/>
    <cellStyle name="Percent 21 2 5" xfId="17806" xr:uid="{00000000-0005-0000-0000-00008C420000}"/>
    <cellStyle name="Percent 21 2 6" xfId="20848" xr:uid="{C21CFF46-CA19-40EF-BF1D-857CF04194E3}"/>
    <cellStyle name="Percent 21 2 6 2" xfId="35824" xr:uid="{61E2759A-6DC1-4013-8F22-AA7A6E02F69C}"/>
    <cellStyle name="Percent 21 2 7" xfId="28220" xr:uid="{0B9A7449-3D69-4B67-BB6A-1635FB9BEDA3}"/>
    <cellStyle name="Percent 21 3" xfId="2970" xr:uid="{00000000-0005-0000-0000-00000E0A0000}"/>
    <cellStyle name="Percent 21 3 2" xfId="17815" xr:uid="{00000000-0005-0000-0000-000095420000}"/>
    <cellStyle name="Percent 21 3 2 2" xfId="17816" xr:uid="{00000000-0005-0000-0000-000096420000}"/>
    <cellStyle name="Percent 21 3 3" xfId="17817" xr:uid="{00000000-0005-0000-0000-000097420000}"/>
    <cellStyle name="Percent 21 3 4" xfId="17814" xr:uid="{00000000-0005-0000-0000-000094420000}"/>
    <cellStyle name="Percent 21 3 5" xfId="20926" xr:uid="{301B7AAA-B20C-4EC4-81EA-723BE91AA541}"/>
    <cellStyle name="Percent 21 3 5 2" xfId="35902" xr:uid="{0FB01C00-298E-4BFA-B000-C2CC3C326896}"/>
    <cellStyle name="Percent 21 3 6" xfId="28298" xr:uid="{12DF94E2-E98A-4233-A69C-EBA2F249408F}"/>
    <cellStyle name="Percent 21 4" xfId="17818" xr:uid="{00000000-0005-0000-0000-000098420000}"/>
    <cellStyle name="Percent 21 5" xfId="17819" xr:uid="{00000000-0005-0000-0000-000099420000}"/>
    <cellStyle name="Percent 21 6" xfId="17820" xr:uid="{00000000-0005-0000-0000-00009A420000}"/>
    <cellStyle name="Percent 21 7" xfId="17821" xr:uid="{00000000-0005-0000-0000-00009B420000}"/>
    <cellStyle name="Percent 21 8" xfId="17805" xr:uid="{00000000-0005-0000-0000-00008B420000}"/>
    <cellStyle name="Percent 21 9" xfId="20752" xr:uid="{1F04D89E-0538-4D65-8ED4-7FB42F4333E3}"/>
    <cellStyle name="Percent 21 9 2" xfId="35745" xr:uid="{55CFEE80-2E44-4552-88AE-900DC0F594C1}"/>
    <cellStyle name="Percent 22" xfId="2623" xr:uid="{00000000-0005-0000-0000-00000F0A0000}"/>
    <cellStyle name="Percent 22 10" xfId="28091" xr:uid="{413B95BF-DFA5-4BFB-9DBE-77C4DA3AC5A6}"/>
    <cellStyle name="Percent 22 2" xfId="2893" xr:uid="{00000000-0005-0000-0000-0000100A0000}"/>
    <cellStyle name="Percent 22 2 2" xfId="17824" xr:uid="{00000000-0005-0000-0000-00009E420000}"/>
    <cellStyle name="Percent 22 2 2 2" xfId="17825" xr:uid="{00000000-0005-0000-0000-00009F420000}"/>
    <cellStyle name="Percent 22 2 2 2 2" xfId="17826" xr:uid="{00000000-0005-0000-0000-0000A0420000}"/>
    <cellStyle name="Percent 22 2 2 3" xfId="17827" xr:uid="{00000000-0005-0000-0000-0000A1420000}"/>
    <cellStyle name="Percent 22 2 3" xfId="17828" xr:uid="{00000000-0005-0000-0000-0000A2420000}"/>
    <cellStyle name="Percent 22 2 3 2" xfId="17829" xr:uid="{00000000-0005-0000-0000-0000A3420000}"/>
    <cellStyle name="Percent 22 2 4" xfId="17830" xr:uid="{00000000-0005-0000-0000-0000A4420000}"/>
    <cellStyle name="Percent 22 2 5" xfId="17823" xr:uid="{00000000-0005-0000-0000-00009D420000}"/>
    <cellStyle name="Percent 22 2 6" xfId="20849" xr:uid="{51C4B156-88C2-4DA1-8BBD-B2C55CC26774}"/>
    <cellStyle name="Percent 22 2 6 2" xfId="35825" xr:uid="{8CFFF5EC-147B-4527-BD4F-CA1492E0C277}"/>
    <cellStyle name="Percent 22 2 7" xfId="28221" xr:uid="{7D904912-0A6A-4DC3-831B-3A86B0F42572}"/>
    <cellStyle name="Percent 22 3" xfId="2971" xr:uid="{00000000-0005-0000-0000-0000110A0000}"/>
    <cellStyle name="Percent 22 3 2" xfId="17832" xr:uid="{00000000-0005-0000-0000-0000A6420000}"/>
    <cellStyle name="Percent 22 3 2 2" xfId="17833" xr:uid="{00000000-0005-0000-0000-0000A7420000}"/>
    <cellStyle name="Percent 22 3 3" xfId="17834" xr:uid="{00000000-0005-0000-0000-0000A8420000}"/>
    <cellStyle name="Percent 22 3 4" xfId="17831" xr:uid="{00000000-0005-0000-0000-0000A5420000}"/>
    <cellStyle name="Percent 22 3 5" xfId="20927" xr:uid="{CBC888D9-6E19-4301-ACB1-2857774F5237}"/>
    <cellStyle name="Percent 22 3 5 2" xfId="35903" xr:uid="{EB133A82-F245-4883-AEEA-943258BE64DA}"/>
    <cellStyle name="Percent 22 3 6" xfId="28299" xr:uid="{984246FF-DC1C-4A95-A430-D5432152CD32}"/>
    <cellStyle name="Percent 22 4" xfId="17835" xr:uid="{00000000-0005-0000-0000-0000A9420000}"/>
    <cellStyle name="Percent 22 5" xfId="17836" xr:uid="{00000000-0005-0000-0000-0000AA420000}"/>
    <cellStyle name="Percent 22 6" xfId="17837" xr:uid="{00000000-0005-0000-0000-0000AB420000}"/>
    <cellStyle name="Percent 22 7" xfId="17838" xr:uid="{00000000-0005-0000-0000-0000AC420000}"/>
    <cellStyle name="Percent 22 8" xfId="17822" xr:uid="{00000000-0005-0000-0000-00009C420000}"/>
    <cellStyle name="Percent 22 9" xfId="20753" xr:uid="{48790E61-9BF7-4B8B-82CA-84A30B8EF6AF}"/>
    <cellStyle name="Percent 22 9 2" xfId="35746" xr:uid="{40140A86-02A4-4756-A0D7-C0B87A342F11}"/>
    <cellStyle name="Percent 223" xfId="20568" xr:uid="{2A86E31E-F865-4D80-9459-F71F7004523B}"/>
    <cellStyle name="Percent 23" xfId="2624" xr:uid="{00000000-0005-0000-0000-0000120A0000}"/>
    <cellStyle name="Percent 23 2" xfId="17840" xr:uid="{00000000-0005-0000-0000-0000AE420000}"/>
    <cellStyle name="Percent 23 3" xfId="17841" xr:uid="{00000000-0005-0000-0000-0000AF420000}"/>
    <cellStyle name="Percent 23 4" xfId="17842" xr:uid="{00000000-0005-0000-0000-0000B0420000}"/>
    <cellStyle name="Percent 23 5" xfId="17843" xr:uid="{00000000-0005-0000-0000-0000B1420000}"/>
    <cellStyle name="Percent 23 6" xfId="17839" xr:uid="{00000000-0005-0000-0000-0000AD420000}"/>
    <cellStyle name="Percent 24" xfId="17844" xr:uid="{00000000-0005-0000-0000-0000B2420000}"/>
    <cellStyle name="Percent 24 2" xfId="17845" xr:uid="{00000000-0005-0000-0000-0000B3420000}"/>
    <cellStyle name="Percent 24 3" xfId="17846" xr:uid="{00000000-0005-0000-0000-0000B4420000}"/>
    <cellStyle name="Percent 24 4" xfId="17847" xr:uid="{00000000-0005-0000-0000-0000B5420000}"/>
    <cellStyle name="Percent 25" xfId="17848" xr:uid="{00000000-0005-0000-0000-0000B6420000}"/>
    <cellStyle name="Percent 26" xfId="17849" xr:uid="{00000000-0005-0000-0000-0000B7420000}"/>
    <cellStyle name="Percent 27" xfId="17850" xr:uid="{00000000-0005-0000-0000-0000B8420000}"/>
    <cellStyle name="Percent 28" xfId="17851" xr:uid="{00000000-0005-0000-0000-0000B9420000}"/>
    <cellStyle name="Percent 29" xfId="17852" xr:uid="{00000000-0005-0000-0000-0000BA420000}"/>
    <cellStyle name="Percent 3" xfId="2625" xr:uid="{00000000-0005-0000-0000-0000130A0000}"/>
    <cellStyle name="Percent 3 10" xfId="17853" xr:uid="{00000000-0005-0000-0000-0000BC420000}"/>
    <cellStyle name="Percent 3 10 2" xfId="17854" xr:uid="{00000000-0005-0000-0000-0000BD420000}"/>
    <cellStyle name="Percent 3 11" xfId="17855" xr:uid="{00000000-0005-0000-0000-0000BE420000}"/>
    <cellStyle name="Percent 3 12" xfId="17856" xr:uid="{00000000-0005-0000-0000-0000BF420000}"/>
    <cellStyle name="Percent 3 2" xfId="2626" xr:uid="{00000000-0005-0000-0000-0000140A0000}"/>
    <cellStyle name="Percent 3 2 2" xfId="17857" xr:uid="{00000000-0005-0000-0000-0000C1420000}"/>
    <cellStyle name="Percent 3 2 2 2" xfId="17858" xr:uid="{00000000-0005-0000-0000-0000C2420000}"/>
    <cellStyle name="Percent 3 2 2 2 2" xfId="17859" xr:uid="{00000000-0005-0000-0000-0000C3420000}"/>
    <cellStyle name="Percent 3 2 2 2 3" xfId="17860" xr:uid="{00000000-0005-0000-0000-0000C4420000}"/>
    <cellStyle name="Percent 3 2 2 3" xfId="17861" xr:uid="{00000000-0005-0000-0000-0000C5420000}"/>
    <cellStyle name="Percent 3 2 3" xfId="17862" xr:uid="{00000000-0005-0000-0000-0000C6420000}"/>
    <cellStyle name="Percent 3 2 3 2" xfId="17863" xr:uid="{00000000-0005-0000-0000-0000C7420000}"/>
    <cellStyle name="Percent 3 2 4" xfId="17864" xr:uid="{00000000-0005-0000-0000-0000C8420000}"/>
    <cellStyle name="Percent 3 2 5" xfId="17865" xr:uid="{00000000-0005-0000-0000-0000C9420000}"/>
    <cellStyle name="Percent 3 2 6" xfId="5323" xr:uid="{00000000-0005-0000-0000-0000C0420000}"/>
    <cellStyle name="Percent 3 3" xfId="2627" xr:uid="{00000000-0005-0000-0000-0000150A0000}"/>
    <cellStyle name="Percent 3 3 2" xfId="17866" xr:uid="{00000000-0005-0000-0000-0000CB420000}"/>
    <cellStyle name="Percent 3 3 2 2" xfId="17867" xr:uid="{00000000-0005-0000-0000-0000CC420000}"/>
    <cellStyle name="Percent 3 3 2 3" xfId="17868" xr:uid="{00000000-0005-0000-0000-0000CD420000}"/>
    <cellStyle name="Percent 3 3 3" xfId="17869" xr:uid="{00000000-0005-0000-0000-0000CE420000}"/>
    <cellStyle name="Percent 3 3 4" xfId="17870" xr:uid="{00000000-0005-0000-0000-0000CF420000}"/>
    <cellStyle name="Percent 3 3 5" xfId="17871" xr:uid="{00000000-0005-0000-0000-0000D0420000}"/>
    <cellStyle name="Percent 3 3 6" xfId="5322" xr:uid="{00000000-0005-0000-0000-0000CA420000}"/>
    <cellStyle name="Percent 3 4" xfId="17872" xr:uid="{00000000-0005-0000-0000-0000D1420000}"/>
    <cellStyle name="Percent 3 4 2" xfId="17873" xr:uid="{00000000-0005-0000-0000-0000D2420000}"/>
    <cellStyle name="Percent 3 4 3" xfId="17874" xr:uid="{00000000-0005-0000-0000-0000D3420000}"/>
    <cellStyle name="Percent 3 4 4" xfId="17875" xr:uid="{00000000-0005-0000-0000-0000D4420000}"/>
    <cellStyle name="Percent 3 5" xfId="17876" xr:uid="{00000000-0005-0000-0000-0000D5420000}"/>
    <cellStyle name="Percent 3 5 2" xfId="17877" xr:uid="{00000000-0005-0000-0000-0000D6420000}"/>
    <cellStyle name="Percent 3 5 3" xfId="17878" xr:uid="{00000000-0005-0000-0000-0000D7420000}"/>
    <cellStyle name="Percent 3 5 4" xfId="17879" xr:uid="{00000000-0005-0000-0000-0000D8420000}"/>
    <cellStyle name="Percent 3 6" xfId="17880" xr:uid="{00000000-0005-0000-0000-0000D9420000}"/>
    <cellStyle name="Percent 3 6 2" xfId="17881" xr:uid="{00000000-0005-0000-0000-0000DA420000}"/>
    <cellStyle name="Percent 3 6 2 2" xfId="17882" xr:uid="{00000000-0005-0000-0000-0000DB420000}"/>
    <cellStyle name="Percent 3 6 3" xfId="17883" xr:uid="{00000000-0005-0000-0000-0000DC420000}"/>
    <cellStyle name="Percent 3 6 3 2" xfId="27200" xr:uid="{CB578650-973E-44D3-9C2E-1FC21A0C866D}"/>
    <cellStyle name="Percent 3 6 3 2 2" xfId="42163" xr:uid="{D99917F5-B311-4592-B81B-757B943D47D5}"/>
    <cellStyle name="Percent 3 6 3 3" xfId="34594" xr:uid="{A6B63738-7C5B-4060-B985-3F253CF958FE}"/>
    <cellStyle name="Percent 3 6 4" xfId="17884" xr:uid="{00000000-0005-0000-0000-0000DD420000}"/>
    <cellStyle name="Percent 3 6 5" xfId="17885" xr:uid="{00000000-0005-0000-0000-0000DE420000}"/>
    <cellStyle name="Percent 3 6 5 2" xfId="27201" xr:uid="{8FAAA219-FA41-4CF0-890B-2C67285904C1}"/>
    <cellStyle name="Percent 3 6 5 2 2" xfId="42164" xr:uid="{A8FE1F4F-6AEB-43C6-B7B6-00DD5179AA3E}"/>
    <cellStyle name="Percent 3 6 5 3" xfId="34595" xr:uid="{F8C949B1-3117-4968-838A-5F695435478D}"/>
    <cellStyle name="Percent 3 6 6" xfId="17886" xr:uid="{00000000-0005-0000-0000-0000DF420000}"/>
    <cellStyle name="Percent 3 7" xfId="17887" xr:uid="{00000000-0005-0000-0000-0000E0420000}"/>
    <cellStyle name="Percent 3 7 2" xfId="17888" xr:uid="{00000000-0005-0000-0000-0000E1420000}"/>
    <cellStyle name="Percent 3 7 3" xfId="17889" xr:uid="{00000000-0005-0000-0000-0000E2420000}"/>
    <cellStyle name="Percent 3 7 4" xfId="17890" xr:uid="{00000000-0005-0000-0000-0000E3420000}"/>
    <cellStyle name="Percent 3 8" xfId="17891" xr:uid="{00000000-0005-0000-0000-0000E4420000}"/>
    <cellStyle name="Percent 3 8 2" xfId="17892" xr:uid="{00000000-0005-0000-0000-0000E5420000}"/>
    <cellStyle name="Percent 3 8 2 2" xfId="17893" xr:uid="{00000000-0005-0000-0000-0000E6420000}"/>
    <cellStyle name="Percent 3 8 2 2 2" xfId="17894" xr:uid="{00000000-0005-0000-0000-0000E7420000}"/>
    <cellStyle name="Percent 3 8 2 3" xfId="17895" xr:uid="{00000000-0005-0000-0000-0000E8420000}"/>
    <cellStyle name="Percent 3 8 3" xfId="17896" xr:uid="{00000000-0005-0000-0000-0000E9420000}"/>
    <cellStyle name="Percent 3 8 4" xfId="17897" xr:uid="{00000000-0005-0000-0000-0000EA420000}"/>
    <cellStyle name="Percent 3 8 5" xfId="17898" xr:uid="{00000000-0005-0000-0000-0000EB420000}"/>
    <cellStyle name="Percent 3 8 6" xfId="17899" xr:uid="{00000000-0005-0000-0000-0000EC420000}"/>
    <cellStyle name="Percent 3 9" xfId="17900" xr:uid="{00000000-0005-0000-0000-0000ED420000}"/>
    <cellStyle name="Percent 3 9 2" xfId="17901" xr:uid="{00000000-0005-0000-0000-0000EE420000}"/>
    <cellStyle name="Percent 3 9 3" xfId="17902" xr:uid="{00000000-0005-0000-0000-0000EF420000}"/>
    <cellStyle name="Percent 30" xfId="17903" xr:uid="{00000000-0005-0000-0000-0000F0420000}"/>
    <cellStyle name="Percent 31" xfId="17904" xr:uid="{00000000-0005-0000-0000-0000F1420000}"/>
    <cellStyle name="Percent 32" xfId="17905" xr:uid="{00000000-0005-0000-0000-0000F2420000}"/>
    <cellStyle name="Percent 33" xfId="17906" xr:uid="{00000000-0005-0000-0000-0000F3420000}"/>
    <cellStyle name="Percent 34" xfId="17907" xr:uid="{00000000-0005-0000-0000-0000F4420000}"/>
    <cellStyle name="Percent 35" xfId="17908" xr:uid="{00000000-0005-0000-0000-0000F5420000}"/>
    <cellStyle name="Percent 36" xfId="17909" xr:uid="{00000000-0005-0000-0000-0000F6420000}"/>
    <cellStyle name="Percent 37" xfId="17910" xr:uid="{00000000-0005-0000-0000-0000F7420000}"/>
    <cellStyle name="Percent 38" xfId="17911" xr:uid="{00000000-0005-0000-0000-0000F8420000}"/>
    <cellStyle name="Percent 39" xfId="17912" xr:uid="{00000000-0005-0000-0000-0000F9420000}"/>
    <cellStyle name="Percent 4" xfId="2628" xr:uid="{00000000-0005-0000-0000-0000160A0000}"/>
    <cellStyle name="Percent 4 10" xfId="5321" xr:uid="{00000000-0005-0000-0000-0000FA420000}"/>
    <cellStyle name="Percent 4 2" xfId="5320" xr:uid="{00000000-0005-0000-0000-0000FB420000}"/>
    <cellStyle name="Percent 4 2 2" xfId="17913" xr:uid="{00000000-0005-0000-0000-0000FC420000}"/>
    <cellStyle name="Percent 4 2 2 2" xfId="17914" xr:uid="{00000000-0005-0000-0000-0000FD420000}"/>
    <cellStyle name="Percent 4 2 2 2 2" xfId="27202" xr:uid="{DDEEB8AD-9ADC-42BB-90B3-4E665C635025}"/>
    <cellStyle name="Percent 4 2 2 2 2 2" xfId="42165" xr:uid="{E28BF131-617F-4B5F-B7A7-A06E5B0C914A}"/>
    <cellStyle name="Percent 4 2 2 2 3" xfId="34596" xr:uid="{3FD748B1-1043-419C-A842-CD5FE8E8818F}"/>
    <cellStyle name="Percent 4 2 3" xfId="17915" xr:uid="{00000000-0005-0000-0000-0000FE420000}"/>
    <cellStyle name="Percent 4 2 3 2" xfId="17916" xr:uid="{00000000-0005-0000-0000-0000FF420000}"/>
    <cellStyle name="Percent 4 2 3 2 2" xfId="27203" xr:uid="{7794C32A-8EFD-4689-A693-78CAC5BAECFA}"/>
    <cellStyle name="Percent 4 2 3 2 2 2" xfId="42166" xr:uid="{8A2AB874-1434-425E-8FB4-33FE214CD27C}"/>
    <cellStyle name="Percent 4 2 3 2 3" xfId="34597" xr:uid="{8E7E47BB-738C-4350-9C65-D247942E8064}"/>
    <cellStyle name="Percent 4 2 4" xfId="17917" xr:uid="{00000000-0005-0000-0000-000000430000}"/>
    <cellStyle name="Percent 4 3" xfId="17918" xr:uid="{00000000-0005-0000-0000-000001430000}"/>
    <cellStyle name="Percent 4 3 2" xfId="17919" xr:uid="{00000000-0005-0000-0000-000002430000}"/>
    <cellStyle name="Percent 4 3 2 2" xfId="17920" xr:uid="{00000000-0005-0000-0000-000003430000}"/>
    <cellStyle name="Percent 4 3 2 3" xfId="17921" xr:uid="{00000000-0005-0000-0000-000004430000}"/>
    <cellStyle name="Percent 4 3 2 4" xfId="17922" xr:uid="{00000000-0005-0000-0000-000005430000}"/>
    <cellStyle name="Percent 4 3 3" xfId="17923" xr:uid="{00000000-0005-0000-0000-000006430000}"/>
    <cellStyle name="Percent 4 3 3 2" xfId="17924" xr:uid="{00000000-0005-0000-0000-000007430000}"/>
    <cellStyle name="Percent 4 3 4" xfId="17925" xr:uid="{00000000-0005-0000-0000-000008430000}"/>
    <cellStyle name="Percent 4 3 5" xfId="17926" xr:uid="{00000000-0005-0000-0000-000009430000}"/>
    <cellStyle name="Percent 4 4" xfId="17927" xr:uid="{00000000-0005-0000-0000-00000A430000}"/>
    <cellStyle name="Percent 4 4 2" xfId="17928" xr:uid="{00000000-0005-0000-0000-00000B430000}"/>
    <cellStyle name="Percent 4 4 3" xfId="17929" xr:uid="{00000000-0005-0000-0000-00000C430000}"/>
    <cellStyle name="Percent 4 4 4" xfId="17930" xr:uid="{00000000-0005-0000-0000-00000D430000}"/>
    <cellStyle name="Percent 4 5" xfId="17931" xr:uid="{00000000-0005-0000-0000-00000E430000}"/>
    <cellStyle name="Percent 4 5 2" xfId="17932" xr:uid="{00000000-0005-0000-0000-00000F430000}"/>
    <cellStyle name="Percent 4 5 3" xfId="17933" xr:uid="{00000000-0005-0000-0000-000010430000}"/>
    <cellStyle name="Percent 4 5 4" xfId="17934" xr:uid="{00000000-0005-0000-0000-000011430000}"/>
    <cellStyle name="Percent 4 6" xfId="17935" xr:uid="{00000000-0005-0000-0000-000012430000}"/>
    <cellStyle name="Percent 4 6 2" xfId="17936" xr:uid="{00000000-0005-0000-0000-000013430000}"/>
    <cellStyle name="Percent 4 6 2 2" xfId="17937" xr:uid="{00000000-0005-0000-0000-000014430000}"/>
    <cellStyle name="Percent 4 6 2 2 2" xfId="17938" xr:uid="{00000000-0005-0000-0000-000015430000}"/>
    <cellStyle name="Percent 4 6 2 3" xfId="17939" xr:uid="{00000000-0005-0000-0000-000016430000}"/>
    <cellStyle name="Percent 4 6 3" xfId="17940" xr:uid="{00000000-0005-0000-0000-000017430000}"/>
    <cellStyle name="Percent 4 6 4" xfId="17941" xr:uid="{00000000-0005-0000-0000-000018430000}"/>
    <cellStyle name="Percent 4 6 5" xfId="17942" xr:uid="{00000000-0005-0000-0000-000019430000}"/>
    <cellStyle name="Percent 4 6 6" xfId="17943" xr:uid="{00000000-0005-0000-0000-00001A430000}"/>
    <cellStyle name="Percent 4 7" xfId="17944" xr:uid="{00000000-0005-0000-0000-00001B430000}"/>
    <cellStyle name="Percent 4 7 2" xfId="17945" xr:uid="{00000000-0005-0000-0000-00001C430000}"/>
    <cellStyle name="Percent 4 8" xfId="17946" xr:uid="{00000000-0005-0000-0000-00001D430000}"/>
    <cellStyle name="Percent 4 9" xfId="17947" xr:uid="{00000000-0005-0000-0000-00001E430000}"/>
    <cellStyle name="Percent 40" xfId="17948" xr:uid="{00000000-0005-0000-0000-00001F430000}"/>
    <cellStyle name="Percent 41" xfId="17949" xr:uid="{00000000-0005-0000-0000-000020430000}"/>
    <cellStyle name="Percent 42" xfId="17950" xr:uid="{00000000-0005-0000-0000-000021430000}"/>
    <cellStyle name="Percent 43" xfId="17951" xr:uid="{00000000-0005-0000-0000-000022430000}"/>
    <cellStyle name="Percent 44" xfId="17952" xr:uid="{00000000-0005-0000-0000-000023430000}"/>
    <cellStyle name="Percent 45" xfId="17953" xr:uid="{00000000-0005-0000-0000-000024430000}"/>
    <cellStyle name="Percent 46" xfId="17954" xr:uid="{00000000-0005-0000-0000-000025430000}"/>
    <cellStyle name="Percent 47" xfId="17955" xr:uid="{00000000-0005-0000-0000-000026430000}"/>
    <cellStyle name="Percent 48" xfId="17956" xr:uid="{00000000-0005-0000-0000-000027430000}"/>
    <cellStyle name="Percent 49" xfId="17957" xr:uid="{00000000-0005-0000-0000-000028430000}"/>
    <cellStyle name="Percent 5" xfId="2629" xr:uid="{00000000-0005-0000-0000-0000170A0000}"/>
    <cellStyle name="Percent 5 2" xfId="2630" xr:uid="{00000000-0005-0000-0000-0000180A0000}"/>
    <cellStyle name="Percent 5 2 2" xfId="17958" xr:uid="{00000000-0005-0000-0000-00002B430000}"/>
    <cellStyle name="Percent 5 2 2 2" xfId="17959" xr:uid="{00000000-0005-0000-0000-00002C430000}"/>
    <cellStyle name="Percent 5 2 2 3" xfId="17960" xr:uid="{00000000-0005-0000-0000-00002D430000}"/>
    <cellStyle name="Percent 5 2 2 4" xfId="17961" xr:uid="{00000000-0005-0000-0000-00002E430000}"/>
    <cellStyle name="Percent 5 2 2 5" xfId="17962" xr:uid="{00000000-0005-0000-0000-00002F430000}"/>
    <cellStyle name="Percent 5 2 3" xfId="17963" xr:uid="{00000000-0005-0000-0000-000030430000}"/>
    <cellStyle name="Percent 5 2 3 2" xfId="17964" xr:uid="{00000000-0005-0000-0000-000031430000}"/>
    <cellStyle name="Percent 5 2 4" xfId="17965" xr:uid="{00000000-0005-0000-0000-000032430000}"/>
    <cellStyle name="Percent 5 2 5" xfId="17966" xr:uid="{00000000-0005-0000-0000-000033430000}"/>
    <cellStyle name="Percent 5 2 6" xfId="5319" xr:uid="{00000000-0005-0000-0000-00002A430000}"/>
    <cellStyle name="Percent 5 3" xfId="2631" xr:uid="{00000000-0005-0000-0000-0000190A0000}"/>
    <cellStyle name="Percent 5 3 2" xfId="17967" xr:uid="{00000000-0005-0000-0000-000035430000}"/>
    <cellStyle name="Percent 5 4" xfId="17968" xr:uid="{00000000-0005-0000-0000-000036430000}"/>
    <cellStyle name="Percent 5 5" xfId="17969" xr:uid="{00000000-0005-0000-0000-000037430000}"/>
    <cellStyle name="Percent 5 6" xfId="17970" xr:uid="{00000000-0005-0000-0000-000038430000}"/>
    <cellStyle name="Percent 50" xfId="17971" xr:uid="{00000000-0005-0000-0000-000039430000}"/>
    <cellStyle name="Percent 51" xfId="17972" xr:uid="{00000000-0005-0000-0000-00003A430000}"/>
    <cellStyle name="Percent 52" xfId="17973" xr:uid="{00000000-0005-0000-0000-00003B430000}"/>
    <cellStyle name="Percent 53" xfId="17974" xr:uid="{00000000-0005-0000-0000-00003C430000}"/>
    <cellStyle name="Percent 54" xfId="17975" xr:uid="{00000000-0005-0000-0000-00003D430000}"/>
    <cellStyle name="Percent 55" xfId="17976" xr:uid="{00000000-0005-0000-0000-00003E430000}"/>
    <cellStyle name="Percent 56" xfId="17977" xr:uid="{00000000-0005-0000-0000-00003F430000}"/>
    <cellStyle name="Percent 57" xfId="17978" xr:uid="{00000000-0005-0000-0000-000040430000}"/>
    <cellStyle name="Percent 58" xfId="17979" xr:uid="{00000000-0005-0000-0000-000041430000}"/>
    <cellStyle name="Percent 59" xfId="17980" xr:uid="{00000000-0005-0000-0000-000042430000}"/>
    <cellStyle name="Percent 6" xfId="2632" xr:uid="{00000000-0005-0000-0000-00001A0A0000}"/>
    <cellStyle name="Percent 6 2" xfId="2633" xr:uid="{00000000-0005-0000-0000-00001B0A0000}"/>
    <cellStyle name="Percent 6 2 2" xfId="17981" xr:uid="{00000000-0005-0000-0000-000045430000}"/>
    <cellStyle name="Percent 6 2 2 2" xfId="17982" xr:uid="{00000000-0005-0000-0000-000046430000}"/>
    <cellStyle name="Percent 6 2 3" xfId="17983" xr:uid="{00000000-0005-0000-0000-000047430000}"/>
    <cellStyle name="Percent 6 2 4" xfId="17984" xr:uid="{00000000-0005-0000-0000-000048430000}"/>
    <cellStyle name="Percent 6 3" xfId="2634" xr:uid="{00000000-0005-0000-0000-00001C0A0000}"/>
    <cellStyle name="Percent 6 3 2" xfId="2894" xr:uid="{00000000-0005-0000-0000-00001D0A0000}"/>
    <cellStyle name="Percent 6 3 2 2" xfId="17987" xr:uid="{00000000-0005-0000-0000-00004B430000}"/>
    <cellStyle name="Percent 6 3 2 2 2" xfId="17988" xr:uid="{00000000-0005-0000-0000-00004C430000}"/>
    <cellStyle name="Percent 6 3 2 3" xfId="17989" xr:uid="{00000000-0005-0000-0000-00004D430000}"/>
    <cellStyle name="Percent 6 3 2 4" xfId="17986" xr:uid="{00000000-0005-0000-0000-00004A430000}"/>
    <cellStyle name="Percent 6 3 2 5" xfId="20850" xr:uid="{D74DD4C0-6594-4CDF-A65C-51B20644BC74}"/>
    <cellStyle name="Percent 6 3 2 5 2" xfId="35826" xr:uid="{92749D00-3E23-4059-871A-393256BC5719}"/>
    <cellStyle name="Percent 6 3 2 6" xfId="28222" xr:uid="{735E9AD1-CE72-4EFE-9983-482829398356}"/>
    <cellStyle name="Percent 6 3 3" xfId="2972" xr:uid="{00000000-0005-0000-0000-00001E0A0000}"/>
    <cellStyle name="Percent 6 3 3 2" xfId="17991" xr:uid="{00000000-0005-0000-0000-00004F430000}"/>
    <cellStyle name="Percent 6 3 3 3" xfId="17990" xr:uid="{00000000-0005-0000-0000-00004E430000}"/>
    <cellStyle name="Percent 6 3 3 4" xfId="20928" xr:uid="{BF370087-8FBB-43ED-8B67-BA6717F0D372}"/>
    <cellStyle name="Percent 6 3 3 4 2" xfId="35904" xr:uid="{84429320-9E06-4839-A90F-DA1E4645185E}"/>
    <cellStyle name="Percent 6 3 3 5" xfId="28300" xr:uid="{946F9484-63C2-45BD-9F70-0B1819276704}"/>
    <cellStyle name="Percent 6 3 4" xfId="17992" xr:uid="{00000000-0005-0000-0000-000050430000}"/>
    <cellStyle name="Percent 6 3 5" xfId="17993" xr:uid="{00000000-0005-0000-0000-000051430000}"/>
    <cellStyle name="Percent 6 3 6" xfId="17994" xr:uid="{00000000-0005-0000-0000-000052430000}"/>
    <cellStyle name="Percent 6 3 7" xfId="17985" xr:uid="{00000000-0005-0000-0000-000049430000}"/>
    <cellStyle name="Percent 6 3 8" xfId="20754" xr:uid="{D8AB3E8B-FAD9-4E07-B5D9-5AA51FC42528}"/>
    <cellStyle name="Percent 6 3 8 2" xfId="35747" xr:uid="{B61B2A0E-A48A-4B78-8DFE-28A9A7664B4E}"/>
    <cellStyle name="Percent 6 3 9" xfId="28092" xr:uid="{2793D368-C7C6-47C0-B6FD-69F63CCC14FC}"/>
    <cellStyle name="Percent 6 4" xfId="17995" xr:uid="{00000000-0005-0000-0000-000053430000}"/>
    <cellStyle name="Percent 6 4 2" xfId="17996" xr:uid="{00000000-0005-0000-0000-000054430000}"/>
    <cellStyle name="Percent 6 4 2 2" xfId="17997" xr:uid="{00000000-0005-0000-0000-000055430000}"/>
    <cellStyle name="Percent 6 4 2 2 2" xfId="17998" xr:uid="{00000000-0005-0000-0000-000056430000}"/>
    <cellStyle name="Percent 6 4 2 3" xfId="17999" xr:uid="{00000000-0005-0000-0000-000057430000}"/>
    <cellStyle name="Percent 6 4 3" xfId="18000" xr:uid="{00000000-0005-0000-0000-000058430000}"/>
    <cellStyle name="Percent 6 4 3 2" xfId="18001" xr:uid="{00000000-0005-0000-0000-000059430000}"/>
    <cellStyle name="Percent 6 4 4" xfId="18002" xr:uid="{00000000-0005-0000-0000-00005A430000}"/>
    <cellStyle name="Percent 6 5" xfId="18003" xr:uid="{00000000-0005-0000-0000-00005B430000}"/>
    <cellStyle name="Percent 6 5 2" xfId="18004" xr:uid="{00000000-0005-0000-0000-00005C430000}"/>
    <cellStyle name="Percent 6 6" xfId="18005" xr:uid="{00000000-0005-0000-0000-00005D430000}"/>
    <cellStyle name="Percent 6 7" xfId="18006" xr:uid="{00000000-0005-0000-0000-00005E430000}"/>
    <cellStyle name="Percent 6 8" xfId="5318" xr:uid="{00000000-0005-0000-0000-000043430000}"/>
    <cellStyle name="Percent 60" xfId="18007" xr:uid="{00000000-0005-0000-0000-00005F430000}"/>
    <cellStyle name="Percent 61" xfId="18008" xr:uid="{00000000-0005-0000-0000-000060430000}"/>
    <cellStyle name="Percent 62" xfId="18009" xr:uid="{00000000-0005-0000-0000-000061430000}"/>
    <cellStyle name="Percent 63" xfId="18010" xr:uid="{00000000-0005-0000-0000-000062430000}"/>
    <cellStyle name="Percent 64" xfId="18011" xr:uid="{00000000-0005-0000-0000-000063430000}"/>
    <cellStyle name="Percent 65" xfId="18012" xr:uid="{00000000-0005-0000-0000-000064430000}"/>
    <cellStyle name="Percent 66" xfId="18013" xr:uid="{00000000-0005-0000-0000-000065430000}"/>
    <cellStyle name="Percent 67" xfId="18014" xr:uid="{00000000-0005-0000-0000-000066430000}"/>
    <cellStyle name="Percent 68" xfId="18015" xr:uid="{00000000-0005-0000-0000-000067430000}"/>
    <cellStyle name="Percent 69" xfId="18016" xr:uid="{00000000-0005-0000-0000-000068430000}"/>
    <cellStyle name="Percent 7" xfId="2635" xr:uid="{00000000-0005-0000-0000-00001F0A0000}"/>
    <cellStyle name="Percent 7 2" xfId="5315" xr:uid="{00000000-0005-0000-0000-00006A430000}"/>
    <cellStyle name="Percent 7 2 2" xfId="18017" xr:uid="{00000000-0005-0000-0000-00006B430000}"/>
    <cellStyle name="Percent 7 2 2 2" xfId="18018" xr:uid="{00000000-0005-0000-0000-00006C430000}"/>
    <cellStyle name="Percent 7 2 3" xfId="18019" xr:uid="{00000000-0005-0000-0000-00006D430000}"/>
    <cellStyle name="Percent 7 2 4" xfId="18020" xr:uid="{00000000-0005-0000-0000-00006E430000}"/>
    <cellStyle name="Percent 7 3" xfId="18021" xr:uid="{00000000-0005-0000-0000-00006F430000}"/>
    <cellStyle name="Percent 7 3 2" xfId="18022" xr:uid="{00000000-0005-0000-0000-000070430000}"/>
    <cellStyle name="Percent 7 4" xfId="18023" xr:uid="{00000000-0005-0000-0000-000071430000}"/>
    <cellStyle name="Percent 7 5" xfId="18024" xr:uid="{00000000-0005-0000-0000-000072430000}"/>
    <cellStyle name="Percent 70" xfId="18025" xr:uid="{00000000-0005-0000-0000-000073430000}"/>
    <cellStyle name="Percent 71" xfId="18026" xr:uid="{00000000-0005-0000-0000-000074430000}"/>
    <cellStyle name="Percent 72" xfId="18027" xr:uid="{00000000-0005-0000-0000-000075430000}"/>
    <cellStyle name="Percent 73" xfId="18028" xr:uid="{00000000-0005-0000-0000-000076430000}"/>
    <cellStyle name="Percent 74" xfId="18029" xr:uid="{00000000-0005-0000-0000-000077430000}"/>
    <cellStyle name="Percent 75" xfId="18030" xr:uid="{00000000-0005-0000-0000-000078430000}"/>
    <cellStyle name="Percent 76" xfId="18031" xr:uid="{00000000-0005-0000-0000-000079430000}"/>
    <cellStyle name="Percent 77" xfId="18032" xr:uid="{00000000-0005-0000-0000-00007A430000}"/>
    <cellStyle name="Percent 78" xfId="18033" xr:uid="{00000000-0005-0000-0000-00007B430000}"/>
    <cellStyle name="Percent 79" xfId="18034" xr:uid="{00000000-0005-0000-0000-00007C430000}"/>
    <cellStyle name="Percent 8" xfId="2636" xr:uid="{00000000-0005-0000-0000-0000200A0000}"/>
    <cellStyle name="Percent 8 2" xfId="5313" xr:uid="{00000000-0005-0000-0000-00007E430000}"/>
    <cellStyle name="Percent 8 2 2" xfId="18035" xr:uid="{00000000-0005-0000-0000-00007F430000}"/>
    <cellStyle name="Percent 8 2 2 2" xfId="18036" xr:uid="{00000000-0005-0000-0000-000080430000}"/>
    <cellStyle name="Percent 8 2 3" xfId="18037" xr:uid="{00000000-0005-0000-0000-000081430000}"/>
    <cellStyle name="Percent 8 2 4" xfId="18038" xr:uid="{00000000-0005-0000-0000-000082430000}"/>
    <cellStyle name="Percent 8 3" xfId="18039" xr:uid="{00000000-0005-0000-0000-000083430000}"/>
    <cellStyle name="Percent 8 3 2" xfId="18040" xr:uid="{00000000-0005-0000-0000-000084430000}"/>
    <cellStyle name="Percent 8 3 3" xfId="18041" xr:uid="{00000000-0005-0000-0000-000085430000}"/>
    <cellStyle name="Percent 8 4" xfId="18042" xr:uid="{00000000-0005-0000-0000-000086430000}"/>
    <cellStyle name="Percent 8 4 2" xfId="18043" xr:uid="{00000000-0005-0000-0000-000087430000}"/>
    <cellStyle name="Percent 8 5" xfId="18044" xr:uid="{00000000-0005-0000-0000-000088430000}"/>
    <cellStyle name="Percent 8 6" xfId="18045" xr:uid="{00000000-0005-0000-0000-000089430000}"/>
    <cellStyle name="Percent 8 7" xfId="5314" xr:uid="{00000000-0005-0000-0000-00007D430000}"/>
    <cellStyle name="Percent 80" xfId="18046" xr:uid="{00000000-0005-0000-0000-00008A430000}"/>
    <cellStyle name="Percent 81" xfId="18047" xr:uid="{00000000-0005-0000-0000-00008B430000}"/>
    <cellStyle name="Percent 82" xfId="18048" xr:uid="{00000000-0005-0000-0000-00008C430000}"/>
    <cellStyle name="Percent 83" xfId="18049" xr:uid="{00000000-0005-0000-0000-00008D430000}"/>
    <cellStyle name="Percent 84" xfId="18050" xr:uid="{00000000-0005-0000-0000-00008E430000}"/>
    <cellStyle name="Percent 85" xfId="18051" xr:uid="{00000000-0005-0000-0000-00008F430000}"/>
    <cellStyle name="Percent 86" xfId="18052" xr:uid="{00000000-0005-0000-0000-000090430000}"/>
    <cellStyle name="Percent 87" xfId="18053" xr:uid="{00000000-0005-0000-0000-000091430000}"/>
    <cellStyle name="Percent 88" xfId="5503" xr:uid="{00000000-0005-0000-0000-00008A440000}"/>
    <cellStyle name="Percent 89" xfId="5504" xr:uid="{00000000-0005-0000-0000-0000F34E0000}"/>
    <cellStyle name="Percent 9" xfId="2637" xr:uid="{00000000-0005-0000-0000-0000210A0000}"/>
    <cellStyle name="Percent 9 2" xfId="18054" xr:uid="{00000000-0005-0000-0000-000093430000}"/>
    <cellStyle name="Percent 9 2 2" xfId="18055" xr:uid="{00000000-0005-0000-0000-000094430000}"/>
    <cellStyle name="Percent 9 2 2 2" xfId="18056" xr:uid="{00000000-0005-0000-0000-000095430000}"/>
    <cellStyle name="Percent 9 2 2 2 2" xfId="18057" xr:uid="{00000000-0005-0000-0000-000096430000}"/>
    <cellStyle name="Percent 9 2 2 3" xfId="18058" xr:uid="{00000000-0005-0000-0000-000097430000}"/>
    <cellStyle name="Percent 9 2 2 4" xfId="18059" xr:uid="{00000000-0005-0000-0000-000098430000}"/>
    <cellStyle name="Percent 9 2 3" xfId="18060" xr:uid="{00000000-0005-0000-0000-000099430000}"/>
    <cellStyle name="Percent 9 2 3 2" xfId="18061" xr:uid="{00000000-0005-0000-0000-00009A430000}"/>
    <cellStyle name="Percent 9 2 4" xfId="18062" xr:uid="{00000000-0005-0000-0000-00009B430000}"/>
    <cellStyle name="Percent 9 2 5" xfId="18063" xr:uid="{00000000-0005-0000-0000-00009C430000}"/>
    <cellStyle name="Percent 9 3" xfId="18064" xr:uid="{00000000-0005-0000-0000-00009D430000}"/>
    <cellStyle name="Percent 9 3 2" xfId="18065" xr:uid="{00000000-0005-0000-0000-00009E430000}"/>
    <cellStyle name="Percent 9 3 2 2" xfId="18066" xr:uid="{00000000-0005-0000-0000-00009F430000}"/>
    <cellStyle name="Percent 9 3 3" xfId="18067" xr:uid="{00000000-0005-0000-0000-0000A0430000}"/>
    <cellStyle name="Percent 9 3 4" xfId="18068" xr:uid="{00000000-0005-0000-0000-0000A1430000}"/>
    <cellStyle name="Percent 9 4" xfId="18069" xr:uid="{00000000-0005-0000-0000-0000A2430000}"/>
    <cellStyle name="Percent 9 4 2" xfId="18070" xr:uid="{00000000-0005-0000-0000-0000A3430000}"/>
    <cellStyle name="Percent 9 5" xfId="18071" xr:uid="{00000000-0005-0000-0000-0000A4430000}"/>
    <cellStyle name="Percent 9 6" xfId="18072" xr:uid="{00000000-0005-0000-0000-0000A5430000}"/>
    <cellStyle name="Percent 90" xfId="20538" xr:uid="{F9C4CC58-D932-46EA-87A9-4E1E9AE93362}"/>
    <cellStyle name="Percent 90 2" xfId="20556" xr:uid="{50182F06-16D7-4708-8DE9-26BD47BA791B}"/>
    <cellStyle name="Percent 90 2 2" xfId="27859" xr:uid="{26D82122-4D51-4FFC-A78A-D15170D30AA7}"/>
    <cellStyle name="Percent 90 2 2 2" xfId="42796" xr:uid="{A9BCA75E-0B63-40BE-A14A-8BD4B088C91D}"/>
    <cellStyle name="Percent 90 2 3" xfId="35568" xr:uid="{2F2B5173-C6D0-4870-B3C7-C0CEFF0854B2}"/>
    <cellStyle name="Percent 90 3" xfId="27845" xr:uid="{C899BC3C-62E2-40BD-B31F-746D7413067D}"/>
    <cellStyle name="Percent 90 3 2" xfId="42782" xr:uid="{DC501CFA-A4DB-4482-BCDC-3B40DB677729}"/>
    <cellStyle name="Percent 90 4" xfId="35554" xr:uid="{189F54BC-8A0E-41D2-8B46-0DE5F6B960C0}"/>
    <cellStyle name="Percent 91" xfId="20581" xr:uid="{6C381B0B-C747-4EB2-9DAB-1A4E937539BB}"/>
    <cellStyle name="Percent 91 2" xfId="27874" xr:uid="{E9A9C4BB-059C-413B-9109-0C5C86C7CF56}"/>
    <cellStyle name="Percent 91 2 2" xfId="42811" xr:uid="{739500F9-5F85-4832-9444-75DD04A3D437}"/>
    <cellStyle name="Percent 91 3" xfId="35583" xr:uid="{0D406850-A346-4289-BDB8-084414C5DFE0}"/>
    <cellStyle name="Percent2" xfId="2638" xr:uid="{00000000-0005-0000-0000-0000220A0000}"/>
    <cellStyle name="Percent2 2" xfId="18074" xr:uid="{00000000-0005-0000-0000-0000A7430000}"/>
    <cellStyle name="Percent2 2 2" xfId="18075" xr:uid="{00000000-0005-0000-0000-0000A8430000}"/>
    <cellStyle name="Percent2 3" xfId="18076" xr:uid="{00000000-0005-0000-0000-0000A9430000}"/>
    <cellStyle name="Percent2 4" xfId="18073" xr:uid="{00000000-0005-0000-0000-0000A6430000}"/>
    <cellStyle name="Phone_No" xfId="2639" xr:uid="{00000000-0005-0000-0000-0000230A0000}"/>
    <cellStyle name="Red Text" xfId="2640" xr:uid="{00000000-0005-0000-0000-0000240A0000}"/>
    <cellStyle name="Red Text 2" xfId="18078" xr:uid="{00000000-0005-0000-0000-0000AC430000}"/>
    <cellStyle name="Red Text 2 2" xfId="18079" xr:uid="{00000000-0005-0000-0000-0000AD430000}"/>
    <cellStyle name="Red Text 2 3" xfId="20183" xr:uid="{00000000-0005-0000-0000-0000AC430000}"/>
    <cellStyle name="Red Text 2 3 2" xfId="35201" xr:uid="{B96D1048-C701-4EFB-8302-8BA227CEEDEE}"/>
    <cellStyle name="Red Text 3" xfId="18080" xr:uid="{00000000-0005-0000-0000-0000AE430000}"/>
    <cellStyle name="Red Text 4" xfId="18077" xr:uid="{00000000-0005-0000-0000-0000AB430000}"/>
    <cellStyle name="Remote" xfId="2641" xr:uid="{00000000-0005-0000-0000-0000250A0000}"/>
    <cellStyle name="Revenue" xfId="2642" xr:uid="{00000000-0005-0000-0000-0000260A0000}"/>
    <cellStyle name="RevList" xfId="2643" xr:uid="{00000000-0005-0000-0000-0000270A0000}"/>
    <cellStyle name="s]_x000d__x000a_spooler=no_x000d__x000a_LOAD=C:\CONTROL\VIRUSCAN\VSHWIN.EXE_x000d__x000a_run=_x000d__x000a_Beep=yes_x000d__x000a_NullPort=None_x000d__x000a_BorderWidth=3_x000d__x000a_CursorBlinkRate=530_x000d_" xfId="2644" xr:uid="{00000000-0005-0000-0000-0000280A0000}"/>
    <cellStyle name="s]_x000d__x000a_spooler=no_x000d__x000a_LOAD=C:\CONTROL\VIRUSCAN\VSHWIN.EXE_x000d__x000a_run=_x000d__x000a_Beep=yes_x000d__x000a_NullPort=None_x000d__x000a_BorderWidth=3_x000d__x000a_CursorBlinkRate=530_x000d_ 2" xfId="18081" xr:uid="{00000000-0005-0000-0000-0000B3430000}"/>
    <cellStyle name="s]_x000d__x000a_spooler=no_x000d__x000a_LOAD=C:\CONTROL\VIRUSCAN\VSHWIN.EXE_x000d__x000a_run=_x000d__x000a_Beep=yes_x000d__x000a_NullPort=None_x000d__x000a_BorderWidth=3_x000d__x000a_CursorBlinkRate=530_x000d_ 3" xfId="18082" xr:uid="{00000000-0005-0000-0000-0000B4430000}"/>
    <cellStyle name="Sales_Amt" xfId="2645" xr:uid="{00000000-0005-0000-0000-0000290A0000}"/>
    <cellStyle name="SAPBEXaggData" xfId="2646" xr:uid="{00000000-0005-0000-0000-00002A0A0000}"/>
    <cellStyle name="SAPBEXaggData 2" xfId="2647" xr:uid="{00000000-0005-0000-0000-00002B0A0000}"/>
    <cellStyle name="SAPBEXaggData 2 2" xfId="2895" xr:uid="{00000000-0005-0000-0000-00002C0A0000}"/>
    <cellStyle name="SAPBEXaggData 2 2 2" xfId="18085" xr:uid="{00000000-0005-0000-0000-0000B9430000}"/>
    <cellStyle name="SAPBEXaggData 2 2 2 2" xfId="18086" xr:uid="{00000000-0005-0000-0000-0000BA430000}"/>
    <cellStyle name="SAPBEXaggData 2 2 2 3" xfId="18087" xr:uid="{00000000-0005-0000-0000-0000BB430000}"/>
    <cellStyle name="SAPBEXaggData 2 2 2 3 2" xfId="20184" xr:uid="{00000000-0005-0000-0000-0000BB430000}"/>
    <cellStyle name="SAPBEXaggData 2 2 2 3 2 2" xfId="27614" xr:uid="{0341C314-025F-4C08-AEA1-F6F9E89E4FDC}"/>
    <cellStyle name="SAPBEXaggData 2 2 2 3 2 2 2" xfId="42551" xr:uid="{1E0F4446-77D2-4B34-9717-9EAC23D15E16}"/>
    <cellStyle name="SAPBEXaggData 2 2 2 3 2 3" xfId="35202" xr:uid="{6EF18EB6-CE67-4EA1-8206-EEFB1CB331D7}"/>
    <cellStyle name="SAPBEXaggData 2 2 2 3 3" xfId="27204" xr:uid="{60C930B6-D035-4C16-B820-DD8FAD1286D7}"/>
    <cellStyle name="SAPBEXaggData 2 2 2 3 3 2" xfId="42167" xr:uid="{9F36E9A7-8E35-424A-8834-8E8E4E674307}"/>
    <cellStyle name="SAPBEXaggData 2 2 2 3 4" xfId="34598" xr:uid="{05F60E4B-52E0-42C6-986C-4E028FB73CB0}"/>
    <cellStyle name="SAPBEXaggData 2 2 2 4" xfId="18088" xr:uid="{00000000-0005-0000-0000-0000BC430000}"/>
    <cellStyle name="SAPBEXaggData 2 2 3" xfId="18089" xr:uid="{00000000-0005-0000-0000-0000BD430000}"/>
    <cellStyle name="SAPBEXaggData 2 2 3 2" xfId="18090" xr:uid="{00000000-0005-0000-0000-0000BE430000}"/>
    <cellStyle name="SAPBEXaggData 2 2 3 2 2" xfId="20185" xr:uid="{00000000-0005-0000-0000-0000BE430000}"/>
    <cellStyle name="SAPBEXaggData 2 2 3 2 2 2" xfId="35203" xr:uid="{A0EA453F-CAFB-4A7D-9E37-5A0211E18022}"/>
    <cellStyle name="SAPBEXaggData 2 2 3 2 3" xfId="34599" xr:uid="{92AC29D4-C2D8-4A8B-8616-5A182DC91031}"/>
    <cellStyle name="SAPBEXaggData 2 2 4" xfId="18091" xr:uid="{00000000-0005-0000-0000-0000BF430000}"/>
    <cellStyle name="SAPBEXaggData 2 2 4 2" xfId="20186" xr:uid="{00000000-0005-0000-0000-0000BF430000}"/>
    <cellStyle name="SAPBEXaggData 2 2 4 2 2" xfId="27615" xr:uid="{BCFB32AB-C3C3-4237-955F-C79ED386A1C9}"/>
    <cellStyle name="SAPBEXaggData 2 2 4 2 2 2" xfId="42552" xr:uid="{B0189548-6C65-4D63-910C-6B6D67DED08C}"/>
    <cellStyle name="SAPBEXaggData 2 2 4 2 3" xfId="35204" xr:uid="{CCB46E5E-073D-473E-934D-A0A1C8E5713F}"/>
    <cellStyle name="SAPBEXaggData 2 2 4 3" xfId="27205" xr:uid="{48FEAC41-8E5F-4172-A3D0-1AFA1739894E}"/>
    <cellStyle name="SAPBEXaggData 2 2 4 3 2" xfId="42168" xr:uid="{5AC4DCBB-64D9-4105-9244-133B0C1A9BD8}"/>
    <cellStyle name="SAPBEXaggData 2 2 4 4" xfId="34600" xr:uid="{13707246-03BD-4E08-A590-33D76796CEAE}"/>
    <cellStyle name="SAPBEXaggData 2 2 5" xfId="18092" xr:uid="{00000000-0005-0000-0000-0000C0430000}"/>
    <cellStyle name="SAPBEXaggData 2 2 6" xfId="18084" xr:uid="{00000000-0005-0000-0000-0000B8430000}"/>
    <cellStyle name="SAPBEXaggData 2 2 7" xfId="20851" xr:uid="{2C977A4F-55DF-418C-BF43-B906B85D94F7}"/>
    <cellStyle name="SAPBEXaggData 2 2 7 2" xfId="35827" xr:uid="{C95C6F13-57FD-4B70-BD36-C16A4DB76958}"/>
    <cellStyle name="SAPBEXaggData 2 2 8" xfId="28223" xr:uid="{966832E1-9CD1-452E-B326-151754A09304}"/>
    <cellStyle name="SAPBEXaggData 2 3" xfId="18093" xr:uid="{00000000-0005-0000-0000-0000C1430000}"/>
    <cellStyle name="SAPBEXaggData 2 3 2" xfId="18094" xr:uid="{00000000-0005-0000-0000-0000C2430000}"/>
    <cellStyle name="SAPBEXaggData 2 3 3" xfId="18095" xr:uid="{00000000-0005-0000-0000-0000C3430000}"/>
    <cellStyle name="SAPBEXaggData 2 3 3 2" xfId="20187" xr:uid="{00000000-0005-0000-0000-0000C3430000}"/>
    <cellStyle name="SAPBEXaggData 2 3 3 2 2" xfId="27616" xr:uid="{947D6E75-59E9-45DE-B972-E2641501D11F}"/>
    <cellStyle name="SAPBEXaggData 2 3 3 2 2 2" xfId="42553" xr:uid="{384EBEFB-D342-4F7D-AF18-D0FF9169F290}"/>
    <cellStyle name="SAPBEXaggData 2 3 3 2 3" xfId="35205" xr:uid="{4E6A7EBB-8939-4346-BC3B-8EFC32B8B194}"/>
    <cellStyle name="SAPBEXaggData 2 3 3 3" xfId="27206" xr:uid="{65E7387D-F644-43ED-AE4F-3D37B20F5840}"/>
    <cellStyle name="SAPBEXaggData 2 3 3 3 2" xfId="42169" xr:uid="{3FA3FADE-00E3-4B58-8448-2227B6242063}"/>
    <cellStyle name="SAPBEXaggData 2 3 3 4" xfId="34601" xr:uid="{0B64A7E6-F441-4905-8E70-6E3EB774EC50}"/>
    <cellStyle name="SAPBEXaggData 2 3 4" xfId="18096" xr:uid="{00000000-0005-0000-0000-0000C4430000}"/>
    <cellStyle name="SAPBEXaggData 2 4" xfId="18097" xr:uid="{00000000-0005-0000-0000-0000C5430000}"/>
    <cellStyle name="SAPBEXaggData 2 4 2" xfId="18098" xr:uid="{00000000-0005-0000-0000-0000C6430000}"/>
    <cellStyle name="SAPBEXaggData 2 4 2 2" xfId="20188" xr:uid="{00000000-0005-0000-0000-0000C6430000}"/>
    <cellStyle name="SAPBEXaggData 2 4 2 2 2" xfId="27617" xr:uid="{EE6838F9-C23D-4CFE-B35F-C951A6F8A396}"/>
    <cellStyle name="SAPBEXaggData 2 4 2 2 2 2" xfId="42554" xr:uid="{4C483DA7-2C19-4691-8519-6F37F705F5DD}"/>
    <cellStyle name="SAPBEXaggData 2 4 2 2 3" xfId="35206" xr:uid="{F73230F8-C2FD-4E96-800B-4D3F9F741BB4}"/>
    <cellStyle name="SAPBEXaggData 2 4 2 3" xfId="27207" xr:uid="{CAB82E3A-99CB-472A-A8D9-142050F8E25C}"/>
    <cellStyle name="SAPBEXaggData 2 4 2 3 2" xfId="42170" xr:uid="{059BEFFB-1074-4D7D-BBB8-679806CBC088}"/>
    <cellStyle name="SAPBEXaggData 2 4 2 4" xfId="34602" xr:uid="{4B79D2DD-538B-4C6A-8607-1F3AA2BEA8FE}"/>
    <cellStyle name="SAPBEXaggData 2 5" xfId="18099" xr:uid="{00000000-0005-0000-0000-0000C7430000}"/>
    <cellStyle name="SAPBEXaggData 2 5 2" xfId="20189" xr:uid="{00000000-0005-0000-0000-0000C7430000}"/>
    <cellStyle name="SAPBEXaggData 2 5 2 2" xfId="35207" xr:uid="{39BCC79A-3A08-4930-915A-BE897F566C1D}"/>
    <cellStyle name="SAPBEXaggData 2 5 3" xfId="34603" xr:uid="{E7334600-611F-4B2A-82D5-DE96E7D35BE6}"/>
    <cellStyle name="SAPBEXaggData 2 6" xfId="18100" xr:uid="{00000000-0005-0000-0000-0000C8430000}"/>
    <cellStyle name="SAPBEXaggData 2 7" xfId="18083" xr:uid="{00000000-0005-0000-0000-0000B7430000}"/>
    <cellStyle name="SAPBEXaggData 2 8" xfId="20755" xr:uid="{C3CDF4D3-1B08-47A5-B85F-88EDFC9A4505}"/>
    <cellStyle name="SAPBEXaggData 2 8 2" xfId="35748" xr:uid="{501857FD-4881-4CE8-9053-1EF2C58DD396}"/>
    <cellStyle name="SAPBEXaggData 2 9" xfId="28094" xr:uid="{B753D49B-7DD8-4612-AF68-9F6C3E8C87CA}"/>
    <cellStyle name="SAPBEXaggData 3" xfId="18101" xr:uid="{00000000-0005-0000-0000-0000C9430000}"/>
    <cellStyle name="SAPBEXaggData 3 2" xfId="18102" xr:uid="{00000000-0005-0000-0000-0000CA430000}"/>
    <cellStyle name="SAPBEXaggData 3 2 2" xfId="18103" xr:uid="{00000000-0005-0000-0000-0000CB430000}"/>
    <cellStyle name="SAPBEXaggData 3 2 2 2" xfId="20190" xr:uid="{00000000-0005-0000-0000-0000CB430000}"/>
    <cellStyle name="SAPBEXaggData 3 2 2 2 2" xfId="27618" xr:uid="{6A49192E-B093-4F34-81CE-B07F791CD91C}"/>
    <cellStyle name="SAPBEXaggData 3 2 2 2 2 2" xfId="42555" xr:uid="{9F698232-5281-4D07-BC15-B8F8C8F36FCC}"/>
    <cellStyle name="SAPBEXaggData 3 2 2 2 3" xfId="35208" xr:uid="{AD7C06B8-60D9-4FBE-B917-D01F6DED4594}"/>
    <cellStyle name="SAPBEXaggData 3 2 2 3" xfId="27208" xr:uid="{84B8618E-A01A-4600-AC56-F11B14017FC9}"/>
    <cellStyle name="SAPBEXaggData 3 2 2 3 2" xfId="42171" xr:uid="{2D736C33-C67D-47C3-90B6-1320F18F46AD}"/>
    <cellStyle name="SAPBEXaggData 3 2 2 4" xfId="34604" xr:uid="{EA33E3A7-56C4-4AED-AA2F-2585EF979B9B}"/>
    <cellStyle name="SAPBEXaggData 3 3" xfId="18104" xr:uid="{00000000-0005-0000-0000-0000CC430000}"/>
    <cellStyle name="SAPBEXaggData 3 3 2" xfId="20191" xr:uid="{00000000-0005-0000-0000-0000CC430000}"/>
    <cellStyle name="SAPBEXaggData 3 3 2 2" xfId="27619" xr:uid="{94D7B3EF-D59B-45C5-8384-304CBCF1BE28}"/>
    <cellStyle name="SAPBEXaggData 3 3 2 2 2" xfId="42556" xr:uid="{7D567FEE-7630-44A2-9C36-04A37F6B7109}"/>
    <cellStyle name="SAPBEXaggData 3 3 2 3" xfId="35209" xr:uid="{7A856506-17A1-4932-A0FC-5B1EE6799E6F}"/>
    <cellStyle name="SAPBEXaggData 3 3 3" xfId="27209" xr:uid="{A9877443-6ED0-4DBD-B6D9-30AC3CE4BFCA}"/>
    <cellStyle name="SAPBEXaggData 3 3 3 2" xfId="42172" xr:uid="{B505722C-C6B3-4F38-BB1F-55D1845E62D4}"/>
    <cellStyle name="SAPBEXaggData 3 3 4" xfId="34605" xr:uid="{C93874CE-0BA1-4D91-ADAB-1EA08BBEA9C2}"/>
    <cellStyle name="SAPBEXaggData 3 4" xfId="18105" xr:uid="{00000000-0005-0000-0000-0000CD430000}"/>
    <cellStyle name="SAPBEXaggData 3 4 2" xfId="20192" xr:uid="{00000000-0005-0000-0000-0000CD430000}"/>
    <cellStyle name="SAPBEXaggData 3 4 2 2" xfId="35210" xr:uid="{0A90E411-1A95-4023-A149-F7CAE8E7E7B3}"/>
    <cellStyle name="SAPBEXaggData 3 4 3" xfId="34606" xr:uid="{475538D0-536F-43A7-8470-E8F03AC55EFC}"/>
    <cellStyle name="SAPBEXaggData 3 5" xfId="18106" xr:uid="{00000000-0005-0000-0000-0000CE430000}"/>
    <cellStyle name="SAPBEXaggData 4" xfId="18107" xr:uid="{00000000-0005-0000-0000-0000CF430000}"/>
    <cellStyle name="SAPBEXaggData 4 2" xfId="18108" xr:uid="{00000000-0005-0000-0000-0000D0430000}"/>
    <cellStyle name="SAPBEXaggData 4 3" xfId="20193" xr:uid="{00000000-0005-0000-0000-0000CF430000}"/>
    <cellStyle name="SAPBEXaggData 4 3 2" xfId="35211" xr:uid="{E5017967-0CA5-42D2-B0DC-5293FA3B4142}"/>
    <cellStyle name="SAPBEXaggData 4 4" xfId="34607" xr:uid="{94ED64BC-1EEB-4F03-BE5D-40E4A8E63EB0}"/>
    <cellStyle name="SAPBEXaggData 5" xfId="18109" xr:uid="{00000000-0005-0000-0000-0000D1430000}"/>
    <cellStyle name="SAPBEXaggData 6" xfId="18110" xr:uid="{00000000-0005-0000-0000-0000D2430000}"/>
    <cellStyle name="SAPBEXaggData 6 2" xfId="20194" xr:uid="{00000000-0005-0000-0000-0000D2430000}"/>
    <cellStyle name="SAPBEXaggData 6 2 2" xfId="27620" xr:uid="{5DC9A08E-CE95-48FC-A02C-24E9DB7FA5F6}"/>
    <cellStyle name="SAPBEXaggData 6 2 2 2" xfId="42557" xr:uid="{0FCCDD83-5701-4DB4-8E72-7D7C5D3CAEF4}"/>
    <cellStyle name="SAPBEXaggData 6 2 3" xfId="35212" xr:uid="{F1A6FE37-E875-4732-967A-BB5914578006}"/>
    <cellStyle name="SAPBEXaggData 6 3" xfId="34608" xr:uid="{DD6FD900-7CD9-453F-A51A-21E1FD8A9216}"/>
    <cellStyle name="SAPBEXaggData 7" xfId="18111" xr:uid="{00000000-0005-0000-0000-0000D3430000}"/>
    <cellStyle name="SAPBEXaggData 8" xfId="13621" xr:uid="{00000000-0005-0000-0000-0000B6430000}"/>
    <cellStyle name="SAPBEXaggData 8 2" xfId="33839" xr:uid="{71F17B24-5AB8-4FE5-AFAD-DABE7A81ACB2}"/>
    <cellStyle name="SAPBEXaggData 9" xfId="28093" xr:uid="{F7A4F650-0E83-402C-9E40-99A2822DEA43}"/>
    <cellStyle name="SAPBEXaggData_App b.3 Unspent_" xfId="2648" xr:uid="{00000000-0005-0000-0000-00002D0A0000}"/>
    <cellStyle name="SAPBEXaggDataEmph" xfId="2649" xr:uid="{00000000-0005-0000-0000-00002E0A0000}"/>
    <cellStyle name="SAPBEXaggDataEmph 2" xfId="2650" xr:uid="{00000000-0005-0000-0000-00002F0A0000}"/>
    <cellStyle name="SAPBEXaggDataEmph 2 2" xfId="18114" xr:uid="{00000000-0005-0000-0000-0000D6430000}"/>
    <cellStyle name="SAPBEXaggDataEmph 2 2 2" xfId="18115" xr:uid="{00000000-0005-0000-0000-0000D7430000}"/>
    <cellStyle name="SAPBEXaggDataEmph 2 2 2 2" xfId="20195" xr:uid="{00000000-0005-0000-0000-0000D7430000}"/>
    <cellStyle name="SAPBEXaggDataEmph 2 2 2 2 2" xfId="27621" xr:uid="{CEEEA48A-F0B8-47A8-9232-29FAF32AF8A0}"/>
    <cellStyle name="SAPBEXaggDataEmph 2 2 2 2 2 2" xfId="42558" xr:uid="{A1833B7B-0B45-43B6-8A31-99FC42A0EBC7}"/>
    <cellStyle name="SAPBEXaggDataEmph 2 2 2 2 3" xfId="35213" xr:uid="{8120D18D-C3D1-42D8-8BAA-B7E6245B0475}"/>
    <cellStyle name="SAPBEXaggDataEmph 2 2 2 3" xfId="27210" xr:uid="{9758F749-D085-47F4-898B-03537C8805BC}"/>
    <cellStyle name="SAPBEXaggDataEmph 2 2 2 3 2" xfId="42173" xr:uid="{C5938836-04E3-436B-9E13-8DFB699409D3}"/>
    <cellStyle name="SAPBEXaggDataEmph 2 2 2 4" xfId="34609" xr:uid="{24EB87DC-BB05-4C3C-B5D5-07AA88877859}"/>
    <cellStyle name="SAPBEXaggDataEmph 2 3" xfId="18116" xr:uid="{00000000-0005-0000-0000-0000D8430000}"/>
    <cellStyle name="SAPBEXaggDataEmph 2 3 2" xfId="20196" xr:uid="{00000000-0005-0000-0000-0000D8430000}"/>
    <cellStyle name="SAPBEXaggDataEmph 2 3 2 2" xfId="27622" xr:uid="{409F6315-B5C5-4BEE-94DB-3D2F5EF8BABC}"/>
    <cellStyle name="SAPBEXaggDataEmph 2 3 2 2 2" xfId="42559" xr:uid="{7C77A9BE-01D6-4652-9D19-AC8B9554CBCF}"/>
    <cellStyle name="SAPBEXaggDataEmph 2 3 2 3" xfId="35214" xr:uid="{59814B52-E2DB-446A-B5BA-AA316A08B741}"/>
    <cellStyle name="SAPBEXaggDataEmph 2 3 3" xfId="27211" xr:uid="{9B1C2430-6818-4CFF-AA5D-B4B2BE1F8604}"/>
    <cellStyle name="SAPBEXaggDataEmph 2 3 3 2" xfId="42174" xr:uid="{FF52FBDC-8C59-4FDB-A0CF-4ADD6C030AA0}"/>
    <cellStyle name="SAPBEXaggDataEmph 2 3 4" xfId="34610" xr:uid="{49C5E707-CDC7-4F99-B371-DBB480E4D2C8}"/>
    <cellStyle name="SAPBEXaggDataEmph 2 4" xfId="18117" xr:uid="{00000000-0005-0000-0000-0000D9430000}"/>
    <cellStyle name="SAPBEXaggDataEmph 2 5" xfId="18113" xr:uid="{00000000-0005-0000-0000-0000D5430000}"/>
    <cellStyle name="SAPBEXaggDataEmph 2 6" xfId="20756" xr:uid="{6D76ADAB-A09C-4374-BA64-7E47AD08BAF6}"/>
    <cellStyle name="SAPBEXaggDataEmph 2 6 2" xfId="35749" xr:uid="{8A4E5078-4F4C-4EC0-9887-8B09306094A0}"/>
    <cellStyle name="SAPBEXaggDataEmph 2 7" xfId="28096" xr:uid="{B580D2B2-B0BC-4876-937C-095ED0A405C1}"/>
    <cellStyle name="SAPBEXaggDataEmph 3" xfId="18118" xr:uid="{00000000-0005-0000-0000-0000DA430000}"/>
    <cellStyle name="SAPBEXaggDataEmph 3 2" xfId="18119" xr:uid="{00000000-0005-0000-0000-0000DB430000}"/>
    <cellStyle name="SAPBEXaggDataEmph 3 3" xfId="18120" xr:uid="{00000000-0005-0000-0000-0000DC430000}"/>
    <cellStyle name="SAPBEXaggDataEmph 3 3 2" xfId="20197" xr:uid="{00000000-0005-0000-0000-0000DC430000}"/>
    <cellStyle name="SAPBEXaggDataEmph 3 3 2 2" xfId="27623" xr:uid="{C80A963E-3DF1-4851-A480-E91B0DB2A3DF}"/>
    <cellStyle name="SAPBEXaggDataEmph 3 3 2 2 2" xfId="42560" xr:uid="{C01130D0-FE73-4972-AD09-3228FA7563D8}"/>
    <cellStyle name="SAPBEXaggDataEmph 3 3 2 3" xfId="35215" xr:uid="{D4EA36A0-AEFA-4465-8214-6FF51606F4B2}"/>
    <cellStyle name="SAPBEXaggDataEmph 3 3 3" xfId="34611" xr:uid="{DAF033F7-2E07-4F7C-9B3E-4FB01D6CC222}"/>
    <cellStyle name="SAPBEXaggDataEmph 3 4" xfId="18121" xr:uid="{00000000-0005-0000-0000-0000DD430000}"/>
    <cellStyle name="SAPBEXaggDataEmph 3 4 2" xfId="20198" xr:uid="{00000000-0005-0000-0000-0000DD430000}"/>
    <cellStyle name="SAPBEXaggDataEmph 3 4 2 2" xfId="35216" xr:uid="{D0497548-00C8-4E3F-88E7-10303C1BFB06}"/>
    <cellStyle name="SAPBEXaggDataEmph 3 4 3" xfId="34612" xr:uid="{871F38C8-E9CB-4F2B-93B9-D68FF336CEEC}"/>
    <cellStyle name="SAPBEXaggDataEmph 3 5" xfId="18122" xr:uid="{00000000-0005-0000-0000-0000DE430000}"/>
    <cellStyle name="SAPBEXaggDataEmph 4" xfId="18123" xr:uid="{00000000-0005-0000-0000-0000DF430000}"/>
    <cellStyle name="SAPBEXaggDataEmph 4 2" xfId="18124" xr:uid="{00000000-0005-0000-0000-0000E0430000}"/>
    <cellStyle name="SAPBEXaggDataEmph 4 2 2" xfId="20199" xr:uid="{00000000-0005-0000-0000-0000E0430000}"/>
    <cellStyle name="SAPBEXaggDataEmph 4 2 2 2" xfId="35217" xr:uid="{10E79AA7-E3E6-48CF-8782-93030F4C10F9}"/>
    <cellStyle name="SAPBEXaggDataEmph 4 2 3" xfId="34613" xr:uid="{161AE55A-440C-4746-B329-D6B3B47140AE}"/>
    <cellStyle name="SAPBEXaggDataEmph 5" xfId="18125" xr:uid="{00000000-0005-0000-0000-0000E1430000}"/>
    <cellStyle name="SAPBEXaggDataEmph 5 2" xfId="20200" xr:uid="{00000000-0005-0000-0000-0000E1430000}"/>
    <cellStyle name="SAPBEXaggDataEmph 5 2 2" xfId="27624" xr:uid="{7DBBC2D9-4414-4847-B0B0-ED32689450E9}"/>
    <cellStyle name="SAPBEXaggDataEmph 5 2 2 2" xfId="42561" xr:uid="{CFF29213-788B-4545-A39F-8899AD66E8F7}"/>
    <cellStyle name="SAPBEXaggDataEmph 5 2 3" xfId="35218" xr:uid="{2E4144A2-8E31-4710-9439-34F633C5D7EF}"/>
    <cellStyle name="SAPBEXaggDataEmph 5 3" xfId="34614" xr:uid="{BD19D1D2-3679-47B4-AD25-829369E19041}"/>
    <cellStyle name="SAPBEXaggDataEmph 6" xfId="18126" xr:uid="{00000000-0005-0000-0000-0000E2430000}"/>
    <cellStyle name="SAPBEXaggDataEmph 7" xfId="18112" xr:uid="{00000000-0005-0000-0000-0000D4430000}"/>
    <cellStyle name="SAPBEXaggDataEmph 8" xfId="28095" xr:uid="{4DFB5C1E-6C02-4F97-B07D-97BBBA5004A1}"/>
    <cellStyle name="SAPBEXaggExc1" xfId="2651" xr:uid="{00000000-0005-0000-0000-0000300A0000}"/>
    <cellStyle name="SAPBEXaggExc1 2" xfId="18128" xr:uid="{00000000-0005-0000-0000-0000E4430000}"/>
    <cellStyle name="SAPBEXaggExc1 2 2" xfId="18129" xr:uid="{00000000-0005-0000-0000-0000E5430000}"/>
    <cellStyle name="SAPBEXaggExc1 3" xfId="18130" xr:uid="{00000000-0005-0000-0000-0000E6430000}"/>
    <cellStyle name="SAPBEXaggExc1 4" xfId="18127" xr:uid="{00000000-0005-0000-0000-0000E3430000}"/>
    <cellStyle name="SAPBEXaggExc1Emph" xfId="2652" xr:uid="{00000000-0005-0000-0000-0000310A0000}"/>
    <cellStyle name="SAPBEXaggExc1Emph 2" xfId="18132" xr:uid="{00000000-0005-0000-0000-0000E8430000}"/>
    <cellStyle name="SAPBEXaggExc1Emph 2 2" xfId="18133" xr:uid="{00000000-0005-0000-0000-0000E9430000}"/>
    <cellStyle name="SAPBEXaggExc1Emph 3" xfId="18134" xr:uid="{00000000-0005-0000-0000-0000EA430000}"/>
    <cellStyle name="SAPBEXaggExc1Emph 4" xfId="18131" xr:uid="{00000000-0005-0000-0000-0000E7430000}"/>
    <cellStyle name="SAPBEXaggExc2" xfId="2653" xr:uid="{00000000-0005-0000-0000-0000320A0000}"/>
    <cellStyle name="SAPBEXaggExc2 2" xfId="18136" xr:uid="{00000000-0005-0000-0000-0000EC430000}"/>
    <cellStyle name="SAPBEXaggExc2 2 2" xfId="18137" xr:uid="{00000000-0005-0000-0000-0000ED430000}"/>
    <cellStyle name="SAPBEXaggExc2 3" xfId="18138" xr:uid="{00000000-0005-0000-0000-0000EE430000}"/>
    <cellStyle name="SAPBEXaggExc2 4" xfId="18135" xr:uid="{00000000-0005-0000-0000-0000EB430000}"/>
    <cellStyle name="SAPBEXaggExc2Emph" xfId="2654" xr:uid="{00000000-0005-0000-0000-0000330A0000}"/>
    <cellStyle name="SAPBEXaggExc2Emph 2" xfId="18140" xr:uid="{00000000-0005-0000-0000-0000F0430000}"/>
    <cellStyle name="SAPBEXaggExc2Emph 2 2" xfId="18141" xr:uid="{00000000-0005-0000-0000-0000F1430000}"/>
    <cellStyle name="SAPBEXaggExc2Emph 3" xfId="18142" xr:uid="{00000000-0005-0000-0000-0000F2430000}"/>
    <cellStyle name="SAPBEXaggExc2Emph 4" xfId="18139" xr:uid="{00000000-0005-0000-0000-0000EF430000}"/>
    <cellStyle name="SAPBEXaggItem" xfId="2655" xr:uid="{00000000-0005-0000-0000-0000340A0000}"/>
    <cellStyle name="SAPBEXaggItem 2" xfId="2896" xr:uid="{00000000-0005-0000-0000-0000350A0000}"/>
    <cellStyle name="SAPBEXaggItem 2 2" xfId="18145" xr:uid="{00000000-0005-0000-0000-0000F5430000}"/>
    <cellStyle name="SAPBEXaggItem 2 2 2" xfId="18146" xr:uid="{00000000-0005-0000-0000-0000F6430000}"/>
    <cellStyle name="SAPBEXaggItem 2 2 3" xfId="18147" xr:uid="{00000000-0005-0000-0000-0000F7430000}"/>
    <cellStyle name="SAPBEXaggItem 2 2 3 2" xfId="20201" xr:uid="{00000000-0005-0000-0000-0000F7430000}"/>
    <cellStyle name="SAPBEXaggItem 2 2 3 2 2" xfId="27625" xr:uid="{46FB085F-627C-4055-A22F-00F5ADA3002E}"/>
    <cellStyle name="SAPBEXaggItem 2 2 3 2 2 2" xfId="42562" xr:uid="{42575857-085C-4BF5-97E7-8176A75017C0}"/>
    <cellStyle name="SAPBEXaggItem 2 2 3 2 3" xfId="35219" xr:uid="{09F0CB8E-3989-4BBA-90EE-EB5A67D7CE79}"/>
    <cellStyle name="SAPBEXaggItem 2 2 3 3" xfId="27212" xr:uid="{8C77A371-E7C4-4ADF-8467-5CFC1920966D}"/>
    <cellStyle name="SAPBEXaggItem 2 2 3 3 2" xfId="42175" xr:uid="{A2ACD8BD-E274-456A-90AD-7A99200FD463}"/>
    <cellStyle name="SAPBEXaggItem 2 2 3 4" xfId="34615" xr:uid="{F40ADBF1-2D99-44BE-870E-D6BA25CB60DB}"/>
    <cellStyle name="SAPBEXaggItem 2 2 4" xfId="18148" xr:uid="{00000000-0005-0000-0000-0000F8430000}"/>
    <cellStyle name="SAPBEXaggItem 2 3" xfId="18149" xr:uid="{00000000-0005-0000-0000-0000F9430000}"/>
    <cellStyle name="SAPBEXaggItem 2 3 2" xfId="18150" xr:uid="{00000000-0005-0000-0000-0000FA430000}"/>
    <cellStyle name="SAPBEXaggItem 2 3 3" xfId="18151" xr:uid="{00000000-0005-0000-0000-0000FB430000}"/>
    <cellStyle name="SAPBEXaggItem 2 3 3 2" xfId="20202" xr:uid="{00000000-0005-0000-0000-0000FB430000}"/>
    <cellStyle name="SAPBEXaggItem 2 3 3 2 2" xfId="27626" xr:uid="{306A4652-137A-4F4F-A627-8FF0EEFC5CF8}"/>
    <cellStyle name="SAPBEXaggItem 2 3 3 2 2 2" xfId="42563" xr:uid="{C72429E8-A6AC-456F-BE4F-937FC973D3D0}"/>
    <cellStyle name="SAPBEXaggItem 2 3 3 2 3" xfId="35220" xr:uid="{FA659A19-20B5-4D5A-8F94-A845A6AF2988}"/>
    <cellStyle name="SAPBEXaggItem 2 3 3 3" xfId="27213" xr:uid="{4189F83A-A7F1-4976-AC28-517CC187D560}"/>
    <cellStyle name="SAPBEXaggItem 2 3 3 3 2" xfId="42176" xr:uid="{47A95659-F32D-4259-A920-FCF29F8E532F}"/>
    <cellStyle name="SAPBEXaggItem 2 3 3 4" xfId="34616" xr:uid="{E54BC72E-0241-43B8-833B-CEC8B3493A1F}"/>
    <cellStyle name="SAPBEXaggItem 2 3 4" xfId="18152" xr:uid="{00000000-0005-0000-0000-0000FC430000}"/>
    <cellStyle name="SAPBEXaggItem 2 4" xfId="18153" xr:uid="{00000000-0005-0000-0000-0000FD430000}"/>
    <cellStyle name="SAPBEXaggItem 2 4 2" xfId="18154" xr:uid="{00000000-0005-0000-0000-0000FE430000}"/>
    <cellStyle name="SAPBEXaggItem 2 4 2 2" xfId="20203" xr:uid="{00000000-0005-0000-0000-0000FE430000}"/>
    <cellStyle name="SAPBEXaggItem 2 4 2 2 2" xfId="27627" xr:uid="{4F56A73A-A066-4031-A31C-A5B19AE8BF4D}"/>
    <cellStyle name="SAPBEXaggItem 2 4 2 2 2 2" xfId="42564" xr:uid="{68645717-84EA-4ED7-9BE5-0D3776860A8F}"/>
    <cellStyle name="SAPBEXaggItem 2 4 2 2 3" xfId="35221" xr:uid="{2B112E46-5DE0-49C1-8688-F4DCCF072096}"/>
    <cellStyle name="SAPBEXaggItem 2 4 2 3" xfId="27214" xr:uid="{08A8E556-0474-4E21-9F73-6C2ADD6C9FAA}"/>
    <cellStyle name="SAPBEXaggItem 2 4 2 3 2" xfId="42177" xr:uid="{95DA4CF4-5808-4DA4-8494-1D6E24B2529E}"/>
    <cellStyle name="SAPBEXaggItem 2 4 2 4" xfId="34617" xr:uid="{32E8DFA2-7DE8-4BB3-9FE1-D6EF3ACD13AB}"/>
    <cellStyle name="SAPBEXaggItem 2 5" xfId="18155" xr:uid="{00000000-0005-0000-0000-0000FF430000}"/>
    <cellStyle name="SAPBEXaggItem 2 5 2" xfId="20204" xr:uid="{00000000-0005-0000-0000-0000FF430000}"/>
    <cellStyle name="SAPBEXaggItem 2 5 2 2" xfId="27628" xr:uid="{FD1A25E0-A05C-4B56-A29B-B8A1AD9181DC}"/>
    <cellStyle name="SAPBEXaggItem 2 5 2 2 2" xfId="42565" xr:uid="{161FC5C2-19DE-486E-A708-949D479EF0B5}"/>
    <cellStyle name="SAPBEXaggItem 2 5 2 3" xfId="35222" xr:uid="{DF6E4752-B518-40AF-A113-AA707B951A64}"/>
    <cellStyle name="SAPBEXaggItem 2 5 3" xfId="27215" xr:uid="{D3F8B417-7821-4B21-B81B-0C1837B64CB4}"/>
    <cellStyle name="SAPBEXaggItem 2 5 3 2" xfId="42178" xr:uid="{3E88CBC7-5D44-4164-A7EE-C304EABE03F6}"/>
    <cellStyle name="SAPBEXaggItem 2 5 4" xfId="34618" xr:uid="{2E08C059-11DF-43A2-901D-9B946B1FF988}"/>
    <cellStyle name="SAPBEXaggItem 2 6" xfId="18156" xr:uid="{00000000-0005-0000-0000-000000440000}"/>
    <cellStyle name="SAPBEXaggItem 2 7" xfId="18144" xr:uid="{00000000-0005-0000-0000-0000F4430000}"/>
    <cellStyle name="SAPBEXaggItem 2 8" xfId="20852" xr:uid="{3D980267-85D9-4937-B22E-5FC35077F98A}"/>
    <cellStyle name="SAPBEXaggItem 2 8 2" xfId="35828" xr:uid="{568F150F-03B2-4428-A2C6-0B8DAC6D4D03}"/>
    <cellStyle name="SAPBEXaggItem 2 9" xfId="28224" xr:uid="{D0000829-C43C-4CBC-8FBD-E8F47A8C35FC}"/>
    <cellStyle name="SAPBEXaggItem 3" xfId="18157" xr:uid="{00000000-0005-0000-0000-000001440000}"/>
    <cellStyle name="SAPBEXaggItem 3 2" xfId="18158" xr:uid="{00000000-0005-0000-0000-000002440000}"/>
    <cellStyle name="SAPBEXaggItem 3 3" xfId="18159" xr:uid="{00000000-0005-0000-0000-000003440000}"/>
    <cellStyle name="SAPBEXaggItem 3 3 2" xfId="20205" xr:uid="{00000000-0005-0000-0000-000003440000}"/>
    <cellStyle name="SAPBEXaggItem 3 3 2 2" xfId="27629" xr:uid="{8989FBF5-3689-43ED-BA83-440E8079B355}"/>
    <cellStyle name="SAPBEXaggItem 3 3 2 2 2" xfId="42566" xr:uid="{38592A00-E5E7-47DE-A606-AE00D410B7F5}"/>
    <cellStyle name="SAPBEXaggItem 3 3 2 3" xfId="35223" xr:uid="{64647B17-102E-4F77-B83E-E69F524D9410}"/>
    <cellStyle name="SAPBEXaggItem 3 3 3" xfId="27216" xr:uid="{3F573794-083F-4479-AAA9-B9B70907CFB2}"/>
    <cellStyle name="SAPBEXaggItem 3 3 3 2" xfId="42179" xr:uid="{EEACA2D0-F899-49CF-8431-7DD7C8EBCCEB}"/>
    <cellStyle name="SAPBEXaggItem 3 3 4" xfId="34619" xr:uid="{90EAD71D-19F6-4EE7-AC06-2A6B6A3F7131}"/>
    <cellStyle name="SAPBEXaggItem 3 4" xfId="18160" xr:uid="{00000000-0005-0000-0000-000004440000}"/>
    <cellStyle name="SAPBEXaggItem 3 4 2" xfId="20206" xr:uid="{00000000-0005-0000-0000-000004440000}"/>
    <cellStyle name="SAPBEXaggItem 3 4 2 2" xfId="35224" xr:uid="{2C61E122-CDE2-4A0E-9F17-7AC03F61687A}"/>
    <cellStyle name="SAPBEXaggItem 3 4 3" xfId="34620" xr:uid="{AAC31678-37D4-4E9D-B012-F31EC77746D6}"/>
    <cellStyle name="SAPBEXaggItem 3 5" xfId="18161" xr:uid="{00000000-0005-0000-0000-000005440000}"/>
    <cellStyle name="SAPBEXaggItem 4" xfId="18162" xr:uid="{00000000-0005-0000-0000-000006440000}"/>
    <cellStyle name="SAPBEXaggItem 4 2" xfId="18163" xr:uid="{00000000-0005-0000-0000-000007440000}"/>
    <cellStyle name="SAPBEXaggItem 4 2 2" xfId="20207" xr:uid="{00000000-0005-0000-0000-000007440000}"/>
    <cellStyle name="SAPBEXaggItem 4 2 2 2" xfId="35225" xr:uid="{33C32488-3E7C-4C1C-BC7A-E302E95397F4}"/>
    <cellStyle name="SAPBEXaggItem 4 2 3" xfId="34621" xr:uid="{1E5C01DA-DFB1-469F-B8EA-730B69CCC123}"/>
    <cellStyle name="SAPBEXaggItem 5" xfId="18164" xr:uid="{00000000-0005-0000-0000-000008440000}"/>
    <cellStyle name="SAPBEXaggItem 5 2" xfId="20208" xr:uid="{00000000-0005-0000-0000-000008440000}"/>
    <cellStyle name="SAPBEXaggItem 5 2 2" xfId="27630" xr:uid="{C463F09A-2D3F-4046-B799-8282074728C5}"/>
    <cellStyle name="SAPBEXaggItem 5 2 2 2" xfId="42567" xr:uid="{96A62279-E941-4D89-A79B-0DEE11CBFCCC}"/>
    <cellStyle name="SAPBEXaggItem 5 2 3" xfId="35226" xr:uid="{F21323C7-9A00-4B76-80B3-7D75CC2CB5E2}"/>
    <cellStyle name="SAPBEXaggItem 5 3" xfId="34622" xr:uid="{CA2B6052-3933-4632-92C6-EA51C5BC7405}"/>
    <cellStyle name="SAPBEXaggItem 6" xfId="18165" xr:uid="{00000000-0005-0000-0000-000009440000}"/>
    <cellStyle name="SAPBEXaggItem 7" xfId="18143" xr:uid="{00000000-0005-0000-0000-0000F3430000}"/>
    <cellStyle name="SAPBEXaggItem 8" xfId="20757" xr:uid="{36C64A79-A634-42D4-93D5-DFE40DE9495C}"/>
    <cellStyle name="SAPBEXaggItem 8 2" xfId="35750" xr:uid="{A70E53D6-2151-4BBB-8091-97535C24DB69}"/>
    <cellStyle name="SAPBEXaggItem 9" xfId="28097" xr:uid="{DEBAD5F2-BFC0-4936-BA23-E4C203D3CE4E}"/>
    <cellStyle name="SAPBEXaggItemX" xfId="2656" xr:uid="{00000000-0005-0000-0000-0000360A0000}"/>
    <cellStyle name="SAPBEXaggItemX 2" xfId="2657" xr:uid="{00000000-0005-0000-0000-0000370A0000}"/>
    <cellStyle name="SAPBEXaggItemX 2 2" xfId="18168" xr:uid="{00000000-0005-0000-0000-00000C440000}"/>
    <cellStyle name="SAPBEXaggItemX 2 2 2" xfId="18169" xr:uid="{00000000-0005-0000-0000-00000D440000}"/>
    <cellStyle name="SAPBEXaggItemX 2 2 2 2" xfId="20209" xr:uid="{00000000-0005-0000-0000-00000D440000}"/>
    <cellStyle name="SAPBEXaggItemX 2 2 2 2 2" xfId="27631" xr:uid="{A82A1C3F-2D85-4E77-8A45-EE41920DD286}"/>
    <cellStyle name="SAPBEXaggItemX 2 2 2 2 2 2" xfId="42568" xr:uid="{DD501F8A-9167-4690-BFB2-3A342CEAD1FE}"/>
    <cellStyle name="SAPBEXaggItemX 2 2 2 2 3" xfId="35227" xr:uid="{DEE7F1E0-7CD8-491F-9E77-F2D64CAED194}"/>
    <cellStyle name="SAPBEXaggItemX 2 2 2 3" xfId="34623" xr:uid="{C2FEB0AB-A187-46D9-9829-8C73CD2FFEB8}"/>
    <cellStyle name="SAPBEXaggItemX 2 3" xfId="18170" xr:uid="{00000000-0005-0000-0000-00000E440000}"/>
    <cellStyle name="SAPBEXaggItemX 2 3 2" xfId="20210" xr:uid="{00000000-0005-0000-0000-00000E440000}"/>
    <cellStyle name="SAPBEXaggItemX 2 3 2 2" xfId="27632" xr:uid="{C99090E1-39AD-4524-8AE6-2332A811B39E}"/>
    <cellStyle name="SAPBEXaggItemX 2 3 2 2 2" xfId="42569" xr:uid="{8B03C39E-F883-4D31-8B1E-FDD23CA8E340}"/>
    <cellStyle name="SAPBEXaggItemX 2 3 2 3" xfId="35228" xr:uid="{B1A3DD5D-3350-4914-AEB9-C3D1B5A4C680}"/>
    <cellStyle name="SAPBEXaggItemX 2 3 3" xfId="34624" xr:uid="{B152CD07-7555-42D6-BD85-F7BAA5D2C094}"/>
    <cellStyle name="SAPBEXaggItemX 2 4" xfId="18171" xr:uid="{00000000-0005-0000-0000-00000F440000}"/>
    <cellStyle name="SAPBEXaggItemX 2 5" xfId="18167" xr:uid="{00000000-0005-0000-0000-00000B440000}"/>
    <cellStyle name="SAPBEXaggItemX 2 6" xfId="20758" xr:uid="{DC031EAF-66E1-4633-8399-7AF7F7133466}"/>
    <cellStyle name="SAPBEXaggItemX 2 6 2" xfId="35751" xr:uid="{338B7F47-6D18-4404-AB79-0A06456AB51B}"/>
    <cellStyle name="SAPBEXaggItemX 2 7" xfId="28099" xr:uid="{40833465-28F8-46CB-9826-C9DFD8E294CE}"/>
    <cellStyle name="SAPBEXaggItemX 3" xfId="18172" xr:uid="{00000000-0005-0000-0000-000010440000}"/>
    <cellStyle name="SAPBEXaggItemX 3 2" xfId="18173" xr:uid="{00000000-0005-0000-0000-000011440000}"/>
    <cellStyle name="SAPBEXaggItemX 3 3" xfId="18174" xr:uid="{00000000-0005-0000-0000-000012440000}"/>
    <cellStyle name="SAPBEXaggItemX 3 3 2" xfId="20211" xr:uid="{00000000-0005-0000-0000-000012440000}"/>
    <cellStyle name="SAPBEXaggItemX 3 3 2 2" xfId="27633" xr:uid="{FFCD6108-AFF7-48BA-A38E-21B54556F4DF}"/>
    <cellStyle name="SAPBEXaggItemX 3 3 2 2 2" xfId="42570" xr:uid="{C7CEA03D-0839-4A03-BB99-9EF94E0E36BE}"/>
    <cellStyle name="SAPBEXaggItemX 3 3 2 3" xfId="35229" xr:uid="{2244F087-F3FE-4292-BE4B-51AEB1173897}"/>
    <cellStyle name="SAPBEXaggItemX 3 3 3" xfId="34625" xr:uid="{2C370EFE-70F7-493C-B217-8CF1C2BF81D9}"/>
    <cellStyle name="SAPBEXaggItemX 3 4" xfId="18175" xr:uid="{00000000-0005-0000-0000-000013440000}"/>
    <cellStyle name="SAPBEXaggItemX 3 4 2" xfId="20212" xr:uid="{00000000-0005-0000-0000-000013440000}"/>
    <cellStyle name="SAPBEXaggItemX 3 4 2 2" xfId="35230" xr:uid="{ABDD1C47-57CF-4FC7-B1E4-5D86F2FB4656}"/>
    <cellStyle name="SAPBEXaggItemX 3 4 3" xfId="34626" xr:uid="{5A690900-C57A-4969-9A06-CA30CF75EB8F}"/>
    <cellStyle name="SAPBEXaggItemX 3 5" xfId="18176" xr:uid="{00000000-0005-0000-0000-000014440000}"/>
    <cellStyle name="SAPBEXaggItemX 4" xfId="18177" xr:uid="{00000000-0005-0000-0000-000015440000}"/>
    <cellStyle name="SAPBEXaggItemX 4 2" xfId="18178" xr:uid="{00000000-0005-0000-0000-000016440000}"/>
    <cellStyle name="SAPBEXaggItemX 4 2 2" xfId="20213" xr:uid="{00000000-0005-0000-0000-000016440000}"/>
    <cellStyle name="SAPBEXaggItemX 4 2 2 2" xfId="35231" xr:uid="{576DCD40-D839-475D-B830-2F2329238003}"/>
    <cellStyle name="SAPBEXaggItemX 4 2 3" xfId="34627" xr:uid="{1E02944E-A20D-4FCA-B6EC-BC2212C44D09}"/>
    <cellStyle name="SAPBEXaggItemX 5" xfId="18179" xr:uid="{00000000-0005-0000-0000-000017440000}"/>
    <cellStyle name="SAPBEXaggItemX 5 2" xfId="20214" xr:uid="{00000000-0005-0000-0000-000017440000}"/>
    <cellStyle name="SAPBEXaggItemX 5 2 2" xfId="27634" xr:uid="{AA4E6287-3E0A-46A3-A49A-BCD6A6E92BB6}"/>
    <cellStyle name="SAPBEXaggItemX 5 2 2 2" xfId="42571" xr:uid="{C60D9D53-732C-4B98-B75D-4060B0879FFD}"/>
    <cellStyle name="SAPBEXaggItemX 5 2 3" xfId="35232" xr:uid="{939FBAF3-D45D-4E39-B848-28954D2F0A40}"/>
    <cellStyle name="SAPBEXaggItemX 5 3" xfId="34628" xr:uid="{7178310D-857D-433E-9299-5F71EE8D26C7}"/>
    <cellStyle name="SAPBEXaggItemX 6" xfId="18180" xr:uid="{00000000-0005-0000-0000-000018440000}"/>
    <cellStyle name="SAPBEXaggItemX 7" xfId="18166" xr:uid="{00000000-0005-0000-0000-00000A440000}"/>
    <cellStyle name="SAPBEXaggItemX 8" xfId="28098" xr:uid="{8E86DDD4-33B2-4462-82C5-EB419D4F0E1E}"/>
    <cellStyle name="SAPBEXchaText" xfId="2658" xr:uid="{00000000-0005-0000-0000-0000380A0000}"/>
    <cellStyle name="SAPBEXchaText 2" xfId="2659" xr:uid="{00000000-0005-0000-0000-0000390A0000}"/>
    <cellStyle name="SAPBEXchaText 2 10" xfId="28101" xr:uid="{51142D41-FE78-404F-9623-832B080304EC}"/>
    <cellStyle name="SAPBEXchaText 2 2" xfId="2898" xr:uid="{00000000-0005-0000-0000-00003A0A0000}"/>
    <cellStyle name="SAPBEXchaText 2 2 2" xfId="18184" xr:uid="{00000000-0005-0000-0000-00001C440000}"/>
    <cellStyle name="SAPBEXchaText 2 2 3" xfId="18185" xr:uid="{00000000-0005-0000-0000-00001D440000}"/>
    <cellStyle name="SAPBEXchaText 2 2 3 2" xfId="20215" xr:uid="{00000000-0005-0000-0000-00001D440000}"/>
    <cellStyle name="SAPBEXchaText 2 2 3 2 2" xfId="27635" xr:uid="{28C6D428-6C4E-4817-9EF6-083DC37F4C72}"/>
    <cellStyle name="SAPBEXchaText 2 2 3 2 2 2" xfId="42572" xr:uid="{F5A73AB9-64F0-41D1-9EED-E939D12CB2D7}"/>
    <cellStyle name="SAPBEXchaText 2 2 3 2 3" xfId="35233" xr:uid="{47693E6F-D7EB-444E-9A41-359265655DA3}"/>
    <cellStyle name="SAPBEXchaText 2 2 3 3" xfId="27217" xr:uid="{E6FC5562-C39B-4A35-A6FF-A5471197A7BB}"/>
    <cellStyle name="SAPBEXchaText 2 2 3 3 2" xfId="42180" xr:uid="{E2E783F9-6D4C-4B38-B4C9-749DB24CA8E2}"/>
    <cellStyle name="SAPBEXchaText 2 2 3 4" xfId="34629" xr:uid="{E7424522-7081-41C6-991B-7E8C99D9982D}"/>
    <cellStyle name="SAPBEXchaText 2 2 4" xfId="18186" xr:uid="{00000000-0005-0000-0000-00001E440000}"/>
    <cellStyle name="SAPBEXchaText 2 2 5" xfId="18183" xr:uid="{00000000-0005-0000-0000-00001B440000}"/>
    <cellStyle name="SAPBEXchaText 2 2 6" xfId="20854" xr:uid="{3441BAE5-8FC4-42A1-B89E-0EB481D67C33}"/>
    <cellStyle name="SAPBEXchaText 2 2 6 2" xfId="35830" xr:uid="{3B51939E-61D3-40BE-8067-A41FA6D7DEF2}"/>
    <cellStyle name="SAPBEXchaText 2 2 7" xfId="28226" xr:uid="{962EC50B-6056-474B-A064-3817D846A068}"/>
    <cellStyle name="SAPBEXchaText 2 3" xfId="18187" xr:uid="{00000000-0005-0000-0000-00001F440000}"/>
    <cellStyle name="SAPBEXchaText 2 3 2" xfId="18188" xr:uid="{00000000-0005-0000-0000-000020440000}"/>
    <cellStyle name="SAPBEXchaText 2 3 3" xfId="18189" xr:uid="{00000000-0005-0000-0000-000021440000}"/>
    <cellStyle name="SAPBEXchaText 2 3 3 2" xfId="20216" xr:uid="{00000000-0005-0000-0000-000021440000}"/>
    <cellStyle name="SAPBEXchaText 2 3 3 2 2" xfId="27636" xr:uid="{AE2B9F7F-4FB5-4464-B009-447632CE0954}"/>
    <cellStyle name="SAPBEXchaText 2 3 3 2 2 2" xfId="42573" xr:uid="{70EE2A27-3493-4E76-9BC0-CC5A1E41369A}"/>
    <cellStyle name="SAPBEXchaText 2 3 3 2 3" xfId="35234" xr:uid="{CEFF3277-4967-4EBE-A828-C013F325A192}"/>
    <cellStyle name="SAPBEXchaText 2 3 3 3" xfId="27218" xr:uid="{2C999E55-4245-4386-BBCA-0D5EE5E17826}"/>
    <cellStyle name="SAPBEXchaText 2 3 3 3 2" xfId="42181" xr:uid="{35C64186-4A54-4A26-8310-88893223407E}"/>
    <cellStyle name="SAPBEXchaText 2 3 3 4" xfId="34630" xr:uid="{48988AF4-F596-4D86-9118-9382ABAE7657}"/>
    <cellStyle name="SAPBEXchaText 2 3 4" xfId="18190" xr:uid="{00000000-0005-0000-0000-000022440000}"/>
    <cellStyle name="SAPBEXchaText 2 4" xfId="18191" xr:uid="{00000000-0005-0000-0000-000023440000}"/>
    <cellStyle name="SAPBEXchaText 2 4 2" xfId="18192" xr:uid="{00000000-0005-0000-0000-000024440000}"/>
    <cellStyle name="SAPBEXchaText 2 4 2 2" xfId="18193" xr:uid="{00000000-0005-0000-0000-000025440000}"/>
    <cellStyle name="SAPBEXchaText 2 4 2 3" xfId="20217" xr:uid="{00000000-0005-0000-0000-000024440000}"/>
    <cellStyle name="SAPBEXchaText 2 4 2 3 2" xfId="27637" xr:uid="{7BA59542-B4C8-4AC4-A877-7AA2E6F371FE}"/>
    <cellStyle name="SAPBEXchaText 2 4 2 3 2 2" xfId="42574" xr:uid="{D6008D2F-823C-483F-A5FD-050DB96BAE6A}"/>
    <cellStyle name="SAPBEXchaText 2 4 2 3 3" xfId="35235" xr:uid="{F3E0DF10-A13B-4397-93BC-5AE98EE7EFB7}"/>
    <cellStyle name="SAPBEXchaText 2 4 2 4" xfId="27219" xr:uid="{90156A90-D0EA-4AAF-B979-8F643C9595A8}"/>
    <cellStyle name="SAPBEXchaText 2 4 2 4 2" xfId="42182" xr:uid="{2FEE9110-0BF0-4100-ACB2-969AB6A93FEF}"/>
    <cellStyle name="SAPBEXchaText 2 4 2 5" xfId="34631" xr:uid="{CCCA7777-D42B-486A-AB71-3BC9631B89B6}"/>
    <cellStyle name="SAPBEXchaText 2 4 3" xfId="18194" xr:uid="{00000000-0005-0000-0000-000026440000}"/>
    <cellStyle name="SAPBEXchaText 2 5" xfId="18195" xr:uid="{00000000-0005-0000-0000-000027440000}"/>
    <cellStyle name="SAPBEXchaText 2 5 2" xfId="18196" xr:uid="{00000000-0005-0000-0000-000028440000}"/>
    <cellStyle name="SAPBEXchaText 2 5 2 2" xfId="20218" xr:uid="{00000000-0005-0000-0000-000028440000}"/>
    <cellStyle name="SAPBEXchaText 2 5 2 2 2" xfId="27638" xr:uid="{5AA811CB-1EB6-47D0-80F7-683F719E91E5}"/>
    <cellStyle name="SAPBEXchaText 2 5 2 2 2 2" xfId="42575" xr:uid="{ACB96873-E14E-4C67-90AB-5B5B7A6384AD}"/>
    <cellStyle name="SAPBEXchaText 2 5 2 2 3" xfId="35236" xr:uid="{5472D5A8-B650-40FB-AFC5-4EC0835C18CC}"/>
    <cellStyle name="SAPBEXchaText 2 5 2 3" xfId="27220" xr:uid="{DDE9075F-9D1F-4CF6-819D-2AAF18AC86C2}"/>
    <cellStyle name="SAPBEXchaText 2 5 2 3 2" xfId="42183" xr:uid="{49A47E7D-BD0A-4B45-B666-C45B9E34CC21}"/>
    <cellStyle name="SAPBEXchaText 2 5 2 4" xfId="34632" xr:uid="{54B3FC2E-6DBA-4235-A932-E41470A9D683}"/>
    <cellStyle name="SAPBEXchaText 2 6" xfId="18197" xr:uid="{00000000-0005-0000-0000-000029440000}"/>
    <cellStyle name="SAPBEXchaText 2 6 2" xfId="20219" xr:uid="{00000000-0005-0000-0000-000029440000}"/>
    <cellStyle name="SAPBEXchaText 2 6 2 2" xfId="27639" xr:uid="{92E91B38-2C18-42FF-BA66-6CC609EF522D}"/>
    <cellStyle name="SAPBEXchaText 2 6 2 2 2" xfId="42576" xr:uid="{21CEC1C3-00D3-47A9-9CEF-628873E11C30}"/>
    <cellStyle name="SAPBEXchaText 2 6 2 3" xfId="35237" xr:uid="{71F91A62-D729-434B-AB40-ABDF65D9D70B}"/>
    <cellStyle name="SAPBEXchaText 2 6 3" xfId="27221" xr:uid="{08FF3728-4678-434E-A3DA-5BD5203FF46F}"/>
    <cellStyle name="SAPBEXchaText 2 6 3 2" xfId="42184" xr:uid="{139D468C-31A8-475E-8BD1-DD05ED09AFD2}"/>
    <cellStyle name="SAPBEXchaText 2 6 4" xfId="34633" xr:uid="{9140C8A4-3207-41C5-9010-44F0EE0D1055}"/>
    <cellStyle name="SAPBEXchaText 2 7" xfId="18198" xr:uid="{00000000-0005-0000-0000-00002A440000}"/>
    <cellStyle name="SAPBEXchaText 2 8" xfId="18182" xr:uid="{00000000-0005-0000-0000-00001A440000}"/>
    <cellStyle name="SAPBEXchaText 2 9" xfId="20760" xr:uid="{2C3877AC-8D31-4128-8230-1AEAE7FBE257}"/>
    <cellStyle name="SAPBEXchaText 2 9 2" xfId="35753" xr:uid="{2D47377E-5C51-4D0D-89C4-B7825D6F3A24}"/>
    <cellStyle name="SAPBEXchaText 3" xfId="2897" xr:uid="{00000000-0005-0000-0000-00003B0A0000}"/>
    <cellStyle name="SAPBEXchaText 3 2" xfId="18200" xr:uid="{00000000-0005-0000-0000-00002C440000}"/>
    <cellStyle name="SAPBEXchaText 3 2 2" xfId="18201" xr:uid="{00000000-0005-0000-0000-00002D440000}"/>
    <cellStyle name="SAPBEXchaText 3 2 2 2" xfId="20220" xr:uid="{00000000-0005-0000-0000-00002D440000}"/>
    <cellStyle name="SAPBEXchaText 3 2 2 2 2" xfId="35238" xr:uid="{A6A0D2EE-0314-4C38-B4BB-2548FE6C99D3}"/>
    <cellStyle name="SAPBEXchaText 3 2 2 3" xfId="34634" xr:uid="{A1C1230F-D56F-4417-8989-95826B660309}"/>
    <cellStyle name="SAPBEXchaText 3 3" xfId="18202" xr:uid="{00000000-0005-0000-0000-00002E440000}"/>
    <cellStyle name="SAPBEXchaText 3 3 2" xfId="18203" xr:uid="{00000000-0005-0000-0000-00002F440000}"/>
    <cellStyle name="SAPBEXchaText 3 3 2 2" xfId="20222" xr:uid="{00000000-0005-0000-0000-00002F440000}"/>
    <cellStyle name="SAPBEXchaText 3 3 2 2 2" xfId="35240" xr:uid="{DFB57095-FCFE-4FDE-B75A-413F53F3A5D1}"/>
    <cellStyle name="SAPBEXchaText 3 3 2 3" xfId="34636" xr:uid="{DB4279C0-8E8F-487A-AA3A-209A77D784A7}"/>
    <cellStyle name="SAPBEXchaText 3 3 3" xfId="20221" xr:uid="{00000000-0005-0000-0000-00002E440000}"/>
    <cellStyle name="SAPBEXchaText 3 3 3 2" xfId="27640" xr:uid="{E4731C3A-D5D5-4298-8C01-65EFDFF6F55F}"/>
    <cellStyle name="SAPBEXchaText 3 3 3 2 2" xfId="42577" xr:uid="{2DCDD54C-51EC-4139-BE23-32797AD92011}"/>
    <cellStyle name="SAPBEXchaText 3 3 3 3" xfId="35239" xr:uid="{D99479EF-11F5-4F80-BE55-551EFC6A68E4}"/>
    <cellStyle name="SAPBEXchaText 3 3 4" xfId="27222" xr:uid="{9EAB732B-BE92-489C-9139-C45ECBE954F0}"/>
    <cellStyle name="SAPBEXchaText 3 3 4 2" xfId="42185" xr:uid="{11989C03-9D7B-489E-BD63-611B73D2D22C}"/>
    <cellStyle name="SAPBEXchaText 3 3 5" xfId="34635" xr:uid="{26C3836D-D812-4CE9-8A28-4CA6CAD1DD38}"/>
    <cellStyle name="SAPBEXchaText 3 4" xfId="18204" xr:uid="{00000000-0005-0000-0000-000030440000}"/>
    <cellStyle name="SAPBEXchaText 3 4 2" xfId="20223" xr:uid="{00000000-0005-0000-0000-000030440000}"/>
    <cellStyle name="SAPBEXchaText 3 4 2 2" xfId="35241" xr:uid="{5D59F1E7-8E5D-48A1-A9E4-D4902D47CEC3}"/>
    <cellStyle name="SAPBEXchaText 3 4 3" xfId="34637" xr:uid="{4FFFA7BF-0D88-41E8-9135-0C1DBD1FA879}"/>
    <cellStyle name="SAPBEXchaText 3 5" xfId="18205" xr:uid="{00000000-0005-0000-0000-000031440000}"/>
    <cellStyle name="SAPBEXchaText 3 6" xfId="18199" xr:uid="{00000000-0005-0000-0000-00002B440000}"/>
    <cellStyle name="SAPBEXchaText 3 7" xfId="20853" xr:uid="{2F373D72-2567-409A-A7AB-DD38C0C58975}"/>
    <cellStyle name="SAPBEXchaText 3 7 2" xfId="35829" xr:uid="{239E59C0-7ED4-43E8-B1F7-15B0E29A166B}"/>
    <cellStyle name="SAPBEXchaText 3 8" xfId="28225" xr:uid="{563B3F47-03B9-4B84-8BDE-EDFE7D6577B2}"/>
    <cellStyle name="SAPBEXchaText 4" xfId="18206" xr:uid="{00000000-0005-0000-0000-000032440000}"/>
    <cellStyle name="SAPBEXchaText 4 2" xfId="18207" xr:uid="{00000000-0005-0000-0000-000033440000}"/>
    <cellStyle name="SAPBEXchaText 4 2 2" xfId="20224" xr:uid="{00000000-0005-0000-0000-000033440000}"/>
    <cellStyle name="SAPBEXchaText 4 2 2 2" xfId="35242" xr:uid="{B46714A3-A0C6-4334-ACF0-106D4D630101}"/>
    <cellStyle name="SAPBEXchaText 4 2 3" xfId="34638" xr:uid="{C8BE3765-D778-4334-804D-60663F53E1CA}"/>
    <cellStyle name="SAPBEXchaText 5" xfId="18208" xr:uid="{00000000-0005-0000-0000-000034440000}"/>
    <cellStyle name="SAPBEXchaText 5 2" xfId="18209" xr:uid="{00000000-0005-0000-0000-000035440000}"/>
    <cellStyle name="SAPBEXchaText 5 2 2" xfId="20225" xr:uid="{00000000-0005-0000-0000-000035440000}"/>
    <cellStyle name="SAPBEXchaText 5 2 2 2" xfId="35243" xr:uid="{851CFC2B-C51E-48AE-86BE-1A48951D20F1}"/>
    <cellStyle name="SAPBEXchaText 5 2 3" xfId="34639" xr:uid="{4DCB840A-387D-490F-AE86-E8DAE84B1EBB}"/>
    <cellStyle name="SAPBEXchaText 6" xfId="18210" xr:uid="{00000000-0005-0000-0000-000036440000}"/>
    <cellStyle name="SAPBEXchaText 7" xfId="18181" xr:uid="{00000000-0005-0000-0000-000019440000}"/>
    <cellStyle name="SAPBEXchaText 8" xfId="20759" xr:uid="{D7271DEF-5E83-4A8C-98C2-2E3889BAD968}"/>
    <cellStyle name="SAPBEXchaText 8 2" xfId="35752" xr:uid="{A28D9366-612A-47C9-87B1-152EB94480C4}"/>
    <cellStyle name="SAPBEXchaText 9" xfId="28100" xr:uid="{4D3A3F88-0D70-4A34-AC81-8C81D79944FD}"/>
    <cellStyle name="SAPBEXchaText_Budget Consolidation by Balancing Acct v1" xfId="2660" xr:uid="{00000000-0005-0000-0000-00003C0A0000}"/>
    <cellStyle name="SAPBEXColoum_Header_SA" xfId="2661" xr:uid="{00000000-0005-0000-0000-00003D0A0000}"/>
    <cellStyle name="SAPBEXexcBad7" xfId="2662" xr:uid="{00000000-0005-0000-0000-00003E0A0000}"/>
    <cellStyle name="SAPBEXexcBad7 2" xfId="2663" xr:uid="{00000000-0005-0000-0000-00003F0A0000}"/>
    <cellStyle name="SAPBEXexcBad7 2 2" xfId="18213" xr:uid="{00000000-0005-0000-0000-00003B440000}"/>
    <cellStyle name="SAPBEXexcBad7 2 2 2" xfId="18214" xr:uid="{00000000-0005-0000-0000-00003C440000}"/>
    <cellStyle name="SAPBEXexcBad7 2 2 3" xfId="18215" xr:uid="{00000000-0005-0000-0000-00003D440000}"/>
    <cellStyle name="SAPBEXexcBad7 2 2 3 2" xfId="20226" xr:uid="{00000000-0005-0000-0000-00003D440000}"/>
    <cellStyle name="SAPBEXexcBad7 2 2 3 2 2" xfId="27641" xr:uid="{39ADE701-478B-4949-B511-CD344C519317}"/>
    <cellStyle name="SAPBEXexcBad7 2 2 3 2 2 2" xfId="42578" xr:uid="{B0230307-4CAC-4615-A1E5-A9E4C2F20951}"/>
    <cellStyle name="SAPBEXexcBad7 2 2 3 2 3" xfId="35244" xr:uid="{343D5500-BCEE-4E98-ACAD-411CE624ED8D}"/>
    <cellStyle name="SAPBEXexcBad7 2 2 3 3" xfId="27223" xr:uid="{D3D5508B-9BD1-4E8F-A03E-1859DC122E68}"/>
    <cellStyle name="SAPBEXexcBad7 2 2 3 3 2" xfId="42186" xr:uid="{BB4C25F8-C0FE-4A82-B00E-6338EE3E0089}"/>
    <cellStyle name="SAPBEXexcBad7 2 2 3 4" xfId="34640" xr:uid="{3D32CA90-D206-4606-AE9C-CF33ACE17F71}"/>
    <cellStyle name="SAPBEXexcBad7 2 2 4" xfId="18216" xr:uid="{00000000-0005-0000-0000-00003E440000}"/>
    <cellStyle name="SAPBEXexcBad7 2 3" xfId="18217" xr:uid="{00000000-0005-0000-0000-00003F440000}"/>
    <cellStyle name="SAPBEXexcBad7 2 3 2" xfId="18218" xr:uid="{00000000-0005-0000-0000-000040440000}"/>
    <cellStyle name="SAPBEXexcBad7 2 3 3" xfId="18219" xr:uid="{00000000-0005-0000-0000-000041440000}"/>
    <cellStyle name="SAPBEXexcBad7 2 3 3 2" xfId="20227" xr:uid="{00000000-0005-0000-0000-000041440000}"/>
    <cellStyle name="SAPBEXexcBad7 2 3 3 2 2" xfId="27642" xr:uid="{CBFCDBFB-BC5A-4052-A282-E47BBACD75D3}"/>
    <cellStyle name="SAPBEXexcBad7 2 3 3 2 2 2" xfId="42579" xr:uid="{450A6622-4A8C-4434-AF55-A2A8D38B2509}"/>
    <cellStyle name="SAPBEXexcBad7 2 3 3 2 3" xfId="35245" xr:uid="{F1E36016-893C-497D-99DF-AE203D005EA5}"/>
    <cellStyle name="SAPBEXexcBad7 2 3 3 3" xfId="27224" xr:uid="{DCFAFD84-5FB9-44C9-B31F-119ECDAB7A73}"/>
    <cellStyle name="SAPBEXexcBad7 2 3 3 3 2" xfId="42187" xr:uid="{BF334833-19CB-4C53-9D26-2219B8DE1513}"/>
    <cellStyle name="SAPBEXexcBad7 2 3 3 4" xfId="34641" xr:uid="{485C64E7-A18A-44A1-BADD-BBE4934644AA}"/>
    <cellStyle name="SAPBEXexcBad7 2 3 4" xfId="18220" xr:uid="{00000000-0005-0000-0000-000042440000}"/>
    <cellStyle name="SAPBEXexcBad7 2 4" xfId="18221" xr:uid="{00000000-0005-0000-0000-000043440000}"/>
    <cellStyle name="SAPBEXexcBad7 2 4 2" xfId="18222" xr:uid="{00000000-0005-0000-0000-000044440000}"/>
    <cellStyle name="SAPBEXexcBad7 2 4 2 2" xfId="20228" xr:uid="{00000000-0005-0000-0000-000044440000}"/>
    <cellStyle name="SAPBEXexcBad7 2 4 2 2 2" xfId="27643" xr:uid="{D2D0684D-C9B5-41B9-AB64-E869D533CE7B}"/>
    <cellStyle name="SAPBEXexcBad7 2 4 2 2 2 2" xfId="42580" xr:uid="{B57E47BA-807D-4B5D-BCFF-EBCEDFD98FCD}"/>
    <cellStyle name="SAPBEXexcBad7 2 4 2 2 3" xfId="35246" xr:uid="{2F90328C-81FD-49B4-A18A-A9D36C2034ED}"/>
    <cellStyle name="SAPBEXexcBad7 2 4 2 3" xfId="27225" xr:uid="{71BD69D7-2FEB-44EA-95C2-F5A2FE8E3FF3}"/>
    <cellStyle name="SAPBEXexcBad7 2 4 2 3 2" xfId="42188" xr:uid="{DA7CB0F3-A07E-4EF5-BDA2-AE64A793B7E4}"/>
    <cellStyle name="SAPBEXexcBad7 2 4 2 4" xfId="34642" xr:uid="{DDED3096-C100-4FF0-8676-B01A6B569B5D}"/>
    <cellStyle name="SAPBEXexcBad7 2 5" xfId="18223" xr:uid="{00000000-0005-0000-0000-000045440000}"/>
    <cellStyle name="SAPBEXexcBad7 2 5 2" xfId="20229" xr:uid="{00000000-0005-0000-0000-000045440000}"/>
    <cellStyle name="SAPBEXexcBad7 2 5 2 2" xfId="27644" xr:uid="{C9E462A2-B6AD-49AA-9134-0AD1303E6FB3}"/>
    <cellStyle name="SAPBEXexcBad7 2 5 2 2 2" xfId="42581" xr:uid="{6DEB96BA-5C30-437E-8384-C6A306AFA4B8}"/>
    <cellStyle name="SAPBEXexcBad7 2 5 2 3" xfId="35247" xr:uid="{F1C5012F-5148-4B04-9F7E-B354556F1898}"/>
    <cellStyle name="SAPBEXexcBad7 2 5 3" xfId="27226" xr:uid="{5451007A-3E01-4313-8DCA-98577DDFD22F}"/>
    <cellStyle name="SAPBEXexcBad7 2 5 3 2" xfId="42189" xr:uid="{7A754B69-F13D-4177-8DB7-6998C621A1B8}"/>
    <cellStyle name="SAPBEXexcBad7 2 5 4" xfId="34643" xr:uid="{EDAFC8D7-693E-4A79-B9BE-C452FB2E592E}"/>
    <cellStyle name="SAPBEXexcBad7 2 6" xfId="18224" xr:uid="{00000000-0005-0000-0000-000046440000}"/>
    <cellStyle name="SAPBEXexcBad7 2 7" xfId="18212" xr:uid="{00000000-0005-0000-0000-00003A440000}"/>
    <cellStyle name="SAPBEXexcBad7 2 8" xfId="20761" xr:uid="{1633C30A-C4E5-4B0F-9D33-98105F74CBFC}"/>
    <cellStyle name="SAPBEXexcBad7 2 8 2" xfId="35754" xr:uid="{AE159CAE-1287-4ECA-BF44-28F79DA29425}"/>
    <cellStyle name="SAPBEXexcBad7 2 9" xfId="28103" xr:uid="{AAA08BC4-7CEB-4F2F-AE0A-068CC826A3DA}"/>
    <cellStyle name="SAPBEXexcBad7 3" xfId="18225" xr:uid="{00000000-0005-0000-0000-000047440000}"/>
    <cellStyle name="SAPBEXexcBad7 3 2" xfId="18226" xr:uid="{00000000-0005-0000-0000-000048440000}"/>
    <cellStyle name="SAPBEXexcBad7 3 3" xfId="18227" xr:uid="{00000000-0005-0000-0000-000049440000}"/>
    <cellStyle name="SAPBEXexcBad7 3 3 2" xfId="20230" xr:uid="{00000000-0005-0000-0000-000049440000}"/>
    <cellStyle name="SAPBEXexcBad7 3 3 2 2" xfId="27645" xr:uid="{4487A702-44B7-49B8-A18A-92ABC194A730}"/>
    <cellStyle name="SAPBEXexcBad7 3 3 2 2 2" xfId="42582" xr:uid="{C55EBAD2-092A-4D62-9AC6-EDD66302D09C}"/>
    <cellStyle name="SAPBEXexcBad7 3 3 2 3" xfId="35248" xr:uid="{5C2B0A18-5161-48AF-8919-97DD25D4C397}"/>
    <cellStyle name="SAPBEXexcBad7 3 3 3" xfId="34644" xr:uid="{29C43CDC-DABA-452B-A54B-25DA2E976274}"/>
    <cellStyle name="SAPBEXexcBad7 3 4" xfId="18228" xr:uid="{00000000-0005-0000-0000-00004A440000}"/>
    <cellStyle name="SAPBEXexcBad7 3 4 2" xfId="20231" xr:uid="{00000000-0005-0000-0000-00004A440000}"/>
    <cellStyle name="SAPBEXexcBad7 3 4 2 2" xfId="35249" xr:uid="{7B4358D4-F092-4E77-9900-620EC4589B7B}"/>
    <cellStyle name="SAPBEXexcBad7 3 4 3" xfId="34645" xr:uid="{3C4B1108-6C2B-4CB9-91BB-DAFD3790502E}"/>
    <cellStyle name="SAPBEXexcBad7 3 5" xfId="18229" xr:uid="{00000000-0005-0000-0000-00004B440000}"/>
    <cellStyle name="SAPBEXexcBad7 4" xfId="18230" xr:uid="{00000000-0005-0000-0000-00004C440000}"/>
    <cellStyle name="SAPBEXexcBad7 4 2" xfId="18231" xr:uid="{00000000-0005-0000-0000-00004D440000}"/>
    <cellStyle name="SAPBEXexcBad7 4 2 2" xfId="20232" xr:uid="{00000000-0005-0000-0000-00004D440000}"/>
    <cellStyle name="SAPBEXexcBad7 4 2 2 2" xfId="35250" xr:uid="{CDEC2B2D-4791-4D21-97D6-F6B3B3BC033B}"/>
    <cellStyle name="SAPBEXexcBad7 4 2 3" xfId="34646" xr:uid="{6AE2286C-16D2-4B01-99E8-2464A615083A}"/>
    <cellStyle name="SAPBEXexcBad7 5" xfId="18232" xr:uid="{00000000-0005-0000-0000-00004E440000}"/>
    <cellStyle name="SAPBEXexcBad7 5 2" xfId="20233" xr:uid="{00000000-0005-0000-0000-00004E440000}"/>
    <cellStyle name="SAPBEXexcBad7 5 2 2" xfId="27646" xr:uid="{5A8DE987-D73B-459B-9A88-E545E5BA601C}"/>
    <cellStyle name="SAPBEXexcBad7 5 2 2 2" xfId="42583" xr:uid="{6F8CBEDE-B3B0-42A8-B06F-0CFC007B091D}"/>
    <cellStyle name="SAPBEXexcBad7 5 2 3" xfId="35251" xr:uid="{DF103A5E-7EF7-4BCA-8C57-3FF0ED43FFDF}"/>
    <cellStyle name="SAPBEXexcBad7 5 3" xfId="34647" xr:uid="{EFEF34A9-41C6-490A-9499-B31C370583E9}"/>
    <cellStyle name="SAPBEXexcBad7 6" xfId="18233" xr:uid="{00000000-0005-0000-0000-00004F440000}"/>
    <cellStyle name="SAPBEXexcBad7 7" xfId="18211" xr:uid="{00000000-0005-0000-0000-000039440000}"/>
    <cellStyle name="SAPBEXexcBad7 8" xfId="28102" xr:uid="{588B4F17-8745-4A7A-8029-8FB6F0716E6B}"/>
    <cellStyle name="SAPBEXexcBad8" xfId="2664" xr:uid="{00000000-0005-0000-0000-0000400A0000}"/>
    <cellStyle name="SAPBEXexcBad8 2" xfId="2665" xr:uid="{00000000-0005-0000-0000-0000410A0000}"/>
    <cellStyle name="SAPBEXexcBad8 2 2" xfId="18236" xr:uid="{00000000-0005-0000-0000-000052440000}"/>
    <cellStyle name="SAPBEXexcBad8 2 2 2" xfId="18237" xr:uid="{00000000-0005-0000-0000-000053440000}"/>
    <cellStyle name="SAPBEXexcBad8 2 2 3" xfId="18238" xr:uid="{00000000-0005-0000-0000-000054440000}"/>
    <cellStyle name="SAPBEXexcBad8 2 2 3 2" xfId="20234" xr:uid="{00000000-0005-0000-0000-000054440000}"/>
    <cellStyle name="SAPBEXexcBad8 2 2 3 2 2" xfId="27647" xr:uid="{256E70E0-F3AA-427C-9EBD-3A8576527EDC}"/>
    <cellStyle name="SAPBEXexcBad8 2 2 3 2 2 2" xfId="42584" xr:uid="{CEB55BF6-B69C-43DD-8132-5380A9B5BC7A}"/>
    <cellStyle name="SAPBEXexcBad8 2 2 3 2 3" xfId="35252" xr:uid="{7695E1F3-D998-492D-97BE-7899109F4EC8}"/>
    <cellStyle name="SAPBEXexcBad8 2 2 3 3" xfId="27227" xr:uid="{E955CCED-517A-47F1-9EF6-DAE25221101C}"/>
    <cellStyle name="SAPBEXexcBad8 2 2 3 3 2" xfId="42190" xr:uid="{0E2A4248-2526-4530-BE36-DB2A82EC5451}"/>
    <cellStyle name="SAPBEXexcBad8 2 2 3 4" xfId="34648" xr:uid="{06EC6C0B-9374-456D-AFF0-49C10933897B}"/>
    <cellStyle name="SAPBEXexcBad8 2 2 4" xfId="18239" xr:uid="{00000000-0005-0000-0000-000055440000}"/>
    <cellStyle name="SAPBEXexcBad8 2 3" xfId="18240" xr:uid="{00000000-0005-0000-0000-000056440000}"/>
    <cellStyle name="SAPBEXexcBad8 2 3 2" xfId="18241" xr:uid="{00000000-0005-0000-0000-000057440000}"/>
    <cellStyle name="SAPBEXexcBad8 2 3 3" xfId="18242" xr:uid="{00000000-0005-0000-0000-000058440000}"/>
    <cellStyle name="SAPBEXexcBad8 2 3 3 2" xfId="20235" xr:uid="{00000000-0005-0000-0000-000058440000}"/>
    <cellStyle name="SAPBEXexcBad8 2 3 3 2 2" xfId="27648" xr:uid="{56606B97-C658-4572-A59C-349F3A85E591}"/>
    <cellStyle name="SAPBEXexcBad8 2 3 3 2 2 2" xfId="42585" xr:uid="{93348B19-BA33-4A14-9AC3-B691418A2AC8}"/>
    <cellStyle name="SAPBEXexcBad8 2 3 3 2 3" xfId="35253" xr:uid="{039D144A-DD3D-4E8A-A927-22BF0AB3F058}"/>
    <cellStyle name="SAPBEXexcBad8 2 3 3 3" xfId="27228" xr:uid="{6BBC5E45-697A-4249-A272-CEFE25CCBBDE}"/>
    <cellStyle name="SAPBEXexcBad8 2 3 3 3 2" xfId="42191" xr:uid="{647DCFC0-8A10-4510-B5E0-EA784AF738FB}"/>
    <cellStyle name="SAPBEXexcBad8 2 3 3 4" xfId="34649" xr:uid="{7FD963BB-A0DA-4F7F-832F-6FE71D5083B9}"/>
    <cellStyle name="SAPBEXexcBad8 2 3 4" xfId="18243" xr:uid="{00000000-0005-0000-0000-000059440000}"/>
    <cellStyle name="SAPBEXexcBad8 2 4" xfId="18244" xr:uid="{00000000-0005-0000-0000-00005A440000}"/>
    <cellStyle name="SAPBEXexcBad8 2 4 2" xfId="18245" xr:uid="{00000000-0005-0000-0000-00005B440000}"/>
    <cellStyle name="SAPBEXexcBad8 2 4 2 2" xfId="20236" xr:uid="{00000000-0005-0000-0000-00005B440000}"/>
    <cellStyle name="SAPBEXexcBad8 2 4 2 2 2" xfId="27649" xr:uid="{FD8B7F60-5D52-4B28-BE1C-831E31AF30C4}"/>
    <cellStyle name="SAPBEXexcBad8 2 4 2 2 2 2" xfId="42586" xr:uid="{B94216BD-FEFF-4E5F-8861-B0A30DA0C433}"/>
    <cellStyle name="SAPBEXexcBad8 2 4 2 2 3" xfId="35254" xr:uid="{5426650D-379D-4205-8EE2-5E7F1367B0A0}"/>
    <cellStyle name="SAPBEXexcBad8 2 4 2 3" xfId="27229" xr:uid="{14D8D766-C9A7-4773-8DCA-0CB7A5BCA82A}"/>
    <cellStyle name="SAPBEXexcBad8 2 4 2 3 2" xfId="42192" xr:uid="{0221472E-7F63-469D-969A-AEA85BCC4388}"/>
    <cellStyle name="SAPBEXexcBad8 2 4 2 4" xfId="34650" xr:uid="{044AD045-285D-4151-ADBE-62E132823E4F}"/>
    <cellStyle name="SAPBEXexcBad8 2 5" xfId="18246" xr:uid="{00000000-0005-0000-0000-00005C440000}"/>
    <cellStyle name="SAPBEXexcBad8 2 5 2" xfId="20237" xr:uid="{00000000-0005-0000-0000-00005C440000}"/>
    <cellStyle name="SAPBEXexcBad8 2 5 2 2" xfId="27650" xr:uid="{49A7DF1C-0E90-463A-AFBC-47D4C8175DF5}"/>
    <cellStyle name="SAPBEXexcBad8 2 5 2 2 2" xfId="42587" xr:uid="{7790E0FF-D61A-40F9-8BCD-5BFF0F102E2D}"/>
    <cellStyle name="SAPBEXexcBad8 2 5 2 3" xfId="35255" xr:uid="{CB0F8088-BB03-4817-9CF5-D8290EBE658A}"/>
    <cellStyle name="SAPBEXexcBad8 2 5 3" xfId="27230" xr:uid="{F2961542-68C9-40E4-98CB-D830D1520010}"/>
    <cellStyle name="SAPBEXexcBad8 2 5 3 2" xfId="42193" xr:uid="{DFD0DEE0-A849-4874-9CAA-FCCA9D4290AF}"/>
    <cellStyle name="SAPBEXexcBad8 2 5 4" xfId="34651" xr:uid="{2ACE1917-2758-4B59-92CE-C17FE11C33FA}"/>
    <cellStyle name="SAPBEXexcBad8 2 6" xfId="18247" xr:uid="{00000000-0005-0000-0000-00005D440000}"/>
    <cellStyle name="SAPBEXexcBad8 2 7" xfId="18235" xr:uid="{00000000-0005-0000-0000-000051440000}"/>
    <cellStyle name="SAPBEXexcBad8 2 8" xfId="20762" xr:uid="{633462CA-4394-4944-BE2A-4A8928FEAFEE}"/>
    <cellStyle name="SAPBEXexcBad8 2 8 2" xfId="35755" xr:uid="{BBAE1F7E-F1C9-4B8A-8F45-77AB3549ABA5}"/>
    <cellStyle name="SAPBEXexcBad8 2 9" xfId="28105" xr:uid="{05A78BBE-4FDE-4100-9260-A3C9CB24BC63}"/>
    <cellStyle name="SAPBEXexcBad8 3" xfId="18248" xr:uid="{00000000-0005-0000-0000-00005E440000}"/>
    <cellStyle name="SAPBEXexcBad8 3 2" xfId="18249" xr:uid="{00000000-0005-0000-0000-00005F440000}"/>
    <cellStyle name="SAPBEXexcBad8 3 3" xfId="18250" xr:uid="{00000000-0005-0000-0000-000060440000}"/>
    <cellStyle name="SAPBEXexcBad8 3 3 2" xfId="20238" xr:uid="{00000000-0005-0000-0000-000060440000}"/>
    <cellStyle name="SAPBEXexcBad8 3 3 2 2" xfId="27651" xr:uid="{3FB859AB-A245-4902-85A9-DB8BE9D3E54D}"/>
    <cellStyle name="SAPBEXexcBad8 3 3 2 2 2" xfId="42588" xr:uid="{141288EA-5D8A-4CDE-9E40-B27420900E0B}"/>
    <cellStyle name="SAPBEXexcBad8 3 3 2 3" xfId="35256" xr:uid="{EA49D6B0-0A38-4480-B4A9-97A4EDB3F8F0}"/>
    <cellStyle name="SAPBEXexcBad8 3 3 3" xfId="34652" xr:uid="{57E24CAC-9454-495E-A5FF-8C6C69BB7C40}"/>
    <cellStyle name="SAPBEXexcBad8 3 4" xfId="18251" xr:uid="{00000000-0005-0000-0000-000061440000}"/>
    <cellStyle name="SAPBEXexcBad8 3 4 2" xfId="20239" xr:uid="{00000000-0005-0000-0000-000061440000}"/>
    <cellStyle name="SAPBEXexcBad8 3 4 2 2" xfId="35257" xr:uid="{717A7DAC-56B0-48B4-94AE-CB85251D1C98}"/>
    <cellStyle name="SAPBEXexcBad8 3 4 3" xfId="34653" xr:uid="{89051AB9-D2E3-4429-836B-CE6A31781BFD}"/>
    <cellStyle name="SAPBEXexcBad8 3 5" xfId="18252" xr:uid="{00000000-0005-0000-0000-000062440000}"/>
    <cellStyle name="SAPBEXexcBad8 4" xfId="18253" xr:uid="{00000000-0005-0000-0000-000063440000}"/>
    <cellStyle name="SAPBEXexcBad8 4 2" xfId="18254" xr:uid="{00000000-0005-0000-0000-000064440000}"/>
    <cellStyle name="SAPBEXexcBad8 4 2 2" xfId="20240" xr:uid="{00000000-0005-0000-0000-000064440000}"/>
    <cellStyle name="SAPBEXexcBad8 4 2 2 2" xfId="35258" xr:uid="{4F2EE015-1B6F-43F6-A5AC-696C7066FA1D}"/>
    <cellStyle name="SAPBEXexcBad8 4 2 3" xfId="34654" xr:uid="{4042A344-44DB-41A6-ADF0-BD67388FB1B8}"/>
    <cellStyle name="SAPBEXexcBad8 5" xfId="18255" xr:uid="{00000000-0005-0000-0000-000065440000}"/>
    <cellStyle name="SAPBEXexcBad8 5 2" xfId="20241" xr:uid="{00000000-0005-0000-0000-000065440000}"/>
    <cellStyle name="SAPBEXexcBad8 5 2 2" xfId="27652" xr:uid="{7F2461C1-C240-41EB-8547-57186D9AC0C4}"/>
    <cellStyle name="SAPBEXexcBad8 5 2 2 2" xfId="42589" xr:uid="{A5126532-DDEA-40B5-B22E-E7AC95AD745F}"/>
    <cellStyle name="SAPBEXexcBad8 5 2 3" xfId="35259" xr:uid="{9D15DD2E-7870-4BE1-865C-53BB9D193E02}"/>
    <cellStyle name="SAPBEXexcBad8 5 3" xfId="34655" xr:uid="{71D1C137-669D-44FA-A900-49FAC136EEC0}"/>
    <cellStyle name="SAPBEXexcBad8 6" xfId="18256" xr:uid="{00000000-0005-0000-0000-000066440000}"/>
    <cellStyle name="SAPBEXexcBad8 7" xfId="18234" xr:uid="{00000000-0005-0000-0000-000050440000}"/>
    <cellStyle name="SAPBEXexcBad8 8" xfId="28104" xr:uid="{A1621F5C-9A95-4B26-A633-B54ADBEEE1F5}"/>
    <cellStyle name="SAPBEXexcBad9" xfId="2666" xr:uid="{00000000-0005-0000-0000-0000420A0000}"/>
    <cellStyle name="SAPBEXexcBad9 2" xfId="2667" xr:uid="{00000000-0005-0000-0000-0000430A0000}"/>
    <cellStyle name="SAPBEXexcBad9 2 2" xfId="18259" xr:uid="{00000000-0005-0000-0000-000069440000}"/>
    <cellStyle name="SAPBEXexcBad9 2 2 2" xfId="18260" xr:uid="{00000000-0005-0000-0000-00006A440000}"/>
    <cellStyle name="SAPBEXexcBad9 2 2 3" xfId="18261" xr:uid="{00000000-0005-0000-0000-00006B440000}"/>
    <cellStyle name="SAPBEXexcBad9 2 2 3 2" xfId="20242" xr:uid="{00000000-0005-0000-0000-00006B440000}"/>
    <cellStyle name="SAPBEXexcBad9 2 2 3 2 2" xfId="27653" xr:uid="{57EEDF03-5D1E-44EB-A076-5EEC1D1ADA2C}"/>
    <cellStyle name="SAPBEXexcBad9 2 2 3 2 2 2" xfId="42590" xr:uid="{513A4C0E-DE9F-471A-8B82-6443A6AA1B84}"/>
    <cellStyle name="SAPBEXexcBad9 2 2 3 2 3" xfId="35260" xr:uid="{B93FF761-A01A-4ECA-B990-D54B7E733B17}"/>
    <cellStyle name="SAPBEXexcBad9 2 2 3 3" xfId="27231" xr:uid="{6932738F-D083-401C-9C16-BE59A34786FC}"/>
    <cellStyle name="SAPBEXexcBad9 2 2 3 3 2" xfId="42194" xr:uid="{6E9FF66A-18AC-4B30-80DF-24F363C2A5B5}"/>
    <cellStyle name="SAPBEXexcBad9 2 2 3 4" xfId="34656" xr:uid="{9469C270-7F28-40D3-B5D4-846CFD32220E}"/>
    <cellStyle name="SAPBEXexcBad9 2 2 4" xfId="18262" xr:uid="{00000000-0005-0000-0000-00006C440000}"/>
    <cellStyle name="SAPBEXexcBad9 2 3" xfId="18263" xr:uid="{00000000-0005-0000-0000-00006D440000}"/>
    <cellStyle name="SAPBEXexcBad9 2 3 2" xfId="18264" xr:uid="{00000000-0005-0000-0000-00006E440000}"/>
    <cellStyle name="SAPBEXexcBad9 2 3 3" xfId="18265" xr:uid="{00000000-0005-0000-0000-00006F440000}"/>
    <cellStyle name="SAPBEXexcBad9 2 3 3 2" xfId="20243" xr:uid="{00000000-0005-0000-0000-00006F440000}"/>
    <cellStyle name="SAPBEXexcBad9 2 3 3 2 2" xfId="27654" xr:uid="{61EA3077-3A9F-433D-89B4-81C921DC77B1}"/>
    <cellStyle name="SAPBEXexcBad9 2 3 3 2 2 2" xfId="42591" xr:uid="{CCA28271-73CB-46FC-B54E-0A89653CB969}"/>
    <cellStyle name="SAPBEXexcBad9 2 3 3 2 3" xfId="35261" xr:uid="{10993A32-EB06-46C8-932D-0DBA9341AB92}"/>
    <cellStyle name="SAPBEXexcBad9 2 3 3 3" xfId="27232" xr:uid="{095D8E61-3AFA-4026-85A5-8D32B13341EE}"/>
    <cellStyle name="SAPBEXexcBad9 2 3 3 3 2" xfId="42195" xr:uid="{94B46227-F340-4FD2-8CC5-3CDB29AD94F7}"/>
    <cellStyle name="SAPBEXexcBad9 2 3 3 4" xfId="34657" xr:uid="{4EDD15AF-A5D3-4A77-8DFF-05AA0E361A10}"/>
    <cellStyle name="SAPBEXexcBad9 2 3 4" xfId="18266" xr:uid="{00000000-0005-0000-0000-000070440000}"/>
    <cellStyle name="SAPBEXexcBad9 2 4" xfId="18267" xr:uid="{00000000-0005-0000-0000-000071440000}"/>
    <cellStyle name="SAPBEXexcBad9 2 4 2" xfId="18268" xr:uid="{00000000-0005-0000-0000-000072440000}"/>
    <cellStyle name="SAPBEXexcBad9 2 4 2 2" xfId="20244" xr:uid="{00000000-0005-0000-0000-000072440000}"/>
    <cellStyle name="SAPBEXexcBad9 2 4 2 2 2" xfId="27655" xr:uid="{3BA077A0-5A8C-40EB-857A-B827329D4F9A}"/>
    <cellStyle name="SAPBEXexcBad9 2 4 2 2 2 2" xfId="42592" xr:uid="{7C4F40B0-4629-4B3A-9D87-F5DE4CA037F5}"/>
    <cellStyle name="SAPBEXexcBad9 2 4 2 2 3" xfId="35262" xr:uid="{A56DFB6F-CD63-4C4F-B56D-006230DE896B}"/>
    <cellStyle name="SAPBEXexcBad9 2 4 2 3" xfId="27233" xr:uid="{329601A4-F5E9-45FA-AEE9-B3DDE7286146}"/>
    <cellStyle name="SAPBEXexcBad9 2 4 2 3 2" xfId="42196" xr:uid="{A054F83A-ECFB-4A82-AB27-1515548BFC00}"/>
    <cellStyle name="SAPBEXexcBad9 2 4 2 4" xfId="34658" xr:uid="{4F89A096-AF1B-484F-9B9C-1CEB6F5063EB}"/>
    <cellStyle name="SAPBEXexcBad9 2 5" xfId="18269" xr:uid="{00000000-0005-0000-0000-000073440000}"/>
    <cellStyle name="SAPBEXexcBad9 2 5 2" xfId="20245" xr:uid="{00000000-0005-0000-0000-000073440000}"/>
    <cellStyle name="SAPBEXexcBad9 2 5 2 2" xfId="27656" xr:uid="{AB589292-5D70-4182-AF60-77421D9BC495}"/>
    <cellStyle name="SAPBEXexcBad9 2 5 2 2 2" xfId="42593" xr:uid="{D14074D0-326E-4176-A35B-F9E5BFC6ABAD}"/>
    <cellStyle name="SAPBEXexcBad9 2 5 2 3" xfId="35263" xr:uid="{B7CA3DA5-E6C7-42CA-903C-6892C3D6A3DA}"/>
    <cellStyle name="SAPBEXexcBad9 2 5 3" xfId="27234" xr:uid="{F1D933EB-7563-4997-A0AC-B3B6152F95A3}"/>
    <cellStyle name="SAPBEXexcBad9 2 5 3 2" xfId="42197" xr:uid="{B3BF41C9-F570-4B74-BB62-3E64ED0CE04E}"/>
    <cellStyle name="SAPBEXexcBad9 2 5 4" xfId="34659" xr:uid="{F85DBF63-FB55-4E6C-875C-1BAE20784733}"/>
    <cellStyle name="SAPBEXexcBad9 2 6" xfId="18270" xr:uid="{00000000-0005-0000-0000-000074440000}"/>
    <cellStyle name="SAPBEXexcBad9 2 7" xfId="18258" xr:uid="{00000000-0005-0000-0000-000068440000}"/>
    <cellStyle name="SAPBEXexcBad9 2 8" xfId="20763" xr:uid="{36AA32C7-C81C-46E6-9458-041A69E84949}"/>
    <cellStyle name="SAPBEXexcBad9 2 8 2" xfId="35756" xr:uid="{DF5F7269-998F-4B91-A694-95F2F7139899}"/>
    <cellStyle name="SAPBEXexcBad9 2 9" xfId="28107" xr:uid="{716ECFEC-0406-4B68-9D8E-85FC59E4A0E9}"/>
    <cellStyle name="SAPBEXexcBad9 3" xfId="18271" xr:uid="{00000000-0005-0000-0000-000075440000}"/>
    <cellStyle name="SAPBEXexcBad9 3 2" xfId="18272" xr:uid="{00000000-0005-0000-0000-000076440000}"/>
    <cellStyle name="SAPBEXexcBad9 3 3" xfId="18273" xr:uid="{00000000-0005-0000-0000-000077440000}"/>
    <cellStyle name="SAPBEXexcBad9 3 3 2" xfId="20246" xr:uid="{00000000-0005-0000-0000-000077440000}"/>
    <cellStyle name="SAPBEXexcBad9 3 3 2 2" xfId="27657" xr:uid="{04F832D6-1762-4645-9DD9-7CD242D8171C}"/>
    <cellStyle name="SAPBEXexcBad9 3 3 2 2 2" xfId="42594" xr:uid="{FC51D697-1564-4E1E-B97A-49826A31FD31}"/>
    <cellStyle name="SAPBEXexcBad9 3 3 2 3" xfId="35264" xr:uid="{BCDF2DB5-E5D5-4F3B-A447-F24A0F9DB9B3}"/>
    <cellStyle name="SAPBEXexcBad9 3 3 3" xfId="34660" xr:uid="{25171F48-A3B6-49C8-86E2-BED610687328}"/>
    <cellStyle name="SAPBEXexcBad9 3 4" xfId="18274" xr:uid="{00000000-0005-0000-0000-000078440000}"/>
    <cellStyle name="SAPBEXexcBad9 3 4 2" xfId="20247" xr:uid="{00000000-0005-0000-0000-000078440000}"/>
    <cellStyle name="SAPBEXexcBad9 3 4 2 2" xfId="35265" xr:uid="{1FEBC5D0-C233-4A30-A4BE-D25770031CA9}"/>
    <cellStyle name="SAPBEXexcBad9 3 4 3" xfId="34661" xr:uid="{DE363AC8-3BF2-45BB-A290-F62BF46130FE}"/>
    <cellStyle name="SAPBEXexcBad9 3 5" xfId="18275" xr:uid="{00000000-0005-0000-0000-000079440000}"/>
    <cellStyle name="SAPBEXexcBad9 4" xfId="18276" xr:uid="{00000000-0005-0000-0000-00007A440000}"/>
    <cellStyle name="SAPBEXexcBad9 4 2" xfId="18277" xr:uid="{00000000-0005-0000-0000-00007B440000}"/>
    <cellStyle name="SAPBEXexcBad9 4 2 2" xfId="20248" xr:uid="{00000000-0005-0000-0000-00007B440000}"/>
    <cellStyle name="SAPBEXexcBad9 4 2 2 2" xfId="35266" xr:uid="{86EAC02A-F6D8-49CD-BEDC-9D1A54546C47}"/>
    <cellStyle name="SAPBEXexcBad9 4 2 3" xfId="34662" xr:uid="{45B64820-B1E1-4C64-B879-B0FCCFDF24B8}"/>
    <cellStyle name="SAPBEXexcBad9 5" xfId="18278" xr:uid="{00000000-0005-0000-0000-00007C440000}"/>
    <cellStyle name="SAPBEXexcBad9 5 2" xfId="20249" xr:uid="{00000000-0005-0000-0000-00007C440000}"/>
    <cellStyle name="SAPBEXexcBad9 5 2 2" xfId="27658" xr:uid="{CB9C1937-89BE-4932-BC4F-7CE08C1472D9}"/>
    <cellStyle name="SAPBEXexcBad9 5 2 2 2" xfId="42595" xr:uid="{43153D45-8A20-4746-B8D5-0B29C0B715F4}"/>
    <cellStyle name="SAPBEXexcBad9 5 2 3" xfId="35267" xr:uid="{C6477AF8-8DF6-4A55-A403-CD811FB37532}"/>
    <cellStyle name="SAPBEXexcBad9 5 3" xfId="34663" xr:uid="{D9048DAE-9AC1-4311-8C27-80016426619A}"/>
    <cellStyle name="SAPBEXexcBad9 6" xfId="18279" xr:uid="{00000000-0005-0000-0000-00007D440000}"/>
    <cellStyle name="SAPBEXexcBad9 7" xfId="18257" xr:uid="{00000000-0005-0000-0000-000067440000}"/>
    <cellStyle name="SAPBEXexcBad9 8" xfId="28106" xr:uid="{431264FF-6791-479A-9A92-203D3B64149E}"/>
    <cellStyle name="SAPBEXexcCritical4" xfId="2668" xr:uid="{00000000-0005-0000-0000-0000440A0000}"/>
    <cellStyle name="SAPBEXexcCritical4 2" xfId="2669" xr:uid="{00000000-0005-0000-0000-0000450A0000}"/>
    <cellStyle name="SAPBEXexcCritical4 2 2" xfId="18282" xr:uid="{00000000-0005-0000-0000-000080440000}"/>
    <cellStyle name="SAPBEXexcCritical4 2 2 2" xfId="18283" xr:uid="{00000000-0005-0000-0000-000081440000}"/>
    <cellStyle name="SAPBEXexcCritical4 2 2 3" xfId="18284" xr:uid="{00000000-0005-0000-0000-000082440000}"/>
    <cellStyle name="SAPBEXexcCritical4 2 2 3 2" xfId="20250" xr:uid="{00000000-0005-0000-0000-000082440000}"/>
    <cellStyle name="SAPBEXexcCritical4 2 2 3 2 2" xfId="27659" xr:uid="{902A4627-FD0C-456C-AA9A-1120F5EFAD35}"/>
    <cellStyle name="SAPBEXexcCritical4 2 2 3 2 2 2" xfId="42596" xr:uid="{C4F39B88-63B6-4DB3-9529-EE02E81F5BAA}"/>
    <cellStyle name="SAPBEXexcCritical4 2 2 3 2 3" xfId="35268" xr:uid="{2FC72FB6-97D8-4698-9F2E-C060823F6A43}"/>
    <cellStyle name="SAPBEXexcCritical4 2 2 3 3" xfId="27235" xr:uid="{E3BD7389-A0BA-45D8-8B84-2852F98FD9D7}"/>
    <cellStyle name="SAPBEXexcCritical4 2 2 3 3 2" xfId="42198" xr:uid="{B24DFBE9-4D7C-4197-B4CD-41095E380F48}"/>
    <cellStyle name="SAPBEXexcCritical4 2 2 3 4" xfId="34664" xr:uid="{E2803E02-238A-42AD-BAB2-109D58D5B3C2}"/>
    <cellStyle name="SAPBEXexcCritical4 2 2 4" xfId="18285" xr:uid="{00000000-0005-0000-0000-000083440000}"/>
    <cellStyle name="SAPBEXexcCritical4 2 3" xfId="18286" xr:uid="{00000000-0005-0000-0000-000084440000}"/>
    <cellStyle name="SAPBEXexcCritical4 2 3 2" xfId="18287" xr:uid="{00000000-0005-0000-0000-000085440000}"/>
    <cellStyle name="SAPBEXexcCritical4 2 3 3" xfId="18288" xr:uid="{00000000-0005-0000-0000-000086440000}"/>
    <cellStyle name="SAPBEXexcCritical4 2 3 3 2" xfId="20251" xr:uid="{00000000-0005-0000-0000-000086440000}"/>
    <cellStyle name="SAPBEXexcCritical4 2 3 3 2 2" xfId="27660" xr:uid="{B81A0C4C-527B-4BB0-805E-4B64CFD3E85E}"/>
    <cellStyle name="SAPBEXexcCritical4 2 3 3 2 2 2" xfId="42597" xr:uid="{342A9514-A5D0-43B3-B3BC-5B7127F85542}"/>
    <cellStyle name="SAPBEXexcCritical4 2 3 3 2 3" xfId="35269" xr:uid="{AC2CC32A-3647-4A44-BC70-8CB5A6CB0A8B}"/>
    <cellStyle name="SAPBEXexcCritical4 2 3 3 3" xfId="27236" xr:uid="{32753A41-F423-4FDA-B096-CEC9562556BE}"/>
    <cellStyle name="SAPBEXexcCritical4 2 3 3 3 2" xfId="42199" xr:uid="{76682E06-1E5D-49A2-901A-B1B4404DCD9C}"/>
    <cellStyle name="SAPBEXexcCritical4 2 3 3 4" xfId="34665" xr:uid="{4F8CF0B9-2372-4846-B4C7-8BA5C3B54615}"/>
    <cellStyle name="SAPBEXexcCritical4 2 3 4" xfId="18289" xr:uid="{00000000-0005-0000-0000-000087440000}"/>
    <cellStyle name="SAPBEXexcCritical4 2 4" xfId="18290" xr:uid="{00000000-0005-0000-0000-000088440000}"/>
    <cellStyle name="SAPBEXexcCritical4 2 4 2" xfId="18291" xr:uid="{00000000-0005-0000-0000-000089440000}"/>
    <cellStyle name="SAPBEXexcCritical4 2 4 2 2" xfId="20252" xr:uid="{00000000-0005-0000-0000-000089440000}"/>
    <cellStyle name="SAPBEXexcCritical4 2 4 2 2 2" xfId="27661" xr:uid="{4FD8F203-1064-40A8-A974-F3BA5C15F673}"/>
    <cellStyle name="SAPBEXexcCritical4 2 4 2 2 2 2" xfId="42598" xr:uid="{EE50B6C0-D171-42B0-8522-20CFE63BC4B6}"/>
    <cellStyle name="SAPBEXexcCritical4 2 4 2 2 3" xfId="35270" xr:uid="{1840932B-0318-4F0A-B128-4D099E8895AE}"/>
    <cellStyle name="SAPBEXexcCritical4 2 4 2 3" xfId="27237" xr:uid="{C1E2B8BD-990E-4368-9A4D-1586CBE9101F}"/>
    <cellStyle name="SAPBEXexcCritical4 2 4 2 3 2" xfId="42200" xr:uid="{00E3E0DA-A37A-4EA9-A33D-2DA756B568E3}"/>
    <cellStyle name="SAPBEXexcCritical4 2 4 2 4" xfId="34666" xr:uid="{778851B7-9AD2-4D53-B0EF-CA46AFF28D05}"/>
    <cellStyle name="SAPBEXexcCritical4 2 5" xfId="18292" xr:uid="{00000000-0005-0000-0000-00008A440000}"/>
    <cellStyle name="SAPBEXexcCritical4 2 5 2" xfId="20253" xr:uid="{00000000-0005-0000-0000-00008A440000}"/>
    <cellStyle name="SAPBEXexcCritical4 2 5 2 2" xfId="27662" xr:uid="{BE1D16DE-77FD-4CA6-9D2C-26A92EE98BCD}"/>
    <cellStyle name="SAPBEXexcCritical4 2 5 2 2 2" xfId="42599" xr:uid="{78E93E05-406B-4B9D-A2A1-E93089D63474}"/>
    <cellStyle name="SAPBEXexcCritical4 2 5 2 3" xfId="35271" xr:uid="{D1DF1131-1AD9-4FF5-9915-5815C3D8556A}"/>
    <cellStyle name="SAPBEXexcCritical4 2 5 3" xfId="27238" xr:uid="{2285A548-3426-4919-B898-F23D496F4895}"/>
    <cellStyle name="SAPBEXexcCritical4 2 5 3 2" xfId="42201" xr:uid="{553E50AD-05DB-4BF5-A777-8887434625C6}"/>
    <cellStyle name="SAPBEXexcCritical4 2 5 4" xfId="34667" xr:uid="{5E362356-60C5-4B10-9B78-3EC56CD2C15C}"/>
    <cellStyle name="SAPBEXexcCritical4 2 6" xfId="18293" xr:uid="{00000000-0005-0000-0000-00008B440000}"/>
    <cellStyle name="SAPBEXexcCritical4 2 7" xfId="18281" xr:uid="{00000000-0005-0000-0000-00007F440000}"/>
    <cellStyle name="SAPBEXexcCritical4 2 8" xfId="20764" xr:uid="{91AC9530-CFF2-4F3E-9652-227BF42FBA54}"/>
    <cellStyle name="SAPBEXexcCritical4 2 8 2" xfId="35757" xr:uid="{B1138477-5395-4EFB-9A6D-13D75495CA5F}"/>
    <cellStyle name="SAPBEXexcCritical4 2 9" xfId="28109" xr:uid="{B172102F-ADDD-4593-B2DF-A50AD215F647}"/>
    <cellStyle name="SAPBEXexcCritical4 3" xfId="18294" xr:uid="{00000000-0005-0000-0000-00008C440000}"/>
    <cellStyle name="SAPBEXexcCritical4 3 2" xfId="18295" xr:uid="{00000000-0005-0000-0000-00008D440000}"/>
    <cellStyle name="SAPBEXexcCritical4 3 3" xfId="18296" xr:uid="{00000000-0005-0000-0000-00008E440000}"/>
    <cellStyle name="SAPBEXexcCritical4 3 3 2" xfId="20254" xr:uid="{00000000-0005-0000-0000-00008E440000}"/>
    <cellStyle name="SAPBEXexcCritical4 3 3 2 2" xfId="27663" xr:uid="{12C39429-B1A1-4EC9-A516-0386D4D5CE35}"/>
    <cellStyle name="SAPBEXexcCritical4 3 3 2 2 2" xfId="42600" xr:uid="{3E3141C3-F6FE-431F-A159-AC46D2318FFF}"/>
    <cellStyle name="SAPBEXexcCritical4 3 3 2 3" xfId="35272" xr:uid="{9DAD5791-E774-40B7-A89A-4B388CBD3F4D}"/>
    <cellStyle name="SAPBEXexcCritical4 3 3 3" xfId="34668" xr:uid="{ED086D8B-13F9-4E8E-9455-00C518EC4271}"/>
    <cellStyle name="SAPBEXexcCritical4 3 4" xfId="18297" xr:uid="{00000000-0005-0000-0000-00008F440000}"/>
    <cellStyle name="SAPBEXexcCritical4 3 4 2" xfId="20255" xr:uid="{00000000-0005-0000-0000-00008F440000}"/>
    <cellStyle name="SAPBEXexcCritical4 3 4 2 2" xfId="35273" xr:uid="{9DFFB7C2-BA7F-4DBE-B536-BE2BB8B20CAF}"/>
    <cellStyle name="SAPBEXexcCritical4 3 4 3" xfId="34669" xr:uid="{3B0D4000-C341-4B5B-A295-2FE41143B46A}"/>
    <cellStyle name="SAPBEXexcCritical4 3 5" xfId="18298" xr:uid="{00000000-0005-0000-0000-000090440000}"/>
    <cellStyle name="SAPBEXexcCritical4 4" xfId="18299" xr:uid="{00000000-0005-0000-0000-000091440000}"/>
    <cellStyle name="SAPBEXexcCritical4 4 2" xfId="18300" xr:uid="{00000000-0005-0000-0000-000092440000}"/>
    <cellStyle name="SAPBEXexcCritical4 4 2 2" xfId="20256" xr:uid="{00000000-0005-0000-0000-000092440000}"/>
    <cellStyle name="SAPBEXexcCritical4 4 2 2 2" xfId="35274" xr:uid="{DAFD2C85-1D4E-401C-88BD-2AB43FFA0DEE}"/>
    <cellStyle name="SAPBEXexcCritical4 4 2 3" xfId="34670" xr:uid="{D0BCCFF7-1D74-49F4-B610-5744265623D6}"/>
    <cellStyle name="SAPBEXexcCritical4 5" xfId="18301" xr:uid="{00000000-0005-0000-0000-000093440000}"/>
    <cellStyle name="SAPBEXexcCritical4 5 2" xfId="20257" xr:uid="{00000000-0005-0000-0000-000093440000}"/>
    <cellStyle name="SAPBEXexcCritical4 5 2 2" xfId="27664" xr:uid="{4F29B4CB-111D-4A35-9A7D-262D3B1FD1B9}"/>
    <cellStyle name="SAPBEXexcCritical4 5 2 2 2" xfId="42601" xr:uid="{68DE9D5C-E45B-4138-B626-102C6204B286}"/>
    <cellStyle name="SAPBEXexcCritical4 5 2 3" xfId="35275" xr:uid="{F343ED81-4092-4F74-B809-F954593937B6}"/>
    <cellStyle name="SAPBEXexcCritical4 5 3" xfId="34671" xr:uid="{DF521A22-BCD0-4612-BB10-AD9A835BE0C5}"/>
    <cellStyle name="SAPBEXexcCritical4 6" xfId="18302" xr:uid="{00000000-0005-0000-0000-000094440000}"/>
    <cellStyle name="SAPBEXexcCritical4 7" xfId="18280" xr:uid="{00000000-0005-0000-0000-00007E440000}"/>
    <cellStyle name="SAPBEXexcCritical4 8" xfId="28108" xr:uid="{63AE14F1-039A-4C84-A976-780BE2E4A71B}"/>
    <cellStyle name="SAPBEXexcCritical5" xfId="2670" xr:uid="{00000000-0005-0000-0000-0000460A0000}"/>
    <cellStyle name="SAPBEXexcCritical5 2" xfId="2671" xr:uid="{00000000-0005-0000-0000-0000470A0000}"/>
    <cellStyle name="SAPBEXexcCritical5 2 2" xfId="18305" xr:uid="{00000000-0005-0000-0000-000097440000}"/>
    <cellStyle name="SAPBEXexcCritical5 2 2 2" xfId="18306" xr:uid="{00000000-0005-0000-0000-000098440000}"/>
    <cellStyle name="SAPBEXexcCritical5 2 2 3" xfId="18307" xr:uid="{00000000-0005-0000-0000-000099440000}"/>
    <cellStyle name="SAPBEXexcCritical5 2 2 3 2" xfId="20258" xr:uid="{00000000-0005-0000-0000-000099440000}"/>
    <cellStyle name="SAPBEXexcCritical5 2 2 3 2 2" xfId="27665" xr:uid="{40926DFB-B1A0-448C-B2A3-E1CD11F7769E}"/>
    <cellStyle name="SAPBEXexcCritical5 2 2 3 2 2 2" xfId="42602" xr:uid="{098E2FE9-7206-418A-9903-360F34A5F0D3}"/>
    <cellStyle name="SAPBEXexcCritical5 2 2 3 2 3" xfId="35276" xr:uid="{7EA1228C-595F-4FCB-B416-712D51FD86AD}"/>
    <cellStyle name="SAPBEXexcCritical5 2 2 3 3" xfId="27239" xr:uid="{61352752-6DB9-4A0E-AB0E-CBAFB4AD3F05}"/>
    <cellStyle name="SAPBEXexcCritical5 2 2 3 3 2" xfId="42202" xr:uid="{B96F35D8-12D4-4245-901C-2FF2CBEC2FA0}"/>
    <cellStyle name="SAPBEXexcCritical5 2 2 3 4" xfId="34672" xr:uid="{82F487DC-B127-4335-99CD-128E80B4839B}"/>
    <cellStyle name="SAPBEXexcCritical5 2 2 4" xfId="18308" xr:uid="{00000000-0005-0000-0000-00009A440000}"/>
    <cellStyle name="SAPBEXexcCritical5 2 3" xfId="18309" xr:uid="{00000000-0005-0000-0000-00009B440000}"/>
    <cellStyle name="SAPBEXexcCritical5 2 3 2" xfId="18310" xr:uid="{00000000-0005-0000-0000-00009C440000}"/>
    <cellStyle name="SAPBEXexcCritical5 2 3 3" xfId="18311" xr:uid="{00000000-0005-0000-0000-00009D440000}"/>
    <cellStyle name="SAPBEXexcCritical5 2 3 3 2" xfId="20259" xr:uid="{00000000-0005-0000-0000-00009D440000}"/>
    <cellStyle name="SAPBEXexcCritical5 2 3 3 2 2" xfId="27666" xr:uid="{8575E4BE-EC60-4B0E-B33B-A97FFF27F447}"/>
    <cellStyle name="SAPBEXexcCritical5 2 3 3 2 2 2" xfId="42603" xr:uid="{D8523A4F-C017-4333-98D9-D99955D48BA7}"/>
    <cellStyle name="SAPBEXexcCritical5 2 3 3 2 3" xfId="35277" xr:uid="{9EA29A54-2FC7-4C74-AAD0-C3B9DE7AD757}"/>
    <cellStyle name="SAPBEXexcCritical5 2 3 3 3" xfId="27240" xr:uid="{CC9BC8CD-C0FC-48B5-97DB-53B963E34B26}"/>
    <cellStyle name="SAPBEXexcCritical5 2 3 3 3 2" xfId="42203" xr:uid="{D0A4258A-01E3-463E-9D69-3C4CF81DAA03}"/>
    <cellStyle name="SAPBEXexcCritical5 2 3 3 4" xfId="34673" xr:uid="{19251E8F-8507-48D1-B3C3-DA6BD40B73A5}"/>
    <cellStyle name="SAPBEXexcCritical5 2 3 4" xfId="18312" xr:uid="{00000000-0005-0000-0000-00009E440000}"/>
    <cellStyle name="SAPBEXexcCritical5 2 4" xfId="18313" xr:uid="{00000000-0005-0000-0000-00009F440000}"/>
    <cellStyle name="SAPBEXexcCritical5 2 4 2" xfId="18314" xr:uid="{00000000-0005-0000-0000-0000A0440000}"/>
    <cellStyle name="SAPBEXexcCritical5 2 4 2 2" xfId="20260" xr:uid="{00000000-0005-0000-0000-0000A0440000}"/>
    <cellStyle name="SAPBEXexcCritical5 2 4 2 2 2" xfId="27667" xr:uid="{49E61073-95D1-4B28-9C9A-05461E0F5E9C}"/>
    <cellStyle name="SAPBEXexcCritical5 2 4 2 2 2 2" xfId="42604" xr:uid="{58A16663-711A-4452-B128-646FF685F79B}"/>
    <cellStyle name="SAPBEXexcCritical5 2 4 2 2 3" xfId="35278" xr:uid="{24071CD8-8BAF-4C80-9F68-D1D9442255EA}"/>
    <cellStyle name="SAPBEXexcCritical5 2 4 2 3" xfId="27241" xr:uid="{D435190C-5E36-4BAD-B410-5E3F7F3E1F5F}"/>
    <cellStyle name="SAPBEXexcCritical5 2 4 2 3 2" xfId="42204" xr:uid="{D003974A-4EC1-4F84-9ED8-CEAAB162E99B}"/>
    <cellStyle name="SAPBEXexcCritical5 2 4 2 4" xfId="34674" xr:uid="{F88E8568-3C3D-43FC-AF61-981F6323E419}"/>
    <cellStyle name="SAPBEXexcCritical5 2 5" xfId="18315" xr:uid="{00000000-0005-0000-0000-0000A1440000}"/>
    <cellStyle name="SAPBEXexcCritical5 2 5 2" xfId="20261" xr:uid="{00000000-0005-0000-0000-0000A1440000}"/>
    <cellStyle name="SAPBEXexcCritical5 2 5 2 2" xfId="27668" xr:uid="{43A86360-52CA-4547-8AB9-FACF90898272}"/>
    <cellStyle name="SAPBEXexcCritical5 2 5 2 2 2" xfId="42605" xr:uid="{5BAE5A55-A27E-4FD6-85FC-4A48D55A07F7}"/>
    <cellStyle name="SAPBEXexcCritical5 2 5 2 3" xfId="35279" xr:uid="{ACDE6E35-5483-4428-A483-4A836BE5C265}"/>
    <cellStyle name="SAPBEXexcCritical5 2 5 3" xfId="27242" xr:uid="{61D86200-20A7-4EF3-A7A0-1DFD398F768F}"/>
    <cellStyle name="SAPBEXexcCritical5 2 5 3 2" xfId="42205" xr:uid="{1C58299E-B72F-424D-B7D3-4D3F46BCDC90}"/>
    <cellStyle name="SAPBEXexcCritical5 2 5 4" xfId="34675" xr:uid="{FDDDDC65-F9FC-4268-BC30-E503851C0B34}"/>
    <cellStyle name="SAPBEXexcCritical5 2 6" xfId="18316" xr:uid="{00000000-0005-0000-0000-0000A2440000}"/>
    <cellStyle name="SAPBEXexcCritical5 2 7" xfId="18304" xr:uid="{00000000-0005-0000-0000-000096440000}"/>
    <cellStyle name="SAPBEXexcCritical5 2 8" xfId="20765" xr:uid="{8EDC4ECE-1B13-4B46-ADA4-2F07BEA4A0F9}"/>
    <cellStyle name="SAPBEXexcCritical5 2 8 2" xfId="35758" xr:uid="{5926C15B-CBF3-41E0-9102-08CE4C7A58D2}"/>
    <cellStyle name="SAPBEXexcCritical5 2 9" xfId="28111" xr:uid="{01A1ADEB-3206-4321-8C2B-15E01E6A9447}"/>
    <cellStyle name="SAPBEXexcCritical5 3" xfId="18317" xr:uid="{00000000-0005-0000-0000-0000A3440000}"/>
    <cellStyle name="SAPBEXexcCritical5 3 2" xfId="18318" xr:uid="{00000000-0005-0000-0000-0000A4440000}"/>
    <cellStyle name="SAPBEXexcCritical5 3 3" xfId="18319" xr:uid="{00000000-0005-0000-0000-0000A5440000}"/>
    <cellStyle name="SAPBEXexcCritical5 3 3 2" xfId="20262" xr:uid="{00000000-0005-0000-0000-0000A5440000}"/>
    <cellStyle name="SAPBEXexcCritical5 3 3 2 2" xfId="27669" xr:uid="{98327639-5EFC-444D-8537-86B2EFB7222E}"/>
    <cellStyle name="SAPBEXexcCritical5 3 3 2 2 2" xfId="42606" xr:uid="{F4514820-EE41-4049-8829-FC847BCFD3D8}"/>
    <cellStyle name="SAPBEXexcCritical5 3 3 2 3" xfId="35280" xr:uid="{BCA144A1-B5EF-42BA-9DBF-66C6C7ED9BE3}"/>
    <cellStyle name="SAPBEXexcCritical5 3 3 3" xfId="34676" xr:uid="{FBB0A207-9A7E-4CA5-B0C7-E5FC18F99F59}"/>
    <cellStyle name="SAPBEXexcCritical5 3 4" xfId="18320" xr:uid="{00000000-0005-0000-0000-0000A6440000}"/>
    <cellStyle name="SAPBEXexcCritical5 3 4 2" xfId="20263" xr:uid="{00000000-0005-0000-0000-0000A6440000}"/>
    <cellStyle name="SAPBEXexcCritical5 3 4 2 2" xfId="35281" xr:uid="{5AA9054F-11B1-475C-AE98-E5EF05FC9ECD}"/>
    <cellStyle name="SAPBEXexcCritical5 3 4 3" xfId="34677" xr:uid="{04168848-54DF-42D4-A6D1-767E22B41583}"/>
    <cellStyle name="SAPBEXexcCritical5 3 5" xfId="18321" xr:uid="{00000000-0005-0000-0000-0000A7440000}"/>
    <cellStyle name="SAPBEXexcCritical5 4" xfId="18322" xr:uid="{00000000-0005-0000-0000-0000A8440000}"/>
    <cellStyle name="SAPBEXexcCritical5 4 2" xfId="18323" xr:uid="{00000000-0005-0000-0000-0000A9440000}"/>
    <cellStyle name="SAPBEXexcCritical5 4 2 2" xfId="20264" xr:uid="{00000000-0005-0000-0000-0000A9440000}"/>
    <cellStyle name="SAPBEXexcCritical5 4 2 2 2" xfId="35282" xr:uid="{79B6C1DA-CFD5-4015-BA66-A1AD79C7CDFE}"/>
    <cellStyle name="SAPBEXexcCritical5 4 2 3" xfId="34678" xr:uid="{F4F2BE3C-9267-4F60-B904-4F49CBC95304}"/>
    <cellStyle name="SAPBEXexcCritical5 5" xfId="18324" xr:uid="{00000000-0005-0000-0000-0000AA440000}"/>
    <cellStyle name="SAPBEXexcCritical5 5 2" xfId="20265" xr:uid="{00000000-0005-0000-0000-0000AA440000}"/>
    <cellStyle name="SAPBEXexcCritical5 5 2 2" xfId="27670" xr:uid="{A84F9844-FE41-46A5-9B2F-2B359CA9B955}"/>
    <cellStyle name="SAPBEXexcCritical5 5 2 2 2" xfId="42607" xr:uid="{D37FD24C-DE8D-4AFF-84FB-C564F04DBD25}"/>
    <cellStyle name="SAPBEXexcCritical5 5 2 3" xfId="35283" xr:uid="{8F0FAE27-EDD8-4BD9-A9EF-166E671FDE13}"/>
    <cellStyle name="SAPBEXexcCritical5 5 3" xfId="34679" xr:uid="{8B8E9AE4-99E0-4449-845C-25F625C263A3}"/>
    <cellStyle name="SAPBEXexcCritical5 6" xfId="18325" xr:uid="{00000000-0005-0000-0000-0000AB440000}"/>
    <cellStyle name="SAPBEXexcCritical5 7" xfId="18303" xr:uid="{00000000-0005-0000-0000-000095440000}"/>
    <cellStyle name="SAPBEXexcCritical5 8" xfId="28110" xr:uid="{42F50F46-CF3C-4D4E-B2DD-F661F0819094}"/>
    <cellStyle name="SAPBEXexcCritical6" xfId="2672" xr:uid="{00000000-0005-0000-0000-0000480A0000}"/>
    <cellStyle name="SAPBEXexcCritical6 2" xfId="2673" xr:uid="{00000000-0005-0000-0000-0000490A0000}"/>
    <cellStyle name="SAPBEXexcCritical6 2 2" xfId="18328" xr:uid="{00000000-0005-0000-0000-0000AE440000}"/>
    <cellStyle name="SAPBEXexcCritical6 2 2 2" xfId="18329" xr:uid="{00000000-0005-0000-0000-0000AF440000}"/>
    <cellStyle name="SAPBEXexcCritical6 2 2 3" xfId="18330" xr:uid="{00000000-0005-0000-0000-0000B0440000}"/>
    <cellStyle name="SAPBEXexcCritical6 2 2 3 2" xfId="20266" xr:uid="{00000000-0005-0000-0000-0000B0440000}"/>
    <cellStyle name="SAPBEXexcCritical6 2 2 3 2 2" xfId="27671" xr:uid="{C7830C25-ED19-4DDE-AFCD-6441DCE0366E}"/>
    <cellStyle name="SAPBEXexcCritical6 2 2 3 2 2 2" xfId="42608" xr:uid="{95278ADA-003A-4007-9359-2F9CC73D8FAB}"/>
    <cellStyle name="SAPBEXexcCritical6 2 2 3 2 3" xfId="35284" xr:uid="{DFDE2A94-73BF-4AE8-92C7-E517004A8914}"/>
    <cellStyle name="SAPBEXexcCritical6 2 2 3 3" xfId="27243" xr:uid="{8637361B-7653-430F-8B98-38381AC2E1F1}"/>
    <cellStyle name="SAPBEXexcCritical6 2 2 3 3 2" xfId="42206" xr:uid="{BB7CCF78-A995-4153-A922-DF1993E19E6D}"/>
    <cellStyle name="SAPBEXexcCritical6 2 2 3 4" xfId="34680" xr:uid="{461EAA76-9611-442E-81A6-80D1CB13D871}"/>
    <cellStyle name="SAPBEXexcCritical6 2 2 4" xfId="18331" xr:uid="{00000000-0005-0000-0000-0000B1440000}"/>
    <cellStyle name="SAPBEXexcCritical6 2 3" xfId="18332" xr:uid="{00000000-0005-0000-0000-0000B2440000}"/>
    <cellStyle name="SAPBEXexcCritical6 2 3 2" xfId="18333" xr:uid="{00000000-0005-0000-0000-0000B3440000}"/>
    <cellStyle name="SAPBEXexcCritical6 2 3 3" xfId="18334" xr:uid="{00000000-0005-0000-0000-0000B4440000}"/>
    <cellStyle name="SAPBEXexcCritical6 2 3 3 2" xfId="20267" xr:uid="{00000000-0005-0000-0000-0000B4440000}"/>
    <cellStyle name="SAPBEXexcCritical6 2 3 3 2 2" xfId="27672" xr:uid="{E156F99D-E19E-4969-90DB-2B650EFF988F}"/>
    <cellStyle name="SAPBEXexcCritical6 2 3 3 2 2 2" xfId="42609" xr:uid="{B4926863-8160-48E8-871D-0A9ED0914949}"/>
    <cellStyle name="SAPBEXexcCritical6 2 3 3 2 3" xfId="35285" xr:uid="{E79FB5ED-5B5D-4710-8A40-5CF25271BC35}"/>
    <cellStyle name="SAPBEXexcCritical6 2 3 3 3" xfId="27244" xr:uid="{3C30BA78-88C5-44BE-9AD9-243649096911}"/>
    <cellStyle name="SAPBEXexcCritical6 2 3 3 3 2" xfId="42207" xr:uid="{39C1421B-C6EB-4D1F-A38E-D84B04206648}"/>
    <cellStyle name="SAPBEXexcCritical6 2 3 3 4" xfId="34681" xr:uid="{1FCCEB9A-C507-4F27-99F7-6955565ECE35}"/>
    <cellStyle name="SAPBEXexcCritical6 2 3 4" xfId="18335" xr:uid="{00000000-0005-0000-0000-0000B5440000}"/>
    <cellStyle name="SAPBEXexcCritical6 2 4" xfId="18336" xr:uid="{00000000-0005-0000-0000-0000B6440000}"/>
    <cellStyle name="SAPBEXexcCritical6 2 4 2" xfId="18337" xr:uid="{00000000-0005-0000-0000-0000B7440000}"/>
    <cellStyle name="SAPBEXexcCritical6 2 4 2 2" xfId="20268" xr:uid="{00000000-0005-0000-0000-0000B7440000}"/>
    <cellStyle name="SAPBEXexcCritical6 2 4 2 2 2" xfId="27673" xr:uid="{21821EBF-AE3B-4EA7-81AE-50C5D01F7804}"/>
    <cellStyle name="SAPBEXexcCritical6 2 4 2 2 2 2" xfId="42610" xr:uid="{5D3F0E1B-102E-40EC-BD74-7E5153ED00CD}"/>
    <cellStyle name="SAPBEXexcCritical6 2 4 2 2 3" xfId="35286" xr:uid="{860EC838-7818-44D1-9804-79E87D66836E}"/>
    <cellStyle name="SAPBEXexcCritical6 2 4 2 3" xfId="27245" xr:uid="{B4D5333E-9080-463D-B96B-6675F9E66333}"/>
    <cellStyle name="SAPBEXexcCritical6 2 4 2 3 2" xfId="42208" xr:uid="{91584EDC-684E-4FD6-B5BD-7258D5E09287}"/>
    <cellStyle name="SAPBEXexcCritical6 2 4 2 4" xfId="34682" xr:uid="{AA3AE0D2-1BF3-4932-9C78-F71283045458}"/>
    <cellStyle name="SAPBEXexcCritical6 2 5" xfId="18338" xr:uid="{00000000-0005-0000-0000-0000B8440000}"/>
    <cellStyle name="SAPBEXexcCritical6 2 5 2" xfId="20269" xr:uid="{00000000-0005-0000-0000-0000B8440000}"/>
    <cellStyle name="SAPBEXexcCritical6 2 5 2 2" xfId="27674" xr:uid="{476C7F89-94C2-4A55-A988-2D751B641B51}"/>
    <cellStyle name="SAPBEXexcCritical6 2 5 2 2 2" xfId="42611" xr:uid="{48AF4C22-BB64-47EB-B862-512ED9F7225C}"/>
    <cellStyle name="SAPBEXexcCritical6 2 5 2 3" xfId="35287" xr:uid="{FD9F3C33-B853-4BD4-931A-D1D7D368025F}"/>
    <cellStyle name="SAPBEXexcCritical6 2 5 3" xfId="27246" xr:uid="{E58216ED-39B6-412A-A8C3-F052726A129F}"/>
    <cellStyle name="SAPBEXexcCritical6 2 5 3 2" xfId="42209" xr:uid="{94C442E6-E486-435E-A72F-14194841AD4C}"/>
    <cellStyle name="SAPBEXexcCritical6 2 5 4" xfId="34683" xr:uid="{2ABA3307-3A69-45A4-A18D-5A817D02B828}"/>
    <cellStyle name="SAPBEXexcCritical6 2 6" xfId="18339" xr:uid="{00000000-0005-0000-0000-0000B9440000}"/>
    <cellStyle name="SAPBEXexcCritical6 2 7" xfId="18327" xr:uid="{00000000-0005-0000-0000-0000AD440000}"/>
    <cellStyle name="SAPBEXexcCritical6 2 8" xfId="20766" xr:uid="{7F920D69-5AB2-4AE0-9DDC-588D56902198}"/>
    <cellStyle name="SAPBEXexcCritical6 2 8 2" xfId="35759" xr:uid="{BE0E2B80-D7A7-4D63-B318-BF5E49BF2C20}"/>
    <cellStyle name="SAPBEXexcCritical6 2 9" xfId="28113" xr:uid="{0D5FE5CD-CAAF-4A6A-9743-3BD06E9E8E08}"/>
    <cellStyle name="SAPBEXexcCritical6 3" xfId="18340" xr:uid="{00000000-0005-0000-0000-0000BA440000}"/>
    <cellStyle name="SAPBEXexcCritical6 3 2" xfId="18341" xr:uid="{00000000-0005-0000-0000-0000BB440000}"/>
    <cellStyle name="SAPBEXexcCritical6 3 3" xfId="18342" xr:uid="{00000000-0005-0000-0000-0000BC440000}"/>
    <cellStyle name="SAPBEXexcCritical6 3 3 2" xfId="20270" xr:uid="{00000000-0005-0000-0000-0000BC440000}"/>
    <cellStyle name="SAPBEXexcCritical6 3 3 2 2" xfId="27675" xr:uid="{22757B7F-0834-4B10-A531-C8DBD189202D}"/>
    <cellStyle name="SAPBEXexcCritical6 3 3 2 2 2" xfId="42612" xr:uid="{C6359B3C-26C1-48E8-8AFA-4E3C7DC1EAC7}"/>
    <cellStyle name="SAPBEXexcCritical6 3 3 2 3" xfId="35288" xr:uid="{27D5F6B4-5895-4611-A9F0-C0E77916DF2B}"/>
    <cellStyle name="SAPBEXexcCritical6 3 3 3" xfId="34684" xr:uid="{0526A156-E1BC-41AA-97DC-9AF3BCFDAF52}"/>
    <cellStyle name="SAPBEXexcCritical6 3 4" xfId="18343" xr:uid="{00000000-0005-0000-0000-0000BD440000}"/>
    <cellStyle name="SAPBEXexcCritical6 3 4 2" xfId="20271" xr:uid="{00000000-0005-0000-0000-0000BD440000}"/>
    <cellStyle name="SAPBEXexcCritical6 3 4 2 2" xfId="35289" xr:uid="{EDA2867B-0B87-4843-BCAE-7A6C1AF200FA}"/>
    <cellStyle name="SAPBEXexcCritical6 3 4 3" xfId="34685" xr:uid="{C8E0C1AF-FC5D-4477-8BE1-E62535C2A9AB}"/>
    <cellStyle name="SAPBEXexcCritical6 3 5" xfId="18344" xr:uid="{00000000-0005-0000-0000-0000BE440000}"/>
    <cellStyle name="SAPBEXexcCritical6 4" xfId="18345" xr:uid="{00000000-0005-0000-0000-0000BF440000}"/>
    <cellStyle name="SAPBEXexcCritical6 4 2" xfId="18346" xr:uid="{00000000-0005-0000-0000-0000C0440000}"/>
    <cellStyle name="SAPBEXexcCritical6 4 2 2" xfId="20272" xr:uid="{00000000-0005-0000-0000-0000C0440000}"/>
    <cellStyle name="SAPBEXexcCritical6 4 2 2 2" xfId="35290" xr:uid="{E479DDBB-2FED-4394-B65B-78137CE6BE69}"/>
    <cellStyle name="SAPBEXexcCritical6 4 2 3" xfId="34686" xr:uid="{DB1380CF-D61C-4635-A8E1-F57F5325B95D}"/>
    <cellStyle name="SAPBEXexcCritical6 5" xfId="18347" xr:uid="{00000000-0005-0000-0000-0000C1440000}"/>
    <cellStyle name="SAPBEXexcCritical6 5 2" xfId="20273" xr:uid="{00000000-0005-0000-0000-0000C1440000}"/>
    <cellStyle name="SAPBEXexcCritical6 5 2 2" xfId="27676" xr:uid="{112248D9-8379-4C77-9099-AB9B882890A7}"/>
    <cellStyle name="SAPBEXexcCritical6 5 2 2 2" xfId="42613" xr:uid="{2D19E1E1-56E7-4AD8-B3DA-6D7BD3A903E6}"/>
    <cellStyle name="SAPBEXexcCritical6 5 2 3" xfId="35291" xr:uid="{FD22C018-425C-4126-8A58-DA51A8876F48}"/>
    <cellStyle name="SAPBEXexcCritical6 5 3" xfId="34687" xr:uid="{08D8C662-753A-44D8-8347-D47D29726A09}"/>
    <cellStyle name="SAPBEXexcCritical6 6" xfId="18348" xr:uid="{00000000-0005-0000-0000-0000C2440000}"/>
    <cellStyle name="SAPBEXexcCritical6 7" xfId="18326" xr:uid="{00000000-0005-0000-0000-0000AC440000}"/>
    <cellStyle name="SAPBEXexcCritical6 8" xfId="28112" xr:uid="{B721EECA-22EF-477B-A7F7-73D30854CFFF}"/>
    <cellStyle name="SAPBEXexcGood1" xfId="2674" xr:uid="{00000000-0005-0000-0000-00004A0A0000}"/>
    <cellStyle name="SAPBEXexcGood1 2" xfId="2675" xr:uid="{00000000-0005-0000-0000-00004B0A0000}"/>
    <cellStyle name="SAPBEXexcGood1 2 2" xfId="18351" xr:uid="{00000000-0005-0000-0000-0000C5440000}"/>
    <cellStyle name="SAPBEXexcGood1 2 2 2" xfId="18352" xr:uid="{00000000-0005-0000-0000-0000C6440000}"/>
    <cellStyle name="SAPBEXexcGood1 2 2 3" xfId="18353" xr:uid="{00000000-0005-0000-0000-0000C7440000}"/>
    <cellStyle name="SAPBEXexcGood1 2 2 3 2" xfId="20274" xr:uid="{00000000-0005-0000-0000-0000C7440000}"/>
    <cellStyle name="SAPBEXexcGood1 2 2 3 2 2" xfId="27677" xr:uid="{D4C503FB-9B49-4599-B445-62B99769349C}"/>
    <cellStyle name="SAPBEXexcGood1 2 2 3 2 2 2" xfId="42614" xr:uid="{317BED50-F679-4065-A0A1-CDF60825F63D}"/>
    <cellStyle name="SAPBEXexcGood1 2 2 3 2 3" xfId="35292" xr:uid="{7C4F23D4-DE47-47DF-A1C1-B6AB0C772C44}"/>
    <cellStyle name="SAPBEXexcGood1 2 2 3 3" xfId="27247" xr:uid="{958BB63C-069A-4A5F-9C29-521389074443}"/>
    <cellStyle name="SAPBEXexcGood1 2 2 3 3 2" xfId="42210" xr:uid="{EC9242F9-09CA-46C2-A1FB-9075C86EDDA9}"/>
    <cellStyle name="SAPBEXexcGood1 2 2 3 4" xfId="34688" xr:uid="{CA21C091-9132-4683-A7F0-DA7E78389CFF}"/>
    <cellStyle name="SAPBEXexcGood1 2 2 4" xfId="18354" xr:uid="{00000000-0005-0000-0000-0000C8440000}"/>
    <cellStyle name="SAPBEXexcGood1 2 3" xfId="18355" xr:uid="{00000000-0005-0000-0000-0000C9440000}"/>
    <cellStyle name="SAPBEXexcGood1 2 3 2" xfId="18356" xr:uid="{00000000-0005-0000-0000-0000CA440000}"/>
    <cellStyle name="SAPBEXexcGood1 2 3 3" xfId="18357" xr:uid="{00000000-0005-0000-0000-0000CB440000}"/>
    <cellStyle name="SAPBEXexcGood1 2 3 3 2" xfId="20275" xr:uid="{00000000-0005-0000-0000-0000CB440000}"/>
    <cellStyle name="SAPBEXexcGood1 2 3 3 2 2" xfId="27678" xr:uid="{B0121809-BB75-4FAC-8B5B-020A62FA870A}"/>
    <cellStyle name="SAPBEXexcGood1 2 3 3 2 2 2" xfId="42615" xr:uid="{2D71D38A-F6A3-4478-BCEC-38E60113FBFE}"/>
    <cellStyle name="SAPBEXexcGood1 2 3 3 2 3" xfId="35293" xr:uid="{251E2D2F-A045-44AD-9F66-778E7E059318}"/>
    <cellStyle name="SAPBEXexcGood1 2 3 3 3" xfId="27248" xr:uid="{A2023BAD-5C1E-4097-9474-DDADF8173AA5}"/>
    <cellStyle name="SAPBEXexcGood1 2 3 3 3 2" xfId="42211" xr:uid="{F165B6A9-BA78-4D04-9D1C-29D7E1BE3D75}"/>
    <cellStyle name="SAPBEXexcGood1 2 3 3 4" xfId="34689" xr:uid="{C532C73C-8E07-4AC4-96A4-A6DB8E0FE7DF}"/>
    <cellStyle name="SAPBEXexcGood1 2 3 4" xfId="18358" xr:uid="{00000000-0005-0000-0000-0000CC440000}"/>
    <cellStyle name="SAPBEXexcGood1 2 4" xfId="18359" xr:uid="{00000000-0005-0000-0000-0000CD440000}"/>
    <cellStyle name="SAPBEXexcGood1 2 4 2" xfId="18360" xr:uid="{00000000-0005-0000-0000-0000CE440000}"/>
    <cellStyle name="SAPBEXexcGood1 2 4 2 2" xfId="20276" xr:uid="{00000000-0005-0000-0000-0000CE440000}"/>
    <cellStyle name="SAPBEXexcGood1 2 4 2 2 2" xfId="27679" xr:uid="{3315D40A-2D56-4C50-A06F-CF5FDBE9F90B}"/>
    <cellStyle name="SAPBEXexcGood1 2 4 2 2 2 2" xfId="42616" xr:uid="{4CDD88DB-3BD4-414C-B864-D01631DB4264}"/>
    <cellStyle name="SAPBEXexcGood1 2 4 2 2 3" xfId="35294" xr:uid="{522E824E-7122-4CA2-A0B8-4F896C309B01}"/>
    <cellStyle name="SAPBEXexcGood1 2 4 2 3" xfId="27249" xr:uid="{BF377453-67C2-4D7C-8854-078E2952262E}"/>
    <cellStyle name="SAPBEXexcGood1 2 4 2 3 2" xfId="42212" xr:uid="{E1C49B51-30CA-41EC-A2F4-94B826A2883E}"/>
    <cellStyle name="SAPBEXexcGood1 2 4 2 4" xfId="34690" xr:uid="{657A12AC-09B5-44BA-AACA-137A43B876F1}"/>
    <cellStyle name="SAPBEXexcGood1 2 5" xfId="18361" xr:uid="{00000000-0005-0000-0000-0000CF440000}"/>
    <cellStyle name="SAPBEXexcGood1 2 5 2" xfId="20277" xr:uid="{00000000-0005-0000-0000-0000CF440000}"/>
    <cellStyle name="SAPBEXexcGood1 2 5 2 2" xfId="27680" xr:uid="{1F98EFBF-C41F-4AED-BB31-04499F97D28C}"/>
    <cellStyle name="SAPBEXexcGood1 2 5 2 2 2" xfId="42617" xr:uid="{8CDBE232-2F40-498E-9F1B-40358F5269E9}"/>
    <cellStyle name="SAPBEXexcGood1 2 5 2 3" xfId="35295" xr:uid="{37D5F1C0-7263-4444-B504-BC379CE91797}"/>
    <cellStyle name="SAPBEXexcGood1 2 5 3" xfId="27250" xr:uid="{BF1C2631-1B57-4F28-845E-2D1A5C60045E}"/>
    <cellStyle name="SAPBEXexcGood1 2 5 3 2" xfId="42213" xr:uid="{7DA987BC-80F2-419D-B5EA-498576A7CCF2}"/>
    <cellStyle name="SAPBEXexcGood1 2 5 4" xfId="34691" xr:uid="{DED7BC03-778B-4B16-A7B3-27F7FDFB26FE}"/>
    <cellStyle name="SAPBEXexcGood1 2 6" xfId="18362" xr:uid="{00000000-0005-0000-0000-0000D0440000}"/>
    <cellStyle name="SAPBEXexcGood1 2 7" xfId="18350" xr:uid="{00000000-0005-0000-0000-0000C4440000}"/>
    <cellStyle name="SAPBEXexcGood1 2 8" xfId="20767" xr:uid="{CB9D4136-EE09-456B-A86D-8D3825C78014}"/>
    <cellStyle name="SAPBEXexcGood1 2 8 2" xfId="35760" xr:uid="{C78E0338-A1AF-4CF2-B4BC-5A4A33B49645}"/>
    <cellStyle name="SAPBEXexcGood1 2 9" xfId="28115" xr:uid="{667738EA-7661-4676-BCAC-40A3882375A6}"/>
    <cellStyle name="SAPBEXexcGood1 3" xfId="18363" xr:uid="{00000000-0005-0000-0000-0000D1440000}"/>
    <cellStyle name="SAPBEXexcGood1 3 2" xfId="18364" xr:uid="{00000000-0005-0000-0000-0000D2440000}"/>
    <cellStyle name="SAPBEXexcGood1 3 3" xfId="18365" xr:uid="{00000000-0005-0000-0000-0000D3440000}"/>
    <cellStyle name="SAPBEXexcGood1 3 3 2" xfId="20278" xr:uid="{00000000-0005-0000-0000-0000D3440000}"/>
    <cellStyle name="SAPBEXexcGood1 3 3 2 2" xfId="27681" xr:uid="{DBE62A60-9012-425A-931C-97BC0451DE2A}"/>
    <cellStyle name="SAPBEXexcGood1 3 3 2 2 2" xfId="42618" xr:uid="{F53133A4-5219-4264-9068-9A17647EDC92}"/>
    <cellStyle name="SAPBEXexcGood1 3 3 2 3" xfId="35296" xr:uid="{643AF88D-5C8A-47C9-B291-21AAFAE3797B}"/>
    <cellStyle name="SAPBEXexcGood1 3 3 3" xfId="34692" xr:uid="{675CA7AE-40FF-4CCA-9F74-4F0CE22229E8}"/>
    <cellStyle name="SAPBEXexcGood1 3 4" xfId="18366" xr:uid="{00000000-0005-0000-0000-0000D4440000}"/>
    <cellStyle name="SAPBEXexcGood1 3 4 2" xfId="20279" xr:uid="{00000000-0005-0000-0000-0000D4440000}"/>
    <cellStyle name="SAPBEXexcGood1 3 4 2 2" xfId="35297" xr:uid="{C0F1C007-C5F2-4331-BE60-A1E2F101C460}"/>
    <cellStyle name="SAPBEXexcGood1 3 4 3" xfId="34693" xr:uid="{BF6AC80E-56F3-40A1-9A35-764E8AF64E19}"/>
    <cellStyle name="SAPBEXexcGood1 3 5" xfId="18367" xr:uid="{00000000-0005-0000-0000-0000D5440000}"/>
    <cellStyle name="SAPBEXexcGood1 4" xfId="18368" xr:uid="{00000000-0005-0000-0000-0000D6440000}"/>
    <cellStyle name="SAPBEXexcGood1 4 2" xfId="18369" xr:uid="{00000000-0005-0000-0000-0000D7440000}"/>
    <cellStyle name="SAPBEXexcGood1 4 2 2" xfId="20280" xr:uid="{00000000-0005-0000-0000-0000D7440000}"/>
    <cellStyle name="SAPBEXexcGood1 4 2 2 2" xfId="35298" xr:uid="{ABB856B4-EA6F-4BD5-B3C4-605F275356B3}"/>
    <cellStyle name="SAPBEXexcGood1 4 2 3" xfId="34694" xr:uid="{407FA9EB-589B-4DD4-8E6D-95496D94A39B}"/>
    <cellStyle name="SAPBEXexcGood1 5" xfId="18370" xr:uid="{00000000-0005-0000-0000-0000D8440000}"/>
    <cellStyle name="SAPBEXexcGood1 5 2" xfId="20281" xr:uid="{00000000-0005-0000-0000-0000D8440000}"/>
    <cellStyle name="SAPBEXexcGood1 5 2 2" xfId="27682" xr:uid="{93E1A494-D1FC-409D-963B-E5FA1EEFCE7D}"/>
    <cellStyle name="SAPBEXexcGood1 5 2 2 2" xfId="42619" xr:uid="{17739E04-59BF-41C3-8568-F1ED6113E34D}"/>
    <cellStyle name="SAPBEXexcGood1 5 2 3" xfId="35299" xr:uid="{49DD64F7-90C6-49B1-88A6-D75076990C38}"/>
    <cellStyle name="SAPBEXexcGood1 5 3" xfId="34695" xr:uid="{669B412D-8B39-40BE-ABCF-DD30D9E7D867}"/>
    <cellStyle name="SAPBEXexcGood1 6" xfId="18371" xr:uid="{00000000-0005-0000-0000-0000D9440000}"/>
    <cellStyle name="SAPBEXexcGood1 7" xfId="18349" xr:uid="{00000000-0005-0000-0000-0000C3440000}"/>
    <cellStyle name="SAPBEXexcGood1 8" xfId="28114" xr:uid="{D891EA9E-826B-47C9-AD33-3F959B96BB21}"/>
    <cellStyle name="SAPBEXexcGood2" xfId="2676" xr:uid="{00000000-0005-0000-0000-00004C0A0000}"/>
    <cellStyle name="SAPBEXexcGood2 2" xfId="2677" xr:uid="{00000000-0005-0000-0000-00004D0A0000}"/>
    <cellStyle name="SAPBEXexcGood2 2 2" xfId="18374" xr:uid="{00000000-0005-0000-0000-0000DC440000}"/>
    <cellStyle name="SAPBEXexcGood2 2 2 2" xfId="18375" xr:uid="{00000000-0005-0000-0000-0000DD440000}"/>
    <cellStyle name="SAPBEXexcGood2 2 2 3" xfId="18376" xr:uid="{00000000-0005-0000-0000-0000DE440000}"/>
    <cellStyle name="SAPBEXexcGood2 2 2 3 2" xfId="20282" xr:uid="{00000000-0005-0000-0000-0000DE440000}"/>
    <cellStyle name="SAPBEXexcGood2 2 2 3 2 2" xfId="27683" xr:uid="{B0C8DF93-6415-4A19-9E2A-4C053A5286CA}"/>
    <cellStyle name="SAPBEXexcGood2 2 2 3 2 2 2" xfId="42620" xr:uid="{4928C8A5-D803-40AD-9B60-810AA11AB434}"/>
    <cellStyle name="SAPBEXexcGood2 2 2 3 2 3" xfId="35300" xr:uid="{42B6B1C5-D0D1-470D-B8FA-941557B2D202}"/>
    <cellStyle name="SAPBEXexcGood2 2 2 3 3" xfId="27251" xr:uid="{7E918D6A-5C63-4BC4-88CB-325E7FBADB79}"/>
    <cellStyle name="SAPBEXexcGood2 2 2 3 3 2" xfId="42214" xr:uid="{389A5EC7-6DF1-4464-9C51-27D04E0EFD7F}"/>
    <cellStyle name="SAPBEXexcGood2 2 2 3 4" xfId="34696" xr:uid="{761FD6F5-39EC-426A-85F7-2E9A15AE1252}"/>
    <cellStyle name="SAPBEXexcGood2 2 2 4" xfId="18377" xr:uid="{00000000-0005-0000-0000-0000DF440000}"/>
    <cellStyle name="SAPBEXexcGood2 2 3" xfId="18378" xr:uid="{00000000-0005-0000-0000-0000E0440000}"/>
    <cellStyle name="SAPBEXexcGood2 2 3 2" xfId="18379" xr:uid="{00000000-0005-0000-0000-0000E1440000}"/>
    <cellStyle name="SAPBEXexcGood2 2 3 3" xfId="18380" xr:uid="{00000000-0005-0000-0000-0000E2440000}"/>
    <cellStyle name="SAPBEXexcGood2 2 3 3 2" xfId="20283" xr:uid="{00000000-0005-0000-0000-0000E2440000}"/>
    <cellStyle name="SAPBEXexcGood2 2 3 3 2 2" xfId="27684" xr:uid="{E7EED166-E7B4-4D50-96C4-BF4214D428C7}"/>
    <cellStyle name="SAPBEXexcGood2 2 3 3 2 2 2" xfId="42621" xr:uid="{7A520F80-486D-490C-A48E-A5F4DE11FAD3}"/>
    <cellStyle name="SAPBEXexcGood2 2 3 3 2 3" xfId="35301" xr:uid="{C0984D1C-14C0-48B2-A26C-84B1BC4F15D7}"/>
    <cellStyle name="SAPBEXexcGood2 2 3 3 3" xfId="27252" xr:uid="{2A9E330D-20FE-4410-89FC-4E0747F293D5}"/>
    <cellStyle name="SAPBEXexcGood2 2 3 3 3 2" xfId="42215" xr:uid="{A53EE639-E2B2-425B-9434-67894C476F91}"/>
    <cellStyle name="SAPBEXexcGood2 2 3 3 4" xfId="34697" xr:uid="{28245FDB-0F59-4E36-9A04-B04FB4DB2D3E}"/>
    <cellStyle name="SAPBEXexcGood2 2 3 4" xfId="18381" xr:uid="{00000000-0005-0000-0000-0000E3440000}"/>
    <cellStyle name="SAPBEXexcGood2 2 4" xfId="18382" xr:uid="{00000000-0005-0000-0000-0000E4440000}"/>
    <cellStyle name="SAPBEXexcGood2 2 4 2" xfId="18383" xr:uid="{00000000-0005-0000-0000-0000E5440000}"/>
    <cellStyle name="SAPBEXexcGood2 2 4 2 2" xfId="20284" xr:uid="{00000000-0005-0000-0000-0000E5440000}"/>
    <cellStyle name="SAPBEXexcGood2 2 4 2 2 2" xfId="27685" xr:uid="{683461FE-9544-410D-80D2-3E8FB29C0149}"/>
    <cellStyle name="SAPBEXexcGood2 2 4 2 2 2 2" xfId="42622" xr:uid="{C4854BC6-1746-4824-B232-7FB80296B6D6}"/>
    <cellStyle name="SAPBEXexcGood2 2 4 2 2 3" xfId="35302" xr:uid="{469BE6C7-AEB1-4124-A3A7-F93685C2D093}"/>
    <cellStyle name="SAPBEXexcGood2 2 4 2 3" xfId="27253" xr:uid="{FEFC4EB6-B534-4131-9E2D-2068AC648259}"/>
    <cellStyle name="SAPBEXexcGood2 2 4 2 3 2" xfId="42216" xr:uid="{2174035C-7F4E-4EE3-A923-3864524F1FA6}"/>
    <cellStyle name="SAPBEXexcGood2 2 4 2 4" xfId="34698" xr:uid="{A28F4371-15B0-47B1-BA5F-1F8ABB617C1A}"/>
    <cellStyle name="SAPBEXexcGood2 2 5" xfId="18384" xr:uid="{00000000-0005-0000-0000-0000E6440000}"/>
    <cellStyle name="SAPBEXexcGood2 2 5 2" xfId="20285" xr:uid="{00000000-0005-0000-0000-0000E6440000}"/>
    <cellStyle name="SAPBEXexcGood2 2 5 2 2" xfId="27686" xr:uid="{54919AE2-E202-4C26-8FBA-7629D66291AA}"/>
    <cellStyle name="SAPBEXexcGood2 2 5 2 2 2" xfId="42623" xr:uid="{9D428A64-53F7-40E6-9B46-3120E2C137D0}"/>
    <cellStyle name="SAPBEXexcGood2 2 5 2 3" xfId="35303" xr:uid="{CA32597A-D22C-4119-8F12-50957B8C374C}"/>
    <cellStyle name="SAPBEXexcGood2 2 5 3" xfId="27254" xr:uid="{09589D6E-BAE5-4AAB-8CCD-1A46E1203F9E}"/>
    <cellStyle name="SAPBEXexcGood2 2 5 3 2" xfId="42217" xr:uid="{23FB0D00-507B-4A37-AB8F-DD6FAFDFA900}"/>
    <cellStyle name="SAPBEXexcGood2 2 5 4" xfId="34699" xr:uid="{FC088892-692D-4D8E-836B-FA14655D4ABF}"/>
    <cellStyle name="SAPBEXexcGood2 2 6" xfId="18385" xr:uid="{00000000-0005-0000-0000-0000E7440000}"/>
    <cellStyle name="SAPBEXexcGood2 2 7" xfId="18373" xr:uid="{00000000-0005-0000-0000-0000DB440000}"/>
    <cellStyle name="SAPBEXexcGood2 2 8" xfId="20768" xr:uid="{89286A28-08D0-430F-AF02-0EC7B5A67D5A}"/>
    <cellStyle name="SAPBEXexcGood2 2 8 2" xfId="35761" xr:uid="{CF62199B-8F22-411B-996C-83F8B8F5C7EB}"/>
    <cellStyle name="SAPBEXexcGood2 2 9" xfId="28117" xr:uid="{2CFA8642-3D53-4DDB-AD33-8B0E4FEFF51B}"/>
    <cellStyle name="SAPBEXexcGood2 3" xfId="18386" xr:uid="{00000000-0005-0000-0000-0000E8440000}"/>
    <cellStyle name="SAPBEXexcGood2 3 2" xfId="18387" xr:uid="{00000000-0005-0000-0000-0000E9440000}"/>
    <cellStyle name="SAPBEXexcGood2 3 3" xfId="18388" xr:uid="{00000000-0005-0000-0000-0000EA440000}"/>
    <cellStyle name="SAPBEXexcGood2 3 3 2" xfId="20286" xr:uid="{00000000-0005-0000-0000-0000EA440000}"/>
    <cellStyle name="SAPBEXexcGood2 3 3 2 2" xfId="27687" xr:uid="{2AB6FB06-AE54-40C3-87B0-DC31DCB00961}"/>
    <cellStyle name="SAPBEXexcGood2 3 3 2 2 2" xfId="42624" xr:uid="{A1A55770-94C2-4748-A5FD-06F38CA62147}"/>
    <cellStyle name="SAPBEXexcGood2 3 3 2 3" xfId="35304" xr:uid="{86CE908A-BC9A-4792-AF38-62955F389066}"/>
    <cellStyle name="SAPBEXexcGood2 3 3 3" xfId="34700" xr:uid="{D3368A5B-516E-4EDC-90C6-7D9BD722A1B8}"/>
    <cellStyle name="SAPBEXexcGood2 3 4" xfId="18389" xr:uid="{00000000-0005-0000-0000-0000EB440000}"/>
    <cellStyle name="SAPBEXexcGood2 3 4 2" xfId="20287" xr:uid="{00000000-0005-0000-0000-0000EB440000}"/>
    <cellStyle name="SAPBEXexcGood2 3 4 2 2" xfId="35305" xr:uid="{3EF17BE9-0380-497B-AA20-C538FDA94933}"/>
    <cellStyle name="SAPBEXexcGood2 3 4 3" xfId="34701" xr:uid="{34EA06F9-B897-49D6-807E-FF4DA4D300C2}"/>
    <cellStyle name="SAPBEXexcGood2 3 5" xfId="18390" xr:uid="{00000000-0005-0000-0000-0000EC440000}"/>
    <cellStyle name="SAPBEXexcGood2 4" xfId="18391" xr:uid="{00000000-0005-0000-0000-0000ED440000}"/>
    <cellStyle name="SAPBEXexcGood2 4 2" xfId="18392" xr:uid="{00000000-0005-0000-0000-0000EE440000}"/>
    <cellStyle name="SAPBEXexcGood2 4 2 2" xfId="20288" xr:uid="{00000000-0005-0000-0000-0000EE440000}"/>
    <cellStyle name="SAPBEXexcGood2 4 2 2 2" xfId="35306" xr:uid="{5B1989F5-701E-47F3-AC88-A90A32D4BAF4}"/>
    <cellStyle name="SAPBEXexcGood2 4 2 3" xfId="34702" xr:uid="{8B265A4E-658B-4A78-A78A-473FFF13FCEF}"/>
    <cellStyle name="SAPBEXexcGood2 5" xfId="18393" xr:uid="{00000000-0005-0000-0000-0000EF440000}"/>
    <cellStyle name="SAPBEXexcGood2 5 2" xfId="20289" xr:uid="{00000000-0005-0000-0000-0000EF440000}"/>
    <cellStyle name="SAPBEXexcGood2 5 2 2" xfId="27688" xr:uid="{1F1BD2D2-CA35-4EC8-BFED-51887C47CDAD}"/>
    <cellStyle name="SAPBEXexcGood2 5 2 2 2" xfId="42625" xr:uid="{AD097F63-E7BE-4007-96A0-CAF24159EDD0}"/>
    <cellStyle name="SAPBEXexcGood2 5 2 3" xfId="35307" xr:uid="{1FB0D654-E5C7-4C92-80D9-215708242917}"/>
    <cellStyle name="SAPBEXexcGood2 5 3" xfId="34703" xr:uid="{9F81B347-04EA-4E2C-A2FB-11312EE6DA6B}"/>
    <cellStyle name="SAPBEXexcGood2 6" xfId="18394" xr:uid="{00000000-0005-0000-0000-0000F0440000}"/>
    <cellStyle name="SAPBEXexcGood2 7" xfId="18372" xr:uid="{00000000-0005-0000-0000-0000DA440000}"/>
    <cellStyle name="SAPBEXexcGood2 8" xfId="28116" xr:uid="{99CC1DCF-7749-49E7-97A7-BC55480FE680}"/>
    <cellStyle name="SAPBEXexcGood3" xfId="2678" xr:uid="{00000000-0005-0000-0000-00004E0A0000}"/>
    <cellStyle name="SAPBEXexcGood3 2" xfId="2679" xr:uid="{00000000-0005-0000-0000-00004F0A0000}"/>
    <cellStyle name="SAPBEXexcGood3 2 2" xfId="18397" xr:uid="{00000000-0005-0000-0000-0000F3440000}"/>
    <cellStyle name="SAPBEXexcGood3 2 2 2" xfId="18398" xr:uid="{00000000-0005-0000-0000-0000F4440000}"/>
    <cellStyle name="SAPBEXexcGood3 2 2 3" xfId="18399" xr:uid="{00000000-0005-0000-0000-0000F5440000}"/>
    <cellStyle name="SAPBEXexcGood3 2 2 3 2" xfId="20290" xr:uid="{00000000-0005-0000-0000-0000F5440000}"/>
    <cellStyle name="SAPBEXexcGood3 2 2 3 2 2" xfId="27689" xr:uid="{68E0E9E5-4F53-4C14-BDA0-CFDEFD4F8C1B}"/>
    <cellStyle name="SAPBEXexcGood3 2 2 3 2 2 2" xfId="42626" xr:uid="{B905B08C-80AD-4232-BD0D-CFAD0CB2CB25}"/>
    <cellStyle name="SAPBEXexcGood3 2 2 3 2 3" xfId="35308" xr:uid="{DA770801-2267-4603-861F-6C4E221C81B7}"/>
    <cellStyle name="SAPBEXexcGood3 2 2 3 3" xfId="27255" xr:uid="{922D687B-127D-4928-9C65-DD84B1097B1F}"/>
    <cellStyle name="SAPBEXexcGood3 2 2 3 3 2" xfId="42218" xr:uid="{A84B8F35-6722-4700-A6A2-9514785AC57D}"/>
    <cellStyle name="SAPBEXexcGood3 2 2 3 4" xfId="34704" xr:uid="{9DB3327A-2B7E-4B2A-8E78-FAFD1571CEFE}"/>
    <cellStyle name="SAPBEXexcGood3 2 2 4" xfId="18400" xr:uid="{00000000-0005-0000-0000-0000F6440000}"/>
    <cellStyle name="SAPBEXexcGood3 2 3" xfId="18401" xr:uid="{00000000-0005-0000-0000-0000F7440000}"/>
    <cellStyle name="SAPBEXexcGood3 2 3 2" xfId="18402" xr:uid="{00000000-0005-0000-0000-0000F8440000}"/>
    <cellStyle name="SAPBEXexcGood3 2 3 3" xfId="18403" xr:uid="{00000000-0005-0000-0000-0000F9440000}"/>
    <cellStyle name="SAPBEXexcGood3 2 3 3 2" xfId="20291" xr:uid="{00000000-0005-0000-0000-0000F9440000}"/>
    <cellStyle name="SAPBEXexcGood3 2 3 3 2 2" xfId="27690" xr:uid="{C159A538-E6B6-48EC-ABA7-33F0B35FA115}"/>
    <cellStyle name="SAPBEXexcGood3 2 3 3 2 2 2" xfId="42627" xr:uid="{C6EC8BAC-C38C-49BC-9E3D-F3FAE0DA01CE}"/>
    <cellStyle name="SAPBEXexcGood3 2 3 3 2 3" xfId="35309" xr:uid="{A2145814-74B4-4B93-8007-D3A3650E6A19}"/>
    <cellStyle name="SAPBEXexcGood3 2 3 3 3" xfId="27256" xr:uid="{3E66691B-743B-489C-86F6-6961FB12CDE6}"/>
    <cellStyle name="SAPBEXexcGood3 2 3 3 3 2" xfId="42219" xr:uid="{3E644CCB-F070-45A7-AF96-29B997A66922}"/>
    <cellStyle name="SAPBEXexcGood3 2 3 3 4" xfId="34705" xr:uid="{7D2482EC-E143-4623-B387-F3A7C7F9D23A}"/>
    <cellStyle name="SAPBEXexcGood3 2 3 4" xfId="18404" xr:uid="{00000000-0005-0000-0000-0000FA440000}"/>
    <cellStyle name="SAPBEXexcGood3 2 4" xfId="18405" xr:uid="{00000000-0005-0000-0000-0000FB440000}"/>
    <cellStyle name="SAPBEXexcGood3 2 4 2" xfId="18406" xr:uid="{00000000-0005-0000-0000-0000FC440000}"/>
    <cellStyle name="SAPBEXexcGood3 2 4 2 2" xfId="20292" xr:uid="{00000000-0005-0000-0000-0000FC440000}"/>
    <cellStyle name="SAPBEXexcGood3 2 4 2 2 2" xfId="27691" xr:uid="{62B1EBBB-9C16-4026-A98E-504C1CA76BE6}"/>
    <cellStyle name="SAPBEXexcGood3 2 4 2 2 2 2" xfId="42628" xr:uid="{6B1C63D2-96D4-474C-B13E-F8EBBE723373}"/>
    <cellStyle name="SAPBEXexcGood3 2 4 2 2 3" xfId="35310" xr:uid="{CCEB7F8A-3FFA-402D-A03E-526F1CFDB624}"/>
    <cellStyle name="SAPBEXexcGood3 2 4 2 3" xfId="27257" xr:uid="{AE7D65BF-E0FD-46FF-B1AA-44EF1A467C55}"/>
    <cellStyle name="SAPBEXexcGood3 2 4 2 3 2" xfId="42220" xr:uid="{4A74C1E1-3263-4F18-AB3E-03A0981B7BFC}"/>
    <cellStyle name="SAPBEXexcGood3 2 4 2 4" xfId="34706" xr:uid="{DDC2CD66-EB82-4E96-9FEB-E6F10459AA64}"/>
    <cellStyle name="SAPBEXexcGood3 2 5" xfId="18407" xr:uid="{00000000-0005-0000-0000-0000FD440000}"/>
    <cellStyle name="SAPBEXexcGood3 2 5 2" xfId="20293" xr:uid="{00000000-0005-0000-0000-0000FD440000}"/>
    <cellStyle name="SAPBEXexcGood3 2 5 2 2" xfId="27692" xr:uid="{A109AE7F-3735-4BBF-9843-482C6F7D89D3}"/>
    <cellStyle name="SAPBEXexcGood3 2 5 2 2 2" xfId="42629" xr:uid="{6745C570-0FA4-4803-92AE-E496CC543A49}"/>
    <cellStyle name="SAPBEXexcGood3 2 5 2 3" xfId="35311" xr:uid="{CCC05AE8-3D98-4997-A982-C51B6A727E84}"/>
    <cellStyle name="SAPBEXexcGood3 2 5 3" xfId="27258" xr:uid="{F8F54F1E-C629-4FA0-AE78-A5B6E7317E28}"/>
    <cellStyle name="SAPBEXexcGood3 2 5 3 2" xfId="42221" xr:uid="{68653B3B-65A4-4969-BA6D-4715CF876D70}"/>
    <cellStyle name="SAPBEXexcGood3 2 5 4" xfId="34707" xr:uid="{CDF8B826-11C2-4391-9396-8A4BADB7CE9E}"/>
    <cellStyle name="SAPBEXexcGood3 2 6" xfId="18408" xr:uid="{00000000-0005-0000-0000-0000FE440000}"/>
    <cellStyle name="SAPBEXexcGood3 2 7" xfId="18396" xr:uid="{00000000-0005-0000-0000-0000F2440000}"/>
    <cellStyle name="SAPBEXexcGood3 2 8" xfId="20769" xr:uid="{97466801-8199-41C4-A392-C4656554FFCA}"/>
    <cellStyle name="SAPBEXexcGood3 2 8 2" xfId="35762" xr:uid="{065176A4-7605-43DD-8821-1BC86563EBFE}"/>
    <cellStyle name="SAPBEXexcGood3 2 9" xfId="28119" xr:uid="{12845AFB-9ED5-42AA-B73A-F631632CB68B}"/>
    <cellStyle name="SAPBEXexcGood3 3" xfId="18409" xr:uid="{00000000-0005-0000-0000-0000FF440000}"/>
    <cellStyle name="SAPBEXexcGood3 3 2" xfId="18410" xr:uid="{00000000-0005-0000-0000-000000450000}"/>
    <cellStyle name="SAPBEXexcGood3 3 3" xfId="18411" xr:uid="{00000000-0005-0000-0000-000001450000}"/>
    <cellStyle name="SAPBEXexcGood3 3 3 2" xfId="20294" xr:uid="{00000000-0005-0000-0000-000001450000}"/>
    <cellStyle name="SAPBEXexcGood3 3 3 2 2" xfId="27693" xr:uid="{553F375E-729E-44C3-B8F9-73594D004EF5}"/>
    <cellStyle name="SAPBEXexcGood3 3 3 2 2 2" xfId="42630" xr:uid="{87FB6680-27F0-4888-8D45-9CC8A9EBFC31}"/>
    <cellStyle name="SAPBEXexcGood3 3 3 2 3" xfId="35312" xr:uid="{4DCEAE16-F743-4DA4-A6C0-13925B03BE03}"/>
    <cellStyle name="SAPBEXexcGood3 3 3 3" xfId="34708" xr:uid="{D1D61C25-C80B-4D6E-88BF-05585ADCA4FE}"/>
    <cellStyle name="SAPBEXexcGood3 3 4" xfId="18412" xr:uid="{00000000-0005-0000-0000-000002450000}"/>
    <cellStyle name="SAPBEXexcGood3 3 4 2" xfId="20295" xr:uid="{00000000-0005-0000-0000-000002450000}"/>
    <cellStyle name="SAPBEXexcGood3 3 4 2 2" xfId="35313" xr:uid="{56FB68E6-18A7-47A9-9175-50A6FF658D15}"/>
    <cellStyle name="SAPBEXexcGood3 3 4 3" xfId="34709" xr:uid="{DE5BE522-C19D-489C-BE53-49FB5600848C}"/>
    <cellStyle name="SAPBEXexcGood3 3 5" xfId="18413" xr:uid="{00000000-0005-0000-0000-000003450000}"/>
    <cellStyle name="SAPBEXexcGood3 4" xfId="18414" xr:uid="{00000000-0005-0000-0000-000004450000}"/>
    <cellStyle name="SAPBEXexcGood3 4 2" xfId="18415" xr:uid="{00000000-0005-0000-0000-000005450000}"/>
    <cellStyle name="SAPBEXexcGood3 4 2 2" xfId="20296" xr:uid="{00000000-0005-0000-0000-000005450000}"/>
    <cellStyle name="SAPBEXexcGood3 4 2 2 2" xfId="35314" xr:uid="{F25C8013-E6DD-4614-93D1-C0BD813C8EAA}"/>
    <cellStyle name="SAPBEXexcGood3 4 2 3" xfId="34710" xr:uid="{D1CB2B77-3C80-4A14-B511-686AB1F9F574}"/>
    <cellStyle name="SAPBEXexcGood3 5" xfId="18416" xr:uid="{00000000-0005-0000-0000-000006450000}"/>
    <cellStyle name="SAPBEXexcGood3 5 2" xfId="20297" xr:uid="{00000000-0005-0000-0000-000006450000}"/>
    <cellStyle name="SAPBEXexcGood3 5 2 2" xfId="27694" xr:uid="{5A7FEE42-7BA9-43F9-A331-442247EC1EB5}"/>
    <cellStyle name="SAPBEXexcGood3 5 2 2 2" xfId="42631" xr:uid="{8FA97E56-DBCF-4B87-8F29-7E88CD74C297}"/>
    <cellStyle name="SAPBEXexcGood3 5 2 3" xfId="35315" xr:uid="{73CF37BC-65A2-43AA-B08B-896C940ED2F1}"/>
    <cellStyle name="SAPBEXexcGood3 5 3" xfId="34711" xr:uid="{A5859840-2C8E-4255-B1FE-C9BCEF123942}"/>
    <cellStyle name="SAPBEXexcGood3 6" xfId="18417" xr:uid="{00000000-0005-0000-0000-000007450000}"/>
    <cellStyle name="SAPBEXexcGood3 7" xfId="18395" xr:uid="{00000000-0005-0000-0000-0000F1440000}"/>
    <cellStyle name="SAPBEXexcGood3 8" xfId="28118" xr:uid="{0DFBAAA7-9CCA-4BBF-BFD4-E59ECABC2CA3}"/>
    <cellStyle name="SAPBEXfilterDrill" xfId="2680" xr:uid="{00000000-0005-0000-0000-0000500A0000}"/>
    <cellStyle name="SAPBEXfilterDrill 2" xfId="2899" xr:uid="{00000000-0005-0000-0000-0000510A0000}"/>
    <cellStyle name="SAPBEXfilterDrill 2 2" xfId="18420" xr:uid="{00000000-0005-0000-0000-00000A450000}"/>
    <cellStyle name="SAPBEXfilterDrill 2 2 2" xfId="18421" xr:uid="{00000000-0005-0000-0000-00000B450000}"/>
    <cellStyle name="SAPBEXfilterDrill 2 2 3" xfId="18422" xr:uid="{00000000-0005-0000-0000-00000C450000}"/>
    <cellStyle name="SAPBEXfilterDrill 2 2 3 2" xfId="20298" xr:uid="{00000000-0005-0000-0000-00000C450000}"/>
    <cellStyle name="SAPBEXfilterDrill 2 2 3 2 2" xfId="27695" xr:uid="{600D888D-7EEF-4F3E-83D5-2A2DE6F8859D}"/>
    <cellStyle name="SAPBEXfilterDrill 2 2 3 2 2 2" xfId="42632" xr:uid="{D63BE3F8-B1FC-4177-82A5-A3E67D4DF4B6}"/>
    <cellStyle name="SAPBEXfilterDrill 2 2 3 2 3" xfId="35316" xr:uid="{92F6C8BE-92D3-48D1-908B-F5D524207332}"/>
    <cellStyle name="SAPBEXfilterDrill 2 2 3 3" xfId="27259" xr:uid="{F92BED73-7E68-41A6-B2FD-D604D1E1683D}"/>
    <cellStyle name="SAPBEXfilterDrill 2 2 3 3 2" xfId="42222" xr:uid="{F619EE99-1660-4563-A8CE-12D8F360232A}"/>
    <cellStyle name="SAPBEXfilterDrill 2 2 3 4" xfId="34712" xr:uid="{7711A696-30C8-4163-AB07-1399C604AEE1}"/>
    <cellStyle name="SAPBEXfilterDrill 2 2 4" xfId="18423" xr:uid="{00000000-0005-0000-0000-00000D450000}"/>
    <cellStyle name="SAPBEXfilterDrill 2 3" xfId="18424" xr:uid="{00000000-0005-0000-0000-00000E450000}"/>
    <cellStyle name="SAPBEXfilterDrill 2 3 2" xfId="18425" xr:uid="{00000000-0005-0000-0000-00000F450000}"/>
    <cellStyle name="SAPBEXfilterDrill 2 3 3" xfId="18426" xr:uid="{00000000-0005-0000-0000-000010450000}"/>
    <cellStyle name="SAPBEXfilterDrill 2 3 3 2" xfId="20299" xr:uid="{00000000-0005-0000-0000-000010450000}"/>
    <cellStyle name="SAPBEXfilterDrill 2 3 3 2 2" xfId="27696" xr:uid="{B7BC6437-EBFA-48FF-8B51-C81BF24CB4D6}"/>
    <cellStyle name="SAPBEXfilterDrill 2 3 3 2 2 2" xfId="42633" xr:uid="{16C0D48A-DD88-4634-95EA-89823CF11F29}"/>
    <cellStyle name="SAPBEXfilterDrill 2 3 3 2 3" xfId="35317" xr:uid="{9B3D9FC5-1358-4BF5-A1E5-15CC92386619}"/>
    <cellStyle name="SAPBEXfilterDrill 2 3 3 3" xfId="27260" xr:uid="{9E80C9B6-7DDB-4B84-A6E6-93E2474D57BD}"/>
    <cellStyle name="SAPBEXfilterDrill 2 3 3 3 2" xfId="42223" xr:uid="{148B9409-AB63-45E3-8CA0-E5EA102686E6}"/>
    <cellStyle name="SAPBEXfilterDrill 2 3 3 4" xfId="34713" xr:uid="{59619046-3E99-437D-9B29-A9C9C7BF0AED}"/>
    <cellStyle name="SAPBEXfilterDrill 2 3 4" xfId="18427" xr:uid="{00000000-0005-0000-0000-000011450000}"/>
    <cellStyle name="SAPBEXfilterDrill 2 4" xfId="18428" xr:uid="{00000000-0005-0000-0000-000012450000}"/>
    <cellStyle name="SAPBEXfilterDrill 2 4 2" xfId="18429" xr:uid="{00000000-0005-0000-0000-000013450000}"/>
    <cellStyle name="SAPBEXfilterDrill 2 4 2 2" xfId="20300" xr:uid="{00000000-0005-0000-0000-000013450000}"/>
    <cellStyle name="SAPBEXfilterDrill 2 4 2 2 2" xfId="27697" xr:uid="{181B2FCB-E386-4C11-93CA-909117A8BD8D}"/>
    <cellStyle name="SAPBEXfilterDrill 2 4 2 2 2 2" xfId="42634" xr:uid="{526AD8F2-8192-48A1-8128-5282BBF35C3C}"/>
    <cellStyle name="SAPBEXfilterDrill 2 4 2 2 3" xfId="35318" xr:uid="{504AB028-3C13-44A1-AC2E-57951F80AA06}"/>
    <cellStyle name="SAPBEXfilterDrill 2 4 2 3" xfId="27261" xr:uid="{BE44A29E-DE8D-4BDD-94A6-6AA172AAA3FB}"/>
    <cellStyle name="SAPBEXfilterDrill 2 4 2 3 2" xfId="42224" xr:uid="{3F362B1D-1450-4312-A56C-A77879AC7BA1}"/>
    <cellStyle name="SAPBEXfilterDrill 2 4 2 4" xfId="34714" xr:uid="{992587E9-13BC-46B9-8DA0-41FC56332063}"/>
    <cellStyle name="SAPBEXfilterDrill 2 5" xfId="18430" xr:uid="{00000000-0005-0000-0000-000014450000}"/>
    <cellStyle name="SAPBEXfilterDrill 2 5 2" xfId="20301" xr:uid="{00000000-0005-0000-0000-000014450000}"/>
    <cellStyle name="SAPBEXfilterDrill 2 5 2 2" xfId="27698" xr:uid="{66D989BC-B9C1-4BC2-B6DB-58640422250A}"/>
    <cellStyle name="SAPBEXfilterDrill 2 5 2 2 2" xfId="42635" xr:uid="{04401ED5-86EF-44D1-9C74-AD2207534B98}"/>
    <cellStyle name="SAPBEXfilterDrill 2 5 2 3" xfId="35319" xr:uid="{F5653CB7-06CA-4B8E-B486-88D76B9AA22F}"/>
    <cellStyle name="SAPBEXfilterDrill 2 5 3" xfId="27262" xr:uid="{76EA03B7-FD8A-4BF2-A4CF-8C825626A9F7}"/>
    <cellStyle name="SAPBEXfilterDrill 2 5 3 2" xfId="42225" xr:uid="{8D4ED68A-50E8-4684-8E53-30078AE5191F}"/>
    <cellStyle name="SAPBEXfilterDrill 2 5 4" xfId="34715" xr:uid="{8E7A0543-AD4D-4B38-A2F0-42E333162BBB}"/>
    <cellStyle name="SAPBEXfilterDrill 2 6" xfId="18431" xr:uid="{00000000-0005-0000-0000-000015450000}"/>
    <cellStyle name="SAPBEXfilterDrill 2 7" xfId="18419" xr:uid="{00000000-0005-0000-0000-000009450000}"/>
    <cellStyle name="SAPBEXfilterDrill 2 8" xfId="20855" xr:uid="{C76CD296-28FF-438C-B827-A8152F7F29E8}"/>
    <cellStyle name="SAPBEXfilterDrill 2 8 2" xfId="35831" xr:uid="{AA656743-6CBD-4A10-8064-538E8BCD90CD}"/>
    <cellStyle name="SAPBEXfilterDrill 2 9" xfId="28227" xr:uid="{CB0C2EA0-EFBE-4C10-989B-4B422245E7F0}"/>
    <cellStyle name="SAPBEXfilterDrill 3" xfId="18432" xr:uid="{00000000-0005-0000-0000-000016450000}"/>
    <cellStyle name="SAPBEXfilterDrill 3 2" xfId="18433" xr:uid="{00000000-0005-0000-0000-000017450000}"/>
    <cellStyle name="SAPBEXfilterDrill 3 3" xfId="18434" xr:uid="{00000000-0005-0000-0000-000018450000}"/>
    <cellStyle name="SAPBEXfilterDrill 3 3 2" xfId="20302" xr:uid="{00000000-0005-0000-0000-000018450000}"/>
    <cellStyle name="SAPBEXfilterDrill 3 3 2 2" xfId="27699" xr:uid="{9BBBAC46-7B9B-4549-AD7A-9867BC8D51C7}"/>
    <cellStyle name="SAPBEXfilterDrill 3 3 2 2 2" xfId="42636" xr:uid="{F56A0366-6862-4495-A129-8E2C43F48763}"/>
    <cellStyle name="SAPBEXfilterDrill 3 3 2 3" xfId="35320" xr:uid="{3E044F69-D900-487C-8A1B-C69C091E6CB0}"/>
    <cellStyle name="SAPBEXfilterDrill 3 3 3" xfId="27263" xr:uid="{63E2EAEE-FACC-429F-A549-EFFB099DAC77}"/>
    <cellStyle name="SAPBEXfilterDrill 3 3 3 2" xfId="42226" xr:uid="{19E79896-F253-4122-A56B-80FB228D4F17}"/>
    <cellStyle name="SAPBEXfilterDrill 3 3 4" xfId="34716" xr:uid="{369F1454-DF79-44B4-AB96-405AA0D2D31B}"/>
    <cellStyle name="SAPBEXfilterDrill 3 4" xfId="18435" xr:uid="{00000000-0005-0000-0000-000019450000}"/>
    <cellStyle name="SAPBEXfilterDrill 3 4 2" xfId="20303" xr:uid="{00000000-0005-0000-0000-000019450000}"/>
    <cellStyle name="SAPBEXfilterDrill 3 4 2 2" xfId="35321" xr:uid="{A070FAF1-8C4C-444A-939A-B0F59797346F}"/>
    <cellStyle name="SAPBEXfilterDrill 3 4 3" xfId="34717" xr:uid="{4CB87BBE-C05C-4AE5-8D69-9C50563EA173}"/>
    <cellStyle name="SAPBEXfilterDrill 3 5" xfId="18436" xr:uid="{00000000-0005-0000-0000-00001A450000}"/>
    <cellStyle name="SAPBEXfilterDrill 4" xfId="18437" xr:uid="{00000000-0005-0000-0000-00001B450000}"/>
    <cellStyle name="SAPBEXfilterDrill 4 2" xfId="18438" xr:uid="{00000000-0005-0000-0000-00001C450000}"/>
    <cellStyle name="SAPBEXfilterDrill 4 2 2" xfId="20304" xr:uid="{00000000-0005-0000-0000-00001C450000}"/>
    <cellStyle name="SAPBEXfilterDrill 4 2 2 2" xfId="35322" xr:uid="{99DB6A8D-2927-4751-9663-772F8EDB9141}"/>
    <cellStyle name="SAPBEXfilterDrill 4 2 3" xfId="34718" xr:uid="{CC197D8B-C556-48A5-9A8D-FB41A5EA9042}"/>
    <cellStyle name="SAPBEXfilterDrill 5" xfId="18439" xr:uid="{00000000-0005-0000-0000-00001D450000}"/>
    <cellStyle name="SAPBEXfilterDrill 5 2" xfId="34719" xr:uid="{C940A495-9CB0-4944-8CA8-165D692EF71B}"/>
    <cellStyle name="SAPBEXfilterDrill 6" xfId="18440" xr:uid="{00000000-0005-0000-0000-00001E450000}"/>
    <cellStyle name="SAPBEXfilterDrill 7" xfId="18418" xr:uid="{00000000-0005-0000-0000-000008450000}"/>
    <cellStyle name="SAPBEXfilterDrill 8" xfId="20770" xr:uid="{720B3AEA-0289-44B2-ABBE-B149E590F79A}"/>
    <cellStyle name="SAPBEXfilterDrill 8 2" xfId="35763" xr:uid="{A6EDBE6F-4D3C-4722-96D0-99CD5A82A3CC}"/>
    <cellStyle name="SAPBEXfilterDrill 9" xfId="28120" xr:uid="{6C495F86-E282-436E-BACE-80AE99B3E7DA}"/>
    <cellStyle name="SAPBEXfilterItem" xfId="2681" xr:uid="{00000000-0005-0000-0000-0000520A0000}"/>
    <cellStyle name="SAPBEXfilterItem 2" xfId="2900" xr:uid="{00000000-0005-0000-0000-0000530A0000}"/>
    <cellStyle name="SAPBEXfilterItem 2 2" xfId="18443" xr:uid="{00000000-0005-0000-0000-000021450000}"/>
    <cellStyle name="SAPBEXfilterItem 2 2 2" xfId="18444" xr:uid="{00000000-0005-0000-0000-000022450000}"/>
    <cellStyle name="SAPBEXfilterItem 2 2 2 2" xfId="20305" xr:uid="{00000000-0005-0000-0000-000022450000}"/>
    <cellStyle name="SAPBEXfilterItem 2 2 2 2 2" xfId="27700" xr:uid="{58411CE9-D820-42DC-8EB2-51B44EBF4E87}"/>
    <cellStyle name="SAPBEXfilterItem 2 2 2 2 2 2" xfId="42637" xr:uid="{E2D01715-A0D9-449A-99A8-793537418EC0}"/>
    <cellStyle name="SAPBEXfilterItem 2 2 2 2 3" xfId="35323" xr:uid="{AAEEA4B9-8740-4BB8-A711-1856D771EA05}"/>
    <cellStyle name="SAPBEXfilterItem 2 2 2 3" xfId="27264" xr:uid="{90F39864-88C7-475A-A378-2B5B50CD0CC4}"/>
    <cellStyle name="SAPBEXfilterItem 2 2 2 3 2" xfId="42227" xr:uid="{68505DB8-81C1-474C-8317-C7DFAB0A982D}"/>
    <cellStyle name="SAPBEXfilterItem 2 2 2 4" xfId="34720" xr:uid="{89139052-CD4C-42E4-BAF5-2CBB6086AF8B}"/>
    <cellStyle name="SAPBEXfilterItem 2 3" xfId="18445" xr:uid="{00000000-0005-0000-0000-000023450000}"/>
    <cellStyle name="SAPBEXfilterItem 2 3 2" xfId="20306" xr:uid="{00000000-0005-0000-0000-000023450000}"/>
    <cellStyle name="SAPBEXfilterItem 2 3 2 2" xfId="27701" xr:uid="{4297FE0A-2DF8-4A56-B4DF-80A0DC247AC8}"/>
    <cellStyle name="SAPBEXfilterItem 2 3 2 2 2" xfId="42638" xr:uid="{54658D17-3417-4B4C-AFED-B819F3D62AB7}"/>
    <cellStyle name="SAPBEXfilterItem 2 3 2 3" xfId="35324" xr:uid="{73C809B0-0D47-41DA-A735-367406F1037D}"/>
    <cellStyle name="SAPBEXfilterItem 2 3 3" xfId="27265" xr:uid="{777192B3-6923-4EAE-82FF-6638F6760E47}"/>
    <cellStyle name="SAPBEXfilterItem 2 3 3 2" xfId="42228" xr:uid="{6399F2E0-E58F-4877-8639-2536F47DBA68}"/>
    <cellStyle name="SAPBEXfilterItem 2 3 4" xfId="34721" xr:uid="{9C1E2577-43C4-43BE-950E-494D89382C93}"/>
    <cellStyle name="SAPBEXfilterItem 2 4" xfId="18446" xr:uid="{00000000-0005-0000-0000-000024450000}"/>
    <cellStyle name="SAPBEXfilterItem 2 5" xfId="18442" xr:uid="{00000000-0005-0000-0000-000020450000}"/>
    <cellStyle name="SAPBEXfilterItem 2 6" xfId="20856" xr:uid="{1DE4956F-CAEA-4803-9208-0C62E3AB6E26}"/>
    <cellStyle name="SAPBEXfilterItem 2 6 2" xfId="35832" xr:uid="{6B5E4337-8824-4D40-92B5-313D3160FBF2}"/>
    <cellStyle name="SAPBEXfilterItem 2 7" xfId="28228" xr:uid="{B661E338-6108-499E-AA9B-ABBABD55A528}"/>
    <cellStyle name="SAPBEXfilterItem 3" xfId="18447" xr:uid="{00000000-0005-0000-0000-000025450000}"/>
    <cellStyle name="SAPBEXfilterItem 3 2" xfId="18448" xr:uid="{00000000-0005-0000-0000-000026450000}"/>
    <cellStyle name="SAPBEXfilterItem 3 3" xfId="18449" xr:uid="{00000000-0005-0000-0000-000027450000}"/>
    <cellStyle name="SAPBEXfilterItem 3 3 2" xfId="20307" xr:uid="{00000000-0005-0000-0000-000027450000}"/>
    <cellStyle name="SAPBEXfilterItem 3 3 2 2" xfId="27702" xr:uid="{B708D514-093E-4A39-B8EA-F5DFC2073A85}"/>
    <cellStyle name="SAPBEXfilterItem 3 3 2 2 2" xfId="42639" xr:uid="{9CE2AE09-DC97-4C7E-B846-3FF20AB7236C}"/>
    <cellStyle name="SAPBEXfilterItem 3 3 2 3" xfId="35325" xr:uid="{1234702E-2F8C-4236-B98A-FA8533D9C544}"/>
    <cellStyle name="SAPBEXfilterItem 3 3 3" xfId="27266" xr:uid="{FEF5603E-9963-4215-A089-DD07E3048F2B}"/>
    <cellStyle name="SAPBEXfilterItem 3 3 3 2" xfId="42229" xr:uid="{370C6EB7-6DB7-4D52-9A26-B35925456083}"/>
    <cellStyle name="SAPBEXfilterItem 3 3 4" xfId="34722" xr:uid="{9C417D0B-B333-4C31-98FF-82FD0B2C2191}"/>
    <cellStyle name="SAPBEXfilterItem 3 4" xfId="18450" xr:uid="{00000000-0005-0000-0000-000028450000}"/>
    <cellStyle name="SAPBEXfilterItem 3 4 2" xfId="20308" xr:uid="{00000000-0005-0000-0000-000028450000}"/>
    <cellStyle name="SAPBEXfilterItem 3 4 2 2" xfId="35326" xr:uid="{F2C5E0CD-49AD-404B-AEEC-AAA26F0E006D}"/>
    <cellStyle name="SAPBEXfilterItem 3 4 3" xfId="27267" xr:uid="{0B2D4D58-B1CF-4CB9-8684-C9A8B95D7D17}"/>
    <cellStyle name="SAPBEXfilterItem 3 5" xfId="18451" xr:uid="{00000000-0005-0000-0000-000029450000}"/>
    <cellStyle name="SAPBEXfilterItem 4" xfId="18452" xr:uid="{00000000-0005-0000-0000-00002A450000}"/>
    <cellStyle name="SAPBEXfilterItem 4 2" xfId="18453" xr:uid="{00000000-0005-0000-0000-00002B450000}"/>
    <cellStyle name="SAPBEXfilterItem 4 2 2" xfId="20309" xr:uid="{00000000-0005-0000-0000-00002B450000}"/>
    <cellStyle name="SAPBEXfilterItem 4 2 2 2" xfId="35327" xr:uid="{1D637974-41B5-4FC0-AE9D-9D4CA8674E3D}"/>
    <cellStyle name="SAPBEXfilterItem 4 2 3" xfId="27268" xr:uid="{C9742F23-9D1C-47EB-B2BD-2B1AA166CDD5}"/>
    <cellStyle name="SAPBEXfilterItem 5" xfId="18454" xr:uid="{00000000-0005-0000-0000-00002C450000}"/>
    <cellStyle name="SAPBEXfilterItem 6" xfId="18455" xr:uid="{00000000-0005-0000-0000-00002D450000}"/>
    <cellStyle name="SAPBEXfilterItem 7" xfId="18441" xr:uid="{00000000-0005-0000-0000-00001F450000}"/>
    <cellStyle name="SAPBEXfilterItem 8" xfId="20771" xr:uid="{A0440643-3CEB-4D7F-A58F-32D9B5DD77A1}"/>
    <cellStyle name="SAPBEXfilterItem 8 2" xfId="35764" xr:uid="{7F2B7CEB-2920-4D1A-AAE3-F8EE873B79E7}"/>
    <cellStyle name="SAPBEXfilterItem 9" xfId="28121" xr:uid="{00CF1483-EE1A-4CD1-8D8E-4B343204866F}"/>
    <cellStyle name="SAPBEXfilterText" xfId="2682" xr:uid="{00000000-0005-0000-0000-0000540A0000}"/>
    <cellStyle name="SAPBEXfilterText 2" xfId="18457" xr:uid="{00000000-0005-0000-0000-00002F450000}"/>
    <cellStyle name="SAPBEXfilterText 2 2" xfId="18458" xr:uid="{00000000-0005-0000-0000-000030450000}"/>
    <cellStyle name="SAPBEXfilterText 2 2 2" xfId="18459" xr:uid="{00000000-0005-0000-0000-000031450000}"/>
    <cellStyle name="SAPBEXfilterText 2 2 2 2" xfId="20310" xr:uid="{00000000-0005-0000-0000-000031450000}"/>
    <cellStyle name="SAPBEXfilterText 2 2 2 2 2" xfId="27703" xr:uid="{0FEBC0AC-BBF4-41DA-AF9D-8D7CC93C1DD6}"/>
    <cellStyle name="SAPBEXfilterText 2 2 2 2 2 2" xfId="42640" xr:uid="{FDBD8FF0-391D-45DE-A46C-964FAB784E17}"/>
    <cellStyle name="SAPBEXfilterText 2 2 2 2 3" xfId="35328" xr:uid="{BD6F3D54-E754-4B6E-A323-6268343E2329}"/>
    <cellStyle name="SAPBEXfilterText 2 2 2 3" xfId="27269" xr:uid="{7175B94A-49DB-4C32-B86E-B5620B56D37B}"/>
    <cellStyle name="SAPBEXfilterText 2 2 2 3 2" xfId="42230" xr:uid="{C33DE306-51A5-4AC6-BA2E-4E5C6E5E0B5F}"/>
    <cellStyle name="SAPBEXfilterText 2 2 2 4" xfId="34723" xr:uid="{7A446D36-3A8D-45D7-A762-AD78F12FD11D}"/>
    <cellStyle name="SAPBEXfilterText 2 3" xfId="18460" xr:uid="{00000000-0005-0000-0000-000032450000}"/>
    <cellStyle name="SAPBEXfilterText 2 3 2" xfId="20311" xr:uid="{00000000-0005-0000-0000-000032450000}"/>
    <cellStyle name="SAPBEXfilterText 2 3 2 2" xfId="27704" xr:uid="{7C89543B-D3BA-4D38-A717-037A3A908F6D}"/>
    <cellStyle name="SAPBEXfilterText 2 3 2 2 2" xfId="42641" xr:uid="{AE4393CE-9754-4783-8D82-F39F6E566451}"/>
    <cellStyle name="SAPBEXfilterText 2 3 2 3" xfId="35329" xr:uid="{0F5AF216-68EE-4C7A-AB02-33D4A9673A4D}"/>
    <cellStyle name="SAPBEXfilterText 2 3 3" xfId="27270" xr:uid="{BE329BD7-287D-458C-884D-F2A7EB2B1899}"/>
    <cellStyle name="SAPBEXfilterText 2 3 3 2" xfId="42231" xr:uid="{3E616863-5BC3-4AD4-A184-054BE7F35A69}"/>
    <cellStyle name="SAPBEXfilterText 2 3 4" xfId="34724" xr:uid="{DE73B0BD-641C-41C1-B897-230429006E39}"/>
    <cellStyle name="SAPBEXfilterText 2 4" xfId="18461" xr:uid="{00000000-0005-0000-0000-000033450000}"/>
    <cellStyle name="SAPBEXfilterText 3" xfId="18462" xr:uid="{00000000-0005-0000-0000-000034450000}"/>
    <cellStyle name="SAPBEXfilterText 3 2" xfId="18463" xr:uid="{00000000-0005-0000-0000-000035450000}"/>
    <cellStyle name="SAPBEXfilterText 4" xfId="18464" xr:uid="{00000000-0005-0000-0000-000036450000}"/>
    <cellStyle name="SAPBEXfilterText 5" xfId="18465" xr:uid="{00000000-0005-0000-0000-000037450000}"/>
    <cellStyle name="SAPBEXfilterText 6" xfId="18466" xr:uid="{00000000-0005-0000-0000-000038450000}"/>
    <cellStyle name="SAPBEXfilterText 7" xfId="18456" xr:uid="{00000000-0005-0000-0000-00002E450000}"/>
    <cellStyle name="SAPBEXformats" xfId="2683" xr:uid="{00000000-0005-0000-0000-0000550A0000}"/>
    <cellStyle name="SAPBEXformats 2" xfId="2684" xr:uid="{00000000-0005-0000-0000-0000560A0000}"/>
    <cellStyle name="SAPBEXformats 2 2" xfId="18469" xr:uid="{00000000-0005-0000-0000-00003B450000}"/>
    <cellStyle name="SAPBEXformats 2 2 2" xfId="18470" xr:uid="{00000000-0005-0000-0000-00003C450000}"/>
    <cellStyle name="SAPBEXformats 2 2 3" xfId="18471" xr:uid="{00000000-0005-0000-0000-00003D450000}"/>
    <cellStyle name="SAPBEXformats 2 2 3 2" xfId="20312" xr:uid="{00000000-0005-0000-0000-00003D450000}"/>
    <cellStyle name="SAPBEXformats 2 2 3 2 2" xfId="27705" xr:uid="{12D6CA48-6F54-47CA-89B8-5B6FE877E1FB}"/>
    <cellStyle name="SAPBEXformats 2 2 3 2 2 2" xfId="42642" xr:uid="{6B991442-3A44-4258-B25C-89B4E2822120}"/>
    <cellStyle name="SAPBEXformats 2 2 3 2 3" xfId="35330" xr:uid="{4AF2DEEC-9B5D-48E5-940F-295B2D9EF51D}"/>
    <cellStyle name="SAPBEXformats 2 2 3 3" xfId="27271" xr:uid="{868E4BC4-E29D-4F5F-8088-501046FF6F71}"/>
    <cellStyle name="SAPBEXformats 2 2 3 3 2" xfId="42232" xr:uid="{85413BC8-A1C8-4E7A-8BBE-64230C7148B3}"/>
    <cellStyle name="SAPBEXformats 2 2 3 4" xfId="34725" xr:uid="{063962EB-478B-4E5F-BE37-9A04B93CF1B0}"/>
    <cellStyle name="SAPBEXformats 2 2 4" xfId="18472" xr:uid="{00000000-0005-0000-0000-00003E450000}"/>
    <cellStyle name="SAPBEXformats 2 3" xfId="18473" xr:uid="{00000000-0005-0000-0000-00003F450000}"/>
    <cellStyle name="SAPBEXformats 2 3 2" xfId="18474" xr:uid="{00000000-0005-0000-0000-000040450000}"/>
    <cellStyle name="SAPBEXformats 2 3 3" xfId="18475" xr:uid="{00000000-0005-0000-0000-000041450000}"/>
    <cellStyle name="SAPBEXformats 2 3 3 2" xfId="20313" xr:uid="{00000000-0005-0000-0000-000041450000}"/>
    <cellStyle name="SAPBEXformats 2 3 3 2 2" xfId="27706" xr:uid="{D8313266-81A9-4ACA-ADAC-5EA18C063070}"/>
    <cellStyle name="SAPBEXformats 2 3 3 2 2 2" xfId="42643" xr:uid="{6BB1541B-94DA-48E0-857A-BE7862B4E8E0}"/>
    <cellStyle name="SAPBEXformats 2 3 3 2 3" xfId="35331" xr:uid="{FDB41EF8-2234-40A3-B9CC-545C98CE8DAD}"/>
    <cellStyle name="SAPBEXformats 2 3 3 3" xfId="27272" xr:uid="{0DB8F3E6-05C5-4486-8242-3FEF0474A942}"/>
    <cellStyle name="SAPBEXformats 2 3 3 3 2" xfId="42233" xr:uid="{C583E619-2C73-4D18-86B8-C61E6F449FA2}"/>
    <cellStyle name="SAPBEXformats 2 3 3 4" xfId="34726" xr:uid="{29B42666-4F60-4FC5-9399-6C6EC886C5CD}"/>
    <cellStyle name="SAPBEXformats 2 3 4" xfId="18476" xr:uid="{00000000-0005-0000-0000-000042450000}"/>
    <cellStyle name="SAPBEXformats 2 4" xfId="18477" xr:uid="{00000000-0005-0000-0000-000043450000}"/>
    <cellStyle name="SAPBEXformats 2 4 2" xfId="18478" xr:uid="{00000000-0005-0000-0000-000044450000}"/>
    <cellStyle name="SAPBEXformats 2 4 2 2" xfId="20314" xr:uid="{00000000-0005-0000-0000-000044450000}"/>
    <cellStyle name="SAPBEXformats 2 4 2 2 2" xfId="27707" xr:uid="{CA982ED8-B942-495A-BBEA-A13DC2123616}"/>
    <cellStyle name="SAPBEXformats 2 4 2 2 2 2" xfId="42644" xr:uid="{0F7C3D11-F20F-4D83-A169-6139E1006E14}"/>
    <cellStyle name="SAPBEXformats 2 4 2 2 3" xfId="35332" xr:uid="{87F70AF6-63AE-4C9C-8BED-C7533B8218F6}"/>
    <cellStyle name="SAPBEXformats 2 4 2 3" xfId="27273" xr:uid="{74F6B65A-C1C2-40C2-A1D6-67A56E953E14}"/>
    <cellStyle name="SAPBEXformats 2 4 2 3 2" xfId="42234" xr:uid="{7DD48B30-EA72-408E-9231-8F55675268E7}"/>
    <cellStyle name="SAPBEXformats 2 4 2 4" xfId="34727" xr:uid="{E10985F9-2C0F-4F0C-87FC-3C992493F31B}"/>
    <cellStyle name="SAPBEXformats 2 5" xfId="18479" xr:uid="{00000000-0005-0000-0000-000045450000}"/>
    <cellStyle name="SAPBEXformats 2 5 2" xfId="20315" xr:uid="{00000000-0005-0000-0000-000045450000}"/>
    <cellStyle name="SAPBEXformats 2 5 2 2" xfId="27708" xr:uid="{3BFA3869-54E3-498B-B568-F97C0DC1C3B5}"/>
    <cellStyle name="SAPBEXformats 2 5 2 2 2" xfId="42645" xr:uid="{FC5D7B77-0E09-4072-85D3-51E0EB341C2F}"/>
    <cellStyle name="SAPBEXformats 2 5 2 3" xfId="35333" xr:uid="{DC089794-3C3C-4A66-8697-5289BE4E6718}"/>
    <cellStyle name="SAPBEXformats 2 5 3" xfId="27274" xr:uid="{AC9814B7-787F-403D-A48E-BB8587AC22C8}"/>
    <cellStyle name="SAPBEXformats 2 5 3 2" xfId="42235" xr:uid="{C0FB471A-5A86-48E9-AAB4-BAE0B1577FBA}"/>
    <cellStyle name="SAPBEXformats 2 5 4" xfId="34728" xr:uid="{ACAFD950-E0E0-4C82-82B1-FEEC5C993730}"/>
    <cellStyle name="SAPBEXformats 2 6" xfId="18480" xr:uid="{00000000-0005-0000-0000-000046450000}"/>
    <cellStyle name="SAPBEXformats 2 7" xfId="18468" xr:uid="{00000000-0005-0000-0000-00003A450000}"/>
    <cellStyle name="SAPBEXformats 2 8" xfId="20772" xr:uid="{DC58B2B1-9316-4639-B1AB-0EE96112D05E}"/>
    <cellStyle name="SAPBEXformats 2 8 2" xfId="35765" xr:uid="{2C10D6BF-BF80-45AE-8923-046F9E9CE444}"/>
    <cellStyle name="SAPBEXformats 2 9" xfId="28123" xr:uid="{A7346F5C-6E1A-4738-A590-CCCBB31D626B}"/>
    <cellStyle name="SAPBEXformats 3" xfId="18481" xr:uid="{00000000-0005-0000-0000-000047450000}"/>
    <cellStyle name="SAPBEXformats 3 2" xfId="18482" xr:uid="{00000000-0005-0000-0000-000048450000}"/>
    <cellStyle name="SAPBEXformats 3 2 2" xfId="18483" xr:uid="{00000000-0005-0000-0000-000049450000}"/>
    <cellStyle name="SAPBEXformats 3 2 2 2" xfId="20316" xr:uid="{00000000-0005-0000-0000-000049450000}"/>
    <cellStyle name="SAPBEXformats 3 2 2 2 2" xfId="35334" xr:uid="{D1ECBFD1-D675-4883-94CB-F1E0A967BD0A}"/>
    <cellStyle name="SAPBEXformats 3 2 2 3" xfId="34729" xr:uid="{07EF7D28-882D-4315-8169-8556118FEDCC}"/>
    <cellStyle name="SAPBEXformats 3 3" xfId="18484" xr:uid="{00000000-0005-0000-0000-00004A450000}"/>
    <cellStyle name="SAPBEXformats 3 3 2" xfId="18485" xr:uid="{00000000-0005-0000-0000-00004B450000}"/>
    <cellStyle name="SAPBEXformats 3 3 2 2" xfId="20318" xr:uid="{00000000-0005-0000-0000-00004B450000}"/>
    <cellStyle name="SAPBEXformats 3 3 2 2 2" xfId="35336" xr:uid="{D56171A3-4475-4926-84FB-DADC708AD3F9}"/>
    <cellStyle name="SAPBEXformats 3 3 2 3" xfId="34731" xr:uid="{1BA9F789-4703-4D3A-8401-B0284A8C8D40}"/>
    <cellStyle name="SAPBEXformats 3 3 3" xfId="20317" xr:uid="{00000000-0005-0000-0000-00004A450000}"/>
    <cellStyle name="SAPBEXformats 3 3 3 2" xfId="27709" xr:uid="{E1108021-E539-4810-AD0B-9D06739CA94B}"/>
    <cellStyle name="SAPBEXformats 3 3 3 2 2" xfId="42646" xr:uid="{0F36D898-8BDE-45B2-8A7A-A4211966EBB0}"/>
    <cellStyle name="SAPBEXformats 3 3 3 3" xfId="35335" xr:uid="{A79A3E43-879E-4CB8-BD36-2CF51C757F8C}"/>
    <cellStyle name="SAPBEXformats 3 3 4" xfId="34730" xr:uid="{42E42001-2B39-4C86-A9CE-08767915A7B5}"/>
    <cellStyle name="SAPBEXformats 3 4" xfId="18486" xr:uid="{00000000-0005-0000-0000-00004C450000}"/>
    <cellStyle name="SAPBEXformats 3 4 2" xfId="20319" xr:uid="{00000000-0005-0000-0000-00004C450000}"/>
    <cellStyle name="SAPBEXformats 3 4 2 2" xfId="35337" xr:uid="{533C21F8-503B-4137-83B4-AF0D8A9FEBA1}"/>
    <cellStyle name="SAPBEXformats 3 4 3" xfId="34732" xr:uid="{F4F889BF-91D5-4D2A-8F7A-D9EAD26C9771}"/>
    <cellStyle name="SAPBEXformats 3 5" xfId="18487" xr:uid="{00000000-0005-0000-0000-00004D450000}"/>
    <cellStyle name="SAPBEXformats 4" xfId="18488" xr:uid="{00000000-0005-0000-0000-00004E450000}"/>
    <cellStyle name="SAPBEXformats 4 2" xfId="18489" xr:uid="{00000000-0005-0000-0000-00004F450000}"/>
    <cellStyle name="SAPBEXformats 4 2 2" xfId="20320" xr:uid="{00000000-0005-0000-0000-00004F450000}"/>
    <cellStyle name="SAPBEXformats 4 2 2 2" xfId="35338" xr:uid="{908F9633-3456-40E3-A5FD-751EAF09541D}"/>
    <cellStyle name="SAPBEXformats 4 2 3" xfId="34733" xr:uid="{0BDD6099-6FF2-4BBF-B415-BA135A2481BD}"/>
    <cellStyle name="SAPBEXformats 5" xfId="18490" xr:uid="{00000000-0005-0000-0000-000050450000}"/>
    <cellStyle name="SAPBEXformats 5 2" xfId="18491" xr:uid="{00000000-0005-0000-0000-000051450000}"/>
    <cellStyle name="SAPBEXformats 5 2 2" xfId="20322" xr:uid="{00000000-0005-0000-0000-000051450000}"/>
    <cellStyle name="SAPBEXformats 5 2 2 2" xfId="35340" xr:uid="{6B73B3AE-8BE1-4A3E-A358-25D518482BBF}"/>
    <cellStyle name="SAPBEXformats 5 2 3" xfId="34735" xr:uid="{E1211041-326E-44E9-9DA6-3C7726459435}"/>
    <cellStyle name="SAPBEXformats 5 3" xfId="20321" xr:uid="{00000000-0005-0000-0000-000050450000}"/>
    <cellStyle name="SAPBEXformats 5 3 2" xfId="27710" xr:uid="{225D364C-CBBC-4A01-8C08-3A4859794A9A}"/>
    <cellStyle name="SAPBEXformats 5 3 2 2" xfId="42647" xr:uid="{FA36DBFE-1283-4009-B2A2-1E5BEF8A4383}"/>
    <cellStyle name="SAPBEXformats 5 3 3" xfId="35339" xr:uid="{E690AD13-8A97-4A2B-A45F-FFE46ECE9F87}"/>
    <cellStyle name="SAPBEXformats 5 4" xfId="34734" xr:uid="{7F8AD320-6A77-4C05-8D44-62CBCBFB5E64}"/>
    <cellStyle name="SAPBEXformats 6" xfId="18492" xr:uid="{00000000-0005-0000-0000-000052450000}"/>
    <cellStyle name="SAPBEXformats 7" xfId="18467" xr:uid="{00000000-0005-0000-0000-000039450000}"/>
    <cellStyle name="SAPBEXformats 8" xfId="28122" xr:uid="{3FE8D4A4-E7BF-4C3A-83E9-745069873D50}"/>
    <cellStyle name="SAPBEXheaderData" xfId="2685" xr:uid="{00000000-0005-0000-0000-0000570A0000}"/>
    <cellStyle name="SAPBEXheaderData 2" xfId="18494" xr:uid="{00000000-0005-0000-0000-000054450000}"/>
    <cellStyle name="SAPBEXheaderData 2 2" xfId="18495" xr:uid="{00000000-0005-0000-0000-000055450000}"/>
    <cellStyle name="SAPBEXheaderData 2 3" xfId="27275" xr:uid="{B73EEACC-4FC8-4628-838A-4753795C9C6E}"/>
    <cellStyle name="SAPBEXheaderData 3" xfId="18496" xr:uid="{00000000-0005-0000-0000-000056450000}"/>
    <cellStyle name="SAPBEXheaderData 4" xfId="18493" xr:uid="{00000000-0005-0000-0000-000053450000}"/>
    <cellStyle name="SAPBEXheaderData 5" xfId="20773" xr:uid="{9D25925D-C52D-46AC-A4B3-7A298FD4E567}"/>
    <cellStyle name="SAPBEXheaderItem" xfId="2686" xr:uid="{00000000-0005-0000-0000-0000580A0000}"/>
    <cellStyle name="SAPBEXheaderItem 2" xfId="2687" xr:uid="{00000000-0005-0000-0000-0000590A0000}"/>
    <cellStyle name="SAPBEXheaderItem 2 2" xfId="18499" xr:uid="{00000000-0005-0000-0000-000059450000}"/>
    <cellStyle name="SAPBEXheaderItem 2 2 2" xfId="18500" xr:uid="{00000000-0005-0000-0000-00005A450000}"/>
    <cellStyle name="SAPBEXheaderItem 2 2 3" xfId="18501" xr:uid="{00000000-0005-0000-0000-00005B450000}"/>
    <cellStyle name="SAPBEXheaderItem 2 2 3 2" xfId="20323" xr:uid="{00000000-0005-0000-0000-00005B450000}"/>
    <cellStyle name="SAPBEXheaderItem 2 2 3 2 2" xfId="27711" xr:uid="{D037DCA1-709E-4021-B897-1708D74A2DFA}"/>
    <cellStyle name="SAPBEXheaderItem 2 2 3 2 2 2" xfId="42648" xr:uid="{398D29E9-F8E7-4EC2-A1BB-E62120C3DDE7}"/>
    <cellStyle name="SAPBEXheaderItem 2 2 3 2 3" xfId="35341" xr:uid="{3AE72739-1F16-4324-A41B-9C992AF47FB3}"/>
    <cellStyle name="SAPBEXheaderItem 2 2 3 3" xfId="27276" xr:uid="{2D7D5559-575C-48DF-B843-251988E93D06}"/>
    <cellStyle name="SAPBEXheaderItem 2 2 3 3 2" xfId="42236" xr:uid="{D819BB26-AA05-463F-9A53-68B021187FCF}"/>
    <cellStyle name="SAPBEXheaderItem 2 2 3 4" xfId="34736" xr:uid="{8FC0D09C-A74A-4B60-A405-084B724EA5C7}"/>
    <cellStyle name="SAPBEXheaderItem 2 2 4" xfId="18502" xr:uid="{00000000-0005-0000-0000-00005C450000}"/>
    <cellStyle name="SAPBEXheaderItem 2 3" xfId="18503" xr:uid="{00000000-0005-0000-0000-00005D450000}"/>
    <cellStyle name="SAPBEXheaderItem 2 3 2" xfId="18504" xr:uid="{00000000-0005-0000-0000-00005E450000}"/>
    <cellStyle name="SAPBEXheaderItem 2 3 3" xfId="18505" xr:uid="{00000000-0005-0000-0000-00005F450000}"/>
    <cellStyle name="SAPBEXheaderItem 2 3 3 2" xfId="20324" xr:uid="{00000000-0005-0000-0000-00005F450000}"/>
    <cellStyle name="SAPBEXheaderItem 2 3 3 2 2" xfId="27712" xr:uid="{62317A8A-AA9E-4340-B71B-20A555A12349}"/>
    <cellStyle name="SAPBEXheaderItem 2 3 3 2 2 2" xfId="42649" xr:uid="{454EECEE-BF2B-4AA0-9682-5D0034765646}"/>
    <cellStyle name="SAPBEXheaderItem 2 3 3 2 3" xfId="35342" xr:uid="{8FCD5B11-A819-4715-A0F1-1EE5A5EFBF7E}"/>
    <cellStyle name="SAPBEXheaderItem 2 3 3 3" xfId="27277" xr:uid="{F51B2114-FEDC-438D-A6BF-15FB98194D45}"/>
    <cellStyle name="SAPBEXheaderItem 2 3 3 3 2" xfId="42237" xr:uid="{17B884A1-5352-46E4-9E04-2C88FE8C72C2}"/>
    <cellStyle name="SAPBEXheaderItem 2 3 3 4" xfId="34737" xr:uid="{E542563F-2FE8-48D9-9C48-848784ABD57D}"/>
    <cellStyle name="SAPBEXheaderItem 2 3 4" xfId="18506" xr:uid="{00000000-0005-0000-0000-000060450000}"/>
    <cellStyle name="SAPBEXheaderItem 2 4" xfId="18507" xr:uid="{00000000-0005-0000-0000-000061450000}"/>
    <cellStyle name="SAPBEXheaderItem 2 4 2" xfId="18508" xr:uid="{00000000-0005-0000-0000-000062450000}"/>
    <cellStyle name="SAPBEXheaderItem 2 4 2 2" xfId="18509" xr:uid="{00000000-0005-0000-0000-000063450000}"/>
    <cellStyle name="SAPBEXheaderItem 2 4 3" xfId="18510" xr:uid="{00000000-0005-0000-0000-000064450000}"/>
    <cellStyle name="SAPBEXheaderItem 2 5" xfId="18511" xr:uid="{00000000-0005-0000-0000-000065450000}"/>
    <cellStyle name="SAPBEXheaderItem 2 5 2" xfId="18512" xr:uid="{00000000-0005-0000-0000-000066450000}"/>
    <cellStyle name="SAPBEXheaderItem 2 5 2 2" xfId="20325" xr:uid="{00000000-0005-0000-0000-000066450000}"/>
    <cellStyle name="SAPBEXheaderItem 2 5 2 2 2" xfId="27713" xr:uid="{B4B9D64B-7DBF-4258-9AEB-EF9AE219E95B}"/>
    <cellStyle name="SAPBEXheaderItem 2 5 2 2 2 2" xfId="42650" xr:uid="{D98E6733-1FBB-4B8A-ADFF-38ADFFAEBC52}"/>
    <cellStyle name="SAPBEXheaderItem 2 5 2 2 3" xfId="35343" xr:uid="{8CF148C4-467B-43F5-A7B0-4B9567002656}"/>
    <cellStyle name="SAPBEXheaderItem 2 5 2 3" xfId="27278" xr:uid="{82704835-0996-433D-AFBD-C4975623D7C8}"/>
    <cellStyle name="SAPBEXheaderItem 2 5 2 3 2" xfId="42238" xr:uid="{0595CBCE-5A8D-4F4B-9944-8CDF436F809D}"/>
    <cellStyle name="SAPBEXheaderItem 2 5 2 4" xfId="34738" xr:uid="{FCF584E8-E704-4174-928A-5F5C8082257D}"/>
    <cellStyle name="SAPBEXheaderItem 2 6" xfId="18513" xr:uid="{00000000-0005-0000-0000-000067450000}"/>
    <cellStyle name="SAPBEXheaderItem 2 6 2" xfId="20326" xr:uid="{00000000-0005-0000-0000-000067450000}"/>
    <cellStyle name="SAPBEXheaderItem 2 6 2 2" xfId="27714" xr:uid="{437217C7-91B2-41C5-AAAA-E1B8BDA4A111}"/>
    <cellStyle name="SAPBEXheaderItem 2 6 2 2 2" xfId="42651" xr:uid="{B64986A6-BA47-4A2E-9897-CF291F7EDAF2}"/>
    <cellStyle name="SAPBEXheaderItem 2 6 2 3" xfId="35344" xr:uid="{81FF9C64-AF93-4B73-923C-94932DFA7E63}"/>
    <cellStyle name="SAPBEXheaderItem 2 6 3" xfId="27279" xr:uid="{ED1DCD96-BE6B-484E-9A7E-4612A7047F30}"/>
    <cellStyle name="SAPBEXheaderItem 2 6 3 2" xfId="42239" xr:uid="{E2990213-CD14-4ECB-A0AD-EA6833485E4D}"/>
    <cellStyle name="SAPBEXheaderItem 2 6 4" xfId="34739" xr:uid="{7117FFFA-0709-4748-9FE9-3C3A769C6BAF}"/>
    <cellStyle name="SAPBEXheaderItem 2 7" xfId="18514" xr:uid="{00000000-0005-0000-0000-000068450000}"/>
    <cellStyle name="SAPBEXheaderItem 2 8" xfId="18498" xr:uid="{00000000-0005-0000-0000-000058450000}"/>
    <cellStyle name="SAPBEXheaderItem 3" xfId="18515" xr:uid="{00000000-0005-0000-0000-000069450000}"/>
    <cellStyle name="SAPBEXheaderItem 3 2" xfId="18516" xr:uid="{00000000-0005-0000-0000-00006A450000}"/>
    <cellStyle name="SAPBEXheaderItem 3 3" xfId="18517" xr:uid="{00000000-0005-0000-0000-00006B450000}"/>
    <cellStyle name="SAPBEXheaderItem 3 4" xfId="18518" xr:uid="{00000000-0005-0000-0000-00006C450000}"/>
    <cellStyle name="SAPBEXheaderItem 3 4 2" xfId="20327" xr:uid="{00000000-0005-0000-0000-00006C450000}"/>
    <cellStyle name="SAPBEXheaderItem 3 4 2 2" xfId="35345" xr:uid="{F251AAE9-6ED3-43C2-833D-2A750684DFCD}"/>
    <cellStyle name="SAPBEXheaderItem 3 4 3" xfId="34740" xr:uid="{D17B6A66-A2A4-4F23-8ACE-DD20653401CA}"/>
    <cellStyle name="SAPBEXheaderItem 3 5" xfId="18519" xr:uid="{00000000-0005-0000-0000-00006D450000}"/>
    <cellStyle name="SAPBEXheaderItem 4" xfId="18520" xr:uid="{00000000-0005-0000-0000-00006E450000}"/>
    <cellStyle name="SAPBEXheaderItem 4 2" xfId="18521" xr:uid="{00000000-0005-0000-0000-00006F450000}"/>
    <cellStyle name="SAPBEXheaderItem 4 2 2" xfId="20328" xr:uid="{00000000-0005-0000-0000-00006F450000}"/>
    <cellStyle name="SAPBEXheaderItem 4 2 2 2" xfId="35346" xr:uid="{9C5C6B2D-39F3-4945-8F3B-1ABCFDFCE499}"/>
    <cellStyle name="SAPBEXheaderItem 4 2 3" xfId="34741" xr:uid="{ECC3EF2B-9155-4249-A2E2-0D122A5C88B5}"/>
    <cellStyle name="SAPBEXheaderItem 5" xfId="18522" xr:uid="{00000000-0005-0000-0000-000070450000}"/>
    <cellStyle name="SAPBEXheaderItem 6" xfId="18523" xr:uid="{00000000-0005-0000-0000-000071450000}"/>
    <cellStyle name="SAPBEXheaderItem 7" xfId="18497" xr:uid="{00000000-0005-0000-0000-000057450000}"/>
    <cellStyle name="SAPBEXheaderItem_2010-2012 Program Workbook Completed_Incent_V2" xfId="2688" xr:uid="{00000000-0005-0000-0000-00005A0A0000}"/>
    <cellStyle name="SAPBEXheaderText" xfId="2689" xr:uid="{00000000-0005-0000-0000-00005B0A0000}"/>
    <cellStyle name="SAPBEXheaderText 2" xfId="2690" xr:uid="{00000000-0005-0000-0000-00005C0A0000}"/>
    <cellStyle name="SAPBEXheaderText 2 2" xfId="18526" xr:uid="{00000000-0005-0000-0000-000075450000}"/>
    <cellStyle name="SAPBEXheaderText 2 2 2" xfId="18527" xr:uid="{00000000-0005-0000-0000-000076450000}"/>
    <cellStyle name="SAPBEXheaderText 2 2 3" xfId="18528" xr:uid="{00000000-0005-0000-0000-000077450000}"/>
    <cellStyle name="SAPBEXheaderText 2 2 3 2" xfId="20329" xr:uid="{00000000-0005-0000-0000-000077450000}"/>
    <cellStyle name="SAPBEXheaderText 2 2 3 2 2" xfId="27715" xr:uid="{D21473A7-03CD-4524-B229-D4A43E659AE3}"/>
    <cellStyle name="SAPBEXheaderText 2 2 3 2 2 2" xfId="42652" xr:uid="{41735AEF-7F94-4CEB-9FFB-E37526212E4B}"/>
    <cellStyle name="SAPBEXheaderText 2 2 3 2 3" xfId="35347" xr:uid="{24E9C3FD-6573-483C-8BED-F0EC83A1465E}"/>
    <cellStyle name="SAPBEXheaderText 2 2 3 3" xfId="27280" xr:uid="{EC09DE17-6A5D-43A1-955D-CE1184BC7F16}"/>
    <cellStyle name="SAPBEXheaderText 2 2 3 3 2" xfId="42240" xr:uid="{F38B7ADC-69D1-48A5-B292-F76A0487B785}"/>
    <cellStyle name="SAPBEXheaderText 2 2 3 4" xfId="34742" xr:uid="{EAC8366E-8F94-4887-8B02-2DBAB3868557}"/>
    <cellStyle name="SAPBEXheaderText 2 2 4" xfId="18529" xr:uid="{00000000-0005-0000-0000-000078450000}"/>
    <cellStyle name="SAPBEXheaderText 2 3" xfId="18530" xr:uid="{00000000-0005-0000-0000-000079450000}"/>
    <cellStyle name="SAPBEXheaderText 2 3 2" xfId="18531" xr:uid="{00000000-0005-0000-0000-00007A450000}"/>
    <cellStyle name="SAPBEXheaderText 2 3 3" xfId="18532" xr:uid="{00000000-0005-0000-0000-00007B450000}"/>
    <cellStyle name="SAPBEXheaderText 2 3 3 2" xfId="20330" xr:uid="{00000000-0005-0000-0000-00007B450000}"/>
    <cellStyle name="SAPBEXheaderText 2 3 3 2 2" xfId="27716" xr:uid="{D262A19F-B4EC-4369-9E7E-21B915A82483}"/>
    <cellStyle name="SAPBEXheaderText 2 3 3 2 2 2" xfId="42653" xr:uid="{AEC5F348-625A-4F04-8A7E-EDA6CCDBAA7F}"/>
    <cellStyle name="SAPBEXheaderText 2 3 3 2 3" xfId="35348" xr:uid="{561D7BBE-CE4E-4AB5-84AD-81754390BB54}"/>
    <cellStyle name="SAPBEXheaderText 2 3 3 3" xfId="27281" xr:uid="{85ABF2BB-000B-4519-94C3-1F2B6803049E}"/>
    <cellStyle name="SAPBEXheaderText 2 3 3 3 2" xfId="42241" xr:uid="{0A900215-D027-403A-8D36-8076CBA2A5F3}"/>
    <cellStyle name="SAPBEXheaderText 2 3 3 4" xfId="34743" xr:uid="{3D30C581-F7E0-4A39-A164-AB366C4ACCDC}"/>
    <cellStyle name="SAPBEXheaderText 2 3 4" xfId="18533" xr:uid="{00000000-0005-0000-0000-00007C450000}"/>
    <cellStyle name="SAPBEXheaderText 2 4" xfId="18534" xr:uid="{00000000-0005-0000-0000-00007D450000}"/>
    <cellStyle name="SAPBEXheaderText 2 4 2" xfId="18535" xr:uid="{00000000-0005-0000-0000-00007E450000}"/>
    <cellStyle name="SAPBEXheaderText 2 4 2 2" xfId="18536" xr:uid="{00000000-0005-0000-0000-00007F450000}"/>
    <cellStyle name="SAPBEXheaderText 2 4 3" xfId="18537" xr:uid="{00000000-0005-0000-0000-000080450000}"/>
    <cellStyle name="SAPBEXheaderText 2 5" xfId="18538" xr:uid="{00000000-0005-0000-0000-000081450000}"/>
    <cellStyle name="SAPBEXheaderText 2 5 2" xfId="18539" xr:uid="{00000000-0005-0000-0000-000082450000}"/>
    <cellStyle name="SAPBEXheaderText 2 5 2 2" xfId="20331" xr:uid="{00000000-0005-0000-0000-000082450000}"/>
    <cellStyle name="SAPBEXheaderText 2 5 2 2 2" xfId="27717" xr:uid="{6BC39973-25E4-48E6-AF16-54CD1BE01D5C}"/>
    <cellStyle name="SAPBEXheaderText 2 5 2 2 2 2" xfId="42654" xr:uid="{E13DC3D2-9691-458A-A780-7DCA395D1528}"/>
    <cellStyle name="SAPBEXheaderText 2 5 2 2 3" xfId="35349" xr:uid="{F5D2141B-841C-4B98-8FBD-160EF8B76B2F}"/>
    <cellStyle name="SAPBEXheaderText 2 5 2 3" xfId="27282" xr:uid="{DD3C27A2-4FD3-404E-B3FC-2F60A68B3203}"/>
    <cellStyle name="SAPBEXheaderText 2 5 2 3 2" xfId="42242" xr:uid="{B05CCE94-50BE-4D45-83F4-0634F1F3BA60}"/>
    <cellStyle name="SAPBEXheaderText 2 5 2 4" xfId="34744" xr:uid="{F2BF3AB5-4FFF-4B5D-BE5C-2E9A4C9318D9}"/>
    <cellStyle name="SAPBEXheaderText 2 6" xfId="18540" xr:uid="{00000000-0005-0000-0000-000083450000}"/>
    <cellStyle name="SAPBEXheaderText 2 6 2" xfId="20332" xr:uid="{00000000-0005-0000-0000-000083450000}"/>
    <cellStyle name="SAPBEXheaderText 2 6 2 2" xfId="27718" xr:uid="{4C8F7BB8-B52C-442E-B8F5-DDB68266E73F}"/>
    <cellStyle name="SAPBEXheaderText 2 6 2 2 2" xfId="42655" xr:uid="{B91C12BC-6D50-4699-ACF8-21B3EA336C3D}"/>
    <cellStyle name="SAPBEXheaderText 2 6 2 3" xfId="35350" xr:uid="{E1A1C96D-1457-437D-AE0E-4F06FFA64DA5}"/>
    <cellStyle name="SAPBEXheaderText 2 6 3" xfId="27283" xr:uid="{4ED56C98-6563-409F-B34A-75B6C624270C}"/>
    <cellStyle name="SAPBEXheaderText 2 6 3 2" xfId="42243" xr:uid="{5EF70652-7FAD-4B00-BC41-107D8F642EF5}"/>
    <cellStyle name="SAPBEXheaderText 2 6 4" xfId="34745" xr:uid="{404370AC-0850-450B-AE36-D0BEEB901BC1}"/>
    <cellStyle name="SAPBEXheaderText 2 7" xfId="18541" xr:uid="{00000000-0005-0000-0000-000084450000}"/>
    <cellStyle name="SAPBEXheaderText 2 8" xfId="18525" xr:uid="{00000000-0005-0000-0000-000074450000}"/>
    <cellStyle name="SAPBEXheaderText 3" xfId="18542" xr:uid="{00000000-0005-0000-0000-000085450000}"/>
    <cellStyle name="SAPBEXheaderText 3 2" xfId="18543" xr:uid="{00000000-0005-0000-0000-000086450000}"/>
    <cellStyle name="SAPBEXheaderText 3 3" xfId="18544" xr:uid="{00000000-0005-0000-0000-000087450000}"/>
    <cellStyle name="SAPBEXheaderText 3 4" xfId="18545" xr:uid="{00000000-0005-0000-0000-000088450000}"/>
    <cellStyle name="SAPBEXheaderText 3 4 2" xfId="20333" xr:uid="{00000000-0005-0000-0000-000088450000}"/>
    <cellStyle name="SAPBEXheaderText 3 4 2 2" xfId="35351" xr:uid="{2829F833-132A-498E-9DC4-1C734504C5A5}"/>
    <cellStyle name="SAPBEXheaderText 3 4 3" xfId="34746" xr:uid="{9922F02D-AC5D-473F-BFF7-215675EF0BAD}"/>
    <cellStyle name="SAPBEXheaderText 3 5" xfId="18546" xr:uid="{00000000-0005-0000-0000-000089450000}"/>
    <cellStyle name="SAPBEXheaderText 4" xfId="18547" xr:uid="{00000000-0005-0000-0000-00008A450000}"/>
    <cellStyle name="SAPBEXheaderText 4 2" xfId="18548" xr:uid="{00000000-0005-0000-0000-00008B450000}"/>
    <cellStyle name="SAPBEXheaderText 4 2 2" xfId="20334" xr:uid="{00000000-0005-0000-0000-00008B450000}"/>
    <cellStyle name="SAPBEXheaderText 4 2 2 2" xfId="35352" xr:uid="{57DC4A91-3CBA-41F0-8E75-10692D4642D7}"/>
    <cellStyle name="SAPBEXheaderText 4 2 3" xfId="34747" xr:uid="{08C1C7FA-DAB8-4BF0-8956-19221F54F5D8}"/>
    <cellStyle name="SAPBEXheaderText 5" xfId="18549" xr:uid="{00000000-0005-0000-0000-00008C450000}"/>
    <cellStyle name="SAPBEXheaderText 6" xfId="18550" xr:uid="{00000000-0005-0000-0000-00008D450000}"/>
    <cellStyle name="SAPBEXheaderText 7" xfId="18524" xr:uid="{00000000-0005-0000-0000-000073450000}"/>
    <cellStyle name="SAPBEXheaderText_2010-2012 Program Workbook Completed_Incent_V2" xfId="2691" xr:uid="{00000000-0005-0000-0000-00005D0A0000}"/>
    <cellStyle name="SAPBEXHLevel0" xfId="2692" xr:uid="{00000000-0005-0000-0000-00005E0A0000}"/>
    <cellStyle name="SAPBEXHLevel0 2" xfId="2693" xr:uid="{00000000-0005-0000-0000-00005F0A0000}"/>
    <cellStyle name="SAPBEXHLevel0 2 10" xfId="28125" xr:uid="{3545B6CE-E9EE-4373-8E78-08EDEEB8E96E}"/>
    <cellStyle name="SAPBEXHLevel0 2 2" xfId="2902" xr:uid="{00000000-0005-0000-0000-0000600A0000}"/>
    <cellStyle name="SAPBEXHLevel0 2 2 2" xfId="18554" xr:uid="{00000000-0005-0000-0000-000092450000}"/>
    <cellStyle name="SAPBEXHLevel0 2 2 3" xfId="18555" xr:uid="{00000000-0005-0000-0000-000093450000}"/>
    <cellStyle name="SAPBEXHLevel0 2 2 3 2" xfId="20335" xr:uid="{00000000-0005-0000-0000-000093450000}"/>
    <cellStyle name="SAPBEXHLevel0 2 2 3 2 2" xfId="27719" xr:uid="{FC55E0F4-76DB-4237-B199-249F15CBBF64}"/>
    <cellStyle name="SAPBEXHLevel0 2 2 3 2 2 2" xfId="42656" xr:uid="{6E247CDE-B433-436E-8A04-DE0FB774C297}"/>
    <cellStyle name="SAPBEXHLevel0 2 2 3 2 3" xfId="35353" xr:uid="{6EE405E2-3AE1-451F-91FE-7D5510D58987}"/>
    <cellStyle name="SAPBEXHLevel0 2 2 3 3" xfId="27284" xr:uid="{B563E05D-EAEC-49BB-AB45-398D0D390880}"/>
    <cellStyle name="SAPBEXHLevel0 2 2 3 3 2" xfId="42244" xr:uid="{F480B859-2FC0-4E0F-884A-69C368740E94}"/>
    <cellStyle name="SAPBEXHLevel0 2 2 3 4" xfId="34748" xr:uid="{76A11AC9-5B8F-4A7C-AA93-980F9A770F8B}"/>
    <cellStyle name="SAPBEXHLevel0 2 2 4" xfId="18556" xr:uid="{00000000-0005-0000-0000-000094450000}"/>
    <cellStyle name="SAPBEXHLevel0 2 2 5" xfId="18553" xr:uid="{00000000-0005-0000-0000-000091450000}"/>
    <cellStyle name="SAPBEXHLevel0 2 2 6" xfId="20858" xr:uid="{C52024E8-D3A7-48C0-A955-0DF74846A484}"/>
    <cellStyle name="SAPBEXHLevel0 2 2 6 2" xfId="35834" xr:uid="{F7519818-BAAB-4A8C-8790-3555F2E3222E}"/>
    <cellStyle name="SAPBEXHLevel0 2 2 7" xfId="28230" xr:uid="{FE47C909-6081-458E-91C8-9FC9C3186E3F}"/>
    <cellStyle name="SAPBEXHLevel0 2 3" xfId="18557" xr:uid="{00000000-0005-0000-0000-000095450000}"/>
    <cellStyle name="SAPBEXHLevel0 2 3 2" xfId="18558" xr:uid="{00000000-0005-0000-0000-000096450000}"/>
    <cellStyle name="SAPBEXHLevel0 2 3 3" xfId="18559" xr:uid="{00000000-0005-0000-0000-000097450000}"/>
    <cellStyle name="SAPBEXHLevel0 2 3 3 2" xfId="20336" xr:uid="{00000000-0005-0000-0000-000097450000}"/>
    <cellStyle name="SAPBEXHLevel0 2 3 3 2 2" xfId="27720" xr:uid="{6204652B-8D67-4801-8FBE-57E569D8E15B}"/>
    <cellStyle name="SAPBEXHLevel0 2 3 3 2 2 2" xfId="42657" xr:uid="{6C81B19D-804D-4ECE-A683-2FCDADD0251E}"/>
    <cellStyle name="SAPBEXHLevel0 2 3 3 2 3" xfId="35354" xr:uid="{64955BBD-659C-4F63-8D29-7266DC378BFA}"/>
    <cellStyle name="SAPBEXHLevel0 2 3 3 3" xfId="27285" xr:uid="{9309E8D2-7C47-452E-8CA4-144A14CB9537}"/>
    <cellStyle name="SAPBEXHLevel0 2 3 3 3 2" xfId="42245" xr:uid="{758EC1B2-C140-4AD5-9301-0DFE9DC385D8}"/>
    <cellStyle name="SAPBEXHLevel0 2 3 3 4" xfId="34749" xr:uid="{102B512C-9988-4B90-B491-F94A1172075C}"/>
    <cellStyle name="SAPBEXHLevel0 2 3 4" xfId="18560" xr:uid="{00000000-0005-0000-0000-000098450000}"/>
    <cellStyle name="SAPBEXHLevel0 2 4" xfId="18561" xr:uid="{00000000-0005-0000-0000-000099450000}"/>
    <cellStyle name="SAPBEXHLevel0 2 4 2" xfId="18562" xr:uid="{00000000-0005-0000-0000-00009A450000}"/>
    <cellStyle name="SAPBEXHLevel0 2 4 2 2" xfId="18563" xr:uid="{00000000-0005-0000-0000-00009B450000}"/>
    <cellStyle name="SAPBEXHLevel0 2 4 2 3" xfId="20337" xr:uid="{00000000-0005-0000-0000-00009A450000}"/>
    <cellStyle name="SAPBEXHLevel0 2 4 2 3 2" xfId="27721" xr:uid="{1E11BEC9-5E74-4139-BB4C-D7D8E848CED0}"/>
    <cellStyle name="SAPBEXHLevel0 2 4 2 3 2 2" xfId="42658" xr:uid="{0999A341-4C48-43E4-8521-C817ADF99EB5}"/>
    <cellStyle name="SAPBEXHLevel0 2 4 2 3 3" xfId="35355" xr:uid="{D2367EC8-CE31-4566-A984-49C33399EB1D}"/>
    <cellStyle name="SAPBEXHLevel0 2 4 2 4" xfId="27286" xr:uid="{24E57E08-6D39-4FD4-8CB4-C0BACF80F550}"/>
    <cellStyle name="SAPBEXHLevel0 2 4 2 4 2" xfId="42246" xr:uid="{20FBCF79-F02E-4694-AEA9-5F087CB81B65}"/>
    <cellStyle name="SAPBEXHLevel0 2 4 2 5" xfId="34750" xr:uid="{6F61099E-BAF0-4F46-A60C-BC7691C54771}"/>
    <cellStyle name="SAPBEXHLevel0 2 4 3" xfId="18564" xr:uid="{00000000-0005-0000-0000-00009C450000}"/>
    <cellStyle name="SAPBEXHLevel0 2 5" xfId="18565" xr:uid="{00000000-0005-0000-0000-00009D450000}"/>
    <cellStyle name="SAPBEXHLevel0 2 5 2" xfId="18566" xr:uid="{00000000-0005-0000-0000-00009E450000}"/>
    <cellStyle name="SAPBEXHLevel0 2 5 2 2" xfId="20338" xr:uid="{00000000-0005-0000-0000-00009E450000}"/>
    <cellStyle name="SAPBEXHLevel0 2 5 2 2 2" xfId="27722" xr:uid="{9E891B6D-54AD-472C-A1B4-9AA60924B951}"/>
    <cellStyle name="SAPBEXHLevel0 2 5 2 2 2 2" xfId="42659" xr:uid="{E11F3A8F-80D2-40DA-9922-CE00365F0614}"/>
    <cellStyle name="SAPBEXHLevel0 2 5 2 2 3" xfId="35356" xr:uid="{6D436FA9-332C-4583-ABB6-669776AF7897}"/>
    <cellStyle name="SAPBEXHLevel0 2 5 2 3" xfId="27287" xr:uid="{5BFE71FC-EA40-4D6D-AFAA-69FFC9E65D54}"/>
    <cellStyle name="SAPBEXHLevel0 2 5 2 3 2" xfId="42247" xr:uid="{922352BC-7B65-408E-AE12-6A2F5B677E65}"/>
    <cellStyle name="SAPBEXHLevel0 2 5 2 4" xfId="34751" xr:uid="{40C121F3-0653-434D-83AF-EFA5E33E7FED}"/>
    <cellStyle name="SAPBEXHLevel0 2 6" xfId="18567" xr:uid="{00000000-0005-0000-0000-00009F450000}"/>
    <cellStyle name="SAPBEXHLevel0 2 6 2" xfId="20339" xr:uid="{00000000-0005-0000-0000-00009F450000}"/>
    <cellStyle name="SAPBEXHLevel0 2 6 2 2" xfId="27723" xr:uid="{5F874B4E-52BD-4C31-8E93-AEC409E504A4}"/>
    <cellStyle name="SAPBEXHLevel0 2 6 2 2 2" xfId="42660" xr:uid="{44402F4A-DBA6-47D9-BF93-6A469D884193}"/>
    <cellStyle name="SAPBEXHLevel0 2 6 2 3" xfId="35357" xr:uid="{7B59B85E-9D2F-4BB4-8296-BFB028DDFAE6}"/>
    <cellStyle name="SAPBEXHLevel0 2 6 3" xfId="27288" xr:uid="{91AE555C-B680-4BC9-8911-6C1F3AAD77CB}"/>
    <cellStyle name="SAPBEXHLevel0 2 6 3 2" xfId="42248" xr:uid="{9A5802D4-F25E-426F-8B48-103C1A254836}"/>
    <cellStyle name="SAPBEXHLevel0 2 6 4" xfId="34752" xr:uid="{31E0077A-51AB-44ED-9A63-8F4A3E24232C}"/>
    <cellStyle name="SAPBEXHLevel0 2 7" xfId="18568" xr:uid="{00000000-0005-0000-0000-0000A0450000}"/>
    <cellStyle name="SAPBEXHLevel0 2 8" xfId="18552" xr:uid="{00000000-0005-0000-0000-000090450000}"/>
    <cellStyle name="SAPBEXHLevel0 2 9" xfId="20775" xr:uid="{E133009F-3EC6-4E02-931E-3FDD895A037E}"/>
    <cellStyle name="SAPBEXHLevel0 2 9 2" xfId="35767" xr:uid="{62AA3034-EA0B-43C9-A9F8-82EBCBA3CD8F}"/>
    <cellStyle name="SAPBEXHLevel0 3" xfId="2901" xr:uid="{00000000-0005-0000-0000-0000610A0000}"/>
    <cellStyle name="SAPBEXHLevel0 3 2" xfId="18570" xr:uid="{00000000-0005-0000-0000-0000A2450000}"/>
    <cellStyle name="SAPBEXHLevel0 3 2 2" xfId="18571" xr:uid="{00000000-0005-0000-0000-0000A3450000}"/>
    <cellStyle name="SAPBEXHLevel0 3 2 2 2" xfId="20340" xr:uid="{00000000-0005-0000-0000-0000A3450000}"/>
    <cellStyle name="SAPBEXHLevel0 3 2 2 2 2" xfId="35358" xr:uid="{66EDAF32-5320-4A0F-B3BD-68FBE6CA7282}"/>
    <cellStyle name="SAPBEXHLevel0 3 2 2 3" xfId="34753" xr:uid="{75951C98-99AD-4E83-A29E-8EF2DB4455E8}"/>
    <cellStyle name="SAPBEXHLevel0 3 3" xfId="18572" xr:uid="{00000000-0005-0000-0000-0000A4450000}"/>
    <cellStyle name="SAPBEXHLevel0 3 3 2" xfId="18573" xr:uid="{00000000-0005-0000-0000-0000A5450000}"/>
    <cellStyle name="SAPBEXHLevel0 3 3 2 2" xfId="20342" xr:uid="{00000000-0005-0000-0000-0000A5450000}"/>
    <cellStyle name="SAPBEXHLevel0 3 3 2 2 2" xfId="35360" xr:uid="{0D7CE255-418F-4530-8E25-4800DBD775A2}"/>
    <cellStyle name="SAPBEXHLevel0 3 3 2 3" xfId="34755" xr:uid="{948EFD43-C75A-43D0-AF14-E3ACAD86C3EF}"/>
    <cellStyle name="SAPBEXHLevel0 3 3 3" xfId="20341" xr:uid="{00000000-0005-0000-0000-0000A4450000}"/>
    <cellStyle name="SAPBEXHLevel0 3 3 3 2" xfId="27724" xr:uid="{0AC6C0F1-3986-458E-A300-13DB95726A75}"/>
    <cellStyle name="SAPBEXHLevel0 3 3 3 2 2" xfId="42661" xr:uid="{45BC05CC-3C5E-4535-AC88-14BBB700CB33}"/>
    <cellStyle name="SAPBEXHLevel0 3 3 3 3" xfId="35359" xr:uid="{61DB09E5-9DF3-4920-9EAF-42AA7B860F42}"/>
    <cellStyle name="SAPBEXHLevel0 3 3 4" xfId="27289" xr:uid="{974B9EAB-F74C-4A77-B63F-35CBEAF7DEE2}"/>
    <cellStyle name="SAPBEXHLevel0 3 3 4 2" xfId="42249" xr:uid="{047FE823-6641-4905-8D4F-BEBC606959B4}"/>
    <cellStyle name="SAPBEXHLevel0 3 3 5" xfId="34754" xr:uid="{DA224C3E-E05E-45E3-94C0-FE7FDBA7BF57}"/>
    <cellStyle name="SAPBEXHLevel0 3 4" xfId="18574" xr:uid="{00000000-0005-0000-0000-0000A6450000}"/>
    <cellStyle name="SAPBEXHLevel0 3 4 2" xfId="20343" xr:uid="{00000000-0005-0000-0000-0000A6450000}"/>
    <cellStyle name="SAPBEXHLevel0 3 4 2 2" xfId="35361" xr:uid="{C1414787-7689-42AC-97A2-E672D0054161}"/>
    <cellStyle name="SAPBEXHLevel0 3 4 3" xfId="34756" xr:uid="{6ADBB4DD-C994-4B99-81D4-AC3ADD334C7E}"/>
    <cellStyle name="SAPBEXHLevel0 3 5" xfId="18575" xr:uid="{00000000-0005-0000-0000-0000A7450000}"/>
    <cellStyle name="SAPBEXHLevel0 3 6" xfId="18569" xr:uid="{00000000-0005-0000-0000-0000A1450000}"/>
    <cellStyle name="SAPBEXHLevel0 3 7" xfId="20857" xr:uid="{F0370DD8-A147-48DE-9917-892EA97DA2D1}"/>
    <cellStyle name="SAPBEXHLevel0 3 7 2" xfId="35833" xr:uid="{BEBD2295-7706-4FFD-A1EC-4F3336356E73}"/>
    <cellStyle name="SAPBEXHLevel0 3 8" xfId="28229" xr:uid="{5D3B55F0-FF84-4E2A-9D6C-86844A7495AA}"/>
    <cellStyle name="SAPBEXHLevel0 4" xfId="18576" xr:uid="{00000000-0005-0000-0000-0000A8450000}"/>
    <cellStyle name="SAPBEXHLevel0 4 2" xfId="18577" xr:uid="{00000000-0005-0000-0000-0000A9450000}"/>
    <cellStyle name="SAPBEXHLevel0 4 2 2" xfId="20344" xr:uid="{00000000-0005-0000-0000-0000A9450000}"/>
    <cellStyle name="SAPBEXHLevel0 4 2 2 2" xfId="35362" xr:uid="{F2EA2DCE-DA4F-441C-9E4D-997F4920B93B}"/>
    <cellStyle name="SAPBEXHLevel0 4 2 3" xfId="34757" xr:uid="{5A0A2BB0-CAF1-42F6-9052-D410AC347A9D}"/>
    <cellStyle name="SAPBEXHLevel0 5" xfId="18578" xr:uid="{00000000-0005-0000-0000-0000AA450000}"/>
    <cellStyle name="SAPBEXHLevel0 5 2" xfId="18579" xr:uid="{00000000-0005-0000-0000-0000AB450000}"/>
    <cellStyle name="SAPBEXHLevel0 5 2 2" xfId="20346" xr:uid="{00000000-0005-0000-0000-0000AB450000}"/>
    <cellStyle name="SAPBEXHLevel0 5 2 2 2" xfId="35364" xr:uid="{63138C10-3D93-4F56-B386-758E59B40A71}"/>
    <cellStyle name="SAPBEXHLevel0 5 2 3" xfId="34759" xr:uid="{10D8CB4B-C329-4222-A9C6-870A229F3A14}"/>
    <cellStyle name="SAPBEXHLevel0 5 3" xfId="20345" xr:uid="{00000000-0005-0000-0000-0000AA450000}"/>
    <cellStyle name="SAPBEXHLevel0 5 3 2" xfId="27725" xr:uid="{5A918021-3E6D-4E0D-B0A1-ABB9DEC8BBE8}"/>
    <cellStyle name="SAPBEXHLevel0 5 3 2 2" xfId="42662" xr:uid="{42F16357-3EC3-4FA5-B65B-489371C13A25}"/>
    <cellStyle name="SAPBEXHLevel0 5 3 3" xfId="35363" xr:uid="{56E78709-94DC-434E-9735-0A2C2CC6845F}"/>
    <cellStyle name="SAPBEXHLevel0 5 4" xfId="34758" xr:uid="{7CB94761-9A7D-4227-9F6A-23A46209CA58}"/>
    <cellStyle name="SAPBEXHLevel0 6" xfId="18580" xr:uid="{00000000-0005-0000-0000-0000AC450000}"/>
    <cellStyle name="SAPBEXHLevel0 7" xfId="18551" xr:uid="{00000000-0005-0000-0000-00008F450000}"/>
    <cellStyle name="SAPBEXHLevel0 8" xfId="20774" xr:uid="{8D38FC8B-30AF-49E6-A6C4-4198260823F5}"/>
    <cellStyle name="SAPBEXHLevel0 8 2" xfId="35766" xr:uid="{D20C3B35-1F51-4AEF-9BF1-52D127321441}"/>
    <cellStyle name="SAPBEXHLevel0 9" xfId="28124" xr:uid="{C28C3D76-7275-40CE-8A84-1E8E3BA88418}"/>
    <cellStyle name="SAPBEXHLevel0_2010-2012 Program Workbook Completed_Incent_V2" xfId="2694" xr:uid="{00000000-0005-0000-0000-0000620A0000}"/>
    <cellStyle name="SAPBEXHLevel0X" xfId="2695" xr:uid="{00000000-0005-0000-0000-0000630A0000}"/>
    <cellStyle name="SAPBEXHLevel0X 2" xfId="2696" xr:uid="{00000000-0005-0000-0000-0000640A0000}"/>
    <cellStyle name="SAPBEXHLevel0X 2 2" xfId="2697" xr:uid="{00000000-0005-0000-0000-0000650A0000}"/>
    <cellStyle name="SAPBEXHLevel0X 2 2 2" xfId="18584" xr:uid="{00000000-0005-0000-0000-0000B1450000}"/>
    <cellStyle name="SAPBEXHLevel0X 2 2 2 2" xfId="18585" xr:uid="{00000000-0005-0000-0000-0000B2450000}"/>
    <cellStyle name="SAPBEXHLevel0X 2 2 2 3" xfId="20347" xr:uid="{00000000-0005-0000-0000-0000B1450000}"/>
    <cellStyle name="SAPBEXHLevel0X 2 2 2 3 2" xfId="27726" xr:uid="{96374179-CF65-4684-AFEC-C534ECF6109D}"/>
    <cellStyle name="SAPBEXHLevel0X 2 2 2 3 2 2" xfId="42663" xr:uid="{29726919-3326-4464-AB0B-24A2A0B90D57}"/>
    <cellStyle name="SAPBEXHLevel0X 2 2 2 3 3" xfId="35365" xr:uid="{84EB4E0B-175D-4FF0-A4F4-0E71DD066F2A}"/>
    <cellStyle name="SAPBEXHLevel0X 2 2 2 4" xfId="34760" xr:uid="{27B0A3E4-E21D-4290-AC0C-C1E6772621A6}"/>
    <cellStyle name="SAPBEXHLevel0X 2 2 3" xfId="18586" xr:uid="{00000000-0005-0000-0000-0000B3450000}"/>
    <cellStyle name="SAPBEXHLevel0X 2 2 4" xfId="18583" xr:uid="{00000000-0005-0000-0000-0000B0450000}"/>
    <cellStyle name="SAPBEXHLevel0X 2 2 5" xfId="28128" xr:uid="{C39942C0-3781-434A-ABB3-306861C9BC38}"/>
    <cellStyle name="SAPBEXHLevel0X 2 3" xfId="18587" xr:uid="{00000000-0005-0000-0000-0000B4450000}"/>
    <cellStyle name="SAPBEXHLevel0X 2 3 2" xfId="18588" xr:uid="{00000000-0005-0000-0000-0000B5450000}"/>
    <cellStyle name="SAPBEXHLevel0X 2 3 2 2" xfId="20348" xr:uid="{00000000-0005-0000-0000-0000B5450000}"/>
    <cellStyle name="SAPBEXHLevel0X 2 3 2 2 2" xfId="27727" xr:uid="{6B286431-CC54-4BFF-B3AB-ECF8BEFD4BFA}"/>
    <cellStyle name="SAPBEXHLevel0X 2 3 2 2 2 2" xfId="42664" xr:uid="{D1C6889F-7ED9-41A9-8E03-4AF40762A4BA}"/>
    <cellStyle name="SAPBEXHLevel0X 2 3 2 2 3" xfId="35366" xr:uid="{2E869727-213A-407E-BA6D-5AF10749AC73}"/>
    <cellStyle name="SAPBEXHLevel0X 2 3 2 3" xfId="34761" xr:uid="{A517B07F-5A26-4D8C-95AA-DF61AAA7B74E}"/>
    <cellStyle name="SAPBEXHLevel0X 2 4" xfId="18589" xr:uid="{00000000-0005-0000-0000-0000B6450000}"/>
    <cellStyle name="SAPBEXHLevel0X 2 4 2" xfId="20349" xr:uid="{00000000-0005-0000-0000-0000B6450000}"/>
    <cellStyle name="SAPBEXHLevel0X 2 4 2 2" xfId="27728" xr:uid="{51E4AC45-F3B0-4EA8-A176-C291259D4E43}"/>
    <cellStyle name="SAPBEXHLevel0X 2 4 2 2 2" xfId="42665" xr:uid="{98129ABB-8B87-4898-AA5D-F3C2BFDA494F}"/>
    <cellStyle name="SAPBEXHLevel0X 2 4 2 3" xfId="35367" xr:uid="{507A1F67-CACE-4A4C-87D7-FECC286C0B9B}"/>
    <cellStyle name="SAPBEXHLevel0X 2 4 3" xfId="34762" xr:uid="{465C7241-88DE-405B-9D1B-86596AC88CC2}"/>
    <cellStyle name="SAPBEXHLevel0X 2 5" xfId="18590" xr:uid="{00000000-0005-0000-0000-0000B7450000}"/>
    <cellStyle name="SAPBEXHLevel0X 2 6" xfId="18582" xr:uid="{00000000-0005-0000-0000-0000AF450000}"/>
    <cellStyle name="SAPBEXHLevel0X 2 7" xfId="28127" xr:uid="{90C7725E-9E99-47F2-9359-CE40E6EA9D22}"/>
    <cellStyle name="SAPBEXHLevel0X 3" xfId="2698" xr:uid="{00000000-0005-0000-0000-0000660A0000}"/>
    <cellStyle name="SAPBEXHLevel0X 3 2" xfId="2699" xr:uid="{00000000-0005-0000-0000-0000670A0000}"/>
    <cellStyle name="SAPBEXHLevel0X 3 2 2" xfId="18593" xr:uid="{00000000-0005-0000-0000-0000BA450000}"/>
    <cellStyle name="SAPBEXHLevel0X 3 2 2 2" xfId="20350" xr:uid="{00000000-0005-0000-0000-0000BA450000}"/>
    <cellStyle name="SAPBEXHLevel0X 3 2 2 2 2" xfId="35368" xr:uid="{ABC47347-B076-4D40-8680-F0A56B5261C6}"/>
    <cellStyle name="SAPBEXHLevel0X 3 2 2 3" xfId="34763" xr:uid="{C7C65E37-82E1-4EA4-9B59-02F7A218670B}"/>
    <cellStyle name="SAPBEXHLevel0X 3 2 3" xfId="18592" xr:uid="{00000000-0005-0000-0000-0000B9450000}"/>
    <cellStyle name="SAPBEXHLevel0X 3 2 4" xfId="20776" xr:uid="{8A72531B-DF26-4203-8F59-BE76FE2BF74C}"/>
    <cellStyle name="SAPBEXHLevel0X 3 2 4 2" xfId="35768" xr:uid="{AD0019E0-DE39-4517-B0B9-D7E754E0B9F3}"/>
    <cellStyle name="SAPBEXHLevel0X 3 2 5" xfId="28130" xr:uid="{9E4F0521-C208-4BF2-AA8A-C6D5403FE905}"/>
    <cellStyle name="SAPBEXHLevel0X 3 3" xfId="18594" xr:uid="{00000000-0005-0000-0000-0000BB450000}"/>
    <cellStyle name="SAPBEXHLevel0X 3 3 2" xfId="18595" xr:uid="{00000000-0005-0000-0000-0000BC450000}"/>
    <cellStyle name="SAPBEXHLevel0X 3 3 2 2" xfId="20352" xr:uid="{00000000-0005-0000-0000-0000BC450000}"/>
    <cellStyle name="SAPBEXHLevel0X 3 3 2 2 2" xfId="35370" xr:uid="{88C87528-663B-4DBD-ADE1-45C55E7E7388}"/>
    <cellStyle name="SAPBEXHLevel0X 3 3 2 3" xfId="34765" xr:uid="{6D420968-DA99-47E9-A4B7-95599AD199C0}"/>
    <cellStyle name="SAPBEXHLevel0X 3 3 3" xfId="20351" xr:uid="{00000000-0005-0000-0000-0000BB450000}"/>
    <cellStyle name="SAPBEXHLevel0X 3 3 3 2" xfId="27729" xr:uid="{96146F6D-D1D2-45E2-9E91-78EE18D92568}"/>
    <cellStyle name="SAPBEXHLevel0X 3 3 3 2 2" xfId="42666" xr:uid="{5C67A5F8-8846-4422-883B-4E454E5BC915}"/>
    <cellStyle name="SAPBEXHLevel0X 3 3 3 3" xfId="35369" xr:uid="{F300FE6F-9568-4E13-BC8E-87ABEF89A4CD}"/>
    <cellStyle name="SAPBEXHLevel0X 3 3 4" xfId="34764" xr:uid="{5F5568A1-6F59-407F-8DCD-C5C0298182B5}"/>
    <cellStyle name="SAPBEXHLevel0X 3 4" xfId="18596" xr:uid="{00000000-0005-0000-0000-0000BD450000}"/>
    <cellStyle name="SAPBEXHLevel0X 3 4 2" xfId="20353" xr:uid="{00000000-0005-0000-0000-0000BD450000}"/>
    <cellStyle name="SAPBEXHLevel0X 3 4 2 2" xfId="35371" xr:uid="{37E96FE3-1EC3-4858-B9E5-3CD98B01AFC5}"/>
    <cellStyle name="SAPBEXHLevel0X 3 4 3" xfId="34766" xr:uid="{370D5857-0BA2-4A09-A352-C2B53E227AF7}"/>
    <cellStyle name="SAPBEXHLevel0X 3 5" xfId="18597" xr:uid="{00000000-0005-0000-0000-0000BE450000}"/>
    <cellStyle name="SAPBEXHLevel0X 3 6" xfId="18591" xr:uid="{00000000-0005-0000-0000-0000B8450000}"/>
    <cellStyle name="SAPBEXHLevel0X 3 7" xfId="28129" xr:uid="{F1D6DA46-5A95-45D8-9311-B4A87114A616}"/>
    <cellStyle name="SAPBEXHLevel0X 4" xfId="2700" xr:uid="{00000000-0005-0000-0000-0000680A0000}"/>
    <cellStyle name="SAPBEXHLevel0X 4 2" xfId="18599" xr:uid="{00000000-0005-0000-0000-0000C0450000}"/>
    <cellStyle name="SAPBEXHLevel0X 4 2 2" xfId="18600" xr:uid="{00000000-0005-0000-0000-0000C1450000}"/>
    <cellStyle name="SAPBEXHLevel0X 4 2 2 2" xfId="20355" xr:uid="{00000000-0005-0000-0000-0000C1450000}"/>
    <cellStyle name="SAPBEXHLevel0X 4 2 2 2 2" xfId="35373" xr:uid="{2F504956-C96E-4A80-B8C0-235C97313806}"/>
    <cellStyle name="SAPBEXHLevel0X 4 2 2 3" xfId="34768" xr:uid="{6B7739A6-A2CC-405F-8183-F20795CB043D}"/>
    <cellStyle name="SAPBEXHLevel0X 4 2 3" xfId="18601" xr:uid="{00000000-0005-0000-0000-0000C2450000}"/>
    <cellStyle name="SAPBEXHLevel0X 4 2 4" xfId="20354" xr:uid="{00000000-0005-0000-0000-0000C0450000}"/>
    <cellStyle name="SAPBEXHLevel0X 4 2 4 2" xfId="27730" xr:uid="{72010F5F-4F76-4551-89F1-40F512EBD31E}"/>
    <cellStyle name="SAPBEXHLevel0X 4 2 4 2 2" xfId="42667" xr:uid="{973C90BD-5191-4E5B-8D90-DEFBA3C5764F}"/>
    <cellStyle name="SAPBEXHLevel0X 4 2 4 3" xfId="35372" xr:uid="{E4BD3C2A-61B1-44A4-9975-7238B7FD157E}"/>
    <cellStyle name="SAPBEXHLevel0X 4 2 5" xfId="34767" xr:uid="{21213CDB-D82F-43D6-A538-0E2F7FA93DC5}"/>
    <cellStyle name="SAPBEXHLevel0X 4 3" xfId="18602" xr:uid="{00000000-0005-0000-0000-0000C3450000}"/>
    <cellStyle name="SAPBEXHLevel0X 4 4" xfId="18598" xr:uid="{00000000-0005-0000-0000-0000BF450000}"/>
    <cellStyle name="SAPBEXHLevel0X 4 5" xfId="28131" xr:uid="{3C1E15A5-1AD8-4883-BF5E-F4C8AD01BB55}"/>
    <cellStyle name="SAPBEXHLevel0X 5" xfId="18603" xr:uid="{00000000-0005-0000-0000-0000C4450000}"/>
    <cellStyle name="SAPBEXHLevel0X 5 2" xfId="18604" xr:uid="{00000000-0005-0000-0000-0000C5450000}"/>
    <cellStyle name="SAPBEXHLevel0X 5 2 2" xfId="20356" xr:uid="{00000000-0005-0000-0000-0000C5450000}"/>
    <cellStyle name="SAPBEXHLevel0X 5 2 2 2" xfId="35374" xr:uid="{89E02E3D-3366-4F9F-8545-DAE0080571CA}"/>
    <cellStyle name="SAPBEXHLevel0X 5 2 3" xfId="34769" xr:uid="{674BE39B-09BF-4D80-95C7-7C6D5ACD8A3E}"/>
    <cellStyle name="SAPBEXHLevel0X 6" xfId="18605" xr:uid="{00000000-0005-0000-0000-0000C6450000}"/>
    <cellStyle name="SAPBEXHLevel0X 6 2" xfId="20357" xr:uid="{00000000-0005-0000-0000-0000C6450000}"/>
    <cellStyle name="SAPBEXHLevel0X 6 2 2" xfId="27731" xr:uid="{00CA73E6-10B5-438A-A0A6-3437F9CDE2BC}"/>
    <cellStyle name="SAPBEXHLevel0X 6 2 2 2" xfId="42668" xr:uid="{42F0009C-0E9A-4817-AAA4-605A70AD2A4E}"/>
    <cellStyle name="SAPBEXHLevel0X 6 2 3" xfId="35375" xr:uid="{FAB64302-F690-41C8-A64E-E00FA82AFEC8}"/>
    <cellStyle name="SAPBEXHLevel0X 6 3" xfId="34770" xr:uid="{9E6440D2-E9D9-40AD-954C-A5ECE9B63C9B}"/>
    <cellStyle name="SAPBEXHLevel0X 7" xfId="18606" xr:uid="{00000000-0005-0000-0000-0000C7450000}"/>
    <cellStyle name="SAPBEXHLevel0X 8" xfId="18581" xr:uid="{00000000-0005-0000-0000-0000AE450000}"/>
    <cellStyle name="SAPBEXHLevel0X 9" xfId="28126" xr:uid="{FB83CF43-60C0-491F-B31C-FDB1EBCF88F8}"/>
    <cellStyle name="SAPBEXHLevel0X_2010-2012 Program Workbook_Incent_FS" xfId="2701" xr:uid="{00000000-0005-0000-0000-0000690A0000}"/>
    <cellStyle name="SAPBEXHLevel1" xfId="2702" xr:uid="{00000000-0005-0000-0000-00006A0A0000}"/>
    <cellStyle name="SAPBEXHLevel1 2" xfId="2903" xr:uid="{00000000-0005-0000-0000-00006B0A0000}"/>
    <cellStyle name="SAPBEXHLevel1 2 2" xfId="18609" xr:uid="{00000000-0005-0000-0000-0000CB450000}"/>
    <cellStyle name="SAPBEXHLevel1 2 2 2" xfId="18610" xr:uid="{00000000-0005-0000-0000-0000CC450000}"/>
    <cellStyle name="SAPBEXHLevel1 2 2 3" xfId="18611" xr:uid="{00000000-0005-0000-0000-0000CD450000}"/>
    <cellStyle name="SAPBEXHLevel1 2 2 3 2" xfId="20358" xr:uid="{00000000-0005-0000-0000-0000CD450000}"/>
    <cellStyle name="SAPBEXHLevel1 2 2 3 2 2" xfId="27732" xr:uid="{89167643-F149-4AE1-BE4E-F2328FE6F419}"/>
    <cellStyle name="SAPBEXHLevel1 2 2 3 2 2 2" xfId="42669" xr:uid="{5E418A4C-0228-4728-82D8-EA978D1966FA}"/>
    <cellStyle name="SAPBEXHLevel1 2 2 3 2 3" xfId="35376" xr:uid="{13D6A2E7-4DD6-481F-BC4C-0DC8C27D058C}"/>
    <cellStyle name="SAPBEXHLevel1 2 2 3 3" xfId="27290" xr:uid="{0AA29759-62F9-4B19-8682-EEAFAF31D54F}"/>
    <cellStyle name="SAPBEXHLevel1 2 2 3 3 2" xfId="42250" xr:uid="{0149519A-60D4-43B4-A921-870DAF911126}"/>
    <cellStyle name="SAPBEXHLevel1 2 2 3 4" xfId="34771" xr:uid="{01DE757B-C818-4081-B14F-0E499432401A}"/>
    <cellStyle name="SAPBEXHLevel1 2 2 4" xfId="18612" xr:uid="{00000000-0005-0000-0000-0000CE450000}"/>
    <cellStyle name="SAPBEXHLevel1 2 3" xfId="18613" xr:uid="{00000000-0005-0000-0000-0000CF450000}"/>
    <cellStyle name="SAPBEXHLevel1 2 3 2" xfId="18614" xr:uid="{00000000-0005-0000-0000-0000D0450000}"/>
    <cellStyle name="SAPBEXHLevel1 2 3 3" xfId="18615" xr:uid="{00000000-0005-0000-0000-0000D1450000}"/>
    <cellStyle name="SAPBEXHLevel1 2 3 3 2" xfId="20359" xr:uid="{00000000-0005-0000-0000-0000D1450000}"/>
    <cellStyle name="SAPBEXHLevel1 2 3 3 2 2" xfId="27733" xr:uid="{73DF13DA-8AE6-4984-AC4B-F31EAFC615A3}"/>
    <cellStyle name="SAPBEXHLevel1 2 3 3 2 2 2" xfId="42670" xr:uid="{363F0297-A51C-48E5-98E0-6A3B64A22D5C}"/>
    <cellStyle name="SAPBEXHLevel1 2 3 3 2 3" xfId="35377" xr:uid="{D2D255F9-582D-4AD7-947B-410033D0831B}"/>
    <cellStyle name="SAPBEXHLevel1 2 3 3 3" xfId="27291" xr:uid="{365954FA-7100-441A-B162-B0DA83C9B712}"/>
    <cellStyle name="SAPBEXHLevel1 2 3 3 3 2" xfId="42251" xr:uid="{31C445D8-8B71-488E-9228-919E97E0E916}"/>
    <cellStyle name="SAPBEXHLevel1 2 3 3 4" xfId="34772" xr:uid="{5E08A75B-ED07-437B-8FED-24016795306A}"/>
    <cellStyle name="SAPBEXHLevel1 2 3 4" xfId="18616" xr:uid="{00000000-0005-0000-0000-0000D2450000}"/>
    <cellStyle name="SAPBEXHLevel1 2 4" xfId="18617" xr:uid="{00000000-0005-0000-0000-0000D3450000}"/>
    <cellStyle name="SAPBEXHLevel1 2 4 2" xfId="18618" xr:uid="{00000000-0005-0000-0000-0000D4450000}"/>
    <cellStyle name="SAPBEXHLevel1 2 4 2 2" xfId="20360" xr:uid="{00000000-0005-0000-0000-0000D4450000}"/>
    <cellStyle name="SAPBEXHLevel1 2 4 2 2 2" xfId="27734" xr:uid="{F5C79360-6592-4462-9627-DDC7DACDF46E}"/>
    <cellStyle name="SAPBEXHLevel1 2 4 2 2 2 2" xfId="42671" xr:uid="{0400AEF0-C9F5-438C-8CB1-8C3391A10184}"/>
    <cellStyle name="SAPBEXHLevel1 2 4 2 2 3" xfId="35378" xr:uid="{F2DC7A79-39FA-4F20-BDD1-199A9DCAB37C}"/>
    <cellStyle name="SAPBEXHLevel1 2 4 2 3" xfId="27292" xr:uid="{BB926EB6-4722-4D73-B8E2-86C5D1678623}"/>
    <cellStyle name="SAPBEXHLevel1 2 4 2 3 2" xfId="42252" xr:uid="{F3491318-6177-4377-94AC-45E7907CD707}"/>
    <cellStyle name="SAPBEXHLevel1 2 4 2 4" xfId="34773" xr:uid="{ABF4E550-5319-45E8-97BB-315CAD66BF5A}"/>
    <cellStyle name="SAPBEXHLevel1 2 5" xfId="18619" xr:uid="{00000000-0005-0000-0000-0000D5450000}"/>
    <cellStyle name="SAPBEXHLevel1 2 5 2" xfId="20361" xr:uid="{00000000-0005-0000-0000-0000D5450000}"/>
    <cellStyle name="SAPBEXHLevel1 2 5 2 2" xfId="27735" xr:uid="{EB9B6E53-F4BB-4053-9FFF-30943BA68493}"/>
    <cellStyle name="SAPBEXHLevel1 2 5 2 2 2" xfId="42672" xr:uid="{5DABE9B4-1F51-46B9-9228-C6636A80371B}"/>
    <cellStyle name="SAPBEXHLevel1 2 5 2 3" xfId="35379" xr:uid="{D1662051-5A4E-41EA-9547-1FA716C2EE16}"/>
    <cellStyle name="SAPBEXHLevel1 2 5 3" xfId="27293" xr:uid="{D295B1A6-F1D5-4F57-B404-82A594E773CC}"/>
    <cellStyle name="SAPBEXHLevel1 2 5 3 2" xfId="42253" xr:uid="{59A9315F-D5C3-4939-B397-E584889631BD}"/>
    <cellStyle name="SAPBEXHLevel1 2 5 4" xfId="34774" xr:uid="{4350AD7C-894B-4157-BB18-1DDB5300FB0B}"/>
    <cellStyle name="SAPBEXHLevel1 2 6" xfId="18620" xr:uid="{00000000-0005-0000-0000-0000D6450000}"/>
    <cellStyle name="SAPBEXHLevel1 2 7" xfId="18608" xr:uid="{00000000-0005-0000-0000-0000CA450000}"/>
    <cellStyle name="SAPBEXHLevel1 2 8" xfId="20859" xr:uid="{0633ECA8-50A2-4072-80DA-73E6ED245875}"/>
    <cellStyle name="SAPBEXHLevel1 2 8 2" xfId="35835" xr:uid="{A2E27335-A671-43E2-AB38-63033576CE29}"/>
    <cellStyle name="SAPBEXHLevel1 2 9" xfId="28231" xr:uid="{C2B9FA21-0025-4062-AD0C-D831C5A4F1FF}"/>
    <cellStyle name="SAPBEXHLevel1 3" xfId="18621" xr:uid="{00000000-0005-0000-0000-0000D7450000}"/>
    <cellStyle name="SAPBEXHLevel1 3 2" xfId="18622" xr:uid="{00000000-0005-0000-0000-0000D8450000}"/>
    <cellStyle name="SAPBEXHLevel1 3 2 2" xfId="18623" xr:uid="{00000000-0005-0000-0000-0000D9450000}"/>
    <cellStyle name="SAPBEXHLevel1 3 2 2 2" xfId="20362" xr:uid="{00000000-0005-0000-0000-0000D9450000}"/>
    <cellStyle name="SAPBEXHLevel1 3 2 2 2 2" xfId="35380" xr:uid="{57EEE74E-EC90-40DE-88A6-34F5684E4BA9}"/>
    <cellStyle name="SAPBEXHLevel1 3 2 2 3" xfId="34775" xr:uid="{59D87DD9-9615-4164-847F-1F9C1650DEA3}"/>
    <cellStyle name="SAPBEXHLevel1 3 3" xfId="18624" xr:uid="{00000000-0005-0000-0000-0000DA450000}"/>
    <cellStyle name="SAPBEXHLevel1 3 3 2" xfId="18625" xr:uid="{00000000-0005-0000-0000-0000DB450000}"/>
    <cellStyle name="SAPBEXHLevel1 3 3 2 2" xfId="20364" xr:uid="{00000000-0005-0000-0000-0000DB450000}"/>
    <cellStyle name="SAPBEXHLevel1 3 3 2 2 2" xfId="35382" xr:uid="{3B208C8C-09A7-436D-B288-1E70D3C5C5C8}"/>
    <cellStyle name="SAPBEXHLevel1 3 3 2 3" xfId="34777" xr:uid="{F6EE8B2B-0DD0-4C44-AB13-EF542A638FDA}"/>
    <cellStyle name="SAPBEXHLevel1 3 3 3" xfId="20363" xr:uid="{00000000-0005-0000-0000-0000DA450000}"/>
    <cellStyle name="SAPBEXHLevel1 3 3 3 2" xfId="27736" xr:uid="{E3C4E462-C4FF-4B84-A985-AD16D04F4439}"/>
    <cellStyle name="SAPBEXHLevel1 3 3 3 2 2" xfId="42673" xr:uid="{BED80866-B0A3-4552-959E-57693D1B34EB}"/>
    <cellStyle name="SAPBEXHLevel1 3 3 3 3" xfId="35381" xr:uid="{B7E0D709-89B8-4ACB-A096-5EFC458F3525}"/>
    <cellStyle name="SAPBEXHLevel1 3 3 4" xfId="27294" xr:uid="{2B3975D1-154C-4B5E-807B-BD285307FF42}"/>
    <cellStyle name="SAPBEXHLevel1 3 3 4 2" xfId="42254" xr:uid="{16A9C940-D6F9-42DD-9D4E-3BF58337AB1C}"/>
    <cellStyle name="SAPBEXHLevel1 3 3 5" xfId="34776" xr:uid="{16FDA954-9D9B-4650-BF0E-C5035A441CD4}"/>
    <cellStyle name="SAPBEXHLevel1 3 4" xfId="18626" xr:uid="{00000000-0005-0000-0000-0000DC450000}"/>
    <cellStyle name="SAPBEXHLevel1 3 4 2" xfId="20365" xr:uid="{00000000-0005-0000-0000-0000DC450000}"/>
    <cellStyle name="SAPBEXHLevel1 3 4 2 2" xfId="35383" xr:uid="{8F7D1BA6-5DE4-49B1-A36B-D2BED40C66C8}"/>
    <cellStyle name="SAPBEXHLevel1 3 4 3" xfId="34778" xr:uid="{ADBB49CD-4DD2-4F2F-863E-1B837D1D2B25}"/>
    <cellStyle name="SAPBEXHLevel1 3 5" xfId="18627" xr:uid="{00000000-0005-0000-0000-0000DD450000}"/>
    <cellStyle name="SAPBEXHLevel1 4" xfId="18628" xr:uid="{00000000-0005-0000-0000-0000DE450000}"/>
    <cellStyle name="SAPBEXHLevel1 4 2" xfId="18629" xr:uid="{00000000-0005-0000-0000-0000DF450000}"/>
    <cellStyle name="SAPBEXHLevel1 4 2 2" xfId="20366" xr:uid="{00000000-0005-0000-0000-0000DF450000}"/>
    <cellStyle name="SAPBEXHLevel1 4 2 2 2" xfId="35384" xr:uid="{0F6952A5-DDF2-447D-B444-26FAC7142244}"/>
    <cellStyle name="SAPBEXHLevel1 4 2 3" xfId="34779" xr:uid="{8E05BB29-BFA7-44D8-A89B-3F83F335BC80}"/>
    <cellStyle name="SAPBEXHLevel1 5" xfId="18630" xr:uid="{00000000-0005-0000-0000-0000E0450000}"/>
    <cellStyle name="SAPBEXHLevel1 5 2" xfId="18631" xr:uid="{00000000-0005-0000-0000-0000E1450000}"/>
    <cellStyle name="SAPBEXHLevel1 5 2 2" xfId="20368" xr:uid="{00000000-0005-0000-0000-0000E1450000}"/>
    <cellStyle name="SAPBEXHLevel1 5 2 2 2" xfId="35386" xr:uid="{C5E9961F-CBDB-43BB-BA9F-7B6BE59209B3}"/>
    <cellStyle name="SAPBEXHLevel1 5 2 3" xfId="34781" xr:uid="{7D8EFA0A-0020-40B9-A440-699C315590AD}"/>
    <cellStyle name="SAPBEXHLevel1 5 3" xfId="20367" xr:uid="{00000000-0005-0000-0000-0000E0450000}"/>
    <cellStyle name="SAPBEXHLevel1 5 3 2" xfId="27737" xr:uid="{DF53C467-715C-40A1-9EE4-CB38F55D4C08}"/>
    <cellStyle name="SAPBEXHLevel1 5 3 2 2" xfId="42674" xr:uid="{9D2C14F4-6083-4260-A3DB-C566821C2D4B}"/>
    <cellStyle name="SAPBEXHLevel1 5 3 3" xfId="35385" xr:uid="{9FEE8A05-D8D3-4801-B7E0-A402B0216822}"/>
    <cellStyle name="SAPBEXHLevel1 5 4" xfId="34780" xr:uid="{FA6544F5-5B92-4A3A-A283-7FA0E93F3D3B}"/>
    <cellStyle name="SAPBEXHLevel1 6" xfId="18632" xr:uid="{00000000-0005-0000-0000-0000E2450000}"/>
    <cellStyle name="SAPBEXHLevel1 7" xfId="18607" xr:uid="{00000000-0005-0000-0000-0000C9450000}"/>
    <cellStyle name="SAPBEXHLevel1 8" xfId="20777" xr:uid="{7EBA9418-FA69-4AEB-A3EF-D438D0AEE5E1}"/>
    <cellStyle name="SAPBEXHLevel1 8 2" xfId="35769" xr:uid="{1F85C470-746B-411B-8511-3E5B229DE8E7}"/>
    <cellStyle name="SAPBEXHLevel1 9" xfId="28132" xr:uid="{B0E93E73-0D8D-4B5B-A80B-F50520A3DD6D}"/>
    <cellStyle name="SAPBEXHLevel1X" xfId="2703" xr:uid="{00000000-0005-0000-0000-00006C0A0000}"/>
    <cellStyle name="SAPBEXHLevel1X 2" xfId="2704" xr:uid="{00000000-0005-0000-0000-00006D0A0000}"/>
    <cellStyle name="SAPBEXHLevel1X 2 2" xfId="2705" xr:uid="{00000000-0005-0000-0000-00006E0A0000}"/>
    <cellStyle name="SAPBEXHLevel1X 2 2 2" xfId="18636" xr:uid="{00000000-0005-0000-0000-0000E6450000}"/>
    <cellStyle name="SAPBEXHLevel1X 2 2 2 2" xfId="18637" xr:uid="{00000000-0005-0000-0000-0000E7450000}"/>
    <cellStyle name="SAPBEXHLevel1X 2 2 2 3" xfId="20369" xr:uid="{00000000-0005-0000-0000-0000E6450000}"/>
    <cellStyle name="SAPBEXHLevel1X 2 2 2 3 2" xfId="27738" xr:uid="{6D769317-4A4D-45EE-BAA9-A06D0421A3AF}"/>
    <cellStyle name="SAPBEXHLevel1X 2 2 2 3 2 2" xfId="42675" xr:uid="{10066FEF-D007-4938-83D2-A8DAC72E20D8}"/>
    <cellStyle name="SAPBEXHLevel1X 2 2 2 3 3" xfId="35387" xr:uid="{112CBDE6-266F-44B7-8678-BFEEDF98BFF5}"/>
    <cellStyle name="SAPBEXHLevel1X 2 2 2 4" xfId="34782" xr:uid="{2E773528-9791-4A75-BE97-E47A49B26CE2}"/>
    <cellStyle name="SAPBEXHLevel1X 2 2 3" xfId="18638" xr:uid="{00000000-0005-0000-0000-0000E8450000}"/>
    <cellStyle name="SAPBEXHLevel1X 2 2 4" xfId="18635" xr:uid="{00000000-0005-0000-0000-0000E5450000}"/>
    <cellStyle name="SAPBEXHLevel1X 2 2 5" xfId="28135" xr:uid="{7CBFB423-05B9-401E-884B-9F6AC1DA57AE}"/>
    <cellStyle name="SAPBEXHLevel1X 2 3" xfId="18639" xr:uid="{00000000-0005-0000-0000-0000E9450000}"/>
    <cellStyle name="SAPBEXHLevel1X 2 3 2" xfId="18640" xr:uid="{00000000-0005-0000-0000-0000EA450000}"/>
    <cellStyle name="SAPBEXHLevel1X 2 3 2 2" xfId="20370" xr:uid="{00000000-0005-0000-0000-0000EA450000}"/>
    <cellStyle name="SAPBEXHLevel1X 2 3 2 2 2" xfId="27739" xr:uid="{9EBF0634-A110-4628-9225-17606C5FD038}"/>
    <cellStyle name="SAPBEXHLevel1X 2 3 2 2 2 2" xfId="42676" xr:uid="{3BA4A701-1D9D-4912-8A90-1EB26260565B}"/>
    <cellStyle name="SAPBEXHLevel1X 2 3 2 2 3" xfId="35388" xr:uid="{9D540F33-D5D6-4D03-8D95-AFF6C2CA73BF}"/>
    <cellStyle name="SAPBEXHLevel1X 2 3 2 3" xfId="34783" xr:uid="{7D56C720-BE33-43EA-ABFC-4F9104484650}"/>
    <cellStyle name="SAPBEXHLevel1X 2 4" xfId="18641" xr:uid="{00000000-0005-0000-0000-0000EB450000}"/>
    <cellStyle name="SAPBEXHLevel1X 2 4 2" xfId="20371" xr:uid="{00000000-0005-0000-0000-0000EB450000}"/>
    <cellStyle name="SAPBEXHLevel1X 2 4 2 2" xfId="27740" xr:uid="{7D61957E-1D0B-4602-843E-8137CF77084A}"/>
    <cellStyle name="SAPBEXHLevel1X 2 4 2 2 2" xfId="42677" xr:uid="{DA1ADF64-F188-4B4F-9E43-920E9DAB7002}"/>
    <cellStyle name="SAPBEXHLevel1X 2 4 2 3" xfId="35389" xr:uid="{A2A8D8B4-E413-425D-B05D-948D40DBEA28}"/>
    <cellStyle name="SAPBEXHLevel1X 2 4 3" xfId="34784" xr:uid="{4A2C37ED-3A06-408B-BB33-F96AE7E3F2AA}"/>
    <cellStyle name="SAPBEXHLevel1X 2 5" xfId="18642" xr:uid="{00000000-0005-0000-0000-0000EC450000}"/>
    <cellStyle name="SAPBEXHLevel1X 2 6" xfId="18634" xr:uid="{00000000-0005-0000-0000-0000E4450000}"/>
    <cellStyle name="SAPBEXHLevel1X 2 7" xfId="28134" xr:uid="{C9E1A3FF-B005-4EB2-A7BC-1EE002191C5F}"/>
    <cellStyle name="SAPBEXHLevel1X 3" xfId="2706" xr:uid="{00000000-0005-0000-0000-00006F0A0000}"/>
    <cellStyle name="SAPBEXHLevel1X 3 2" xfId="2707" xr:uid="{00000000-0005-0000-0000-0000700A0000}"/>
    <cellStyle name="SAPBEXHLevel1X 3 2 2" xfId="18645" xr:uid="{00000000-0005-0000-0000-0000EF450000}"/>
    <cellStyle name="SAPBEXHLevel1X 3 2 2 2" xfId="20372" xr:uid="{00000000-0005-0000-0000-0000EF450000}"/>
    <cellStyle name="SAPBEXHLevel1X 3 2 2 2 2" xfId="35390" xr:uid="{48C9EC1E-4AD4-4EBB-B13F-5B880621D8A6}"/>
    <cellStyle name="SAPBEXHLevel1X 3 2 2 3" xfId="34785" xr:uid="{9AC45B9E-8CB3-4351-9DF9-357F6E608DB9}"/>
    <cellStyle name="SAPBEXHLevel1X 3 2 3" xfId="18644" xr:uid="{00000000-0005-0000-0000-0000EE450000}"/>
    <cellStyle name="SAPBEXHLevel1X 3 2 4" xfId="20778" xr:uid="{E1717C11-4CC7-4F0B-8A27-B9415A377E9B}"/>
    <cellStyle name="SAPBEXHLevel1X 3 2 4 2" xfId="35770" xr:uid="{E4A32D2A-857D-4385-9656-7ACB2FE8D04F}"/>
    <cellStyle name="SAPBEXHLevel1X 3 2 5" xfId="28137" xr:uid="{88CBC867-7952-4B9D-B9E7-0FE954A7B842}"/>
    <cellStyle name="SAPBEXHLevel1X 3 3" xfId="18646" xr:uid="{00000000-0005-0000-0000-0000F0450000}"/>
    <cellStyle name="SAPBEXHLevel1X 3 3 2" xfId="18647" xr:uid="{00000000-0005-0000-0000-0000F1450000}"/>
    <cellStyle name="SAPBEXHLevel1X 3 3 2 2" xfId="20374" xr:uid="{00000000-0005-0000-0000-0000F1450000}"/>
    <cellStyle name="SAPBEXHLevel1X 3 3 2 2 2" xfId="35392" xr:uid="{572D9367-6519-42DE-BF7B-6E09F63493CE}"/>
    <cellStyle name="SAPBEXHLevel1X 3 3 2 3" xfId="34787" xr:uid="{98D244AA-00A5-4C4C-94C2-50FA134AC15F}"/>
    <cellStyle name="SAPBEXHLevel1X 3 3 3" xfId="20373" xr:uid="{00000000-0005-0000-0000-0000F0450000}"/>
    <cellStyle name="SAPBEXHLevel1X 3 3 3 2" xfId="27741" xr:uid="{C1F0DFC0-470D-4D2C-89E3-2C383818F525}"/>
    <cellStyle name="SAPBEXHLevel1X 3 3 3 2 2" xfId="42678" xr:uid="{9700DB2B-79EB-48F3-A42F-B5039E69739C}"/>
    <cellStyle name="SAPBEXHLevel1X 3 3 3 3" xfId="35391" xr:uid="{71CBA6E6-3A48-47A8-9CEA-3FD38507130F}"/>
    <cellStyle name="SAPBEXHLevel1X 3 3 4" xfId="34786" xr:uid="{964F0B5A-8DA8-484F-B575-3382C2C4EAF5}"/>
    <cellStyle name="SAPBEXHLevel1X 3 4" xfId="18648" xr:uid="{00000000-0005-0000-0000-0000F2450000}"/>
    <cellStyle name="SAPBEXHLevel1X 3 4 2" xfId="20375" xr:uid="{00000000-0005-0000-0000-0000F2450000}"/>
    <cellStyle name="SAPBEXHLevel1X 3 4 2 2" xfId="35393" xr:uid="{3F028FED-CDFD-4A7E-B917-0A0E4AE392E4}"/>
    <cellStyle name="SAPBEXHLevel1X 3 4 3" xfId="34788" xr:uid="{9B10DF4C-088F-4E4B-8603-D32CAA66692F}"/>
    <cellStyle name="SAPBEXHLevel1X 3 5" xfId="18649" xr:uid="{00000000-0005-0000-0000-0000F3450000}"/>
    <cellStyle name="SAPBEXHLevel1X 3 6" xfId="18643" xr:uid="{00000000-0005-0000-0000-0000ED450000}"/>
    <cellStyle name="SAPBEXHLevel1X 3 7" xfId="28136" xr:uid="{F8E2DC34-22E3-4D08-B2D2-0A9DC8950978}"/>
    <cellStyle name="SAPBEXHLevel1X 4" xfId="2708" xr:uid="{00000000-0005-0000-0000-0000710A0000}"/>
    <cellStyle name="SAPBEXHLevel1X 4 2" xfId="18651" xr:uid="{00000000-0005-0000-0000-0000F5450000}"/>
    <cellStyle name="SAPBEXHLevel1X 4 2 2" xfId="18652" xr:uid="{00000000-0005-0000-0000-0000F6450000}"/>
    <cellStyle name="SAPBEXHLevel1X 4 2 2 2" xfId="20377" xr:uid="{00000000-0005-0000-0000-0000F6450000}"/>
    <cellStyle name="SAPBEXHLevel1X 4 2 2 2 2" xfId="35395" xr:uid="{91ECB7B9-6140-401B-8018-318E2A3CC3FE}"/>
    <cellStyle name="SAPBEXHLevel1X 4 2 2 3" xfId="34790" xr:uid="{C00F643D-9AEC-48FA-A715-FF15DF975B81}"/>
    <cellStyle name="SAPBEXHLevel1X 4 2 3" xfId="18653" xr:uid="{00000000-0005-0000-0000-0000F7450000}"/>
    <cellStyle name="SAPBEXHLevel1X 4 2 4" xfId="20376" xr:uid="{00000000-0005-0000-0000-0000F5450000}"/>
    <cellStyle name="SAPBEXHLevel1X 4 2 4 2" xfId="27742" xr:uid="{1CFA7F87-CFD6-42C7-9969-D874DF784451}"/>
    <cellStyle name="SAPBEXHLevel1X 4 2 4 2 2" xfId="42679" xr:uid="{E512EE83-98DE-48ED-9E51-B0E840B50E3E}"/>
    <cellStyle name="SAPBEXHLevel1X 4 2 4 3" xfId="35394" xr:uid="{35C3E693-7BF3-4E7C-BFC9-80FC5AA55651}"/>
    <cellStyle name="SAPBEXHLevel1X 4 2 5" xfId="34789" xr:uid="{A95FFEE7-C22C-43DB-887C-4E1C0EC61197}"/>
    <cellStyle name="SAPBEXHLevel1X 4 3" xfId="18654" xr:uid="{00000000-0005-0000-0000-0000F8450000}"/>
    <cellStyle name="SAPBEXHLevel1X 4 4" xfId="18650" xr:uid="{00000000-0005-0000-0000-0000F4450000}"/>
    <cellStyle name="SAPBEXHLevel1X 4 5" xfId="28138" xr:uid="{3B12FB0C-E089-473B-8CB0-F674F080E533}"/>
    <cellStyle name="SAPBEXHLevel1X 5" xfId="18655" xr:uid="{00000000-0005-0000-0000-0000F9450000}"/>
    <cellStyle name="SAPBEXHLevel1X 5 2" xfId="18656" xr:uid="{00000000-0005-0000-0000-0000FA450000}"/>
    <cellStyle name="SAPBEXHLevel1X 5 2 2" xfId="20378" xr:uid="{00000000-0005-0000-0000-0000FA450000}"/>
    <cellStyle name="SAPBEXHLevel1X 5 2 2 2" xfId="35396" xr:uid="{738C5D2D-0279-43FC-B4EE-C529ED4789C4}"/>
    <cellStyle name="SAPBEXHLevel1X 5 2 3" xfId="34791" xr:uid="{45FBC061-6252-42EE-BCE6-29039596896E}"/>
    <cellStyle name="SAPBEXHLevel1X 6" xfId="18657" xr:uid="{00000000-0005-0000-0000-0000FB450000}"/>
    <cellStyle name="SAPBEXHLevel1X 6 2" xfId="20379" xr:uid="{00000000-0005-0000-0000-0000FB450000}"/>
    <cellStyle name="SAPBEXHLevel1X 6 2 2" xfId="27743" xr:uid="{A3BDB668-B848-4DFA-AC3C-827B7CDABD44}"/>
    <cellStyle name="SAPBEXHLevel1X 6 2 2 2" xfId="42680" xr:uid="{3FA69FE6-8A5A-40CA-9004-CB2395B36F8A}"/>
    <cellStyle name="SAPBEXHLevel1X 6 2 3" xfId="35397" xr:uid="{3B5595FA-AAA3-4131-8B8A-042E2FB4B0CB}"/>
    <cellStyle name="SAPBEXHLevel1X 6 3" xfId="34792" xr:uid="{7EE66F4A-C719-4931-A614-2C175804BFAF}"/>
    <cellStyle name="SAPBEXHLevel1X 7" xfId="18658" xr:uid="{00000000-0005-0000-0000-0000FC450000}"/>
    <cellStyle name="SAPBEXHLevel1X 8" xfId="18633" xr:uid="{00000000-0005-0000-0000-0000E3450000}"/>
    <cellStyle name="SAPBEXHLevel1X 9" xfId="28133" xr:uid="{AA8F4751-D06A-4125-AB63-73A1BC784C33}"/>
    <cellStyle name="SAPBEXHLevel1X_2010-2012 Program Workbook_Incent_FS" xfId="2709" xr:uid="{00000000-0005-0000-0000-0000720A0000}"/>
    <cellStyle name="SAPBEXHLevel2" xfId="2710" xr:uid="{00000000-0005-0000-0000-0000730A0000}"/>
    <cellStyle name="SAPBEXHLevel2 2" xfId="2904" xr:uid="{00000000-0005-0000-0000-0000740A0000}"/>
    <cellStyle name="SAPBEXHLevel2 2 2" xfId="18661" xr:uid="{00000000-0005-0000-0000-000000460000}"/>
    <cellStyle name="SAPBEXHLevel2 2 2 2" xfId="18662" xr:uid="{00000000-0005-0000-0000-000001460000}"/>
    <cellStyle name="SAPBEXHLevel2 2 2 3" xfId="18663" xr:uid="{00000000-0005-0000-0000-000002460000}"/>
    <cellStyle name="SAPBEXHLevel2 2 2 3 2" xfId="20380" xr:uid="{00000000-0005-0000-0000-000002460000}"/>
    <cellStyle name="SAPBEXHLevel2 2 2 3 2 2" xfId="27744" xr:uid="{D109FFF9-EE57-4E3A-BA7E-1DD225B89308}"/>
    <cellStyle name="SAPBEXHLevel2 2 2 3 2 2 2" xfId="42681" xr:uid="{5A775AAB-9562-4E64-8D95-3466AB41DA8B}"/>
    <cellStyle name="SAPBEXHLevel2 2 2 3 2 3" xfId="35398" xr:uid="{C72B9169-DC99-41F7-BCC8-935E0FACFC6E}"/>
    <cellStyle name="SAPBEXHLevel2 2 2 3 3" xfId="27295" xr:uid="{16C62E1A-0E5F-4CE0-984E-05A66ED51B9D}"/>
    <cellStyle name="SAPBEXHLevel2 2 2 3 3 2" xfId="42255" xr:uid="{A3976018-4256-45FE-8E4D-2B3AB63EB143}"/>
    <cellStyle name="SAPBEXHLevel2 2 2 3 4" xfId="34793" xr:uid="{B8E2FAA7-D4FF-4AA9-91CD-539F0070D8BB}"/>
    <cellStyle name="SAPBEXHLevel2 2 2 4" xfId="18664" xr:uid="{00000000-0005-0000-0000-000003460000}"/>
    <cellStyle name="SAPBEXHLevel2 2 3" xfId="18665" xr:uid="{00000000-0005-0000-0000-000004460000}"/>
    <cellStyle name="SAPBEXHLevel2 2 3 2" xfId="18666" xr:uid="{00000000-0005-0000-0000-000005460000}"/>
    <cellStyle name="SAPBEXHLevel2 2 3 3" xfId="18667" xr:uid="{00000000-0005-0000-0000-000006460000}"/>
    <cellStyle name="SAPBEXHLevel2 2 3 3 2" xfId="20381" xr:uid="{00000000-0005-0000-0000-000006460000}"/>
    <cellStyle name="SAPBEXHLevel2 2 3 3 2 2" xfId="27745" xr:uid="{A83B4967-3918-4375-BB36-158F58BE6474}"/>
    <cellStyle name="SAPBEXHLevel2 2 3 3 2 2 2" xfId="42682" xr:uid="{E34B251A-B3C1-4A23-AAB3-F1EBCA4FA870}"/>
    <cellStyle name="SAPBEXHLevel2 2 3 3 2 3" xfId="35399" xr:uid="{BFEA14F2-E2A8-42C5-89AA-A09C0CE437F0}"/>
    <cellStyle name="SAPBEXHLevel2 2 3 3 3" xfId="27296" xr:uid="{6C5EBF4B-B389-4CBB-94C0-FE7F54B5E0EA}"/>
    <cellStyle name="SAPBEXHLevel2 2 3 3 3 2" xfId="42256" xr:uid="{637A7551-D335-49A2-B262-E801E58C619F}"/>
    <cellStyle name="SAPBEXHLevel2 2 3 3 4" xfId="34794" xr:uid="{115D25B2-06E2-4825-9FC4-1449B23DA7E0}"/>
    <cellStyle name="SAPBEXHLevel2 2 3 4" xfId="18668" xr:uid="{00000000-0005-0000-0000-000007460000}"/>
    <cellStyle name="SAPBEXHLevel2 2 4" xfId="18669" xr:uid="{00000000-0005-0000-0000-000008460000}"/>
    <cellStyle name="SAPBEXHLevel2 2 4 2" xfId="18670" xr:uid="{00000000-0005-0000-0000-000009460000}"/>
    <cellStyle name="SAPBEXHLevel2 2 4 2 2" xfId="20382" xr:uid="{00000000-0005-0000-0000-000009460000}"/>
    <cellStyle name="SAPBEXHLevel2 2 4 2 2 2" xfId="27746" xr:uid="{20C2DEF3-9593-4CB3-857D-65E2D3E23417}"/>
    <cellStyle name="SAPBEXHLevel2 2 4 2 2 2 2" xfId="42683" xr:uid="{720ABDFF-BC47-4E2F-9272-DEFA8489D24A}"/>
    <cellStyle name="SAPBEXHLevel2 2 4 2 2 3" xfId="35400" xr:uid="{DA6EAD32-D25C-4975-B541-392D6E8A4E87}"/>
    <cellStyle name="SAPBEXHLevel2 2 4 2 3" xfId="27297" xr:uid="{BB302B5E-164B-479A-A419-D9831CB983C9}"/>
    <cellStyle name="SAPBEXHLevel2 2 4 2 3 2" xfId="42257" xr:uid="{8531897B-BADE-412E-BC3A-035571E288DE}"/>
    <cellStyle name="SAPBEXHLevel2 2 4 2 4" xfId="34795" xr:uid="{303D8569-15AC-42FD-ACB0-E4A0D9DA62C1}"/>
    <cellStyle name="SAPBEXHLevel2 2 5" xfId="18671" xr:uid="{00000000-0005-0000-0000-00000A460000}"/>
    <cellStyle name="SAPBEXHLevel2 2 5 2" xfId="20383" xr:uid="{00000000-0005-0000-0000-00000A460000}"/>
    <cellStyle name="SAPBEXHLevel2 2 5 2 2" xfId="27747" xr:uid="{C14DABE9-3E7D-4E80-B4A5-1391A19EEEC7}"/>
    <cellStyle name="SAPBEXHLevel2 2 5 2 2 2" xfId="42684" xr:uid="{6516E8D3-E5E8-4B36-8B09-E91013F62C85}"/>
    <cellStyle name="SAPBEXHLevel2 2 5 2 3" xfId="35401" xr:uid="{0CF27FF7-19E6-46B5-9860-D84EBE73C421}"/>
    <cellStyle name="SAPBEXHLevel2 2 5 3" xfId="27298" xr:uid="{44BEB7B4-AD16-474A-998B-EFD495FF5A30}"/>
    <cellStyle name="SAPBEXHLevel2 2 5 3 2" xfId="42258" xr:uid="{29AF5FB4-236F-4C07-A746-982331A5E361}"/>
    <cellStyle name="SAPBEXHLevel2 2 5 4" xfId="34796" xr:uid="{39C98B0C-B5A8-4725-A045-2D22DC9EC3D6}"/>
    <cellStyle name="SAPBEXHLevel2 2 6" xfId="18672" xr:uid="{00000000-0005-0000-0000-00000B460000}"/>
    <cellStyle name="SAPBEXHLevel2 2 7" xfId="18660" xr:uid="{00000000-0005-0000-0000-0000FF450000}"/>
    <cellStyle name="SAPBEXHLevel2 2 8" xfId="20860" xr:uid="{2FB78418-BD5E-4777-970E-6B4FF0C52C64}"/>
    <cellStyle name="SAPBEXHLevel2 2 8 2" xfId="35836" xr:uid="{67DA31CE-21BF-4A87-852A-E6AF702A1E3D}"/>
    <cellStyle name="SAPBEXHLevel2 2 9" xfId="28232" xr:uid="{BAB20AEF-98BD-46B6-B966-8A473E142640}"/>
    <cellStyle name="SAPBEXHLevel2 3" xfId="18673" xr:uid="{00000000-0005-0000-0000-00000C460000}"/>
    <cellStyle name="SAPBEXHLevel2 3 2" xfId="18674" xr:uid="{00000000-0005-0000-0000-00000D460000}"/>
    <cellStyle name="SAPBEXHLevel2 3 2 2" xfId="18675" xr:uid="{00000000-0005-0000-0000-00000E460000}"/>
    <cellStyle name="SAPBEXHLevel2 3 2 2 2" xfId="20384" xr:uid="{00000000-0005-0000-0000-00000E460000}"/>
    <cellStyle name="SAPBEXHLevel2 3 2 2 2 2" xfId="35402" xr:uid="{42D608B8-C3FD-4BF1-8DB5-BA835839F4AB}"/>
    <cellStyle name="SAPBEXHLevel2 3 2 2 3" xfId="34797" xr:uid="{CD346A48-6F41-4AC8-A3A7-5E6519727CFB}"/>
    <cellStyle name="SAPBEXHLevel2 3 3" xfId="18676" xr:uid="{00000000-0005-0000-0000-00000F460000}"/>
    <cellStyle name="SAPBEXHLevel2 3 3 2" xfId="18677" xr:uid="{00000000-0005-0000-0000-000010460000}"/>
    <cellStyle name="SAPBEXHLevel2 3 3 2 2" xfId="20386" xr:uid="{00000000-0005-0000-0000-000010460000}"/>
    <cellStyle name="SAPBEXHLevel2 3 3 2 2 2" xfId="35404" xr:uid="{53E206D5-A3FE-4CF1-8274-DCA886141F32}"/>
    <cellStyle name="SAPBEXHLevel2 3 3 2 3" xfId="34799" xr:uid="{EC0695E1-6D11-428F-94C0-03313865A1E1}"/>
    <cellStyle name="SAPBEXHLevel2 3 3 3" xfId="20385" xr:uid="{00000000-0005-0000-0000-00000F460000}"/>
    <cellStyle name="SAPBEXHLevel2 3 3 3 2" xfId="27748" xr:uid="{619CBA9A-7621-4503-AA17-7CFCA9B5668F}"/>
    <cellStyle name="SAPBEXHLevel2 3 3 3 2 2" xfId="42685" xr:uid="{E0920151-D910-4A38-97E8-60BE43BF2AE8}"/>
    <cellStyle name="SAPBEXHLevel2 3 3 3 3" xfId="35403" xr:uid="{F77AA5D1-0757-4EFD-9A8E-40577F479407}"/>
    <cellStyle name="SAPBEXHLevel2 3 3 4" xfId="27299" xr:uid="{CBA74DE9-C7C1-4BD5-B152-20C18FA66AC4}"/>
    <cellStyle name="SAPBEXHLevel2 3 3 4 2" xfId="42259" xr:uid="{2E7CDF52-07AB-4C60-B023-2E4CC61676A6}"/>
    <cellStyle name="SAPBEXHLevel2 3 3 5" xfId="34798" xr:uid="{129654C5-E8D0-4388-8AEE-B1077615289E}"/>
    <cellStyle name="SAPBEXHLevel2 3 4" xfId="18678" xr:uid="{00000000-0005-0000-0000-000011460000}"/>
    <cellStyle name="SAPBEXHLevel2 3 4 2" xfId="20387" xr:uid="{00000000-0005-0000-0000-000011460000}"/>
    <cellStyle name="SAPBEXHLevel2 3 4 2 2" xfId="35405" xr:uid="{849B9E2B-500E-4952-9E15-05D9BE613A4B}"/>
    <cellStyle name="SAPBEXHLevel2 3 4 3" xfId="34800" xr:uid="{F17B5889-8B62-4B30-B979-8904DCC639AB}"/>
    <cellStyle name="SAPBEXHLevel2 3 5" xfId="18679" xr:uid="{00000000-0005-0000-0000-000012460000}"/>
    <cellStyle name="SAPBEXHLevel2 4" xfId="18680" xr:uid="{00000000-0005-0000-0000-000013460000}"/>
    <cellStyle name="SAPBEXHLevel2 4 2" xfId="18681" xr:uid="{00000000-0005-0000-0000-000014460000}"/>
    <cellStyle name="SAPBEXHLevel2 4 2 2" xfId="20388" xr:uid="{00000000-0005-0000-0000-000014460000}"/>
    <cellStyle name="SAPBEXHLevel2 4 2 2 2" xfId="35406" xr:uid="{C6BF8910-BE0B-46DB-8C7C-B5C3559DE727}"/>
    <cellStyle name="SAPBEXHLevel2 4 2 3" xfId="34801" xr:uid="{FD6515FC-7669-448F-9CDF-28D355B1B519}"/>
    <cellStyle name="SAPBEXHLevel2 5" xfId="18682" xr:uid="{00000000-0005-0000-0000-000015460000}"/>
    <cellStyle name="SAPBEXHLevel2 5 2" xfId="18683" xr:uid="{00000000-0005-0000-0000-000016460000}"/>
    <cellStyle name="SAPBEXHLevel2 5 2 2" xfId="20390" xr:uid="{00000000-0005-0000-0000-000016460000}"/>
    <cellStyle name="SAPBEXHLevel2 5 2 2 2" xfId="35408" xr:uid="{FFE228AB-8546-4600-A988-77AE1DC789E2}"/>
    <cellStyle name="SAPBEXHLevel2 5 2 3" xfId="34803" xr:uid="{701195A7-8FC0-4CC7-8F13-15C5C7E45E5F}"/>
    <cellStyle name="SAPBEXHLevel2 5 3" xfId="20389" xr:uid="{00000000-0005-0000-0000-000015460000}"/>
    <cellStyle name="SAPBEXHLevel2 5 3 2" xfId="27749" xr:uid="{04F1B6E2-E032-4B41-AA31-C0691BE374DF}"/>
    <cellStyle name="SAPBEXHLevel2 5 3 2 2" xfId="42686" xr:uid="{41281C39-0CB3-4D92-9C2E-3F630325D011}"/>
    <cellStyle name="SAPBEXHLevel2 5 3 3" xfId="35407" xr:uid="{65FBA160-97B2-40B3-99CD-6548863B00B0}"/>
    <cellStyle name="SAPBEXHLevel2 5 4" xfId="34802" xr:uid="{73C575EC-ECC1-4031-A4D0-D02C41544AF6}"/>
    <cellStyle name="SAPBEXHLevel2 6" xfId="18684" xr:uid="{00000000-0005-0000-0000-000017460000}"/>
    <cellStyle name="SAPBEXHLevel2 7" xfId="18659" xr:uid="{00000000-0005-0000-0000-0000FE450000}"/>
    <cellStyle name="SAPBEXHLevel2 8" xfId="20779" xr:uid="{7FC952B6-CFBF-40CD-8731-384AB2CB162A}"/>
    <cellStyle name="SAPBEXHLevel2 8 2" xfId="35771" xr:uid="{5D2072D6-DA3A-4D2B-8954-6ABDAF1E13F5}"/>
    <cellStyle name="SAPBEXHLevel2 9" xfId="28139" xr:uid="{54EF904B-22E4-4E97-8D87-C128D521BA7E}"/>
    <cellStyle name="SAPBEXHLevel2X" xfId="2711" xr:uid="{00000000-0005-0000-0000-0000750A0000}"/>
    <cellStyle name="SAPBEXHLevel2X 2" xfId="2712" xr:uid="{00000000-0005-0000-0000-0000760A0000}"/>
    <cellStyle name="SAPBEXHLevel2X 2 2" xfId="2713" xr:uid="{00000000-0005-0000-0000-0000770A0000}"/>
    <cellStyle name="SAPBEXHLevel2X 2 2 2" xfId="18688" xr:uid="{00000000-0005-0000-0000-00001B460000}"/>
    <cellStyle name="SAPBEXHLevel2X 2 2 2 2" xfId="18689" xr:uid="{00000000-0005-0000-0000-00001C460000}"/>
    <cellStyle name="SAPBEXHLevel2X 2 2 2 3" xfId="20391" xr:uid="{00000000-0005-0000-0000-00001B460000}"/>
    <cellStyle name="SAPBEXHLevel2X 2 2 2 3 2" xfId="27750" xr:uid="{31E6F422-9CE8-4CB6-A0E1-ABC1F280CE1A}"/>
    <cellStyle name="SAPBEXHLevel2X 2 2 2 3 2 2" xfId="42687" xr:uid="{FA7D904E-9463-4240-85A9-5E0303E4982E}"/>
    <cellStyle name="SAPBEXHLevel2X 2 2 2 3 3" xfId="35409" xr:uid="{E929F75B-085D-45B9-9A12-25B2A986205B}"/>
    <cellStyle name="SAPBEXHLevel2X 2 2 2 4" xfId="34804" xr:uid="{FB925836-CFFA-4EEF-B8CD-47EDE28B456F}"/>
    <cellStyle name="SAPBEXHLevel2X 2 2 3" xfId="18690" xr:uid="{00000000-0005-0000-0000-00001D460000}"/>
    <cellStyle name="SAPBEXHLevel2X 2 2 4" xfId="18687" xr:uid="{00000000-0005-0000-0000-00001A460000}"/>
    <cellStyle name="SAPBEXHLevel2X 2 2 5" xfId="28142" xr:uid="{8D9EFDE5-4439-4EA8-AB47-9EAEAD8E9295}"/>
    <cellStyle name="SAPBEXHLevel2X 2 3" xfId="18691" xr:uid="{00000000-0005-0000-0000-00001E460000}"/>
    <cellStyle name="SAPBEXHLevel2X 2 3 2" xfId="18692" xr:uid="{00000000-0005-0000-0000-00001F460000}"/>
    <cellStyle name="SAPBEXHLevel2X 2 3 2 2" xfId="20392" xr:uid="{00000000-0005-0000-0000-00001F460000}"/>
    <cellStyle name="SAPBEXHLevel2X 2 3 2 2 2" xfId="27751" xr:uid="{D34EDAA9-F961-4CF0-9DBC-F3400A4A1B83}"/>
    <cellStyle name="SAPBEXHLevel2X 2 3 2 2 2 2" xfId="42688" xr:uid="{7948D1F1-798F-4C8F-8965-6C85A227D945}"/>
    <cellStyle name="SAPBEXHLevel2X 2 3 2 2 3" xfId="35410" xr:uid="{13F062A7-B6C9-4161-A652-0862F8CFA045}"/>
    <cellStyle name="SAPBEXHLevel2X 2 3 2 3" xfId="34805" xr:uid="{C29C5CDF-6BA7-4818-9007-80981B08C4D6}"/>
    <cellStyle name="SAPBEXHLevel2X 2 4" xfId="18693" xr:uid="{00000000-0005-0000-0000-000020460000}"/>
    <cellStyle name="SAPBEXHLevel2X 2 4 2" xfId="20393" xr:uid="{00000000-0005-0000-0000-000020460000}"/>
    <cellStyle name="SAPBEXHLevel2X 2 4 2 2" xfId="27752" xr:uid="{CEA57ADB-7134-4D75-A5C7-D95F9A49130B}"/>
    <cellStyle name="SAPBEXHLevel2X 2 4 2 2 2" xfId="42689" xr:uid="{478F27BD-5B3F-4940-B58E-2E158BAF2678}"/>
    <cellStyle name="SAPBEXHLevel2X 2 4 2 3" xfId="35411" xr:uid="{5C5C23C2-7EA7-4697-B94C-6DBC1739B566}"/>
    <cellStyle name="SAPBEXHLevel2X 2 4 3" xfId="34806" xr:uid="{9B5DA508-2628-47D3-ADB8-47FFCB76B485}"/>
    <cellStyle name="SAPBEXHLevel2X 2 5" xfId="18694" xr:uid="{00000000-0005-0000-0000-000021460000}"/>
    <cellStyle name="SAPBEXHLevel2X 2 6" xfId="18686" xr:uid="{00000000-0005-0000-0000-000019460000}"/>
    <cellStyle name="SAPBEXHLevel2X 2 7" xfId="28141" xr:uid="{14A897ED-0206-4C5C-9260-1EC0C0A23D26}"/>
    <cellStyle name="SAPBEXHLevel2X 3" xfId="2714" xr:uid="{00000000-0005-0000-0000-0000780A0000}"/>
    <cellStyle name="SAPBEXHLevel2X 3 2" xfId="2715" xr:uid="{00000000-0005-0000-0000-0000790A0000}"/>
    <cellStyle name="SAPBEXHLevel2X 3 2 2" xfId="18697" xr:uid="{00000000-0005-0000-0000-000024460000}"/>
    <cellStyle name="SAPBEXHLevel2X 3 2 2 2" xfId="20394" xr:uid="{00000000-0005-0000-0000-000024460000}"/>
    <cellStyle name="SAPBEXHLevel2X 3 2 2 2 2" xfId="35412" xr:uid="{C2EA326E-A39E-4363-8C3D-704CE4411352}"/>
    <cellStyle name="SAPBEXHLevel2X 3 2 2 3" xfId="34807" xr:uid="{A22F7FEB-FA6E-4A23-AC26-4FD98DC4D4D3}"/>
    <cellStyle name="SAPBEXHLevel2X 3 2 3" xfId="18696" xr:uid="{00000000-0005-0000-0000-000023460000}"/>
    <cellStyle name="SAPBEXHLevel2X 3 2 4" xfId="20780" xr:uid="{9D344226-5606-4DA0-8C6E-F623FC6AFE18}"/>
    <cellStyle name="SAPBEXHLevel2X 3 2 4 2" xfId="35772" xr:uid="{AAFBF1F3-9228-4363-AEA3-23C91BC0F031}"/>
    <cellStyle name="SAPBEXHLevel2X 3 2 5" xfId="28144" xr:uid="{EABBC493-32D8-46C3-A7A8-387DA4FA8BAF}"/>
    <cellStyle name="SAPBEXHLevel2X 3 3" xfId="18698" xr:uid="{00000000-0005-0000-0000-000025460000}"/>
    <cellStyle name="SAPBEXHLevel2X 3 3 2" xfId="18699" xr:uid="{00000000-0005-0000-0000-000026460000}"/>
    <cellStyle name="SAPBEXHLevel2X 3 3 2 2" xfId="20396" xr:uid="{00000000-0005-0000-0000-000026460000}"/>
    <cellStyle name="SAPBEXHLevel2X 3 3 2 2 2" xfId="35414" xr:uid="{5B195E4F-1AA5-4E7C-89E7-88939EA9F294}"/>
    <cellStyle name="SAPBEXHLevel2X 3 3 2 3" xfId="34809" xr:uid="{F54559A9-0517-42C6-B785-FD6DBE35B357}"/>
    <cellStyle name="SAPBEXHLevel2X 3 3 3" xfId="20395" xr:uid="{00000000-0005-0000-0000-000025460000}"/>
    <cellStyle name="SAPBEXHLevel2X 3 3 3 2" xfId="27753" xr:uid="{7D83FF47-8B30-4B80-920E-D04B6F684581}"/>
    <cellStyle name="SAPBEXHLevel2X 3 3 3 2 2" xfId="42690" xr:uid="{DF9C784A-F9C5-4335-8D9C-1123A5710F07}"/>
    <cellStyle name="SAPBEXHLevel2X 3 3 3 3" xfId="35413" xr:uid="{7B0587AD-C510-4F65-865B-3A565693F56A}"/>
    <cellStyle name="SAPBEXHLevel2X 3 3 4" xfId="34808" xr:uid="{2107D725-AE15-42A8-81AC-E37F4E91292C}"/>
    <cellStyle name="SAPBEXHLevel2X 3 4" xfId="18700" xr:uid="{00000000-0005-0000-0000-000027460000}"/>
    <cellStyle name="SAPBEXHLevel2X 3 4 2" xfId="20397" xr:uid="{00000000-0005-0000-0000-000027460000}"/>
    <cellStyle name="SAPBEXHLevel2X 3 4 2 2" xfId="35415" xr:uid="{43CD89AA-2FB2-44CD-8D10-D13EDE378DE5}"/>
    <cellStyle name="SAPBEXHLevel2X 3 4 3" xfId="34810" xr:uid="{36B9BBA1-B703-4CD8-B80A-14B72443D5CB}"/>
    <cellStyle name="SAPBEXHLevel2X 3 5" xfId="18701" xr:uid="{00000000-0005-0000-0000-000028460000}"/>
    <cellStyle name="SAPBEXHLevel2X 3 6" xfId="18695" xr:uid="{00000000-0005-0000-0000-000022460000}"/>
    <cellStyle name="SAPBEXHLevel2X 3 7" xfId="28143" xr:uid="{872FB530-2395-4483-8936-BAFE55A2393E}"/>
    <cellStyle name="SAPBEXHLevel2X 4" xfId="2716" xr:uid="{00000000-0005-0000-0000-00007A0A0000}"/>
    <cellStyle name="SAPBEXHLevel2X 4 2" xfId="18703" xr:uid="{00000000-0005-0000-0000-00002A460000}"/>
    <cellStyle name="SAPBEXHLevel2X 4 2 2" xfId="18704" xr:uid="{00000000-0005-0000-0000-00002B460000}"/>
    <cellStyle name="SAPBEXHLevel2X 4 2 2 2" xfId="20399" xr:uid="{00000000-0005-0000-0000-00002B460000}"/>
    <cellStyle name="SAPBEXHLevel2X 4 2 2 2 2" xfId="35417" xr:uid="{115FE6F0-501F-4CB6-B02C-256B23E79411}"/>
    <cellStyle name="SAPBEXHLevel2X 4 2 2 3" xfId="34812" xr:uid="{52D38165-2DC4-4CA4-9380-E8BC63B3E9FD}"/>
    <cellStyle name="SAPBEXHLevel2X 4 2 3" xfId="18705" xr:uid="{00000000-0005-0000-0000-00002C460000}"/>
    <cellStyle name="SAPBEXHLevel2X 4 2 4" xfId="20398" xr:uid="{00000000-0005-0000-0000-00002A460000}"/>
    <cellStyle name="SAPBEXHLevel2X 4 2 4 2" xfId="27754" xr:uid="{6867C31D-538D-47C4-BA56-B66AD20DF0C2}"/>
    <cellStyle name="SAPBEXHLevel2X 4 2 4 2 2" xfId="42691" xr:uid="{4125B212-0422-40E0-A1D9-0E1C4D4F84C3}"/>
    <cellStyle name="SAPBEXHLevel2X 4 2 4 3" xfId="35416" xr:uid="{DBF38BDF-9314-4184-8918-082A3C5C4325}"/>
    <cellStyle name="SAPBEXHLevel2X 4 2 5" xfId="34811" xr:uid="{6374AEDB-62A2-4D93-9E48-B520CB13BC74}"/>
    <cellStyle name="SAPBEXHLevel2X 4 3" xfId="18706" xr:uid="{00000000-0005-0000-0000-00002D460000}"/>
    <cellStyle name="SAPBEXHLevel2X 4 4" xfId="18702" xr:uid="{00000000-0005-0000-0000-000029460000}"/>
    <cellStyle name="SAPBEXHLevel2X 4 5" xfId="28145" xr:uid="{630B13F7-826F-4587-991F-91F19C80CECE}"/>
    <cellStyle name="SAPBEXHLevel2X 5" xfId="18707" xr:uid="{00000000-0005-0000-0000-00002E460000}"/>
    <cellStyle name="SAPBEXHLevel2X 5 2" xfId="18708" xr:uid="{00000000-0005-0000-0000-00002F460000}"/>
    <cellStyle name="SAPBEXHLevel2X 5 2 2" xfId="20400" xr:uid="{00000000-0005-0000-0000-00002F460000}"/>
    <cellStyle name="SAPBEXHLevel2X 5 2 2 2" xfId="35418" xr:uid="{3A4AE2E4-FE73-421A-8921-EF9EC5A1A9A4}"/>
    <cellStyle name="SAPBEXHLevel2X 5 2 3" xfId="34813" xr:uid="{BD20A60D-28F9-4666-BAB5-4F49E7A267B1}"/>
    <cellStyle name="SAPBEXHLevel2X 6" xfId="18709" xr:uid="{00000000-0005-0000-0000-000030460000}"/>
    <cellStyle name="SAPBEXHLevel2X 6 2" xfId="20401" xr:uid="{00000000-0005-0000-0000-000030460000}"/>
    <cellStyle name="SAPBEXHLevel2X 6 2 2" xfId="27755" xr:uid="{7E2C5495-C8BF-41DC-B616-FCF1E0122FB8}"/>
    <cellStyle name="SAPBEXHLevel2X 6 2 2 2" xfId="42692" xr:uid="{F598B010-FFC8-4953-B689-890DC2442DC0}"/>
    <cellStyle name="SAPBEXHLevel2X 6 2 3" xfId="35419" xr:uid="{4D45EB6F-4FE1-4498-A9AF-7EFE08333C8E}"/>
    <cellStyle name="SAPBEXHLevel2X 6 3" xfId="34814" xr:uid="{543402FA-B19E-4E41-84F2-687F854C5799}"/>
    <cellStyle name="SAPBEXHLevel2X 7" xfId="18710" xr:uid="{00000000-0005-0000-0000-000031460000}"/>
    <cellStyle name="SAPBEXHLevel2X 8" xfId="18685" xr:uid="{00000000-0005-0000-0000-000018460000}"/>
    <cellStyle name="SAPBEXHLevel2X 9" xfId="28140" xr:uid="{208FBB91-570D-4943-889A-65EB7CE5718F}"/>
    <cellStyle name="SAPBEXHLevel2X_2010-2012 Program Workbook_Incent_FS" xfId="2717" xr:uid="{00000000-0005-0000-0000-00007B0A0000}"/>
    <cellStyle name="SAPBEXHLevel3" xfId="2718" xr:uid="{00000000-0005-0000-0000-00007C0A0000}"/>
    <cellStyle name="SAPBEXHLevel3 2" xfId="2905" xr:uid="{00000000-0005-0000-0000-00007D0A0000}"/>
    <cellStyle name="SAPBEXHLevel3 2 2" xfId="18713" xr:uid="{00000000-0005-0000-0000-000035460000}"/>
    <cellStyle name="SAPBEXHLevel3 2 2 2" xfId="18714" xr:uid="{00000000-0005-0000-0000-000036460000}"/>
    <cellStyle name="SAPBEXHLevel3 2 2 3" xfId="18715" xr:uid="{00000000-0005-0000-0000-000037460000}"/>
    <cellStyle name="SAPBEXHLevel3 2 2 3 2" xfId="20402" xr:uid="{00000000-0005-0000-0000-000037460000}"/>
    <cellStyle name="SAPBEXHLevel3 2 2 3 2 2" xfId="27756" xr:uid="{F34810B4-6E8E-4342-B8C3-C06A66B6856A}"/>
    <cellStyle name="SAPBEXHLevel3 2 2 3 2 2 2" xfId="42693" xr:uid="{01741A93-8AFE-4387-8A47-68C851354712}"/>
    <cellStyle name="SAPBEXHLevel3 2 2 3 2 3" xfId="35420" xr:uid="{751B3D4E-19A2-4701-88C9-A4E65EBA874A}"/>
    <cellStyle name="SAPBEXHLevel3 2 2 3 3" xfId="27300" xr:uid="{871EEA0B-CC1C-4D19-ABBB-A8EE81E8B3E3}"/>
    <cellStyle name="SAPBEXHLevel3 2 2 3 3 2" xfId="42260" xr:uid="{A55ABC81-C029-4ACB-BD5C-FC76FC86C32E}"/>
    <cellStyle name="SAPBEXHLevel3 2 2 3 4" xfId="34815" xr:uid="{AC4DDA3C-F26B-4A27-9640-7D8CC9BE5646}"/>
    <cellStyle name="SAPBEXHLevel3 2 2 4" xfId="18716" xr:uid="{00000000-0005-0000-0000-000038460000}"/>
    <cellStyle name="SAPBEXHLevel3 2 3" xfId="18717" xr:uid="{00000000-0005-0000-0000-000039460000}"/>
    <cellStyle name="SAPBEXHLevel3 2 3 2" xfId="18718" xr:uid="{00000000-0005-0000-0000-00003A460000}"/>
    <cellStyle name="SAPBEXHLevel3 2 3 3" xfId="18719" xr:uid="{00000000-0005-0000-0000-00003B460000}"/>
    <cellStyle name="SAPBEXHLevel3 2 3 3 2" xfId="20403" xr:uid="{00000000-0005-0000-0000-00003B460000}"/>
    <cellStyle name="SAPBEXHLevel3 2 3 3 2 2" xfId="27757" xr:uid="{F6B57493-3B64-4529-A4E5-36C74FD5B604}"/>
    <cellStyle name="SAPBEXHLevel3 2 3 3 2 2 2" xfId="42694" xr:uid="{70F5B25A-D504-4718-94B4-75A736C2107D}"/>
    <cellStyle name="SAPBEXHLevel3 2 3 3 2 3" xfId="35421" xr:uid="{A2E325FC-6948-42BA-BBE0-10441FF202C4}"/>
    <cellStyle name="SAPBEXHLevel3 2 3 3 3" xfId="27301" xr:uid="{04969755-3C44-4209-89B8-D01D30E19DF5}"/>
    <cellStyle name="SAPBEXHLevel3 2 3 3 3 2" xfId="42261" xr:uid="{01F85571-6DED-49F0-9A63-4031A825B89E}"/>
    <cellStyle name="SAPBEXHLevel3 2 3 3 4" xfId="34816" xr:uid="{50F8A39B-7630-4940-A29A-01E3793198D6}"/>
    <cellStyle name="SAPBEXHLevel3 2 3 4" xfId="18720" xr:uid="{00000000-0005-0000-0000-00003C460000}"/>
    <cellStyle name="SAPBEXHLevel3 2 4" xfId="18721" xr:uid="{00000000-0005-0000-0000-00003D460000}"/>
    <cellStyle name="SAPBEXHLevel3 2 4 2" xfId="18722" xr:uid="{00000000-0005-0000-0000-00003E460000}"/>
    <cellStyle name="SAPBEXHLevel3 2 4 2 2" xfId="20404" xr:uid="{00000000-0005-0000-0000-00003E460000}"/>
    <cellStyle name="SAPBEXHLevel3 2 4 2 2 2" xfId="27758" xr:uid="{3CC5F9E3-1B43-408D-9E9D-BFD51834A160}"/>
    <cellStyle name="SAPBEXHLevel3 2 4 2 2 2 2" xfId="42695" xr:uid="{2203FDB6-723A-4A18-A9C9-FDE14EC0E573}"/>
    <cellStyle name="SAPBEXHLevel3 2 4 2 2 3" xfId="35422" xr:uid="{4DF247DE-B142-436B-8172-4B47746FF9EA}"/>
    <cellStyle name="SAPBEXHLevel3 2 4 2 3" xfId="27302" xr:uid="{5D90BB88-065B-41B9-8E8E-0B3FB1243235}"/>
    <cellStyle name="SAPBEXHLevel3 2 4 2 3 2" xfId="42262" xr:uid="{A8EACD7B-6FE7-4C5A-B882-54A55B405E01}"/>
    <cellStyle name="SAPBEXHLevel3 2 4 2 4" xfId="34817" xr:uid="{6E5179B1-AFD2-423C-97AE-696164C633A3}"/>
    <cellStyle name="SAPBEXHLevel3 2 5" xfId="18723" xr:uid="{00000000-0005-0000-0000-00003F460000}"/>
    <cellStyle name="SAPBEXHLevel3 2 5 2" xfId="20405" xr:uid="{00000000-0005-0000-0000-00003F460000}"/>
    <cellStyle name="SAPBEXHLevel3 2 5 2 2" xfId="27759" xr:uid="{404E1970-2722-4291-AA1C-3393AFB8D311}"/>
    <cellStyle name="SAPBEXHLevel3 2 5 2 2 2" xfId="42696" xr:uid="{476BECBE-2181-4CBF-BA42-CE70FA0BB768}"/>
    <cellStyle name="SAPBEXHLevel3 2 5 2 3" xfId="35423" xr:uid="{C7DBB770-D213-48F7-BCEB-4D535D15F483}"/>
    <cellStyle name="SAPBEXHLevel3 2 5 3" xfId="27303" xr:uid="{7E0D9C39-85C0-488F-9A60-02F0FC90B8D0}"/>
    <cellStyle name="SAPBEXHLevel3 2 5 3 2" xfId="42263" xr:uid="{2C402F84-044D-486A-A37E-CAD768F66D0B}"/>
    <cellStyle name="SAPBEXHLevel3 2 5 4" xfId="34818" xr:uid="{A544DA3D-9E4C-44C1-9916-B93C42F637C4}"/>
    <cellStyle name="SAPBEXHLevel3 2 6" xfId="18724" xr:uid="{00000000-0005-0000-0000-000040460000}"/>
    <cellStyle name="SAPBEXHLevel3 2 7" xfId="18712" xr:uid="{00000000-0005-0000-0000-000034460000}"/>
    <cellStyle name="SAPBEXHLevel3 2 8" xfId="20861" xr:uid="{1832E886-D6AE-4159-8BC3-6E9A3B803DE0}"/>
    <cellStyle name="SAPBEXHLevel3 2 8 2" xfId="35837" xr:uid="{FCB96C83-4B5C-4A4A-90B1-999336C309B0}"/>
    <cellStyle name="SAPBEXHLevel3 2 9" xfId="28233" xr:uid="{CC98CC1F-589E-417C-959C-1D0E4DFF1CA2}"/>
    <cellStyle name="SAPBEXHLevel3 3" xfId="18725" xr:uid="{00000000-0005-0000-0000-000041460000}"/>
    <cellStyle name="SAPBEXHLevel3 3 2" xfId="18726" xr:uid="{00000000-0005-0000-0000-000042460000}"/>
    <cellStyle name="SAPBEXHLevel3 3 2 2" xfId="18727" xr:uid="{00000000-0005-0000-0000-000043460000}"/>
    <cellStyle name="SAPBEXHLevel3 3 2 2 2" xfId="20406" xr:uid="{00000000-0005-0000-0000-000043460000}"/>
    <cellStyle name="SAPBEXHLevel3 3 2 2 2 2" xfId="35424" xr:uid="{EB4FD757-0CA5-464E-B4FE-A1F606DEF9A6}"/>
    <cellStyle name="SAPBEXHLevel3 3 2 2 3" xfId="34819" xr:uid="{C2EADA55-FC27-40A0-BCA9-058D3282E418}"/>
    <cellStyle name="SAPBEXHLevel3 3 3" xfId="18728" xr:uid="{00000000-0005-0000-0000-000044460000}"/>
    <cellStyle name="SAPBEXHLevel3 3 3 2" xfId="18729" xr:uid="{00000000-0005-0000-0000-000045460000}"/>
    <cellStyle name="SAPBEXHLevel3 3 3 2 2" xfId="20408" xr:uid="{00000000-0005-0000-0000-000045460000}"/>
    <cellStyle name="SAPBEXHLevel3 3 3 2 2 2" xfId="35426" xr:uid="{38341513-7DB6-4E83-A35E-527310DA055E}"/>
    <cellStyle name="SAPBEXHLevel3 3 3 2 3" xfId="34821" xr:uid="{11EA92BD-A1AB-4EFE-9B67-53FC32E01462}"/>
    <cellStyle name="SAPBEXHLevel3 3 3 3" xfId="20407" xr:uid="{00000000-0005-0000-0000-000044460000}"/>
    <cellStyle name="SAPBEXHLevel3 3 3 3 2" xfId="27760" xr:uid="{FEE9BEB6-A8C5-48D0-B0AE-778FA1991D1F}"/>
    <cellStyle name="SAPBEXHLevel3 3 3 3 2 2" xfId="42697" xr:uid="{F443831D-CB42-44C7-B38E-8657DA48DF61}"/>
    <cellStyle name="SAPBEXHLevel3 3 3 3 3" xfId="35425" xr:uid="{3485188E-2410-4B05-B1C4-6FFF9A7EAEA6}"/>
    <cellStyle name="SAPBEXHLevel3 3 3 4" xfId="27304" xr:uid="{48BDAA25-09B5-480E-AF0D-1A69C22B4232}"/>
    <cellStyle name="SAPBEXHLevel3 3 3 4 2" xfId="42264" xr:uid="{36379C94-16CD-4192-B2A9-F5378371F4FC}"/>
    <cellStyle name="SAPBEXHLevel3 3 3 5" xfId="34820" xr:uid="{F2DA9B74-5A06-4DB2-BE9C-09EA88832BD5}"/>
    <cellStyle name="SAPBEXHLevel3 3 4" xfId="18730" xr:uid="{00000000-0005-0000-0000-000046460000}"/>
    <cellStyle name="SAPBEXHLevel3 3 4 2" xfId="20409" xr:uid="{00000000-0005-0000-0000-000046460000}"/>
    <cellStyle name="SAPBEXHLevel3 3 4 2 2" xfId="35427" xr:uid="{8E3AD129-48A1-4FED-8CAA-8AA47348DEC9}"/>
    <cellStyle name="SAPBEXHLevel3 3 4 3" xfId="34822" xr:uid="{D897D3E2-6EBF-4A8B-BBFA-6D747E166095}"/>
    <cellStyle name="SAPBEXHLevel3 3 5" xfId="18731" xr:uid="{00000000-0005-0000-0000-000047460000}"/>
    <cellStyle name="SAPBEXHLevel3 4" xfId="18732" xr:uid="{00000000-0005-0000-0000-000048460000}"/>
    <cellStyle name="SAPBEXHLevel3 4 2" xfId="18733" xr:uid="{00000000-0005-0000-0000-000049460000}"/>
    <cellStyle name="SAPBEXHLevel3 4 2 2" xfId="20410" xr:uid="{00000000-0005-0000-0000-000049460000}"/>
    <cellStyle name="SAPBEXHLevel3 4 2 2 2" xfId="35428" xr:uid="{769E55D1-B097-479D-93C6-9AABCF4A55D9}"/>
    <cellStyle name="SAPBEXHLevel3 4 2 3" xfId="34823" xr:uid="{972DDCAF-2CF0-4533-A250-7AA2EAE70DB9}"/>
    <cellStyle name="SAPBEXHLevel3 5" xfId="18734" xr:uid="{00000000-0005-0000-0000-00004A460000}"/>
    <cellStyle name="SAPBEXHLevel3 5 2" xfId="18735" xr:uid="{00000000-0005-0000-0000-00004B460000}"/>
    <cellStyle name="SAPBEXHLevel3 5 2 2" xfId="20412" xr:uid="{00000000-0005-0000-0000-00004B460000}"/>
    <cellStyle name="SAPBEXHLevel3 5 2 2 2" xfId="35430" xr:uid="{372C4942-65C4-4A9D-AD2A-E112F1DD6309}"/>
    <cellStyle name="SAPBEXHLevel3 5 2 3" xfId="34825" xr:uid="{DA7957B6-F9AC-4C90-AA3D-E4527DFBA110}"/>
    <cellStyle name="SAPBEXHLevel3 5 3" xfId="20411" xr:uid="{00000000-0005-0000-0000-00004A460000}"/>
    <cellStyle name="SAPBEXHLevel3 5 3 2" xfId="27761" xr:uid="{65FAE292-FB6B-4770-9126-AFD0E6A093EC}"/>
    <cellStyle name="SAPBEXHLevel3 5 3 2 2" xfId="42698" xr:uid="{6DA8F179-DC60-4D27-83E8-35B59DB80963}"/>
    <cellStyle name="SAPBEXHLevel3 5 3 3" xfId="35429" xr:uid="{97474D58-0EB7-459F-A751-8E43DC35FA5A}"/>
    <cellStyle name="SAPBEXHLevel3 5 4" xfId="34824" xr:uid="{AAD7D9D3-2E64-4DDF-BB21-BE317ABE13A9}"/>
    <cellStyle name="SAPBEXHLevel3 6" xfId="18736" xr:uid="{00000000-0005-0000-0000-00004C460000}"/>
    <cellStyle name="SAPBEXHLevel3 7" xfId="18711" xr:uid="{00000000-0005-0000-0000-000033460000}"/>
    <cellStyle name="SAPBEXHLevel3 8" xfId="20781" xr:uid="{65C66054-CEAB-4225-919C-6467937DFA66}"/>
    <cellStyle name="SAPBEXHLevel3 8 2" xfId="35773" xr:uid="{ED111EFD-401E-43B6-B084-DC393E5F8E63}"/>
    <cellStyle name="SAPBEXHLevel3 9" xfId="28146" xr:uid="{CEF2894E-A45D-4C75-987E-B57B95A5E0A0}"/>
    <cellStyle name="SAPBEXHLevel3X" xfId="2719" xr:uid="{00000000-0005-0000-0000-00007E0A0000}"/>
    <cellStyle name="SAPBEXHLevel3X 2" xfId="2720" xr:uid="{00000000-0005-0000-0000-00007F0A0000}"/>
    <cellStyle name="SAPBEXHLevel3X 2 2" xfId="2721" xr:uid="{00000000-0005-0000-0000-0000800A0000}"/>
    <cellStyle name="SAPBEXHLevel3X 2 2 2" xfId="18740" xr:uid="{00000000-0005-0000-0000-000050460000}"/>
    <cellStyle name="SAPBEXHLevel3X 2 2 2 2" xfId="18741" xr:uid="{00000000-0005-0000-0000-000051460000}"/>
    <cellStyle name="SAPBEXHLevel3X 2 2 2 3" xfId="20413" xr:uid="{00000000-0005-0000-0000-000050460000}"/>
    <cellStyle name="SAPBEXHLevel3X 2 2 2 3 2" xfId="27762" xr:uid="{E68D8457-38B4-42EE-9A85-7BCC1FB909F1}"/>
    <cellStyle name="SAPBEXHLevel3X 2 2 2 3 2 2" xfId="42699" xr:uid="{4BC9A2E2-E3A1-495A-84E7-3E149F9C9A9A}"/>
    <cellStyle name="SAPBEXHLevel3X 2 2 2 3 3" xfId="35431" xr:uid="{260CB4A7-0F00-4F90-9946-F10BB4006123}"/>
    <cellStyle name="SAPBEXHLevel3X 2 2 2 4" xfId="34826" xr:uid="{BEEF334D-0249-4763-815D-7F82E0C2A295}"/>
    <cellStyle name="SAPBEXHLevel3X 2 2 3" xfId="18742" xr:uid="{00000000-0005-0000-0000-000052460000}"/>
    <cellStyle name="SAPBEXHLevel3X 2 2 4" xfId="18739" xr:uid="{00000000-0005-0000-0000-00004F460000}"/>
    <cellStyle name="SAPBEXHLevel3X 2 2 5" xfId="28149" xr:uid="{5CDEAFB6-6E61-4F1E-BFAF-E1EC698AB3AD}"/>
    <cellStyle name="SAPBEXHLevel3X 2 3" xfId="18743" xr:uid="{00000000-0005-0000-0000-000053460000}"/>
    <cellStyle name="SAPBEXHLevel3X 2 3 2" xfId="18744" xr:uid="{00000000-0005-0000-0000-000054460000}"/>
    <cellStyle name="SAPBEXHLevel3X 2 3 2 2" xfId="20414" xr:uid="{00000000-0005-0000-0000-000054460000}"/>
    <cellStyle name="SAPBEXHLevel3X 2 3 2 2 2" xfId="27763" xr:uid="{064FDAE9-7D32-45B5-A7D1-C29D09DA5094}"/>
    <cellStyle name="SAPBEXHLevel3X 2 3 2 2 2 2" xfId="42700" xr:uid="{A5623594-FB58-498E-A44B-F359B6EE7B22}"/>
    <cellStyle name="SAPBEXHLevel3X 2 3 2 2 3" xfId="35432" xr:uid="{1190096D-ED3F-4040-9F0A-E80D7A30383A}"/>
    <cellStyle name="SAPBEXHLevel3X 2 3 2 3" xfId="34827" xr:uid="{8FC3F157-0A70-4C7F-A4D0-61A2112F70EF}"/>
    <cellStyle name="SAPBEXHLevel3X 2 4" xfId="18745" xr:uid="{00000000-0005-0000-0000-000055460000}"/>
    <cellStyle name="SAPBEXHLevel3X 2 4 2" xfId="20415" xr:uid="{00000000-0005-0000-0000-000055460000}"/>
    <cellStyle name="SAPBEXHLevel3X 2 4 2 2" xfId="27764" xr:uid="{700F0291-3CB8-4117-94F7-8646CF873F29}"/>
    <cellStyle name="SAPBEXHLevel3X 2 4 2 2 2" xfId="42701" xr:uid="{C2AC16E3-859F-4443-8E1F-71246A50A382}"/>
    <cellStyle name="SAPBEXHLevel3X 2 4 2 3" xfId="35433" xr:uid="{2054C6F5-B279-4DF5-9F15-61EF89222B7E}"/>
    <cellStyle name="SAPBEXHLevel3X 2 4 3" xfId="34828" xr:uid="{68C3F27E-C407-4D68-A101-6D79F2087004}"/>
    <cellStyle name="SAPBEXHLevel3X 2 5" xfId="18746" xr:uid="{00000000-0005-0000-0000-000056460000}"/>
    <cellStyle name="SAPBEXHLevel3X 2 6" xfId="18738" xr:uid="{00000000-0005-0000-0000-00004E460000}"/>
    <cellStyle name="SAPBEXHLevel3X 2 7" xfId="28148" xr:uid="{F64BBE54-577C-4A36-AB48-6B381D1B3E33}"/>
    <cellStyle name="SAPBEXHLevel3X 3" xfId="2722" xr:uid="{00000000-0005-0000-0000-0000810A0000}"/>
    <cellStyle name="SAPBEXHLevel3X 3 2" xfId="2723" xr:uid="{00000000-0005-0000-0000-0000820A0000}"/>
    <cellStyle name="SAPBEXHLevel3X 3 2 2" xfId="18749" xr:uid="{00000000-0005-0000-0000-000059460000}"/>
    <cellStyle name="SAPBEXHLevel3X 3 2 2 2" xfId="20416" xr:uid="{00000000-0005-0000-0000-000059460000}"/>
    <cellStyle name="SAPBEXHLevel3X 3 2 2 2 2" xfId="35434" xr:uid="{7A6FBA3C-E4FD-4073-A216-0B12056CC8DB}"/>
    <cellStyle name="SAPBEXHLevel3X 3 2 2 3" xfId="34829" xr:uid="{FCB940F9-0D89-43DE-A84B-077B5147DA31}"/>
    <cellStyle name="SAPBEXHLevel3X 3 2 3" xfId="18748" xr:uid="{00000000-0005-0000-0000-000058460000}"/>
    <cellStyle name="SAPBEXHLevel3X 3 2 4" xfId="20782" xr:uid="{4986B05A-2B92-4DF0-8EA8-57C4C6A19C6A}"/>
    <cellStyle name="SAPBEXHLevel3X 3 2 4 2" xfId="35774" xr:uid="{967CEA32-6BD0-40FC-B702-0FD38BE57F68}"/>
    <cellStyle name="SAPBEXHLevel3X 3 2 5" xfId="28151" xr:uid="{3D23E2A4-540D-4090-83E8-426C4536FA5D}"/>
    <cellStyle name="SAPBEXHLevel3X 3 3" xfId="18750" xr:uid="{00000000-0005-0000-0000-00005A460000}"/>
    <cellStyle name="SAPBEXHLevel3X 3 3 2" xfId="18751" xr:uid="{00000000-0005-0000-0000-00005B460000}"/>
    <cellStyle name="SAPBEXHLevel3X 3 3 2 2" xfId="20418" xr:uid="{00000000-0005-0000-0000-00005B460000}"/>
    <cellStyle name="SAPBEXHLevel3X 3 3 2 2 2" xfId="35436" xr:uid="{50609448-84E4-472D-8654-10D25BDE2EFB}"/>
    <cellStyle name="SAPBEXHLevel3X 3 3 2 3" xfId="34831" xr:uid="{081FD3B0-BA56-4FF3-BEDB-B5E0B1C1229D}"/>
    <cellStyle name="SAPBEXHLevel3X 3 3 3" xfId="20417" xr:uid="{00000000-0005-0000-0000-00005A460000}"/>
    <cellStyle name="SAPBEXHLevel3X 3 3 3 2" xfId="27765" xr:uid="{5EBCC1EB-637E-48CC-9054-5E2C3FC1C333}"/>
    <cellStyle name="SAPBEXHLevel3X 3 3 3 2 2" xfId="42702" xr:uid="{19C067EE-0074-4C37-9C88-00C0DD4327F4}"/>
    <cellStyle name="SAPBEXHLevel3X 3 3 3 3" xfId="35435" xr:uid="{326C8B1F-BA02-4A07-A195-33EC30EA8BA5}"/>
    <cellStyle name="SAPBEXHLevel3X 3 3 4" xfId="34830" xr:uid="{C9444D7D-10F0-42DA-832D-46515E556B64}"/>
    <cellStyle name="SAPBEXHLevel3X 3 4" xfId="18752" xr:uid="{00000000-0005-0000-0000-00005C460000}"/>
    <cellStyle name="SAPBEXHLevel3X 3 4 2" xfId="20419" xr:uid="{00000000-0005-0000-0000-00005C460000}"/>
    <cellStyle name="SAPBEXHLevel3X 3 4 2 2" xfId="35437" xr:uid="{794071CF-233C-402F-9B88-C7107E039FB1}"/>
    <cellStyle name="SAPBEXHLevel3X 3 4 3" xfId="34832" xr:uid="{B7143BA4-ACEB-426D-AB7A-14D9AE89C6D4}"/>
    <cellStyle name="SAPBEXHLevel3X 3 5" xfId="18753" xr:uid="{00000000-0005-0000-0000-00005D460000}"/>
    <cellStyle name="SAPBEXHLevel3X 3 6" xfId="18747" xr:uid="{00000000-0005-0000-0000-000057460000}"/>
    <cellStyle name="SAPBEXHLevel3X 3 7" xfId="28150" xr:uid="{D3CEFF9B-F064-4752-8D66-DB601E105727}"/>
    <cellStyle name="SAPBEXHLevel3X 4" xfId="2724" xr:uid="{00000000-0005-0000-0000-0000830A0000}"/>
    <cellStyle name="SAPBEXHLevel3X 4 2" xfId="18755" xr:uid="{00000000-0005-0000-0000-00005F460000}"/>
    <cellStyle name="SAPBEXHLevel3X 4 2 2" xfId="18756" xr:uid="{00000000-0005-0000-0000-000060460000}"/>
    <cellStyle name="SAPBEXHLevel3X 4 2 2 2" xfId="20421" xr:uid="{00000000-0005-0000-0000-000060460000}"/>
    <cellStyle name="SAPBEXHLevel3X 4 2 2 2 2" xfId="35439" xr:uid="{A0C05FDB-3296-4158-BD27-A466EF6D3563}"/>
    <cellStyle name="SAPBEXHLevel3X 4 2 2 3" xfId="34834" xr:uid="{ADC58EFB-86DE-4315-95DF-7D8F47DD2E0B}"/>
    <cellStyle name="SAPBEXHLevel3X 4 2 3" xfId="18757" xr:uid="{00000000-0005-0000-0000-000061460000}"/>
    <cellStyle name="SAPBEXHLevel3X 4 2 4" xfId="20420" xr:uid="{00000000-0005-0000-0000-00005F460000}"/>
    <cellStyle name="SAPBEXHLevel3X 4 2 4 2" xfId="27766" xr:uid="{3AB3F881-E5D3-4402-8233-694FA8541C0C}"/>
    <cellStyle name="SAPBEXHLevel3X 4 2 4 2 2" xfId="42703" xr:uid="{BDCAB86F-16BC-44DB-A9B4-1C9952D79850}"/>
    <cellStyle name="SAPBEXHLevel3X 4 2 4 3" xfId="35438" xr:uid="{D7EF5B86-B951-40BA-999D-A371C876B18C}"/>
    <cellStyle name="SAPBEXHLevel3X 4 2 5" xfId="34833" xr:uid="{FF0BFBB9-1C39-4E96-8E81-BBBB4490AA70}"/>
    <cellStyle name="SAPBEXHLevel3X 4 3" xfId="18758" xr:uid="{00000000-0005-0000-0000-000062460000}"/>
    <cellStyle name="SAPBEXHLevel3X 4 4" xfId="18754" xr:uid="{00000000-0005-0000-0000-00005E460000}"/>
    <cellStyle name="SAPBEXHLevel3X 4 5" xfId="28152" xr:uid="{CBA32F73-616F-4EEE-B5BF-5096EE2A2F8F}"/>
    <cellStyle name="SAPBEXHLevel3X 5" xfId="18759" xr:uid="{00000000-0005-0000-0000-000063460000}"/>
    <cellStyle name="SAPBEXHLevel3X 5 2" xfId="18760" xr:uid="{00000000-0005-0000-0000-000064460000}"/>
    <cellStyle name="SAPBEXHLevel3X 5 2 2" xfId="20422" xr:uid="{00000000-0005-0000-0000-000064460000}"/>
    <cellStyle name="SAPBEXHLevel3X 5 2 2 2" xfId="35440" xr:uid="{FAAA8841-D0F4-43BB-B00E-B2BA2F7BC900}"/>
    <cellStyle name="SAPBEXHLevel3X 5 2 3" xfId="34835" xr:uid="{1B58E277-94A6-46C0-9D99-88A2F8FA0ADE}"/>
    <cellStyle name="SAPBEXHLevel3X 6" xfId="18761" xr:uid="{00000000-0005-0000-0000-000065460000}"/>
    <cellStyle name="SAPBEXHLevel3X 6 2" xfId="20423" xr:uid="{00000000-0005-0000-0000-000065460000}"/>
    <cellStyle name="SAPBEXHLevel3X 6 2 2" xfId="27767" xr:uid="{ACDCF2A6-701F-4C8F-92E5-E085BA3FDDD4}"/>
    <cellStyle name="SAPBEXHLevel3X 6 2 2 2" xfId="42704" xr:uid="{FEC87CD4-2518-407D-AEF2-3CC7AF1A87AF}"/>
    <cellStyle name="SAPBEXHLevel3X 6 2 3" xfId="35441" xr:uid="{CBF838CD-3DCF-43AF-8A85-492F5504B3E2}"/>
    <cellStyle name="SAPBEXHLevel3X 6 3" xfId="34836" xr:uid="{4DA675FF-5238-47BA-9DA8-2E58C9D78E46}"/>
    <cellStyle name="SAPBEXHLevel3X 7" xfId="18762" xr:uid="{00000000-0005-0000-0000-000066460000}"/>
    <cellStyle name="SAPBEXHLevel3X 8" xfId="18737" xr:uid="{00000000-0005-0000-0000-00004D460000}"/>
    <cellStyle name="SAPBEXHLevel3X 9" xfId="28147" xr:uid="{3DFE3382-7388-4085-B112-7B83F1FC8422}"/>
    <cellStyle name="SAPBEXHLevel3X_2010-2012 Program Workbook_Incent_FS" xfId="2725" xr:uid="{00000000-0005-0000-0000-0000840A0000}"/>
    <cellStyle name="SAPBEXinputData" xfId="2726" xr:uid="{00000000-0005-0000-0000-0000850A0000}"/>
    <cellStyle name="SAPBEXinputData 10" xfId="18764" xr:uid="{00000000-0005-0000-0000-000069460000}"/>
    <cellStyle name="SAPBEXinputData 10 2" xfId="18765" xr:uid="{00000000-0005-0000-0000-00006A460000}"/>
    <cellStyle name="SAPBEXinputData 10 2 2" xfId="18766" xr:uid="{00000000-0005-0000-0000-00006B460000}"/>
    <cellStyle name="SAPBEXinputData 10 2 3" xfId="18767" xr:uid="{00000000-0005-0000-0000-00006C460000}"/>
    <cellStyle name="SAPBEXinputData 10 3" xfId="18768" xr:uid="{00000000-0005-0000-0000-00006D460000}"/>
    <cellStyle name="SAPBEXinputData 10 4" xfId="18769" xr:uid="{00000000-0005-0000-0000-00006E460000}"/>
    <cellStyle name="SAPBEXinputData 10 4 2" xfId="27305" xr:uid="{2115920D-4725-4C6B-8DC5-5A82E9B2000F}"/>
    <cellStyle name="SAPBEXinputData 10 4 2 2" xfId="42265" xr:uid="{C491223C-3468-40AD-87EB-7AEFBFD936D6}"/>
    <cellStyle name="SAPBEXinputData 10 4 3" xfId="34837" xr:uid="{32EA4901-2417-4F6D-9E98-C21D1524B641}"/>
    <cellStyle name="SAPBEXinputData 10 5" xfId="18770" xr:uid="{00000000-0005-0000-0000-00006F460000}"/>
    <cellStyle name="SAPBEXinputData 10 5 2" xfId="27306" xr:uid="{E9FBE60C-9B0F-483E-BBE1-3D8040E2C65C}"/>
    <cellStyle name="SAPBEXinputData 10 5 2 2" xfId="42266" xr:uid="{CD9EF104-C09B-4640-B9EA-C2469761C08F}"/>
    <cellStyle name="SAPBEXinputData 10 5 3" xfId="34838" xr:uid="{C2816862-40D8-4FA9-A529-656F84740C3B}"/>
    <cellStyle name="SAPBEXinputData 10 6" xfId="18771" xr:uid="{00000000-0005-0000-0000-000070460000}"/>
    <cellStyle name="SAPBEXinputData 11" xfId="18772" xr:uid="{00000000-0005-0000-0000-000071460000}"/>
    <cellStyle name="SAPBEXinputData 11 2" xfId="18773" xr:uid="{00000000-0005-0000-0000-000072460000}"/>
    <cellStyle name="SAPBEXinputData 11 3" xfId="18774" xr:uid="{00000000-0005-0000-0000-000073460000}"/>
    <cellStyle name="SAPBEXinputData 12" xfId="18775" xr:uid="{00000000-0005-0000-0000-000074460000}"/>
    <cellStyle name="SAPBEXinputData 12 2" xfId="18776" xr:uid="{00000000-0005-0000-0000-000075460000}"/>
    <cellStyle name="SAPBEXinputData 12 2 2" xfId="34839" xr:uid="{0A34A415-8F6A-4372-BD33-8AFE4932D418}"/>
    <cellStyle name="SAPBEXinputData 13" xfId="18777" xr:uid="{00000000-0005-0000-0000-000076460000}"/>
    <cellStyle name="SAPBEXinputData 13 2" xfId="27307" xr:uid="{C7C026BB-33CB-4FEA-BD71-D86499C98526}"/>
    <cellStyle name="SAPBEXinputData 13 2 2" xfId="42267" xr:uid="{3E6BD963-27F9-4FC0-8AE0-60785481FE4D}"/>
    <cellStyle name="SAPBEXinputData 13 3" xfId="34840" xr:uid="{6EFDAA35-8FD0-411E-B3EF-14953543FF72}"/>
    <cellStyle name="SAPBEXinputData 14" xfId="18778" xr:uid="{00000000-0005-0000-0000-000077460000}"/>
    <cellStyle name="SAPBEXinputData 14 2" xfId="20424" xr:uid="{00000000-0005-0000-0000-000077460000}"/>
    <cellStyle name="SAPBEXinputData 14 2 2" xfId="27768" xr:uid="{FEE092A2-9762-4392-B230-9852473C6909}"/>
    <cellStyle name="SAPBEXinputData 14 2 2 2" xfId="42705" xr:uid="{136644AA-A7EC-4F7E-A554-992E4711C35D}"/>
    <cellStyle name="SAPBEXinputData 14 2 3" xfId="35442" xr:uid="{63B3393E-45A9-447A-9CC7-AB06DDFCB998}"/>
    <cellStyle name="SAPBEXinputData 14 3" xfId="27308" xr:uid="{E79A3C53-683F-4326-A526-FC76FCB1E77E}"/>
    <cellStyle name="SAPBEXinputData 14 3 2" xfId="42268" xr:uid="{0BA7CE93-EB05-45CC-8DD2-FAF9FECEFC86}"/>
    <cellStyle name="SAPBEXinputData 14 4" xfId="34841" xr:uid="{94D5337A-E421-4F52-867D-3A13643943A5}"/>
    <cellStyle name="SAPBEXinputData 15" xfId="18779" xr:uid="{00000000-0005-0000-0000-000078460000}"/>
    <cellStyle name="SAPBEXinputData 16" xfId="18763" xr:uid="{00000000-0005-0000-0000-000068460000}"/>
    <cellStyle name="SAPBEXinputData 17" xfId="20783" xr:uid="{8E44F21C-23A1-4F3D-87AD-FA39CC5D2D45}"/>
    <cellStyle name="SAPBEXinputData 17 2" xfId="35775" xr:uid="{56925CFB-4C2E-41F4-8C2A-7F39D7520CB1}"/>
    <cellStyle name="SAPBEXinputData 18" xfId="28153" xr:uid="{08FA7D74-FFDE-4E01-B3A1-3B04D6A2E926}"/>
    <cellStyle name="SAPBEXinputData 2" xfId="2727" xr:uid="{00000000-0005-0000-0000-0000860A0000}"/>
    <cellStyle name="SAPBEXinputData 2 2" xfId="2907" xr:uid="{00000000-0005-0000-0000-0000870A0000}"/>
    <cellStyle name="SAPBEXinputData 2 2 2" xfId="18782" xr:uid="{00000000-0005-0000-0000-00007B460000}"/>
    <cellStyle name="SAPBEXinputData 2 2 2 2" xfId="18783" xr:uid="{00000000-0005-0000-0000-00007C460000}"/>
    <cellStyle name="SAPBEXinputData 2 2 2 3" xfId="20425" xr:uid="{00000000-0005-0000-0000-00007B460000}"/>
    <cellStyle name="SAPBEXinputData 2 2 2 3 2" xfId="27769" xr:uid="{FE3999A5-963F-49E2-A738-EC747B408CF1}"/>
    <cellStyle name="SAPBEXinputData 2 2 2 3 2 2" xfId="42706" xr:uid="{9B6E9B18-3415-4E5B-8326-E0F391054920}"/>
    <cellStyle name="SAPBEXinputData 2 2 2 3 3" xfId="35443" xr:uid="{4CF4417C-362B-4631-910C-BE443CD3D605}"/>
    <cellStyle name="SAPBEXinputData 2 2 2 4" xfId="27309" xr:uid="{59D6E69A-FA2B-4947-B2BE-652E59703414}"/>
    <cellStyle name="SAPBEXinputData 2 2 2 4 2" xfId="42269" xr:uid="{80F062EC-A8C8-4F22-9755-C5B6630CB781}"/>
    <cellStyle name="SAPBEXinputData 2 2 2 5" xfId="34842" xr:uid="{9899A0B5-DF79-4F9A-B138-5CE84B109C8F}"/>
    <cellStyle name="SAPBEXinputData 2 2 3" xfId="18784" xr:uid="{00000000-0005-0000-0000-00007D460000}"/>
    <cellStyle name="SAPBEXinputData 2 2 4" xfId="18781" xr:uid="{00000000-0005-0000-0000-00007A460000}"/>
    <cellStyle name="SAPBEXinputData 2 2 5" xfId="20863" xr:uid="{AC1CD894-AA60-48A0-9D2F-06195415131C}"/>
    <cellStyle name="SAPBEXinputData 2 2 5 2" xfId="35839" xr:uid="{C2AEADDE-40FD-409D-A81F-C864E73C16B3}"/>
    <cellStyle name="SAPBEXinputData 2 2 6" xfId="28235" xr:uid="{B5663CFF-8DB0-42CA-86DA-5098A6C34EA3}"/>
    <cellStyle name="SAPBEXinputData 2 3" xfId="18785" xr:uid="{00000000-0005-0000-0000-00007E460000}"/>
    <cellStyle name="SAPBEXinputData 2 4" xfId="18786" xr:uid="{00000000-0005-0000-0000-00007F460000}"/>
    <cellStyle name="SAPBEXinputData 2 4 2" xfId="34843" xr:uid="{C6B6C7BB-AEEB-475A-9B3E-6B1CEA4EF01B}"/>
    <cellStyle name="SAPBEXinputData 2 5" xfId="18787" xr:uid="{00000000-0005-0000-0000-000080460000}"/>
    <cellStyle name="SAPBEXinputData 2 6" xfId="18780" xr:uid="{00000000-0005-0000-0000-000079460000}"/>
    <cellStyle name="SAPBEXinputData 2 7" xfId="20784" xr:uid="{5D7B072B-7128-4F2F-B1AA-7C5699E4A2FD}"/>
    <cellStyle name="SAPBEXinputData 2 7 2" xfId="35776" xr:uid="{638BC133-FF75-494C-9752-504E944955F1}"/>
    <cellStyle name="SAPBEXinputData 2 8" xfId="28154" xr:uid="{B341C8BB-B5DE-4F28-85D2-16DCEEE93420}"/>
    <cellStyle name="SAPBEXinputData 3" xfId="2728" xr:uid="{00000000-0005-0000-0000-0000880A0000}"/>
    <cellStyle name="SAPBEXinputData 3 10" xfId="18789" xr:uid="{00000000-0005-0000-0000-000082460000}"/>
    <cellStyle name="SAPBEXinputData 3 11" xfId="18790" xr:uid="{00000000-0005-0000-0000-000083460000}"/>
    <cellStyle name="SAPBEXinputData 3 11 2" xfId="27310" xr:uid="{C7F76126-D5CD-4848-8F72-BCE1A4AC31B8}"/>
    <cellStyle name="SAPBEXinputData 3 11 2 2" xfId="42270" xr:uid="{E8286FB5-FC91-40E8-B653-AF752CDFB74D}"/>
    <cellStyle name="SAPBEXinputData 3 11 3" xfId="34844" xr:uid="{A1DD35D4-E707-4B13-AB7E-47700F9F0A47}"/>
    <cellStyle name="SAPBEXinputData 3 12" xfId="18791" xr:uid="{00000000-0005-0000-0000-000084460000}"/>
    <cellStyle name="SAPBEXinputData 3 12 2" xfId="27311" xr:uid="{B5D1BD9D-CE88-4797-A5E9-39E98A8AF583}"/>
    <cellStyle name="SAPBEXinputData 3 12 2 2" xfId="42271" xr:uid="{82939410-D459-46BE-A143-DF2BB7920D46}"/>
    <cellStyle name="SAPBEXinputData 3 12 3" xfId="34845" xr:uid="{261CA41A-71CF-4E85-9EA5-C9DA48AE1F75}"/>
    <cellStyle name="SAPBEXinputData 3 13" xfId="18792" xr:uid="{00000000-0005-0000-0000-000085460000}"/>
    <cellStyle name="SAPBEXinputData 3 14" xfId="18788" xr:uid="{00000000-0005-0000-0000-000081460000}"/>
    <cellStyle name="SAPBEXinputData 3 15" xfId="20785" xr:uid="{8F7154ED-DC0D-41D8-AF36-0B341D525C22}"/>
    <cellStyle name="SAPBEXinputData 3 15 2" xfId="35777" xr:uid="{8093CC2C-BC31-429D-B357-AEA586C73EC0}"/>
    <cellStyle name="SAPBEXinputData 3 16" xfId="28155" xr:uid="{35DEF86A-69FD-46D2-94E2-66167A20F3E0}"/>
    <cellStyle name="SAPBEXinputData 3 2" xfId="2908" xr:uid="{00000000-0005-0000-0000-0000890A0000}"/>
    <cellStyle name="SAPBEXinputData 3 2 10" xfId="18794" xr:uid="{00000000-0005-0000-0000-000087460000}"/>
    <cellStyle name="SAPBEXinputData 3 2 10 2" xfId="27312" xr:uid="{A30FD570-EF65-48BD-95E4-FAEBCF15D360}"/>
    <cellStyle name="SAPBEXinputData 3 2 10 2 2" xfId="42272" xr:uid="{AD36421D-6484-4786-B990-0459B4555A3F}"/>
    <cellStyle name="SAPBEXinputData 3 2 10 3" xfId="34846" xr:uid="{FCE8E92E-A3E4-4986-B238-A5E6BEF475CE}"/>
    <cellStyle name="SAPBEXinputData 3 2 11" xfId="18795" xr:uid="{00000000-0005-0000-0000-000088460000}"/>
    <cellStyle name="SAPBEXinputData 3 2 12" xfId="18793" xr:uid="{00000000-0005-0000-0000-000086460000}"/>
    <cellStyle name="SAPBEXinputData 3 2 13" xfId="20864" xr:uid="{96681290-D8F3-46F3-A486-D0CDBD377B33}"/>
    <cellStyle name="SAPBEXinputData 3 2 13 2" xfId="35840" xr:uid="{279C5634-19D3-4E3C-B970-932B153D9105}"/>
    <cellStyle name="SAPBEXinputData 3 2 14" xfId="28236" xr:uid="{3B80870B-6683-40E2-BF71-C501D346B18E}"/>
    <cellStyle name="SAPBEXinputData 3 2 2" xfId="18796" xr:uid="{00000000-0005-0000-0000-000089460000}"/>
    <cellStyle name="SAPBEXinputData 3 2 2 10" xfId="18797" xr:uid="{00000000-0005-0000-0000-00008A460000}"/>
    <cellStyle name="SAPBEXinputData 3 2 2 2" xfId="18798" xr:uid="{00000000-0005-0000-0000-00008B460000}"/>
    <cellStyle name="SAPBEXinputData 3 2 2 2 2" xfId="18799" xr:uid="{00000000-0005-0000-0000-00008C460000}"/>
    <cellStyle name="SAPBEXinputData 3 2 2 2 2 2" xfId="18800" xr:uid="{00000000-0005-0000-0000-00008D460000}"/>
    <cellStyle name="SAPBEXinputData 3 2 2 2 2 2 2" xfId="18801" xr:uid="{00000000-0005-0000-0000-00008E460000}"/>
    <cellStyle name="SAPBEXinputData 3 2 2 2 2 2 2 2" xfId="18802" xr:uid="{00000000-0005-0000-0000-00008F460000}"/>
    <cellStyle name="SAPBEXinputData 3 2 2 2 2 2 2 3" xfId="18803" xr:uid="{00000000-0005-0000-0000-000090460000}"/>
    <cellStyle name="SAPBEXinputData 3 2 2 2 2 2 3" xfId="18804" xr:uid="{00000000-0005-0000-0000-000091460000}"/>
    <cellStyle name="SAPBEXinputData 3 2 2 2 2 2 4" xfId="18805" xr:uid="{00000000-0005-0000-0000-000092460000}"/>
    <cellStyle name="SAPBEXinputData 3 2 2 2 2 2 4 2" xfId="27313" xr:uid="{F2E3FE10-E248-4240-A4FD-04C8DA83757E}"/>
    <cellStyle name="SAPBEXinputData 3 2 2 2 2 2 4 2 2" xfId="42273" xr:uid="{7B8F5F6B-74AD-41D8-A898-7B00F21B0369}"/>
    <cellStyle name="SAPBEXinputData 3 2 2 2 2 2 4 3" xfId="34847" xr:uid="{8362C5DB-BC2C-4F2E-B963-8A4B2B096805}"/>
    <cellStyle name="SAPBEXinputData 3 2 2 2 2 2 5" xfId="18806" xr:uid="{00000000-0005-0000-0000-000093460000}"/>
    <cellStyle name="SAPBEXinputData 3 2 2 2 2 2 5 2" xfId="27314" xr:uid="{6E03F377-7278-43E3-9B9D-AD0C907006D9}"/>
    <cellStyle name="SAPBEXinputData 3 2 2 2 2 2 5 2 2" xfId="42274" xr:uid="{38FED376-0CAD-4139-AC67-3DA287912545}"/>
    <cellStyle name="SAPBEXinputData 3 2 2 2 2 2 5 3" xfId="34848" xr:uid="{21E8E91E-24E3-4782-A668-3380E4551E50}"/>
    <cellStyle name="SAPBEXinputData 3 2 2 2 2 2 6" xfId="18807" xr:uid="{00000000-0005-0000-0000-000094460000}"/>
    <cellStyle name="SAPBEXinputData 3 2 2 2 2 3" xfId="18808" xr:uid="{00000000-0005-0000-0000-000095460000}"/>
    <cellStyle name="SAPBEXinputData 3 2 2 2 2 3 2" xfId="18809" xr:uid="{00000000-0005-0000-0000-000096460000}"/>
    <cellStyle name="SAPBEXinputData 3 2 2 2 2 3 2 2" xfId="18810" xr:uid="{00000000-0005-0000-0000-000097460000}"/>
    <cellStyle name="SAPBEXinputData 3 2 2 2 2 3 2 3" xfId="18811" xr:uid="{00000000-0005-0000-0000-000098460000}"/>
    <cellStyle name="SAPBEXinputData 3 2 2 2 2 3 3" xfId="18812" xr:uid="{00000000-0005-0000-0000-000099460000}"/>
    <cellStyle name="SAPBEXinputData 3 2 2 2 2 3 3 2" xfId="18813" xr:uid="{00000000-0005-0000-0000-00009A460000}"/>
    <cellStyle name="SAPBEXinputData 3 2 2 2 2 3 3 3" xfId="27315" xr:uid="{2F00C1CA-DFDE-4318-A8E9-EEEC3CCAB6D5}"/>
    <cellStyle name="SAPBEXinputData 3 2 2 2 2 3 3 3 2" xfId="42275" xr:uid="{6B964F29-266E-4DE9-A54D-43F9886AAA70}"/>
    <cellStyle name="SAPBEXinputData 3 2 2 2 2 3 3 4" xfId="34849" xr:uid="{30686EF2-7FF7-4F95-A467-7349FC327FE3}"/>
    <cellStyle name="SAPBEXinputData 3 2 2 2 2 3 4" xfId="18814" xr:uid="{00000000-0005-0000-0000-00009B460000}"/>
    <cellStyle name="SAPBEXinputData 3 2 2 2 2 4" xfId="18815" xr:uid="{00000000-0005-0000-0000-00009C460000}"/>
    <cellStyle name="SAPBEXinputData 3 2 2 2 2 4 2" xfId="18816" xr:uid="{00000000-0005-0000-0000-00009D460000}"/>
    <cellStyle name="SAPBEXinputData 3 2 2 2 2 4 3" xfId="18817" xr:uid="{00000000-0005-0000-0000-00009E460000}"/>
    <cellStyle name="SAPBEXinputData 3 2 2 2 2 5" xfId="18818" xr:uid="{00000000-0005-0000-0000-00009F460000}"/>
    <cellStyle name="SAPBEXinputData 3 2 2 2 2 6" xfId="18819" xr:uid="{00000000-0005-0000-0000-0000A0460000}"/>
    <cellStyle name="SAPBEXinputData 3 2 2 2 2 6 2" xfId="27316" xr:uid="{130D5C55-B0A6-495A-9413-E8FA8D3C7BAF}"/>
    <cellStyle name="SAPBEXinputData 3 2 2 2 2 6 2 2" xfId="42276" xr:uid="{0C9DB0C7-C1DA-4C53-9020-DF680FD226E0}"/>
    <cellStyle name="SAPBEXinputData 3 2 2 2 2 6 3" xfId="34850" xr:uid="{501BF4AA-93E7-4144-A7F0-85600B343CE2}"/>
    <cellStyle name="SAPBEXinputData 3 2 2 2 2 7" xfId="18820" xr:uid="{00000000-0005-0000-0000-0000A1460000}"/>
    <cellStyle name="SAPBEXinputData 3 2 2 2 2 7 2" xfId="27317" xr:uid="{91F2FBA4-7FA4-4784-9C52-38887994838C}"/>
    <cellStyle name="SAPBEXinputData 3 2 2 2 2 7 2 2" xfId="42277" xr:uid="{F8B8CB38-6807-4445-844B-A1424306E4D5}"/>
    <cellStyle name="SAPBEXinputData 3 2 2 2 2 7 3" xfId="34851" xr:uid="{EF3F18B9-5E4F-4FC8-82C3-BABA6F283D6F}"/>
    <cellStyle name="SAPBEXinputData 3 2 2 2 2 8" xfId="18821" xr:uid="{00000000-0005-0000-0000-0000A2460000}"/>
    <cellStyle name="SAPBEXinputData 3 2 2 2 3" xfId="18822" xr:uid="{00000000-0005-0000-0000-0000A3460000}"/>
    <cellStyle name="SAPBEXinputData 3 2 2 2 3 2" xfId="18823" xr:uid="{00000000-0005-0000-0000-0000A4460000}"/>
    <cellStyle name="SAPBEXinputData 3 2 2 2 3 2 2" xfId="18824" xr:uid="{00000000-0005-0000-0000-0000A5460000}"/>
    <cellStyle name="SAPBEXinputData 3 2 2 2 3 2 3" xfId="18825" xr:uid="{00000000-0005-0000-0000-0000A6460000}"/>
    <cellStyle name="SAPBEXinputData 3 2 2 2 3 3" xfId="18826" xr:uid="{00000000-0005-0000-0000-0000A7460000}"/>
    <cellStyle name="SAPBEXinputData 3 2 2 2 3 4" xfId="18827" xr:uid="{00000000-0005-0000-0000-0000A8460000}"/>
    <cellStyle name="SAPBEXinputData 3 2 2 2 3 4 2" xfId="27318" xr:uid="{2BC01223-1817-4328-B4B5-DA9950276EA9}"/>
    <cellStyle name="SAPBEXinputData 3 2 2 2 3 4 2 2" xfId="42278" xr:uid="{D9672B25-0AB3-40FF-9F8C-72590E20036C}"/>
    <cellStyle name="SAPBEXinputData 3 2 2 2 3 4 3" xfId="34852" xr:uid="{D5998A8D-031D-42C8-B69F-3BFCFD900040}"/>
    <cellStyle name="SAPBEXinputData 3 2 2 2 3 5" xfId="18828" xr:uid="{00000000-0005-0000-0000-0000A9460000}"/>
    <cellStyle name="SAPBEXinputData 3 2 2 2 3 5 2" xfId="27319" xr:uid="{6200EF04-BC1A-4E2F-810B-6B8FEAD5D395}"/>
    <cellStyle name="SAPBEXinputData 3 2 2 2 3 5 2 2" xfId="42279" xr:uid="{5E51C83B-40B9-48A7-817D-C3D266503259}"/>
    <cellStyle name="SAPBEXinputData 3 2 2 2 3 5 3" xfId="34853" xr:uid="{1688A1D9-612F-4DC0-9E68-FA0BE69811F6}"/>
    <cellStyle name="SAPBEXinputData 3 2 2 2 3 6" xfId="18829" xr:uid="{00000000-0005-0000-0000-0000AA460000}"/>
    <cellStyle name="SAPBEXinputData 3 2 2 2 4" xfId="18830" xr:uid="{00000000-0005-0000-0000-0000AB460000}"/>
    <cellStyle name="SAPBEXinputData 3 2 2 2 4 2" xfId="18831" xr:uid="{00000000-0005-0000-0000-0000AC460000}"/>
    <cellStyle name="SAPBEXinputData 3 2 2 2 4 2 2" xfId="18832" xr:uid="{00000000-0005-0000-0000-0000AD460000}"/>
    <cellStyle name="SAPBEXinputData 3 2 2 2 4 2 3" xfId="18833" xr:uid="{00000000-0005-0000-0000-0000AE460000}"/>
    <cellStyle name="SAPBEXinputData 3 2 2 2 4 3" xfId="18834" xr:uid="{00000000-0005-0000-0000-0000AF460000}"/>
    <cellStyle name="SAPBEXinputData 3 2 2 2 4 3 2" xfId="18835" xr:uid="{00000000-0005-0000-0000-0000B0460000}"/>
    <cellStyle name="SAPBEXinputData 3 2 2 2 4 3 3" xfId="27320" xr:uid="{5C2C23AF-954A-43C2-887C-88446036D684}"/>
    <cellStyle name="SAPBEXinputData 3 2 2 2 4 3 3 2" xfId="42280" xr:uid="{AE19824B-E73F-4DF7-9E74-C0397E04D79E}"/>
    <cellStyle name="SAPBEXinputData 3 2 2 2 4 3 4" xfId="34854" xr:uid="{72C09B78-330F-4824-A5C5-47C36170933E}"/>
    <cellStyle name="SAPBEXinputData 3 2 2 2 4 4" xfId="18836" xr:uid="{00000000-0005-0000-0000-0000B1460000}"/>
    <cellStyle name="SAPBEXinputData 3 2 2 2 5" xfId="18837" xr:uid="{00000000-0005-0000-0000-0000B2460000}"/>
    <cellStyle name="SAPBEXinputData 3 2 2 2 5 2" xfId="18838" xr:uid="{00000000-0005-0000-0000-0000B3460000}"/>
    <cellStyle name="SAPBEXinputData 3 2 2 2 5 3" xfId="18839" xr:uid="{00000000-0005-0000-0000-0000B4460000}"/>
    <cellStyle name="SAPBEXinputData 3 2 2 2 6" xfId="18840" xr:uid="{00000000-0005-0000-0000-0000B5460000}"/>
    <cellStyle name="SAPBEXinputData 3 2 2 2 7" xfId="18841" xr:uid="{00000000-0005-0000-0000-0000B6460000}"/>
    <cellStyle name="SAPBEXinputData 3 2 2 2 7 2" xfId="27321" xr:uid="{11F6B332-87E1-4681-A71D-2BB28576D591}"/>
    <cellStyle name="SAPBEXinputData 3 2 2 2 7 2 2" xfId="42281" xr:uid="{2825FEAE-F275-4274-8F72-0CACE26ABBA9}"/>
    <cellStyle name="SAPBEXinputData 3 2 2 2 7 3" xfId="34855" xr:uid="{0D050E10-4E6C-4775-9226-0D1A2500D465}"/>
    <cellStyle name="SAPBEXinputData 3 2 2 2 8" xfId="18842" xr:uid="{00000000-0005-0000-0000-0000B7460000}"/>
    <cellStyle name="SAPBEXinputData 3 2 2 2 8 2" xfId="27322" xr:uid="{CF2C873B-5494-490F-A11F-81286F656815}"/>
    <cellStyle name="SAPBEXinputData 3 2 2 2 8 2 2" xfId="42282" xr:uid="{2B0136C7-C82A-4A83-9C74-D00129B2FD62}"/>
    <cellStyle name="SAPBEXinputData 3 2 2 2 8 3" xfId="34856" xr:uid="{EBF41489-D741-4667-B201-70BA0FA6B6D5}"/>
    <cellStyle name="SAPBEXinputData 3 2 2 2 9" xfId="18843" xr:uid="{00000000-0005-0000-0000-0000B8460000}"/>
    <cellStyle name="SAPBEXinputData 3 2 2 3" xfId="18844" xr:uid="{00000000-0005-0000-0000-0000B9460000}"/>
    <cellStyle name="SAPBEXinputData 3 2 2 3 2" xfId="18845" xr:uid="{00000000-0005-0000-0000-0000BA460000}"/>
    <cellStyle name="SAPBEXinputData 3 2 2 3 2 2" xfId="18846" xr:uid="{00000000-0005-0000-0000-0000BB460000}"/>
    <cellStyle name="SAPBEXinputData 3 2 2 3 2 2 2" xfId="18847" xr:uid="{00000000-0005-0000-0000-0000BC460000}"/>
    <cellStyle name="SAPBEXinputData 3 2 2 3 2 2 3" xfId="18848" xr:uid="{00000000-0005-0000-0000-0000BD460000}"/>
    <cellStyle name="SAPBEXinputData 3 2 2 3 2 3" xfId="18849" xr:uid="{00000000-0005-0000-0000-0000BE460000}"/>
    <cellStyle name="SAPBEXinputData 3 2 2 3 2 4" xfId="18850" xr:uid="{00000000-0005-0000-0000-0000BF460000}"/>
    <cellStyle name="SAPBEXinputData 3 2 2 3 2 4 2" xfId="27323" xr:uid="{00511966-B50C-41D7-8A3F-349AC8E87336}"/>
    <cellStyle name="SAPBEXinputData 3 2 2 3 2 4 2 2" xfId="42283" xr:uid="{FEFC8D2E-AB59-483D-8E9A-15E5D51F511D}"/>
    <cellStyle name="SAPBEXinputData 3 2 2 3 2 4 3" xfId="34857" xr:uid="{3D6127AF-4A7A-4D60-9C6C-FD40C0732525}"/>
    <cellStyle name="SAPBEXinputData 3 2 2 3 2 5" xfId="18851" xr:uid="{00000000-0005-0000-0000-0000C0460000}"/>
    <cellStyle name="SAPBEXinputData 3 2 2 3 2 5 2" xfId="27324" xr:uid="{89B72A62-95AA-40F2-8703-CA08F840EFA3}"/>
    <cellStyle name="SAPBEXinputData 3 2 2 3 2 5 2 2" xfId="42284" xr:uid="{31BE1B31-41A0-4F43-B390-7FEB97EA19BE}"/>
    <cellStyle name="SAPBEXinputData 3 2 2 3 2 5 3" xfId="34858" xr:uid="{F2AF0D21-FC42-49E0-83AD-62E1B292A9BF}"/>
    <cellStyle name="SAPBEXinputData 3 2 2 3 2 6" xfId="18852" xr:uid="{00000000-0005-0000-0000-0000C1460000}"/>
    <cellStyle name="SAPBEXinputData 3 2 2 3 3" xfId="18853" xr:uid="{00000000-0005-0000-0000-0000C2460000}"/>
    <cellStyle name="SAPBEXinputData 3 2 2 3 3 2" xfId="18854" xr:uid="{00000000-0005-0000-0000-0000C3460000}"/>
    <cellStyle name="SAPBEXinputData 3 2 2 3 3 2 2" xfId="18855" xr:uid="{00000000-0005-0000-0000-0000C4460000}"/>
    <cellStyle name="SAPBEXinputData 3 2 2 3 3 2 3" xfId="18856" xr:uid="{00000000-0005-0000-0000-0000C5460000}"/>
    <cellStyle name="SAPBEXinputData 3 2 2 3 3 3" xfId="18857" xr:uid="{00000000-0005-0000-0000-0000C6460000}"/>
    <cellStyle name="SAPBEXinputData 3 2 2 3 3 3 2" xfId="18858" xr:uid="{00000000-0005-0000-0000-0000C7460000}"/>
    <cellStyle name="SAPBEXinputData 3 2 2 3 3 3 3" xfId="27325" xr:uid="{63B6120F-4858-4DEC-879B-00870F5B6A46}"/>
    <cellStyle name="SAPBEXinputData 3 2 2 3 3 3 3 2" xfId="42285" xr:uid="{20C84134-962A-44D6-9150-1AEDEFAA6849}"/>
    <cellStyle name="SAPBEXinputData 3 2 2 3 3 3 4" xfId="34859" xr:uid="{F7F3E00C-F4F0-47F5-9AF2-F79E325DF669}"/>
    <cellStyle name="SAPBEXinputData 3 2 2 3 3 4" xfId="18859" xr:uid="{00000000-0005-0000-0000-0000C8460000}"/>
    <cellStyle name="SAPBEXinputData 3 2 2 3 4" xfId="18860" xr:uid="{00000000-0005-0000-0000-0000C9460000}"/>
    <cellStyle name="SAPBEXinputData 3 2 2 3 4 2" xfId="18861" xr:uid="{00000000-0005-0000-0000-0000CA460000}"/>
    <cellStyle name="SAPBEXinputData 3 2 2 3 4 3" xfId="18862" xr:uid="{00000000-0005-0000-0000-0000CB460000}"/>
    <cellStyle name="SAPBEXinputData 3 2 2 3 5" xfId="18863" xr:uid="{00000000-0005-0000-0000-0000CC460000}"/>
    <cellStyle name="SAPBEXinputData 3 2 2 3 6" xfId="18864" xr:uid="{00000000-0005-0000-0000-0000CD460000}"/>
    <cellStyle name="SAPBEXinputData 3 2 2 3 6 2" xfId="27326" xr:uid="{91ABD98B-AB8A-4051-97CA-7D863A70FE01}"/>
    <cellStyle name="SAPBEXinputData 3 2 2 3 6 2 2" xfId="42286" xr:uid="{188A6D67-FC26-4A9B-B403-9D3D71E546AD}"/>
    <cellStyle name="SAPBEXinputData 3 2 2 3 6 3" xfId="34860" xr:uid="{CD16C17E-599B-4CB9-A54B-B23967D33BEB}"/>
    <cellStyle name="SAPBEXinputData 3 2 2 3 7" xfId="18865" xr:uid="{00000000-0005-0000-0000-0000CE460000}"/>
    <cellStyle name="SAPBEXinputData 3 2 2 3 7 2" xfId="27327" xr:uid="{156C62A2-65B4-425C-9F97-5711526C0E30}"/>
    <cellStyle name="SAPBEXinputData 3 2 2 3 7 2 2" xfId="42287" xr:uid="{A97C1840-287D-4A93-B052-C5D8BDA7610F}"/>
    <cellStyle name="SAPBEXinputData 3 2 2 3 7 3" xfId="34861" xr:uid="{C91B49AA-3195-4D1B-BE3F-DE3EF645A5F9}"/>
    <cellStyle name="SAPBEXinputData 3 2 2 3 8" xfId="18866" xr:uid="{00000000-0005-0000-0000-0000CF460000}"/>
    <cellStyle name="SAPBEXinputData 3 2 2 4" xfId="18867" xr:uid="{00000000-0005-0000-0000-0000D0460000}"/>
    <cellStyle name="SAPBEXinputData 3 2 2 4 2" xfId="18868" xr:uid="{00000000-0005-0000-0000-0000D1460000}"/>
    <cellStyle name="SAPBEXinputData 3 2 2 4 2 2" xfId="18869" xr:uid="{00000000-0005-0000-0000-0000D2460000}"/>
    <cellStyle name="SAPBEXinputData 3 2 2 4 2 3" xfId="18870" xr:uid="{00000000-0005-0000-0000-0000D3460000}"/>
    <cellStyle name="SAPBEXinputData 3 2 2 4 2 3 2" xfId="27328" xr:uid="{F081BDF9-72CE-4B79-9382-94CC1821DCB3}"/>
    <cellStyle name="SAPBEXinputData 3 2 2 4 2 3 2 2" xfId="42288" xr:uid="{D904D599-EADA-4B2B-8B1B-89920547AF03}"/>
    <cellStyle name="SAPBEXinputData 3 2 2 4 2 3 3" xfId="34862" xr:uid="{16342C8D-430A-478B-B6B2-05CF8C49AEF3}"/>
    <cellStyle name="SAPBEXinputData 3 2 2 4 2 4" xfId="18871" xr:uid="{00000000-0005-0000-0000-0000D4460000}"/>
    <cellStyle name="SAPBEXinputData 3 2 2 4 3" xfId="18872" xr:uid="{00000000-0005-0000-0000-0000D5460000}"/>
    <cellStyle name="SAPBEXinputData 3 2 2 4 4" xfId="18873" xr:uid="{00000000-0005-0000-0000-0000D6460000}"/>
    <cellStyle name="SAPBEXinputData 3 2 2 4 4 2" xfId="27329" xr:uid="{A11A3EB4-480C-497B-B663-BBE788BD0B60}"/>
    <cellStyle name="SAPBEXinputData 3 2 2 4 4 2 2" xfId="42289" xr:uid="{15EDA0D9-357F-4F06-BD2D-54B563CACEDC}"/>
    <cellStyle name="SAPBEXinputData 3 2 2 4 4 3" xfId="34863" xr:uid="{9B0A3781-A4C7-4C55-BF95-B01F67EF29F9}"/>
    <cellStyle name="SAPBEXinputData 3 2 2 4 5" xfId="18874" xr:uid="{00000000-0005-0000-0000-0000D7460000}"/>
    <cellStyle name="SAPBEXinputData 3 2 2 4 5 2" xfId="27330" xr:uid="{D0E80C38-350C-4711-8876-B9D06088C14A}"/>
    <cellStyle name="SAPBEXinputData 3 2 2 4 5 2 2" xfId="42290" xr:uid="{3CA2FA1C-A6AC-4508-9509-6E7414AC670B}"/>
    <cellStyle name="SAPBEXinputData 3 2 2 4 5 3" xfId="34864" xr:uid="{7D828CCE-0868-46F1-BE97-02169DBB3F7F}"/>
    <cellStyle name="SAPBEXinputData 3 2 2 4 6" xfId="18875" xr:uid="{00000000-0005-0000-0000-0000D8460000}"/>
    <cellStyle name="SAPBEXinputData 3 2 2 5" xfId="18876" xr:uid="{00000000-0005-0000-0000-0000D9460000}"/>
    <cellStyle name="SAPBEXinputData 3 2 2 5 2" xfId="18877" xr:uid="{00000000-0005-0000-0000-0000DA460000}"/>
    <cellStyle name="SAPBEXinputData 3 2 2 5 2 2" xfId="18878" xr:uid="{00000000-0005-0000-0000-0000DB460000}"/>
    <cellStyle name="SAPBEXinputData 3 2 2 5 2 3" xfId="18879" xr:uid="{00000000-0005-0000-0000-0000DC460000}"/>
    <cellStyle name="SAPBEXinputData 3 2 2 5 3" xfId="18880" xr:uid="{00000000-0005-0000-0000-0000DD460000}"/>
    <cellStyle name="SAPBEXinputData 3 2 2 5 4" xfId="18881" xr:uid="{00000000-0005-0000-0000-0000DE460000}"/>
    <cellStyle name="SAPBEXinputData 3 2 2 5 4 2" xfId="27331" xr:uid="{C136E138-53FE-4B9C-9E8F-D1C515D0A61E}"/>
    <cellStyle name="SAPBEXinputData 3 2 2 5 4 2 2" xfId="42291" xr:uid="{98470B07-FCEE-41A0-B61B-7A3AB272C836}"/>
    <cellStyle name="SAPBEXinputData 3 2 2 5 4 3" xfId="34865" xr:uid="{345F40F3-8BFB-4D15-8ACC-68AFC4D19DB8}"/>
    <cellStyle name="SAPBEXinputData 3 2 2 5 5" xfId="18882" xr:uid="{00000000-0005-0000-0000-0000DF460000}"/>
    <cellStyle name="SAPBEXinputData 3 2 2 5 5 2" xfId="27332" xr:uid="{2C4E42F8-3702-4991-A826-903C365E06A8}"/>
    <cellStyle name="SAPBEXinputData 3 2 2 5 5 2 2" xfId="42292" xr:uid="{776BC843-4A86-4815-BCD7-02FB1A3727D1}"/>
    <cellStyle name="SAPBEXinputData 3 2 2 5 5 3" xfId="34866" xr:uid="{9719CC29-C338-42D8-A674-F72AEDB2287B}"/>
    <cellStyle name="SAPBEXinputData 3 2 2 5 6" xfId="18883" xr:uid="{00000000-0005-0000-0000-0000E0460000}"/>
    <cellStyle name="SAPBEXinputData 3 2 2 6" xfId="18884" xr:uid="{00000000-0005-0000-0000-0000E1460000}"/>
    <cellStyle name="SAPBEXinputData 3 2 2 6 2" xfId="18885" xr:uid="{00000000-0005-0000-0000-0000E2460000}"/>
    <cellStyle name="SAPBEXinputData 3 2 2 6 3" xfId="18886" xr:uid="{00000000-0005-0000-0000-0000E3460000}"/>
    <cellStyle name="SAPBEXinputData 3 2 2 7" xfId="18887" xr:uid="{00000000-0005-0000-0000-0000E4460000}"/>
    <cellStyle name="SAPBEXinputData 3 2 2 8" xfId="18888" xr:uid="{00000000-0005-0000-0000-0000E5460000}"/>
    <cellStyle name="SAPBEXinputData 3 2 2 8 2" xfId="27333" xr:uid="{E84AA596-C8AF-4D62-9184-E49CC46EC7F8}"/>
    <cellStyle name="SAPBEXinputData 3 2 2 8 2 2" xfId="42293" xr:uid="{21CE8FCD-097A-4C43-BCF6-4B2C77CB4840}"/>
    <cellStyle name="SAPBEXinputData 3 2 2 8 3" xfId="34867" xr:uid="{CE23C29C-D257-4544-9987-35D636E62865}"/>
    <cellStyle name="SAPBEXinputData 3 2 2 9" xfId="18889" xr:uid="{00000000-0005-0000-0000-0000E6460000}"/>
    <cellStyle name="SAPBEXinputData 3 2 2 9 2" xfId="27334" xr:uid="{6C366732-AE4B-42A2-93E4-97AD766095E6}"/>
    <cellStyle name="SAPBEXinputData 3 2 2 9 2 2" xfId="42294" xr:uid="{23C6225F-9266-4417-B64F-746B05ECA8F9}"/>
    <cellStyle name="SAPBEXinputData 3 2 2 9 3" xfId="34868" xr:uid="{F9476AF8-0FD7-41F3-9185-15D3FD31A601}"/>
    <cellStyle name="SAPBEXinputData 3 2 3" xfId="18890" xr:uid="{00000000-0005-0000-0000-0000E7460000}"/>
    <cellStyle name="SAPBEXinputData 3 2 3 2" xfId="18891" xr:uid="{00000000-0005-0000-0000-0000E8460000}"/>
    <cellStyle name="SAPBEXinputData 3 2 3 2 2" xfId="18892" xr:uid="{00000000-0005-0000-0000-0000E9460000}"/>
    <cellStyle name="SAPBEXinputData 3 2 3 2 2 2" xfId="18893" xr:uid="{00000000-0005-0000-0000-0000EA460000}"/>
    <cellStyle name="SAPBEXinputData 3 2 3 2 2 2 2" xfId="18894" xr:uid="{00000000-0005-0000-0000-0000EB460000}"/>
    <cellStyle name="SAPBEXinputData 3 2 3 2 2 2 3" xfId="18895" xr:uid="{00000000-0005-0000-0000-0000EC460000}"/>
    <cellStyle name="SAPBEXinputData 3 2 3 2 2 3" xfId="18896" xr:uid="{00000000-0005-0000-0000-0000ED460000}"/>
    <cellStyle name="SAPBEXinputData 3 2 3 2 2 4" xfId="18897" xr:uid="{00000000-0005-0000-0000-0000EE460000}"/>
    <cellStyle name="SAPBEXinputData 3 2 3 2 2 4 2" xfId="27335" xr:uid="{C4A19AEA-821B-4218-A1EC-CC075CD10B1D}"/>
    <cellStyle name="SAPBEXinputData 3 2 3 2 2 4 2 2" xfId="42295" xr:uid="{0D87EE97-0039-40BD-8AF8-D244A0F3BF35}"/>
    <cellStyle name="SAPBEXinputData 3 2 3 2 2 4 3" xfId="34869" xr:uid="{5E173762-4C87-4828-8E40-D24D7BD678FF}"/>
    <cellStyle name="SAPBEXinputData 3 2 3 2 2 5" xfId="18898" xr:uid="{00000000-0005-0000-0000-0000EF460000}"/>
    <cellStyle name="SAPBEXinputData 3 2 3 2 2 5 2" xfId="27336" xr:uid="{0E43BD83-8B3F-4CB9-AA25-9942E13FD3E2}"/>
    <cellStyle name="SAPBEXinputData 3 2 3 2 2 5 2 2" xfId="42296" xr:uid="{2D912147-C457-41FC-97B9-7B306E4D7D43}"/>
    <cellStyle name="SAPBEXinputData 3 2 3 2 2 5 3" xfId="34870" xr:uid="{5ADC627D-9DA6-4B40-8BF9-7303B86AB531}"/>
    <cellStyle name="SAPBEXinputData 3 2 3 2 2 6" xfId="18899" xr:uid="{00000000-0005-0000-0000-0000F0460000}"/>
    <cellStyle name="SAPBEXinputData 3 2 3 2 3" xfId="18900" xr:uid="{00000000-0005-0000-0000-0000F1460000}"/>
    <cellStyle name="SAPBEXinputData 3 2 3 2 3 2" xfId="18901" xr:uid="{00000000-0005-0000-0000-0000F2460000}"/>
    <cellStyle name="SAPBEXinputData 3 2 3 2 3 2 2" xfId="18902" xr:uid="{00000000-0005-0000-0000-0000F3460000}"/>
    <cellStyle name="SAPBEXinputData 3 2 3 2 3 2 3" xfId="18903" xr:uid="{00000000-0005-0000-0000-0000F4460000}"/>
    <cellStyle name="SAPBEXinputData 3 2 3 2 3 3" xfId="18904" xr:uid="{00000000-0005-0000-0000-0000F5460000}"/>
    <cellStyle name="SAPBEXinputData 3 2 3 2 3 3 2" xfId="18905" xr:uid="{00000000-0005-0000-0000-0000F6460000}"/>
    <cellStyle name="SAPBEXinputData 3 2 3 2 3 3 3" xfId="27337" xr:uid="{402CB235-FAB1-46BB-A149-A9D068AF8CF5}"/>
    <cellStyle name="SAPBEXinputData 3 2 3 2 3 3 3 2" xfId="42297" xr:uid="{2FD7A457-626B-4231-B038-E7125E6A6CD2}"/>
    <cellStyle name="SAPBEXinputData 3 2 3 2 3 3 4" xfId="34871" xr:uid="{E05065E4-B468-4827-B7C7-07F94C7A7D62}"/>
    <cellStyle name="SAPBEXinputData 3 2 3 2 3 4" xfId="18906" xr:uid="{00000000-0005-0000-0000-0000F7460000}"/>
    <cellStyle name="SAPBEXinputData 3 2 3 2 4" xfId="18907" xr:uid="{00000000-0005-0000-0000-0000F8460000}"/>
    <cellStyle name="SAPBEXinputData 3 2 3 2 4 2" xfId="18908" xr:uid="{00000000-0005-0000-0000-0000F9460000}"/>
    <cellStyle name="SAPBEXinputData 3 2 3 2 4 3" xfId="18909" xr:uid="{00000000-0005-0000-0000-0000FA460000}"/>
    <cellStyle name="SAPBEXinputData 3 2 3 2 5" xfId="18910" xr:uid="{00000000-0005-0000-0000-0000FB460000}"/>
    <cellStyle name="SAPBEXinputData 3 2 3 2 6" xfId="18911" xr:uid="{00000000-0005-0000-0000-0000FC460000}"/>
    <cellStyle name="SAPBEXinputData 3 2 3 2 6 2" xfId="27338" xr:uid="{B59FDE03-C9C1-4184-8BE3-1602AEB47335}"/>
    <cellStyle name="SAPBEXinputData 3 2 3 2 6 2 2" xfId="42298" xr:uid="{4A7F915C-4E42-4B52-8555-EAB30B7B7B5A}"/>
    <cellStyle name="SAPBEXinputData 3 2 3 2 6 3" xfId="34872" xr:uid="{C0A9414A-1819-4697-85B7-9D003F68EEB0}"/>
    <cellStyle name="SAPBEXinputData 3 2 3 2 7" xfId="18912" xr:uid="{00000000-0005-0000-0000-0000FD460000}"/>
    <cellStyle name="SAPBEXinputData 3 2 3 2 7 2" xfId="27339" xr:uid="{63AE3955-DA85-4C4E-9D66-50AF4A0893D2}"/>
    <cellStyle name="SAPBEXinputData 3 2 3 2 7 2 2" xfId="42299" xr:uid="{10234C0B-B0F6-4DAA-9068-29FFA7281F5F}"/>
    <cellStyle name="SAPBEXinputData 3 2 3 2 7 3" xfId="34873" xr:uid="{5E5AE81E-4519-4E17-9535-8EBD9E60FDCD}"/>
    <cellStyle name="SAPBEXinputData 3 2 3 2 8" xfId="18913" xr:uid="{00000000-0005-0000-0000-0000FE460000}"/>
    <cellStyle name="SAPBEXinputData 3 2 3 3" xfId="18914" xr:uid="{00000000-0005-0000-0000-0000FF460000}"/>
    <cellStyle name="SAPBEXinputData 3 2 3 3 2" xfId="18915" xr:uid="{00000000-0005-0000-0000-000000470000}"/>
    <cellStyle name="SAPBEXinputData 3 2 3 3 2 2" xfId="18916" xr:uid="{00000000-0005-0000-0000-000001470000}"/>
    <cellStyle name="SAPBEXinputData 3 2 3 3 2 3" xfId="18917" xr:uid="{00000000-0005-0000-0000-000002470000}"/>
    <cellStyle name="SAPBEXinputData 3 2 3 3 3" xfId="18918" xr:uid="{00000000-0005-0000-0000-000003470000}"/>
    <cellStyle name="SAPBEXinputData 3 2 3 3 4" xfId="18919" xr:uid="{00000000-0005-0000-0000-000004470000}"/>
    <cellStyle name="SAPBEXinputData 3 2 3 3 4 2" xfId="27340" xr:uid="{26B6F8B4-A689-4984-A26E-3C672DF10C46}"/>
    <cellStyle name="SAPBEXinputData 3 2 3 3 4 2 2" xfId="42300" xr:uid="{AF710438-211D-40DE-8C33-D5E5AF70D752}"/>
    <cellStyle name="SAPBEXinputData 3 2 3 3 4 3" xfId="34874" xr:uid="{24BF8B06-5B75-49B3-9E3B-7169695688B8}"/>
    <cellStyle name="SAPBEXinputData 3 2 3 3 5" xfId="18920" xr:uid="{00000000-0005-0000-0000-000005470000}"/>
    <cellStyle name="SAPBEXinputData 3 2 3 3 5 2" xfId="27341" xr:uid="{B23E3A8C-7380-4F7C-80E9-9B1335BCC57B}"/>
    <cellStyle name="SAPBEXinputData 3 2 3 3 5 2 2" xfId="42301" xr:uid="{38C722EC-0F35-4BB1-8E89-0DF44C789C00}"/>
    <cellStyle name="SAPBEXinputData 3 2 3 3 5 3" xfId="34875" xr:uid="{02FA2364-C227-4867-8780-EF75CB14F0F6}"/>
    <cellStyle name="SAPBEXinputData 3 2 3 3 6" xfId="18921" xr:uid="{00000000-0005-0000-0000-000006470000}"/>
    <cellStyle name="SAPBEXinputData 3 2 3 4" xfId="18922" xr:uid="{00000000-0005-0000-0000-000007470000}"/>
    <cellStyle name="SAPBEXinputData 3 2 3 4 2" xfId="18923" xr:uid="{00000000-0005-0000-0000-000008470000}"/>
    <cellStyle name="SAPBEXinputData 3 2 3 4 2 2" xfId="18924" xr:uid="{00000000-0005-0000-0000-000009470000}"/>
    <cellStyle name="SAPBEXinputData 3 2 3 4 2 3" xfId="18925" xr:uid="{00000000-0005-0000-0000-00000A470000}"/>
    <cellStyle name="SAPBEXinputData 3 2 3 4 3" xfId="18926" xr:uid="{00000000-0005-0000-0000-00000B470000}"/>
    <cellStyle name="SAPBEXinputData 3 2 3 4 3 2" xfId="18927" xr:uid="{00000000-0005-0000-0000-00000C470000}"/>
    <cellStyle name="SAPBEXinputData 3 2 3 4 3 3" xfId="27342" xr:uid="{93685E58-3300-4A6C-9925-F47514494D32}"/>
    <cellStyle name="SAPBEXinputData 3 2 3 4 3 3 2" xfId="42302" xr:uid="{840759E1-F15E-4B14-BDD2-ED9CB712447D}"/>
    <cellStyle name="SAPBEXinputData 3 2 3 4 3 4" xfId="34876" xr:uid="{060D817F-A6CB-4A5C-B8DF-0599B7B8E650}"/>
    <cellStyle name="SAPBEXinputData 3 2 3 4 4" xfId="18928" xr:uid="{00000000-0005-0000-0000-00000D470000}"/>
    <cellStyle name="SAPBEXinputData 3 2 3 5" xfId="18929" xr:uid="{00000000-0005-0000-0000-00000E470000}"/>
    <cellStyle name="SAPBEXinputData 3 2 3 5 2" xfId="18930" xr:uid="{00000000-0005-0000-0000-00000F470000}"/>
    <cellStyle name="SAPBEXinputData 3 2 3 5 3" xfId="18931" xr:uid="{00000000-0005-0000-0000-000010470000}"/>
    <cellStyle name="SAPBEXinputData 3 2 3 6" xfId="18932" xr:uid="{00000000-0005-0000-0000-000011470000}"/>
    <cellStyle name="SAPBEXinputData 3 2 3 7" xfId="18933" xr:uid="{00000000-0005-0000-0000-000012470000}"/>
    <cellStyle name="SAPBEXinputData 3 2 3 7 2" xfId="27343" xr:uid="{B8854C68-C89B-474E-AF7B-9DB8388CF1B4}"/>
    <cellStyle name="SAPBEXinputData 3 2 3 7 2 2" xfId="42303" xr:uid="{52757CC8-328F-49B9-A71F-D7F9AE89ABD5}"/>
    <cellStyle name="SAPBEXinputData 3 2 3 7 3" xfId="34877" xr:uid="{DEBD196A-CC1C-42D4-B918-AB285479B2A9}"/>
    <cellStyle name="SAPBEXinputData 3 2 3 8" xfId="18934" xr:uid="{00000000-0005-0000-0000-000013470000}"/>
    <cellStyle name="SAPBEXinputData 3 2 3 8 2" xfId="27344" xr:uid="{5715568F-F555-4F47-BBC2-E11ACF4E2954}"/>
    <cellStyle name="SAPBEXinputData 3 2 3 8 2 2" xfId="42304" xr:uid="{A757A487-D00B-4792-994C-F5552B1AC619}"/>
    <cellStyle name="SAPBEXinputData 3 2 3 8 3" xfId="34878" xr:uid="{C039780D-93E5-4558-B163-0107C52CA0E2}"/>
    <cellStyle name="SAPBEXinputData 3 2 3 9" xfId="18935" xr:uid="{00000000-0005-0000-0000-000014470000}"/>
    <cellStyle name="SAPBEXinputData 3 2 4" xfId="18936" xr:uid="{00000000-0005-0000-0000-000015470000}"/>
    <cellStyle name="SAPBEXinputData 3 2 4 2" xfId="18937" xr:uid="{00000000-0005-0000-0000-000016470000}"/>
    <cellStyle name="SAPBEXinputData 3 2 4 2 2" xfId="18938" xr:uid="{00000000-0005-0000-0000-000017470000}"/>
    <cellStyle name="SAPBEXinputData 3 2 4 2 2 2" xfId="18939" xr:uid="{00000000-0005-0000-0000-000018470000}"/>
    <cellStyle name="SAPBEXinputData 3 2 4 2 2 3" xfId="18940" xr:uid="{00000000-0005-0000-0000-000019470000}"/>
    <cellStyle name="SAPBEXinputData 3 2 4 2 2 3 2" xfId="27345" xr:uid="{7338D694-153D-40D7-B6AD-A1BAFE475823}"/>
    <cellStyle name="SAPBEXinputData 3 2 4 2 2 3 2 2" xfId="42305" xr:uid="{42501777-1F57-406D-B44D-8FB346237FAC}"/>
    <cellStyle name="SAPBEXinputData 3 2 4 2 2 3 3" xfId="34879" xr:uid="{9776E6C2-3FD6-41E3-94F9-3A4C0291FF82}"/>
    <cellStyle name="SAPBEXinputData 3 2 4 2 2 4" xfId="18941" xr:uid="{00000000-0005-0000-0000-00001A470000}"/>
    <cellStyle name="SAPBEXinputData 3 2 4 2 3" xfId="18942" xr:uid="{00000000-0005-0000-0000-00001B470000}"/>
    <cellStyle name="SAPBEXinputData 3 2 4 2 4" xfId="18943" xr:uid="{00000000-0005-0000-0000-00001C470000}"/>
    <cellStyle name="SAPBEXinputData 3 2 4 2 4 2" xfId="27346" xr:uid="{B5512194-FB62-467B-88D4-6CA5A5AA2677}"/>
    <cellStyle name="SAPBEXinputData 3 2 4 2 4 2 2" xfId="42306" xr:uid="{6199C095-CFBB-4387-A16A-5B0F3F55823D}"/>
    <cellStyle name="SAPBEXinputData 3 2 4 2 4 3" xfId="34880" xr:uid="{0FCC30AB-FAFB-4EE8-956F-B09D1F050757}"/>
    <cellStyle name="SAPBEXinputData 3 2 4 2 5" xfId="18944" xr:uid="{00000000-0005-0000-0000-00001D470000}"/>
    <cellStyle name="SAPBEXinputData 3 2 4 2 5 2" xfId="27347" xr:uid="{3BF0B396-B586-4121-A38F-9BB96F64D682}"/>
    <cellStyle name="SAPBEXinputData 3 2 4 2 5 2 2" xfId="42307" xr:uid="{A9261B8A-65D8-4B49-BC94-552BA1919B78}"/>
    <cellStyle name="SAPBEXinputData 3 2 4 2 5 3" xfId="34881" xr:uid="{776C3A13-1961-4DF1-9F40-6C9823AAEED3}"/>
    <cellStyle name="SAPBEXinputData 3 2 4 2 6" xfId="18945" xr:uid="{00000000-0005-0000-0000-00001E470000}"/>
    <cellStyle name="SAPBEXinputData 3 2 4 3" xfId="18946" xr:uid="{00000000-0005-0000-0000-00001F470000}"/>
    <cellStyle name="SAPBEXinputData 3 2 4 3 2" xfId="18947" xr:uid="{00000000-0005-0000-0000-000020470000}"/>
    <cellStyle name="SAPBEXinputData 3 2 4 3 2 2" xfId="18948" xr:uid="{00000000-0005-0000-0000-000021470000}"/>
    <cellStyle name="SAPBEXinputData 3 2 4 3 2 3" xfId="18949" xr:uid="{00000000-0005-0000-0000-000022470000}"/>
    <cellStyle name="SAPBEXinputData 3 2 4 3 3" xfId="18950" xr:uid="{00000000-0005-0000-0000-000023470000}"/>
    <cellStyle name="SAPBEXinputData 3 2 4 3 4" xfId="18951" xr:uid="{00000000-0005-0000-0000-000024470000}"/>
    <cellStyle name="SAPBEXinputData 3 2 4 3 4 2" xfId="27348" xr:uid="{2FAE8D94-1789-44C9-A1E3-24FB73ED3CA7}"/>
    <cellStyle name="SAPBEXinputData 3 2 4 3 4 2 2" xfId="42308" xr:uid="{047B08E5-F2B4-46F4-AE6B-199BB142D908}"/>
    <cellStyle name="SAPBEXinputData 3 2 4 3 4 3" xfId="34882" xr:uid="{B1D6D913-E3F0-48C6-BC60-D2F28D03783D}"/>
    <cellStyle name="SAPBEXinputData 3 2 4 3 5" xfId="18952" xr:uid="{00000000-0005-0000-0000-000025470000}"/>
    <cellStyle name="SAPBEXinputData 3 2 4 3 5 2" xfId="27349" xr:uid="{8E4BD6E3-96B1-4E64-BCAD-2065611681DB}"/>
    <cellStyle name="SAPBEXinputData 3 2 4 3 5 2 2" xfId="42309" xr:uid="{BB218DDD-E036-4622-8DEF-EA2CCB26A79D}"/>
    <cellStyle name="SAPBEXinputData 3 2 4 3 5 3" xfId="34883" xr:uid="{A374D0A2-2D13-4AF1-9679-40DE1C17A98D}"/>
    <cellStyle name="SAPBEXinputData 3 2 4 3 6" xfId="18953" xr:uid="{00000000-0005-0000-0000-000026470000}"/>
    <cellStyle name="SAPBEXinputData 3 2 4 4" xfId="18954" xr:uid="{00000000-0005-0000-0000-000027470000}"/>
    <cellStyle name="SAPBEXinputData 3 2 4 4 2" xfId="18955" xr:uid="{00000000-0005-0000-0000-000028470000}"/>
    <cellStyle name="SAPBEXinputData 3 2 4 4 3" xfId="18956" xr:uid="{00000000-0005-0000-0000-000029470000}"/>
    <cellStyle name="SAPBEXinputData 3 2 4 5" xfId="18957" xr:uid="{00000000-0005-0000-0000-00002A470000}"/>
    <cellStyle name="SAPBEXinputData 3 2 4 6" xfId="18958" xr:uid="{00000000-0005-0000-0000-00002B470000}"/>
    <cellStyle name="SAPBEXinputData 3 2 4 6 2" xfId="27350" xr:uid="{93F0A324-8B53-4DA9-AB67-01015F63A1D3}"/>
    <cellStyle name="SAPBEXinputData 3 2 4 6 2 2" xfId="42310" xr:uid="{E2ADB1E1-075B-4ABC-8C6D-7BCE1E324DCC}"/>
    <cellStyle name="SAPBEXinputData 3 2 4 6 3" xfId="34884" xr:uid="{95E492D8-9410-45FD-8ED8-3ECF65549DED}"/>
    <cellStyle name="SAPBEXinputData 3 2 4 7" xfId="18959" xr:uid="{00000000-0005-0000-0000-00002C470000}"/>
    <cellStyle name="SAPBEXinputData 3 2 4 7 2" xfId="27351" xr:uid="{1FD80F50-8F31-430D-9624-06B4B0151AB2}"/>
    <cellStyle name="SAPBEXinputData 3 2 4 7 2 2" xfId="42311" xr:uid="{2F10C6FB-EA19-460C-A269-D9AD8C2E90A2}"/>
    <cellStyle name="SAPBEXinputData 3 2 4 7 3" xfId="34885" xr:uid="{BA172572-1963-4B0A-B613-9B938BD893A9}"/>
    <cellStyle name="SAPBEXinputData 3 2 4 8" xfId="18960" xr:uid="{00000000-0005-0000-0000-00002D470000}"/>
    <cellStyle name="SAPBEXinputData 3 2 5" xfId="18961" xr:uid="{00000000-0005-0000-0000-00002E470000}"/>
    <cellStyle name="SAPBEXinputData 3 2 5 2" xfId="18962" xr:uid="{00000000-0005-0000-0000-00002F470000}"/>
    <cellStyle name="SAPBEXinputData 3 2 5 2 2" xfId="18963" xr:uid="{00000000-0005-0000-0000-000030470000}"/>
    <cellStyle name="SAPBEXinputData 3 2 5 2 3" xfId="18964" xr:uid="{00000000-0005-0000-0000-000031470000}"/>
    <cellStyle name="SAPBEXinputData 3 2 5 2 3 2" xfId="27352" xr:uid="{EE23FB14-B391-4CB4-9FDE-D0977D4B8791}"/>
    <cellStyle name="SAPBEXinputData 3 2 5 2 3 2 2" xfId="42312" xr:uid="{83FF8C96-FD1B-4C54-A214-E5CCC931B256}"/>
    <cellStyle name="SAPBEXinputData 3 2 5 2 3 3" xfId="34886" xr:uid="{CB2080B8-5219-49D8-954C-D1406F90E7AC}"/>
    <cellStyle name="SAPBEXinputData 3 2 5 2 4" xfId="18965" xr:uid="{00000000-0005-0000-0000-000032470000}"/>
    <cellStyle name="SAPBEXinputData 3 2 5 3" xfId="18966" xr:uid="{00000000-0005-0000-0000-000033470000}"/>
    <cellStyle name="SAPBEXinputData 3 2 5 4" xfId="18967" xr:uid="{00000000-0005-0000-0000-000034470000}"/>
    <cellStyle name="SAPBEXinputData 3 2 5 4 2" xfId="27353" xr:uid="{00A25973-0394-4792-BD17-0F9EE67026FB}"/>
    <cellStyle name="SAPBEXinputData 3 2 5 4 2 2" xfId="42313" xr:uid="{6FE56DDD-EBD5-4240-9A73-051686A3625F}"/>
    <cellStyle name="SAPBEXinputData 3 2 5 4 3" xfId="34887" xr:uid="{4AC9AB31-596D-45D0-81D2-7DB0FD0DC350}"/>
    <cellStyle name="SAPBEXinputData 3 2 5 5" xfId="18968" xr:uid="{00000000-0005-0000-0000-000035470000}"/>
    <cellStyle name="SAPBEXinputData 3 2 5 5 2" xfId="27354" xr:uid="{CFA9C7BE-B9D6-404E-BDA4-600C92A26617}"/>
    <cellStyle name="SAPBEXinputData 3 2 5 5 2 2" xfId="42314" xr:uid="{C3304DAE-05E5-4558-9C99-784C117095D4}"/>
    <cellStyle name="SAPBEXinputData 3 2 5 5 3" xfId="34888" xr:uid="{AA032922-5D5D-4CAB-9C1D-9BA78A258E79}"/>
    <cellStyle name="SAPBEXinputData 3 2 5 6" xfId="18969" xr:uid="{00000000-0005-0000-0000-000036470000}"/>
    <cellStyle name="SAPBEXinputData 3 2 6" xfId="18970" xr:uid="{00000000-0005-0000-0000-000037470000}"/>
    <cellStyle name="SAPBEXinputData 3 2 6 2" xfId="18971" xr:uid="{00000000-0005-0000-0000-000038470000}"/>
    <cellStyle name="SAPBEXinputData 3 2 6 2 2" xfId="18972" xr:uid="{00000000-0005-0000-0000-000039470000}"/>
    <cellStyle name="SAPBEXinputData 3 2 6 2 3" xfId="18973" xr:uid="{00000000-0005-0000-0000-00003A470000}"/>
    <cellStyle name="SAPBEXinputData 3 2 6 3" xfId="18974" xr:uid="{00000000-0005-0000-0000-00003B470000}"/>
    <cellStyle name="SAPBEXinputData 3 2 6 4" xfId="18975" xr:uid="{00000000-0005-0000-0000-00003C470000}"/>
    <cellStyle name="SAPBEXinputData 3 2 6 4 2" xfId="27355" xr:uid="{DEB76A71-FF8A-4ED3-8576-FF387F2E3621}"/>
    <cellStyle name="SAPBEXinputData 3 2 6 4 2 2" xfId="42315" xr:uid="{F9284A5B-E8CF-4D09-A85B-A5BDC8C9AD8B}"/>
    <cellStyle name="SAPBEXinputData 3 2 6 4 3" xfId="34889" xr:uid="{58D0929C-FACA-4FE2-95DF-8C41BCBAD29E}"/>
    <cellStyle name="SAPBEXinputData 3 2 6 5" xfId="18976" xr:uid="{00000000-0005-0000-0000-00003D470000}"/>
    <cellStyle name="SAPBEXinputData 3 2 6 5 2" xfId="27356" xr:uid="{4D44012D-7DB4-4224-AB19-2843D409F37A}"/>
    <cellStyle name="SAPBEXinputData 3 2 6 5 2 2" xfId="42316" xr:uid="{95AFDF18-A384-455B-ABC7-B291EFCE71BF}"/>
    <cellStyle name="SAPBEXinputData 3 2 6 5 3" xfId="34890" xr:uid="{3055A8C3-9B56-45E4-B882-204CDE02D09C}"/>
    <cellStyle name="SAPBEXinputData 3 2 6 6" xfId="18977" xr:uid="{00000000-0005-0000-0000-00003E470000}"/>
    <cellStyle name="SAPBEXinputData 3 2 7" xfId="18978" xr:uid="{00000000-0005-0000-0000-00003F470000}"/>
    <cellStyle name="SAPBEXinputData 3 2 7 2" xfId="18979" xr:uid="{00000000-0005-0000-0000-000040470000}"/>
    <cellStyle name="SAPBEXinputData 3 2 7 3" xfId="18980" xr:uid="{00000000-0005-0000-0000-000041470000}"/>
    <cellStyle name="SAPBEXinputData 3 2 8" xfId="18981" xr:uid="{00000000-0005-0000-0000-000042470000}"/>
    <cellStyle name="SAPBEXinputData 3 2 9" xfId="18982" xr:uid="{00000000-0005-0000-0000-000043470000}"/>
    <cellStyle name="SAPBEXinputData 3 2 9 2" xfId="27357" xr:uid="{A1C6222E-AE9F-458E-9A68-63DB35419D90}"/>
    <cellStyle name="SAPBEXinputData 3 2 9 2 2" xfId="42317" xr:uid="{E943C096-B851-424A-A5B4-5B0123E8612C}"/>
    <cellStyle name="SAPBEXinputData 3 2 9 3" xfId="34891" xr:uid="{6238D699-6712-4FEC-BD10-3FB4B0BE7F8D}"/>
    <cellStyle name="SAPBEXinputData 3 3" xfId="18983" xr:uid="{00000000-0005-0000-0000-000044470000}"/>
    <cellStyle name="SAPBEXinputData 3 3 10" xfId="18984" xr:uid="{00000000-0005-0000-0000-000045470000}"/>
    <cellStyle name="SAPBEXinputData 3 3 2" xfId="18985" xr:uid="{00000000-0005-0000-0000-000046470000}"/>
    <cellStyle name="SAPBEXinputData 3 3 2 2" xfId="18986" xr:uid="{00000000-0005-0000-0000-000047470000}"/>
    <cellStyle name="SAPBEXinputData 3 3 2 2 2" xfId="18987" xr:uid="{00000000-0005-0000-0000-000048470000}"/>
    <cellStyle name="SAPBEXinputData 3 3 2 2 2 2" xfId="18988" xr:uid="{00000000-0005-0000-0000-000049470000}"/>
    <cellStyle name="SAPBEXinputData 3 3 2 2 2 2 2" xfId="18989" xr:uid="{00000000-0005-0000-0000-00004A470000}"/>
    <cellStyle name="SAPBEXinputData 3 3 2 2 2 2 3" xfId="18990" xr:uid="{00000000-0005-0000-0000-00004B470000}"/>
    <cellStyle name="SAPBEXinputData 3 3 2 2 2 3" xfId="18991" xr:uid="{00000000-0005-0000-0000-00004C470000}"/>
    <cellStyle name="SAPBEXinputData 3 3 2 2 2 4" xfId="18992" xr:uid="{00000000-0005-0000-0000-00004D470000}"/>
    <cellStyle name="SAPBEXinputData 3 3 2 2 2 4 2" xfId="27358" xr:uid="{1A6ED9FE-E73A-4331-8ACE-610D43A649A7}"/>
    <cellStyle name="SAPBEXinputData 3 3 2 2 2 4 2 2" xfId="42318" xr:uid="{AA5F5D9B-BB5C-4ABB-BA5E-BC6A5AD3C992}"/>
    <cellStyle name="SAPBEXinputData 3 3 2 2 2 4 3" xfId="34892" xr:uid="{BB0134CF-52A9-4AED-BB41-8918CA2BAB50}"/>
    <cellStyle name="SAPBEXinputData 3 3 2 2 2 5" xfId="18993" xr:uid="{00000000-0005-0000-0000-00004E470000}"/>
    <cellStyle name="SAPBEXinputData 3 3 2 2 2 5 2" xfId="27359" xr:uid="{B6958543-F1AF-4685-B09F-4BB0DD5BBE31}"/>
    <cellStyle name="SAPBEXinputData 3 3 2 2 2 5 2 2" xfId="42319" xr:uid="{C0FE52DD-2B87-4F9F-A07F-71031F4CC47E}"/>
    <cellStyle name="SAPBEXinputData 3 3 2 2 2 5 3" xfId="34893" xr:uid="{49C54679-8E5E-4D12-A9CA-E46C99F35ACE}"/>
    <cellStyle name="SAPBEXinputData 3 3 2 2 2 6" xfId="18994" xr:uid="{00000000-0005-0000-0000-00004F470000}"/>
    <cellStyle name="SAPBEXinputData 3 3 2 2 3" xfId="18995" xr:uid="{00000000-0005-0000-0000-000050470000}"/>
    <cellStyle name="SAPBEXinputData 3 3 2 2 3 2" xfId="18996" xr:uid="{00000000-0005-0000-0000-000051470000}"/>
    <cellStyle name="SAPBEXinputData 3 3 2 2 3 2 2" xfId="18997" xr:uid="{00000000-0005-0000-0000-000052470000}"/>
    <cellStyle name="SAPBEXinputData 3 3 2 2 3 2 3" xfId="18998" xr:uid="{00000000-0005-0000-0000-000053470000}"/>
    <cellStyle name="SAPBEXinputData 3 3 2 2 3 3" xfId="18999" xr:uid="{00000000-0005-0000-0000-000054470000}"/>
    <cellStyle name="SAPBEXinputData 3 3 2 2 3 3 2" xfId="19000" xr:uid="{00000000-0005-0000-0000-000055470000}"/>
    <cellStyle name="SAPBEXinputData 3 3 2 2 3 3 3" xfId="27360" xr:uid="{D865CF31-2D9E-497A-B755-B19599BA8C88}"/>
    <cellStyle name="SAPBEXinputData 3 3 2 2 3 3 3 2" xfId="42320" xr:uid="{0BE6D7F0-9CB1-4B1F-B5BA-AE817AE91B8C}"/>
    <cellStyle name="SAPBEXinputData 3 3 2 2 3 3 4" xfId="34894" xr:uid="{5DF473B0-A8D1-4EED-AE1D-337E986C4277}"/>
    <cellStyle name="SAPBEXinputData 3 3 2 2 3 4" xfId="19001" xr:uid="{00000000-0005-0000-0000-000056470000}"/>
    <cellStyle name="SAPBEXinputData 3 3 2 2 4" xfId="19002" xr:uid="{00000000-0005-0000-0000-000057470000}"/>
    <cellStyle name="SAPBEXinputData 3 3 2 2 4 2" xfId="19003" xr:uid="{00000000-0005-0000-0000-000058470000}"/>
    <cellStyle name="SAPBEXinputData 3 3 2 2 4 3" xfId="19004" xr:uid="{00000000-0005-0000-0000-000059470000}"/>
    <cellStyle name="SAPBEXinputData 3 3 2 2 5" xfId="19005" xr:uid="{00000000-0005-0000-0000-00005A470000}"/>
    <cellStyle name="SAPBEXinputData 3 3 2 2 6" xfId="19006" xr:uid="{00000000-0005-0000-0000-00005B470000}"/>
    <cellStyle name="SAPBEXinputData 3 3 2 2 6 2" xfId="27361" xr:uid="{5B756816-470E-46B0-94EA-B858990B35B1}"/>
    <cellStyle name="SAPBEXinputData 3 3 2 2 6 2 2" xfId="42321" xr:uid="{DB7B71DD-AD79-4B9E-B3D6-1CE03DB33BDA}"/>
    <cellStyle name="SAPBEXinputData 3 3 2 2 6 3" xfId="34895" xr:uid="{8FBEA6EA-0D49-4B95-B98C-70967F6CEEE1}"/>
    <cellStyle name="SAPBEXinputData 3 3 2 2 7" xfId="19007" xr:uid="{00000000-0005-0000-0000-00005C470000}"/>
    <cellStyle name="SAPBEXinputData 3 3 2 2 7 2" xfId="27362" xr:uid="{BD0D4294-8D55-4157-B47A-659A8984F251}"/>
    <cellStyle name="SAPBEXinputData 3 3 2 2 7 2 2" xfId="42322" xr:uid="{A7F6C8B2-C4C8-4A7C-B990-63A158387305}"/>
    <cellStyle name="SAPBEXinputData 3 3 2 2 7 3" xfId="34896" xr:uid="{EC5BD4B6-8D8E-4249-9905-634A5FF1C9BF}"/>
    <cellStyle name="SAPBEXinputData 3 3 2 2 8" xfId="19008" xr:uid="{00000000-0005-0000-0000-00005D470000}"/>
    <cellStyle name="SAPBEXinputData 3 3 2 3" xfId="19009" xr:uid="{00000000-0005-0000-0000-00005E470000}"/>
    <cellStyle name="SAPBEXinputData 3 3 2 3 2" xfId="19010" xr:uid="{00000000-0005-0000-0000-00005F470000}"/>
    <cellStyle name="SAPBEXinputData 3 3 2 3 2 2" xfId="19011" xr:uid="{00000000-0005-0000-0000-000060470000}"/>
    <cellStyle name="SAPBEXinputData 3 3 2 3 2 3" xfId="19012" xr:uid="{00000000-0005-0000-0000-000061470000}"/>
    <cellStyle name="SAPBEXinputData 3 3 2 3 3" xfId="19013" xr:uid="{00000000-0005-0000-0000-000062470000}"/>
    <cellStyle name="SAPBEXinputData 3 3 2 3 4" xfId="19014" xr:uid="{00000000-0005-0000-0000-000063470000}"/>
    <cellStyle name="SAPBEXinputData 3 3 2 3 4 2" xfId="27363" xr:uid="{D92DB14A-0B52-452B-94B7-D9203E38F397}"/>
    <cellStyle name="SAPBEXinputData 3 3 2 3 4 2 2" xfId="42323" xr:uid="{F00ABE6D-A965-4A11-849F-F48A2BD1E455}"/>
    <cellStyle name="SAPBEXinputData 3 3 2 3 4 3" xfId="34897" xr:uid="{F48AA22D-10DB-4FAE-A485-4C507AC78154}"/>
    <cellStyle name="SAPBEXinputData 3 3 2 3 5" xfId="19015" xr:uid="{00000000-0005-0000-0000-000064470000}"/>
    <cellStyle name="SAPBEXinputData 3 3 2 3 5 2" xfId="27364" xr:uid="{82ACE42D-931D-4331-9ADF-44585EF23F41}"/>
    <cellStyle name="SAPBEXinputData 3 3 2 3 5 2 2" xfId="42324" xr:uid="{A4BAEFD1-5731-41D8-8D1A-8CB32C062335}"/>
    <cellStyle name="SAPBEXinputData 3 3 2 3 5 3" xfId="34898" xr:uid="{7137F6A9-4D5C-47AC-9552-0D368907A188}"/>
    <cellStyle name="SAPBEXinputData 3 3 2 3 6" xfId="19016" xr:uid="{00000000-0005-0000-0000-000065470000}"/>
    <cellStyle name="SAPBEXinputData 3 3 2 4" xfId="19017" xr:uid="{00000000-0005-0000-0000-000066470000}"/>
    <cellStyle name="SAPBEXinputData 3 3 2 4 2" xfId="19018" xr:uid="{00000000-0005-0000-0000-000067470000}"/>
    <cellStyle name="SAPBEXinputData 3 3 2 4 2 2" xfId="19019" xr:uid="{00000000-0005-0000-0000-000068470000}"/>
    <cellStyle name="SAPBEXinputData 3 3 2 4 2 3" xfId="19020" xr:uid="{00000000-0005-0000-0000-000069470000}"/>
    <cellStyle name="SAPBEXinputData 3 3 2 4 3" xfId="19021" xr:uid="{00000000-0005-0000-0000-00006A470000}"/>
    <cellStyle name="SAPBEXinputData 3 3 2 4 3 2" xfId="19022" xr:uid="{00000000-0005-0000-0000-00006B470000}"/>
    <cellStyle name="SAPBEXinputData 3 3 2 4 3 3" xfId="27365" xr:uid="{495B0A08-107E-4144-9F2D-C026233ECF04}"/>
    <cellStyle name="SAPBEXinputData 3 3 2 4 3 3 2" xfId="42325" xr:uid="{90DFA1CD-3949-4C67-9924-7B9D995EFE8A}"/>
    <cellStyle name="SAPBEXinputData 3 3 2 4 3 4" xfId="34899" xr:uid="{5C516E29-B404-4DE7-9A46-022B4B8504D9}"/>
    <cellStyle name="SAPBEXinputData 3 3 2 4 4" xfId="19023" xr:uid="{00000000-0005-0000-0000-00006C470000}"/>
    <cellStyle name="SAPBEXinputData 3 3 2 5" xfId="19024" xr:uid="{00000000-0005-0000-0000-00006D470000}"/>
    <cellStyle name="SAPBEXinputData 3 3 2 5 2" xfId="19025" xr:uid="{00000000-0005-0000-0000-00006E470000}"/>
    <cellStyle name="SAPBEXinputData 3 3 2 5 3" xfId="19026" xr:uid="{00000000-0005-0000-0000-00006F470000}"/>
    <cellStyle name="SAPBEXinputData 3 3 2 6" xfId="19027" xr:uid="{00000000-0005-0000-0000-000070470000}"/>
    <cellStyle name="SAPBEXinputData 3 3 2 7" xfId="19028" xr:uid="{00000000-0005-0000-0000-000071470000}"/>
    <cellStyle name="SAPBEXinputData 3 3 2 7 2" xfId="27366" xr:uid="{C411CB84-57EA-4A45-A3A1-94B41A9C8FA4}"/>
    <cellStyle name="SAPBEXinputData 3 3 2 7 2 2" xfId="42326" xr:uid="{BDA86BFE-F3F9-4C27-8F2A-A4604F077B06}"/>
    <cellStyle name="SAPBEXinputData 3 3 2 7 3" xfId="34900" xr:uid="{C04A9894-C531-4BC6-8413-FFB2AA128BD9}"/>
    <cellStyle name="SAPBEXinputData 3 3 2 8" xfId="19029" xr:uid="{00000000-0005-0000-0000-000072470000}"/>
    <cellStyle name="SAPBEXinputData 3 3 2 8 2" xfId="27367" xr:uid="{9B4EE85E-DD9F-4EB0-AE53-597EB03116DD}"/>
    <cellStyle name="SAPBEXinputData 3 3 2 8 2 2" xfId="42327" xr:uid="{AC379E41-9CA6-44FE-9F8F-3986C59F6160}"/>
    <cellStyle name="SAPBEXinputData 3 3 2 8 3" xfId="34901" xr:uid="{F9772172-36C3-4204-9144-EFFD9316B348}"/>
    <cellStyle name="SAPBEXinputData 3 3 2 9" xfId="19030" xr:uid="{00000000-0005-0000-0000-000073470000}"/>
    <cellStyle name="SAPBEXinputData 3 3 3" xfId="19031" xr:uid="{00000000-0005-0000-0000-000074470000}"/>
    <cellStyle name="SAPBEXinputData 3 3 3 2" xfId="19032" xr:uid="{00000000-0005-0000-0000-000075470000}"/>
    <cellStyle name="SAPBEXinputData 3 3 3 2 2" xfId="19033" xr:uid="{00000000-0005-0000-0000-000076470000}"/>
    <cellStyle name="SAPBEXinputData 3 3 3 2 2 2" xfId="19034" xr:uid="{00000000-0005-0000-0000-000077470000}"/>
    <cellStyle name="SAPBEXinputData 3 3 3 2 2 3" xfId="19035" xr:uid="{00000000-0005-0000-0000-000078470000}"/>
    <cellStyle name="SAPBEXinputData 3 3 3 2 3" xfId="19036" xr:uid="{00000000-0005-0000-0000-000079470000}"/>
    <cellStyle name="SAPBEXinputData 3 3 3 2 4" xfId="19037" xr:uid="{00000000-0005-0000-0000-00007A470000}"/>
    <cellStyle name="SAPBEXinputData 3 3 3 2 4 2" xfId="27368" xr:uid="{E72914A7-7014-43F2-BBC9-59D7417CFB47}"/>
    <cellStyle name="SAPBEXinputData 3 3 3 2 4 2 2" xfId="42328" xr:uid="{EB5CF5A9-5614-4B09-AE0B-1FDE6BB229C1}"/>
    <cellStyle name="SAPBEXinputData 3 3 3 2 4 3" xfId="34902" xr:uid="{7B4B1065-9663-4C8B-9025-E962A5FD9D4E}"/>
    <cellStyle name="SAPBEXinputData 3 3 3 2 5" xfId="19038" xr:uid="{00000000-0005-0000-0000-00007B470000}"/>
    <cellStyle name="SAPBEXinputData 3 3 3 2 5 2" xfId="27369" xr:uid="{F5743654-2DE1-47DD-A363-3029AF72B2F3}"/>
    <cellStyle name="SAPBEXinputData 3 3 3 2 5 2 2" xfId="42329" xr:uid="{3E5F4481-1D27-4B4F-B35B-162FAE2ED992}"/>
    <cellStyle name="SAPBEXinputData 3 3 3 2 5 3" xfId="34903" xr:uid="{648C5F4C-DBD5-471F-A9E5-77034E797F31}"/>
    <cellStyle name="SAPBEXinputData 3 3 3 2 6" xfId="19039" xr:uid="{00000000-0005-0000-0000-00007C470000}"/>
    <cellStyle name="SAPBEXinputData 3 3 3 3" xfId="19040" xr:uid="{00000000-0005-0000-0000-00007D470000}"/>
    <cellStyle name="SAPBEXinputData 3 3 3 3 2" xfId="19041" xr:uid="{00000000-0005-0000-0000-00007E470000}"/>
    <cellStyle name="SAPBEXinputData 3 3 3 3 2 2" xfId="19042" xr:uid="{00000000-0005-0000-0000-00007F470000}"/>
    <cellStyle name="SAPBEXinputData 3 3 3 3 2 3" xfId="19043" xr:uid="{00000000-0005-0000-0000-000080470000}"/>
    <cellStyle name="SAPBEXinputData 3 3 3 3 3" xfId="19044" xr:uid="{00000000-0005-0000-0000-000081470000}"/>
    <cellStyle name="SAPBEXinputData 3 3 3 3 3 2" xfId="19045" xr:uid="{00000000-0005-0000-0000-000082470000}"/>
    <cellStyle name="SAPBEXinputData 3 3 3 3 3 3" xfId="27370" xr:uid="{4B413705-E598-4645-9592-88515F80BF00}"/>
    <cellStyle name="SAPBEXinputData 3 3 3 3 3 3 2" xfId="42330" xr:uid="{875CCFB9-9CD0-4622-BD43-08D0F3493870}"/>
    <cellStyle name="SAPBEXinputData 3 3 3 3 3 4" xfId="34904" xr:uid="{7D7C75BA-6E1D-49AB-9A68-4622734A8A4D}"/>
    <cellStyle name="SAPBEXinputData 3 3 3 3 4" xfId="19046" xr:uid="{00000000-0005-0000-0000-000083470000}"/>
    <cellStyle name="SAPBEXinputData 3 3 3 4" xfId="19047" xr:uid="{00000000-0005-0000-0000-000084470000}"/>
    <cellStyle name="SAPBEXinputData 3 3 3 4 2" xfId="19048" xr:uid="{00000000-0005-0000-0000-000085470000}"/>
    <cellStyle name="SAPBEXinputData 3 3 3 4 3" xfId="19049" xr:uid="{00000000-0005-0000-0000-000086470000}"/>
    <cellStyle name="SAPBEXinputData 3 3 3 5" xfId="19050" xr:uid="{00000000-0005-0000-0000-000087470000}"/>
    <cellStyle name="SAPBEXinputData 3 3 3 6" xfId="19051" xr:uid="{00000000-0005-0000-0000-000088470000}"/>
    <cellStyle name="SAPBEXinputData 3 3 3 6 2" xfId="27371" xr:uid="{C6CE3C25-D7DE-4D2E-9F14-F3083198FFF2}"/>
    <cellStyle name="SAPBEXinputData 3 3 3 6 2 2" xfId="42331" xr:uid="{CCA156B1-E629-4BF2-A4CC-C29D8CBC7537}"/>
    <cellStyle name="SAPBEXinputData 3 3 3 6 3" xfId="34905" xr:uid="{5DE6CDF3-75BD-4406-985A-057A35E747D7}"/>
    <cellStyle name="SAPBEXinputData 3 3 3 7" xfId="19052" xr:uid="{00000000-0005-0000-0000-000089470000}"/>
    <cellStyle name="SAPBEXinputData 3 3 3 7 2" xfId="27372" xr:uid="{40A442DF-DB62-4FDA-BDEF-5FCFC827231B}"/>
    <cellStyle name="SAPBEXinputData 3 3 3 7 2 2" xfId="42332" xr:uid="{33635DCD-0E5A-4DD2-9650-B56C2CF98F11}"/>
    <cellStyle name="SAPBEXinputData 3 3 3 7 3" xfId="34906" xr:uid="{96A7A991-1B8A-4EB3-8B9C-035191222446}"/>
    <cellStyle name="SAPBEXinputData 3 3 3 8" xfId="19053" xr:uid="{00000000-0005-0000-0000-00008A470000}"/>
    <cellStyle name="SAPBEXinputData 3 3 4" xfId="19054" xr:uid="{00000000-0005-0000-0000-00008B470000}"/>
    <cellStyle name="SAPBEXinputData 3 3 4 2" xfId="19055" xr:uid="{00000000-0005-0000-0000-00008C470000}"/>
    <cellStyle name="SAPBEXinputData 3 3 4 2 2" xfId="19056" xr:uid="{00000000-0005-0000-0000-00008D470000}"/>
    <cellStyle name="SAPBEXinputData 3 3 4 2 3" xfId="19057" xr:uid="{00000000-0005-0000-0000-00008E470000}"/>
    <cellStyle name="SAPBEXinputData 3 3 4 2 3 2" xfId="27373" xr:uid="{81D45ADC-6B68-40B5-9BE5-A138E554D68C}"/>
    <cellStyle name="SAPBEXinputData 3 3 4 2 3 2 2" xfId="42333" xr:uid="{9A1B14AE-9C4A-4EBD-9DF8-8DF6046EE64C}"/>
    <cellStyle name="SAPBEXinputData 3 3 4 2 3 3" xfId="34907" xr:uid="{E0B45349-49ED-40AB-9EA3-98FF401F3402}"/>
    <cellStyle name="SAPBEXinputData 3 3 4 2 4" xfId="19058" xr:uid="{00000000-0005-0000-0000-00008F470000}"/>
    <cellStyle name="SAPBEXinputData 3 3 4 3" xfId="19059" xr:uid="{00000000-0005-0000-0000-000090470000}"/>
    <cellStyle name="SAPBEXinputData 3 3 4 4" xfId="19060" xr:uid="{00000000-0005-0000-0000-000091470000}"/>
    <cellStyle name="SAPBEXinputData 3 3 4 4 2" xfId="27374" xr:uid="{BD8C5F40-4D32-40B2-8E5B-60A17C5BDE30}"/>
    <cellStyle name="SAPBEXinputData 3 3 4 4 2 2" xfId="42334" xr:uid="{90994E37-325E-4E8C-84A7-BB9C527382FA}"/>
    <cellStyle name="SAPBEXinputData 3 3 4 4 3" xfId="34908" xr:uid="{31C40BBA-0D38-47BA-B0F5-2864D4AD8D3C}"/>
    <cellStyle name="SAPBEXinputData 3 3 4 5" xfId="19061" xr:uid="{00000000-0005-0000-0000-000092470000}"/>
    <cellStyle name="SAPBEXinputData 3 3 4 5 2" xfId="27375" xr:uid="{0A7B8118-A100-4E5E-A41E-A5D2C20A39A3}"/>
    <cellStyle name="SAPBEXinputData 3 3 4 5 2 2" xfId="42335" xr:uid="{EAC5BB5B-64B0-431E-9001-B52FF2A22FFD}"/>
    <cellStyle name="SAPBEXinputData 3 3 4 5 3" xfId="34909" xr:uid="{764EEA6E-80F7-414C-8A77-F6FF38B48473}"/>
    <cellStyle name="SAPBEXinputData 3 3 4 6" xfId="19062" xr:uid="{00000000-0005-0000-0000-000093470000}"/>
    <cellStyle name="SAPBEXinputData 3 3 5" xfId="19063" xr:uid="{00000000-0005-0000-0000-000094470000}"/>
    <cellStyle name="SAPBEXinputData 3 3 5 2" xfId="19064" xr:uid="{00000000-0005-0000-0000-000095470000}"/>
    <cellStyle name="SAPBEXinputData 3 3 5 2 2" xfId="19065" xr:uid="{00000000-0005-0000-0000-000096470000}"/>
    <cellStyle name="SAPBEXinputData 3 3 5 2 3" xfId="19066" xr:uid="{00000000-0005-0000-0000-000097470000}"/>
    <cellStyle name="SAPBEXinputData 3 3 5 3" xfId="19067" xr:uid="{00000000-0005-0000-0000-000098470000}"/>
    <cellStyle name="SAPBEXinputData 3 3 5 4" xfId="19068" xr:uid="{00000000-0005-0000-0000-000099470000}"/>
    <cellStyle name="SAPBEXinputData 3 3 5 4 2" xfId="27376" xr:uid="{5DA2E0EC-467C-4189-950C-A667A1D5749E}"/>
    <cellStyle name="SAPBEXinputData 3 3 5 4 2 2" xfId="42336" xr:uid="{53E54B69-1A3B-44B5-AA59-77313DF87E56}"/>
    <cellStyle name="SAPBEXinputData 3 3 5 4 3" xfId="34910" xr:uid="{ABA7DC49-A4D4-43B1-A910-80470E164EB3}"/>
    <cellStyle name="SAPBEXinputData 3 3 5 5" xfId="19069" xr:uid="{00000000-0005-0000-0000-00009A470000}"/>
    <cellStyle name="SAPBEXinputData 3 3 5 5 2" xfId="27377" xr:uid="{172AE3E8-1009-49ED-91F4-1061E9B1E779}"/>
    <cellStyle name="SAPBEXinputData 3 3 5 5 2 2" xfId="42337" xr:uid="{13E14D23-81C0-4F85-931E-5D57FFB7534C}"/>
    <cellStyle name="SAPBEXinputData 3 3 5 5 3" xfId="34911" xr:uid="{9BCC8C4C-660A-444F-9453-04A9F4260BD2}"/>
    <cellStyle name="SAPBEXinputData 3 3 5 6" xfId="19070" xr:uid="{00000000-0005-0000-0000-00009B470000}"/>
    <cellStyle name="SAPBEXinputData 3 3 6" xfId="19071" xr:uid="{00000000-0005-0000-0000-00009C470000}"/>
    <cellStyle name="SAPBEXinputData 3 3 6 2" xfId="19072" xr:uid="{00000000-0005-0000-0000-00009D470000}"/>
    <cellStyle name="SAPBEXinputData 3 3 6 3" xfId="19073" xr:uid="{00000000-0005-0000-0000-00009E470000}"/>
    <cellStyle name="SAPBEXinputData 3 3 7" xfId="19074" xr:uid="{00000000-0005-0000-0000-00009F470000}"/>
    <cellStyle name="SAPBEXinputData 3 3 8" xfId="19075" xr:uid="{00000000-0005-0000-0000-0000A0470000}"/>
    <cellStyle name="SAPBEXinputData 3 3 8 2" xfId="27378" xr:uid="{59D2FD25-77FF-4FBE-B408-1E5F5775C3AA}"/>
    <cellStyle name="SAPBEXinputData 3 3 8 2 2" xfId="42338" xr:uid="{F963116F-C90C-4165-9944-C5CE7E42E467}"/>
    <cellStyle name="SAPBEXinputData 3 3 8 3" xfId="34912" xr:uid="{63AF9432-E491-4870-9DAC-06988D4EEE07}"/>
    <cellStyle name="SAPBEXinputData 3 3 9" xfId="19076" xr:uid="{00000000-0005-0000-0000-0000A1470000}"/>
    <cellStyle name="SAPBEXinputData 3 3 9 2" xfId="27379" xr:uid="{3AC5BC13-8E1B-4098-9059-045CBD1730BA}"/>
    <cellStyle name="SAPBEXinputData 3 3 9 2 2" xfId="42339" xr:uid="{BDF37239-4EDE-42D1-ABE1-F1F4E1FD3301}"/>
    <cellStyle name="SAPBEXinputData 3 3 9 3" xfId="34913" xr:uid="{A9BCF701-E5CE-4937-8D99-A3431B252C8D}"/>
    <cellStyle name="SAPBEXinputData 3 4" xfId="19077" xr:uid="{00000000-0005-0000-0000-0000A2470000}"/>
    <cellStyle name="SAPBEXinputData 3 4 2" xfId="19078" xr:uid="{00000000-0005-0000-0000-0000A3470000}"/>
    <cellStyle name="SAPBEXinputData 3 4 2 2" xfId="19079" xr:uid="{00000000-0005-0000-0000-0000A4470000}"/>
    <cellStyle name="SAPBEXinputData 3 4 2 2 2" xfId="19080" xr:uid="{00000000-0005-0000-0000-0000A5470000}"/>
    <cellStyle name="SAPBEXinputData 3 4 2 2 2 2" xfId="19081" xr:uid="{00000000-0005-0000-0000-0000A6470000}"/>
    <cellStyle name="SAPBEXinputData 3 4 2 2 2 3" xfId="19082" xr:uid="{00000000-0005-0000-0000-0000A7470000}"/>
    <cellStyle name="SAPBEXinputData 3 4 2 2 3" xfId="19083" xr:uid="{00000000-0005-0000-0000-0000A8470000}"/>
    <cellStyle name="SAPBEXinputData 3 4 2 2 4" xfId="19084" xr:uid="{00000000-0005-0000-0000-0000A9470000}"/>
    <cellStyle name="SAPBEXinputData 3 4 2 2 4 2" xfId="27380" xr:uid="{A4AC1EEC-08C2-4DF6-9940-A5F25AE5C9B1}"/>
    <cellStyle name="SAPBEXinputData 3 4 2 2 4 2 2" xfId="42340" xr:uid="{B2EECA76-D845-46E3-894C-61671A254450}"/>
    <cellStyle name="SAPBEXinputData 3 4 2 2 4 3" xfId="34914" xr:uid="{007100DC-9914-4CA5-8774-47AD59A48A4F}"/>
    <cellStyle name="SAPBEXinputData 3 4 2 2 5" xfId="19085" xr:uid="{00000000-0005-0000-0000-0000AA470000}"/>
    <cellStyle name="SAPBEXinputData 3 4 2 2 5 2" xfId="27381" xr:uid="{B8B61B7B-830F-483C-A477-25CA492A5C0F}"/>
    <cellStyle name="SAPBEXinputData 3 4 2 2 5 2 2" xfId="42341" xr:uid="{678AC08B-98C6-4863-8621-266E7F06F40A}"/>
    <cellStyle name="SAPBEXinputData 3 4 2 2 5 3" xfId="34915" xr:uid="{8B3C394C-E360-4C0C-BD05-26D5F446DA83}"/>
    <cellStyle name="SAPBEXinputData 3 4 2 2 6" xfId="19086" xr:uid="{00000000-0005-0000-0000-0000AB470000}"/>
    <cellStyle name="SAPBEXinputData 3 4 2 3" xfId="19087" xr:uid="{00000000-0005-0000-0000-0000AC470000}"/>
    <cellStyle name="SAPBEXinputData 3 4 2 3 2" xfId="19088" xr:uid="{00000000-0005-0000-0000-0000AD470000}"/>
    <cellStyle name="SAPBEXinputData 3 4 2 3 2 2" xfId="19089" xr:uid="{00000000-0005-0000-0000-0000AE470000}"/>
    <cellStyle name="SAPBEXinputData 3 4 2 3 2 3" xfId="19090" xr:uid="{00000000-0005-0000-0000-0000AF470000}"/>
    <cellStyle name="SAPBEXinputData 3 4 2 3 3" xfId="19091" xr:uid="{00000000-0005-0000-0000-0000B0470000}"/>
    <cellStyle name="SAPBEXinputData 3 4 2 3 3 2" xfId="19092" xr:uid="{00000000-0005-0000-0000-0000B1470000}"/>
    <cellStyle name="SAPBEXinputData 3 4 2 3 3 3" xfId="27382" xr:uid="{1ECB9A75-910A-4AE2-A0BA-ACC1A5E5D3B4}"/>
    <cellStyle name="SAPBEXinputData 3 4 2 3 3 3 2" xfId="42342" xr:uid="{714359DE-DF4C-4095-9451-C5D7771A2012}"/>
    <cellStyle name="SAPBEXinputData 3 4 2 3 3 4" xfId="34916" xr:uid="{2BFAE9D6-358F-401E-BF07-125BAACBD6E9}"/>
    <cellStyle name="SAPBEXinputData 3 4 2 3 4" xfId="19093" xr:uid="{00000000-0005-0000-0000-0000B2470000}"/>
    <cellStyle name="SAPBEXinputData 3 4 2 4" xfId="19094" xr:uid="{00000000-0005-0000-0000-0000B3470000}"/>
    <cellStyle name="SAPBEXinputData 3 4 2 4 2" xfId="19095" xr:uid="{00000000-0005-0000-0000-0000B4470000}"/>
    <cellStyle name="SAPBEXinputData 3 4 2 4 3" xfId="19096" xr:uid="{00000000-0005-0000-0000-0000B5470000}"/>
    <cellStyle name="SAPBEXinputData 3 4 2 5" xfId="19097" xr:uid="{00000000-0005-0000-0000-0000B6470000}"/>
    <cellStyle name="SAPBEXinputData 3 4 2 6" xfId="19098" xr:uid="{00000000-0005-0000-0000-0000B7470000}"/>
    <cellStyle name="SAPBEXinputData 3 4 2 6 2" xfId="27383" xr:uid="{F26AE8AA-C483-464A-A9B3-0336967A3BF3}"/>
    <cellStyle name="SAPBEXinputData 3 4 2 6 2 2" xfId="42343" xr:uid="{5027A160-E39F-4B20-9C45-8E2870AADF8F}"/>
    <cellStyle name="SAPBEXinputData 3 4 2 6 3" xfId="34917" xr:uid="{0B3AA743-19AC-4D9A-A724-21BF4BB7F3AF}"/>
    <cellStyle name="SAPBEXinputData 3 4 2 7" xfId="19099" xr:uid="{00000000-0005-0000-0000-0000B8470000}"/>
    <cellStyle name="SAPBEXinputData 3 4 2 7 2" xfId="27384" xr:uid="{379C3DE0-DA52-46AA-8BD9-8E81B5EA88F1}"/>
    <cellStyle name="SAPBEXinputData 3 4 2 7 2 2" xfId="42344" xr:uid="{FB0086C8-E89B-4F90-AE9F-1A83694DD818}"/>
    <cellStyle name="SAPBEXinputData 3 4 2 7 3" xfId="34918" xr:uid="{E94BE7EC-3B20-4D89-B730-3D62154D4E79}"/>
    <cellStyle name="SAPBEXinputData 3 4 2 8" xfId="19100" xr:uid="{00000000-0005-0000-0000-0000B9470000}"/>
    <cellStyle name="SAPBEXinputData 3 4 3" xfId="19101" xr:uid="{00000000-0005-0000-0000-0000BA470000}"/>
    <cellStyle name="SAPBEXinputData 3 4 3 2" xfId="19102" xr:uid="{00000000-0005-0000-0000-0000BB470000}"/>
    <cellStyle name="SAPBEXinputData 3 4 3 2 2" xfId="19103" xr:uid="{00000000-0005-0000-0000-0000BC470000}"/>
    <cellStyle name="SAPBEXinputData 3 4 3 2 3" xfId="19104" xr:uid="{00000000-0005-0000-0000-0000BD470000}"/>
    <cellStyle name="SAPBEXinputData 3 4 3 3" xfId="19105" xr:uid="{00000000-0005-0000-0000-0000BE470000}"/>
    <cellStyle name="SAPBEXinputData 3 4 3 4" xfId="19106" xr:uid="{00000000-0005-0000-0000-0000BF470000}"/>
    <cellStyle name="SAPBEXinputData 3 4 3 4 2" xfId="27385" xr:uid="{63F68F60-5F59-41CA-97D4-1D9008B46AA4}"/>
    <cellStyle name="SAPBEXinputData 3 4 3 4 2 2" xfId="42345" xr:uid="{04E1F528-0C66-4E8A-B443-D37D7A277537}"/>
    <cellStyle name="SAPBEXinputData 3 4 3 4 3" xfId="34919" xr:uid="{F7E1AF75-9471-48D4-8F24-4F19F95FC0D5}"/>
    <cellStyle name="SAPBEXinputData 3 4 3 5" xfId="19107" xr:uid="{00000000-0005-0000-0000-0000C0470000}"/>
    <cellStyle name="SAPBEXinputData 3 4 3 5 2" xfId="27386" xr:uid="{510DE7FA-11DC-4EBB-908D-629345135B91}"/>
    <cellStyle name="SAPBEXinputData 3 4 3 5 2 2" xfId="42346" xr:uid="{28BD036E-6A30-4E98-A7AD-64888BF0CD57}"/>
    <cellStyle name="SAPBEXinputData 3 4 3 5 3" xfId="34920" xr:uid="{DE1AB5D9-B587-4B06-AA31-04FC9B3EA1CA}"/>
    <cellStyle name="SAPBEXinputData 3 4 3 6" xfId="19108" xr:uid="{00000000-0005-0000-0000-0000C1470000}"/>
    <cellStyle name="SAPBEXinputData 3 4 4" xfId="19109" xr:uid="{00000000-0005-0000-0000-0000C2470000}"/>
    <cellStyle name="SAPBEXinputData 3 4 4 2" xfId="19110" xr:uid="{00000000-0005-0000-0000-0000C3470000}"/>
    <cellStyle name="SAPBEXinputData 3 4 4 2 2" xfId="19111" xr:uid="{00000000-0005-0000-0000-0000C4470000}"/>
    <cellStyle name="SAPBEXinputData 3 4 4 2 3" xfId="19112" xr:uid="{00000000-0005-0000-0000-0000C5470000}"/>
    <cellStyle name="SAPBEXinputData 3 4 4 3" xfId="19113" xr:uid="{00000000-0005-0000-0000-0000C6470000}"/>
    <cellStyle name="SAPBEXinputData 3 4 4 3 2" xfId="19114" xr:uid="{00000000-0005-0000-0000-0000C7470000}"/>
    <cellStyle name="SAPBEXinputData 3 4 4 3 3" xfId="27387" xr:uid="{46140CE5-2FE5-4FE3-B4CC-AB9999D76CBF}"/>
    <cellStyle name="SAPBEXinputData 3 4 4 3 3 2" xfId="42347" xr:uid="{8D5E4F37-5A87-417A-9440-1598AB9345C7}"/>
    <cellStyle name="SAPBEXinputData 3 4 4 3 4" xfId="34921" xr:uid="{0026F4B2-8244-4885-AB3B-E71761EFD3FD}"/>
    <cellStyle name="SAPBEXinputData 3 4 4 4" xfId="19115" xr:uid="{00000000-0005-0000-0000-0000C8470000}"/>
    <cellStyle name="SAPBEXinputData 3 4 5" xfId="19116" xr:uid="{00000000-0005-0000-0000-0000C9470000}"/>
    <cellStyle name="SAPBEXinputData 3 4 5 2" xfId="19117" xr:uid="{00000000-0005-0000-0000-0000CA470000}"/>
    <cellStyle name="SAPBEXinputData 3 4 5 3" xfId="19118" xr:uid="{00000000-0005-0000-0000-0000CB470000}"/>
    <cellStyle name="SAPBEXinputData 3 4 6" xfId="19119" xr:uid="{00000000-0005-0000-0000-0000CC470000}"/>
    <cellStyle name="SAPBEXinputData 3 4 7" xfId="19120" xr:uid="{00000000-0005-0000-0000-0000CD470000}"/>
    <cellStyle name="SAPBEXinputData 3 4 7 2" xfId="27388" xr:uid="{5698641C-5B89-4A61-88EF-8C6715FC288E}"/>
    <cellStyle name="SAPBEXinputData 3 4 7 2 2" xfId="42348" xr:uid="{AA59BE87-111A-4CFC-94BE-EDE45B345630}"/>
    <cellStyle name="SAPBEXinputData 3 4 7 3" xfId="34922" xr:uid="{03DDC71E-D420-4C0B-8B1F-ECE6930047BA}"/>
    <cellStyle name="SAPBEXinputData 3 4 8" xfId="19121" xr:uid="{00000000-0005-0000-0000-0000CE470000}"/>
    <cellStyle name="SAPBEXinputData 3 4 8 2" xfId="27389" xr:uid="{B7041BC2-9854-4C15-9233-03ED6B276BFD}"/>
    <cellStyle name="SAPBEXinputData 3 4 8 2 2" xfId="42349" xr:uid="{8F21FB71-C935-4B3F-89C5-DF2C98232555}"/>
    <cellStyle name="SAPBEXinputData 3 4 8 3" xfId="34923" xr:uid="{277CB0B1-380F-4261-9D4A-8B6AC756CB1D}"/>
    <cellStyle name="SAPBEXinputData 3 4 9" xfId="19122" xr:uid="{00000000-0005-0000-0000-0000CF470000}"/>
    <cellStyle name="SAPBEXinputData 3 5" xfId="19123" xr:uid="{00000000-0005-0000-0000-0000D0470000}"/>
    <cellStyle name="SAPBEXinputData 3 5 2" xfId="19124" xr:uid="{00000000-0005-0000-0000-0000D1470000}"/>
    <cellStyle name="SAPBEXinputData 3 5 2 2" xfId="19125" xr:uid="{00000000-0005-0000-0000-0000D2470000}"/>
    <cellStyle name="SAPBEXinputData 3 5 2 2 2" xfId="19126" xr:uid="{00000000-0005-0000-0000-0000D3470000}"/>
    <cellStyle name="SAPBEXinputData 3 5 2 2 3" xfId="19127" xr:uid="{00000000-0005-0000-0000-0000D4470000}"/>
    <cellStyle name="SAPBEXinputData 3 5 2 2 3 2" xfId="27390" xr:uid="{5F00EF2D-EC62-4FC2-84E4-8E71BD826DCD}"/>
    <cellStyle name="SAPBEXinputData 3 5 2 2 3 2 2" xfId="42350" xr:uid="{E1A664A0-2327-4322-931E-B13D92EC3591}"/>
    <cellStyle name="SAPBEXinputData 3 5 2 2 3 3" xfId="34924" xr:uid="{FEA2D271-8562-4967-BD8A-4F856901F9B1}"/>
    <cellStyle name="SAPBEXinputData 3 5 2 2 4" xfId="19128" xr:uid="{00000000-0005-0000-0000-0000D5470000}"/>
    <cellStyle name="SAPBEXinputData 3 5 2 3" xfId="19129" xr:uid="{00000000-0005-0000-0000-0000D6470000}"/>
    <cellStyle name="SAPBEXinputData 3 5 2 4" xfId="19130" xr:uid="{00000000-0005-0000-0000-0000D7470000}"/>
    <cellStyle name="SAPBEXinputData 3 5 2 4 2" xfId="27391" xr:uid="{E9228F12-6116-42F4-955D-C0CF66014ABB}"/>
    <cellStyle name="SAPBEXinputData 3 5 2 4 2 2" xfId="42351" xr:uid="{030BF69F-75CA-4C97-A7FB-1FC680D80FE4}"/>
    <cellStyle name="SAPBEXinputData 3 5 2 4 3" xfId="34925" xr:uid="{21943152-660E-4872-AF1D-4BC4AC6228A2}"/>
    <cellStyle name="SAPBEXinputData 3 5 2 5" xfId="19131" xr:uid="{00000000-0005-0000-0000-0000D8470000}"/>
    <cellStyle name="SAPBEXinputData 3 5 2 5 2" xfId="27392" xr:uid="{9CB367B4-AD71-4F54-8F19-7B26AC198B31}"/>
    <cellStyle name="SAPBEXinputData 3 5 2 5 2 2" xfId="42352" xr:uid="{A775E940-9DFE-4B07-BBAA-8D595E60FD0F}"/>
    <cellStyle name="SAPBEXinputData 3 5 2 5 3" xfId="34926" xr:uid="{F07465F7-ACC4-42DF-BF0A-236BCABEF70F}"/>
    <cellStyle name="SAPBEXinputData 3 5 2 6" xfId="19132" xr:uid="{00000000-0005-0000-0000-0000D9470000}"/>
    <cellStyle name="SAPBEXinputData 3 5 3" xfId="19133" xr:uid="{00000000-0005-0000-0000-0000DA470000}"/>
    <cellStyle name="SAPBEXinputData 3 5 3 2" xfId="19134" xr:uid="{00000000-0005-0000-0000-0000DB470000}"/>
    <cellStyle name="SAPBEXinputData 3 5 3 2 2" xfId="19135" xr:uid="{00000000-0005-0000-0000-0000DC470000}"/>
    <cellStyle name="SAPBEXinputData 3 5 3 2 3" xfId="19136" xr:uid="{00000000-0005-0000-0000-0000DD470000}"/>
    <cellStyle name="SAPBEXinputData 3 5 3 3" xfId="19137" xr:uid="{00000000-0005-0000-0000-0000DE470000}"/>
    <cellStyle name="SAPBEXinputData 3 5 3 4" xfId="19138" xr:uid="{00000000-0005-0000-0000-0000DF470000}"/>
    <cellStyle name="SAPBEXinputData 3 5 3 4 2" xfId="27393" xr:uid="{E2DC093B-6B16-495A-A43F-312A84A5CD4A}"/>
    <cellStyle name="SAPBEXinputData 3 5 3 4 2 2" xfId="42353" xr:uid="{09505750-1E04-40FC-ACAB-A2E7111899C7}"/>
    <cellStyle name="SAPBEXinputData 3 5 3 4 3" xfId="34927" xr:uid="{B2FF494A-A9D6-45CF-BB20-1FC75FEF8833}"/>
    <cellStyle name="SAPBEXinputData 3 5 3 5" xfId="19139" xr:uid="{00000000-0005-0000-0000-0000E0470000}"/>
    <cellStyle name="SAPBEXinputData 3 5 3 5 2" xfId="27394" xr:uid="{0D120826-0D06-42A0-A00F-5DF096BA0F0B}"/>
    <cellStyle name="SAPBEXinputData 3 5 3 5 2 2" xfId="42354" xr:uid="{D7E35A11-AF80-4A6F-A8BD-98601834B4B6}"/>
    <cellStyle name="SAPBEXinputData 3 5 3 5 3" xfId="34928" xr:uid="{A9990F94-B9C6-46FC-8ADD-251CEB51EBF6}"/>
    <cellStyle name="SAPBEXinputData 3 5 3 6" xfId="19140" xr:uid="{00000000-0005-0000-0000-0000E1470000}"/>
    <cellStyle name="SAPBEXinputData 3 5 4" xfId="19141" xr:uid="{00000000-0005-0000-0000-0000E2470000}"/>
    <cellStyle name="SAPBEXinputData 3 5 4 2" xfId="19142" xr:uid="{00000000-0005-0000-0000-0000E3470000}"/>
    <cellStyle name="SAPBEXinputData 3 5 4 3" xfId="19143" xr:uid="{00000000-0005-0000-0000-0000E4470000}"/>
    <cellStyle name="SAPBEXinputData 3 5 5" xfId="19144" xr:uid="{00000000-0005-0000-0000-0000E5470000}"/>
    <cellStyle name="SAPBEXinputData 3 5 6" xfId="19145" xr:uid="{00000000-0005-0000-0000-0000E6470000}"/>
    <cellStyle name="SAPBEXinputData 3 5 6 2" xfId="27395" xr:uid="{6FB4058E-FA6E-45E9-9649-3255A9D71D8D}"/>
    <cellStyle name="SAPBEXinputData 3 5 6 2 2" xfId="42355" xr:uid="{DC7EF8FF-C4A9-4E1E-AF0A-0086E02C6D8C}"/>
    <cellStyle name="SAPBEXinputData 3 5 6 3" xfId="34929" xr:uid="{8A1A2451-E502-49B2-A067-FD8AC37404A2}"/>
    <cellStyle name="SAPBEXinputData 3 5 7" xfId="19146" xr:uid="{00000000-0005-0000-0000-0000E7470000}"/>
    <cellStyle name="SAPBEXinputData 3 5 7 2" xfId="27396" xr:uid="{A46365AF-5D81-45FA-BE1B-E1EEC66F69C0}"/>
    <cellStyle name="SAPBEXinputData 3 5 7 2 2" xfId="42356" xr:uid="{B721DD35-5C86-4E9E-93AD-E29F8AEEB1AE}"/>
    <cellStyle name="SAPBEXinputData 3 5 7 3" xfId="34930" xr:uid="{2CE5F440-FC88-4CFB-BDA1-17B092F02987}"/>
    <cellStyle name="SAPBEXinputData 3 5 8" xfId="19147" xr:uid="{00000000-0005-0000-0000-0000E8470000}"/>
    <cellStyle name="SAPBEXinputData 3 6" xfId="19148" xr:uid="{00000000-0005-0000-0000-0000E9470000}"/>
    <cellStyle name="SAPBEXinputData 3 6 2" xfId="19149" xr:uid="{00000000-0005-0000-0000-0000EA470000}"/>
    <cellStyle name="SAPBEXinputData 3 6 2 2" xfId="19150" xr:uid="{00000000-0005-0000-0000-0000EB470000}"/>
    <cellStyle name="SAPBEXinputData 3 6 2 3" xfId="27397" xr:uid="{CBDBC4AA-CB5B-4505-868A-15C328239FFE}"/>
    <cellStyle name="SAPBEXinputData 3 6 2 3 2" xfId="42357" xr:uid="{75167AFC-92D9-4D66-80CA-33185375872C}"/>
    <cellStyle name="SAPBEXinputData 3 6 2 4" xfId="34931" xr:uid="{12CF2E1E-3700-462E-BF70-2DD72E06CDC7}"/>
    <cellStyle name="SAPBEXinputData 3 6 3" xfId="19151" xr:uid="{00000000-0005-0000-0000-0000EC470000}"/>
    <cellStyle name="SAPBEXinputData 3 6 4" xfId="19152" xr:uid="{00000000-0005-0000-0000-0000ED470000}"/>
    <cellStyle name="SAPBEXinputData 3 6 4 2" xfId="20426" xr:uid="{00000000-0005-0000-0000-0000ED470000}"/>
    <cellStyle name="SAPBEXinputData 3 6 4 2 2" xfId="27770" xr:uid="{0CBC4F40-059B-44AB-B0CA-7F593CE96C7B}"/>
    <cellStyle name="SAPBEXinputData 3 6 4 2 2 2" xfId="42707" xr:uid="{DF523E50-3E30-42DF-9E14-77F88248F068}"/>
    <cellStyle name="SAPBEXinputData 3 6 4 2 3" xfId="35444" xr:uid="{E52D01CC-8A5E-4025-BBDF-55E95D874445}"/>
    <cellStyle name="SAPBEXinputData 3 6 4 3" xfId="27398" xr:uid="{343646BE-D5F7-478D-BF2B-07D2D2AD8EA7}"/>
    <cellStyle name="SAPBEXinputData 3 6 4 3 2" xfId="42358" xr:uid="{FD62A88E-1834-42CC-8CF6-425ECD2D9CD6}"/>
    <cellStyle name="SAPBEXinputData 3 6 4 4" xfId="34932" xr:uid="{893A333F-332B-4A27-AE1E-DA78DF90F18E}"/>
    <cellStyle name="SAPBEXinputData 3 6 5" xfId="19153" xr:uid="{00000000-0005-0000-0000-0000EE470000}"/>
    <cellStyle name="SAPBEXinputData 3 6 5 2" xfId="27399" xr:uid="{4A1CFC06-B01F-441F-A841-F178061A9B88}"/>
    <cellStyle name="SAPBEXinputData 3 6 5 2 2" xfId="42359" xr:uid="{DC08135F-8960-4050-AFD5-702B30DAA133}"/>
    <cellStyle name="SAPBEXinputData 3 6 5 3" xfId="34933" xr:uid="{0E60FF60-D3D5-48AD-9BE7-FD75E26B881B}"/>
    <cellStyle name="SAPBEXinputData 3 6 6" xfId="19154" xr:uid="{00000000-0005-0000-0000-0000EF470000}"/>
    <cellStyle name="SAPBEXinputData 3 7" xfId="19155" xr:uid="{00000000-0005-0000-0000-0000F0470000}"/>
    <cellStyle name="SAPBEXinputData 3 7 2" xfId="19156" xr:uid="{00000000-0005-0000-0000-0000F1470000}"/>
    <cellStyle name="SAPBEXinputData 3 7 2 2" xfId="19157" xr:uid="{00000000-0005-0000-0000-0000F2470000}"/>
    <cellStyle name="SAPBEXinputData 3 7 2 3" xfId="19158" xr:uid="{00000000-0005-0000-0000-0000F3470000}"/>
    <cellStyle name="SAPBEXinputData 3 7 3" xfId="19159" xr:uid="{00000000-0005-0000-0000-0000F4470000}"/>
    <cellStyle name="SAPBEXinputData 3 7 4" xfId="19160" xr:uid="{00000000-0005-0000-0000-0000F5470000}"/>
    <cellStyle name="SAPBEXinputData 3 7 4 2" xfId="27400" xr:uid="{B4CBEB6D-76AF-486E-AFC3-233AA80D3126}"/>
    <cellStyle name="SAPBEXinputData 3 7 4 2 2" xfId="42360" xr:uid="{82555568-B73E-436F-B846-37524DF2B325}"/>
    <cellStyle name="SAPBEXinputData 3 7 4 3" xfId="34934" xr:uid="{EE460DDD-EF8A-4587-90F1-081CB844C860}"/>
    <cellStyle name="SAPBEXinputData 3 7 5" xfId="19161" xr:uid="{00000000-0005-0000-0000-0000F6470000}"/>
    <cellStyle name="SAPBEXinputData 3 7 5 2" xfId="27401" xr:uid="{5C7B1076-CF21-4FA4-A8E3-DFB1EEB89779}"/>
    <cellStyle name="SAPBEXinputData 3 7 5 2 2" xfId="42361" xr:uid="{1D944271-AF63-4AEE-A308-FECE13B7C38B}"/>
    <cellStyle name="SAPBEXinputData 3 7 5 3" xfId="34935" xr:uid="{E27D8805-8807-42AB-9495-F34E0037A3A4}"/>
    <cellStyle name="SAPBEXinputData 3 7 6" xfId="19162" xr:uid="{00000000-0005-0000-0000-0000F7470000}"/>
    <cellStyle name="SAPBEXinputData 3 8" xfId="19163" xr:uid="{00000000-0005-0000-0000-0000F8470000}"/>
    <cellStyle name="SAPBEXinputData 3 8 2" xfId="19164" xr:uid="{00000000-0005-0000-0000-0000F9470000}"/>
    <cellStyle name="SAPBEXinputData 3 8 2 2" xfId="19165" xr:uid="{00000000-0005-0000-0000-0000FA470000}"/>
    <cellStyle name="SAPBEXinputData 3 8 2 3" xfId="19166" xr:uid="{00000000-0005-0000-0000-0000FB470000}"/>
    <cellStyle name="SAPBEXinputData 3 8 3" xfId="19167" xr:uid="{00000000-0005-0000-0000-0000FC470000}"/>
    <cellStyle name="SAPBEXinputData 3 8 3 2" xfId="19168" xr:uid="{00000000-0005-0000-0000-0000FD470000}"/>
    <cellStyle name="SAPBEXinputData 3 8 3 3" xfId="27402" xr:uid="{60189033-B019-4A6B-ABFA-9DFBBCF2EBA5}"/>
    <cellStyle name="SAPBEXinputData 3 8 3 3 2" xfId="42362" xr:uid="{C52E7986-D781-4EC5-8ECA-FF63D572E755}"/>
    <cellStyle name="SAPBEXinputData 3 8 3 4" xfId="34936" xr:uid="{3E019038-2701-4D12-93AA-D22B932DA8B0}"/>
    <cellStyle name="SAPBEXinputData 3 8 4" xfId="19169" xr:uid="{00000000-0005-0000-0000-0000FE470000}"/>
    <cellStyle name="SAPBEXinputData 3 9" xfId="19170" xr:uid="{00000000-0005-0000-0000-0000FF470000}"/>
    <cellStyle name="SAPBEXinputData 3 9 2" xfId="19171" xr:uid="{00000000-0005-0000-0000-000000480000}"/>
    <cellStyle name="SAPBEXinputData 3 9 3" xfId="19172" xr:uid="{00000000-0005-0000-0000-000001480000}"/>
    <cellStyle name="SAPBEXinputData 4" xfId="2906" xr:uid="{00000000-0005-0000-0000-00008A0A0000}"/>
    <cellStyle name="SAPBEXinputData 4 10" xfId="19174" xr:uid="{00000000-0005-0000-0000-000003480000}"/>
    <cellStyle name="SAPBEXinputData 4 10 2" xfId="27403" xr:uid="{D861FDA4-6E16-4445-BA21-4A79DDE00383}"/>
    <cellStyle name="SAPBEXinputData 4 10 2 2" xfId="42363" xr:uid="{0B1A272E-9026-4BA3-A4CF-3FA3E3881DF9}"/>
    <cellStyle name="SAPBEXinputData 4 10 3" xfId="34937" xr:uid="{5963BA6F-F1DC-45DF-9846-374261902EDE}"/>
    <cellStyle name="SAPBEXinputData 4 11" xfId="19175" xr:uid="{00000000-0005-0000-0000-000004480000}"/>
    <cellStyle name="SAPBEXinputData 4 12" xfId="19173" xr:uid="{00000000-0005-0000-0000-000002480000}"/>
    <cellStyle name="SAPBEXinputData 4 13" xfId="20862" xr:uid="{69433632-D705-4B62-9A44-426446C69E86}"/>
    <cellStyle name="SAPBEXinputData 4 13 2" xfId="35838" xr:uid="{D2D9E65B-3FD3-4675-A615-66EEE068DF99}"/>
    <cellStyle name="SAPBEXinputData 4 14" xfId="28234" xr:uid="{4396F20B-CF18-4ED0-9879-D7FB31070279}"/>
    <cellStyle name="SAPBEXinputData 4 2" xfId="19176" xr:uid="{00000000-0005-0000-0000-000005480000}"/>
    <cellStyle name="SAPBEXinputData 4 2 10" xfId="19177" xr:uid="{00000000-0005-0000-0000-000006480000}"/>
    <cellStyle name="SAPBEXinputData 4 2 2" xfId="19178" xr:uid="{00000000-0005-0000-0000-000007480000}"/>
    <cellStyle name="SAPBEXinputData 4 2 2 2" xfId="19179" xr:uid="{00000000-0005-0000-0000-000008480000}"/>
    <cellStyle name="SAPBEXinputData 4 2 2 2 2" xfId="19180" xr:uid="{00000000-0005-0000-0000-000009480000}"/>
    <cellStyle name="SAPBEXinputData 4 2 2 2 2 2" xfId="19181" xr:uid="{00000000-0005-0000-0000-00000A480000}"/>
    <cellStyle name="SAPBEXinputData 4 2 2 2 2 2 2" xfId="19182" xr:uid="{00000000-0005-0000-0000-00000B480000}"/>
    <cellStyle name="SAPBEXinputData 4 2 2 2 2 2 3" xfId="19183" xr:uid="{00000000-0005-0000-0000-00000C480000}"/>
    <cellStyle name="SAPBEXinputData 4 2 2 2 2 3" xfId="19184" xr:uid="{00000000-0005-0000-0000-00000D480000}"/>
    <cellStyle name="SAPBEXinputData 4 2 2 2 2 4" xfId="19185" xr:uid="{00000000-0005-0000-0000-00000E480000}"/>
    <cellStyle name="SAPBEXinputData 4 2 2 2 2 4 2" xfId="27404" xr:uid="{AA3AD6B9-70D7-4140-B915-622673FACF15}"/>
    <cellStyle name="SAPBEXinputData 4 2 2 2 2 4 2 2" xfId="42364" xr:uid="{ABF671BD-D31F-45BB-88FC-C16AA8696D58}"/>
    <cellStyle name="SAPBEXinputData 4 2 2 2 2 4 3" xfId="34938" xr:uid="{ED802C62-F698-46E5-8410-A4C08FEBE73D}"/>
    <cellStyle name="SAPBEXinputData 4 2 2 2 2 5" xfId="19186" xr:uid="{00000000-0005-0000-0000-00000F480000}"/>
    <cellStyle name="SAPBEXinputData 4 2 2 2 2 5 2" xfId="27405" xr:uid="{91CF5218-F134-4709-8633-FD3A2BE32DF2}"/>
    <cellStyle name="SAPBEXinputData 4 2 2 2 2 5 2 2" xfId="42365" xr:uid="{BC350CA6-035A-4A4A-A99E-C97AD2B6D87D}"/>
    <cellStyle name="SAPBEXinputData 4 2 2 2 2 5 3" xfId="34939" xr:uid="{68275ACB-72E4-4ACD-9069-D9260DEAE7E9}"/>
    <cellStyle name="SAPBEXinputData 4 2 2 2 2 6" xfId="19187" xr:uid="{00000000-0005-0000-0000-000010480000}"/>
    <cellStyle name="SAPBEXinputData 4 2 2 2 3" xfId="19188" xr:uid="{00000000-0005-0000-0000-000011480000}"/>
    <cellStyle name="SAPBEXinputData 4 2 2 2 3 2" xfId="19189" xr:uid="{00000000-0005-0000-0000-000012480000}"/>
    <cellStyle name="SAPBEXinputData 4 2 2 2 3 2 2" xfId="19190" xr:uid="{00000000-0005-0000-0000-000013480000}"/>
    <cellStyle name="SAPBEXinputData 4 2 2 2 3 2 3" xfId="19191" xr:uid="{00000000-0005-0000-0000-000014480000}"/>
    <cellStyle name="SAPBEXinputData 4 2 2 2 3 3" xfId="19192" xr:uid="{00000000-0005-0000-0000-000015480000}"/>
    <cellStyle name="SAPBEXinputData 4 2 2 2 3 3 2" xfId="19193" xr:uid="{00000000-0005-0000-0000-000016480000}"/>
    <cellStyle name="SAPBEXinputData 4 2 2 2 3 3 3" xfId="27406" xr:uid="{28C98F17-E58A-42E1-8E52-ABF48B8CF475}"/>
    <cellStyle name="SAPBEXinputData 4 2 2 2 3 3 3 2" xfId="42366" xr:uid="{D5552FCE-F26A-41F4-973F-B21E2D364056}"/>
    <cellStyle name="SAPBEXinputData 4 2 2 2 3 3 4" xfId="34940" xr:uid="{B69FDD1E-C4C3-419B-A936-644D02FE10DC}"/>
    <cellStyle name="SAPBEXinputData 4 2 2 2 3 4" xfId="19194" xr:uid="{00000000-0005-0000-0000-000017480000}"/>
    <cellStyle name="SAPBEXinputData 4 2 2 2 4" xfId="19195" xr:uid="{00000000-0005-0000-0000-000018480000}"/>
    <cellStyle name="SAPBEXinputData 4 2 2 2 4 2" xfId="19196" xr:uid="{00000000-0005-0000-0000-000019480000}"/>
    <cellStyle name="SAPBEXinputData 4 2 2 2 4 3" xfId="19197" xr:uid="{00000000-0005-0000-0000-00001A480000}"/>
    <cellStyle name="SAPBEXinputData 4 2 2 2 5" xfId="19198" xr:uid="{00000000-0005-0000-0000-00001B480000}"/>
    <cellStyle name="SAPBEXinputData 4 2 2 2 6" xfId="19199" xr:uid="{00000000-0005-0000-0000-00001C480000}"/>
    <cellStyle name="SAPBEXinputData 4 2 2 2 6 2" xfId="27407" xr:uid="{8EDFE7F0-928D-446B-82EE-1930B5817D95}"/>
    <cellStyle name="SAPBEXinputData 4 2 2 2 6 2 2" xfId="42367" xr:uid="{A16789F9-40B9-43A4-B4E6-9503C3537842}"/>
    <cellStyle name="SAPBEXinputData 4 2 2 2 6 3" xfId="34941" xr:uid="{52E3BC58-E3B2-4B0D-9A2D-F0C8DC1BDF66}"/>
    <cellStyle name="SAPBEXinputData 4 2 2 2 7" xfId="19200" xr:uid="{00000000-0005-0000-0000-00001D480000}"/>
    <cellStyle name="SAPBEXinputData 4 2 2 2 7 2" xfId="27408" xr:uid="{6D69D2EC-FFC2-4D73-A323-D9E8EC23A768}"/>
    <cellStyle name="SAPBEXinputData 4 2 2 2 7 2 2" xfId="42368" xr:uid="{34FBB4F6-4FBB-47E9-B465-42A0B89E1171}"/>
    <cellStyle name="SAPBEXinputData 4 2 2 2 7 3" xfId="34942" xr:uid="{B6CB5DDA-62EC-47AA-8543-F507ECD92617}"/>
    <cellStyle name="SAPBEXinputData 4 2 2 2 8" xfId="19201" xr:uid="{00000000-0005-0000-0000-00001E480000}"/>
    <cellStyle name="SAPBEXinputData 4 2 2 3" xfId="19202" xr:uid="{00000000-0005-0000-0000-00001F480000}"/>
    <cellStyle name="SAPBEXinputData 4 2 2 3 2" xfId="19203" xr:uid="{00000000-0005-0000-0000-000020480000}"/>
    <cellStyle name="SAPBEXinputData 4 2 2 3 2 2" xfId="19204" xr:uid="{00000000-0005-0000-0000-000021480000}"/>
    <cellStyle name="SAPBEXinputData 4 2 2 3 2 3" xfId="19205" xr:uid="{00000000-0005-0000-0000-000022480000}"/>
    <cellStyle name="SAPBEXinputData 4 2 2 3 3" xfId="19206" xr:uid="{00000000-0005-0000-0000-000023480000}"/>
    <cellStyle name="SAPBEXinputData 4 2 2 3 4" xfId="19207" xr:uid="{00000000-0005-0000-0000-000024480000}"/>
    <cellStyle name="SAPBEXinputData 4 2 2 3 4 2" xfId="27409" xr:uid="{461BA89A-7A5E-4442-9C09-6B4A25369BF3}"/>
    <cellStyle name="SAPBEXinputData 4 2 2 3 4 2 2" xfId="42369" xr:uid="{C2F38550-DE02-4019-97F7-C363DB4D141C}"/>
    <cellStyle name="SAPBEXinputData 4 2 2 3 4 3" xfId="34943" xr:uid="{A23693ED-D4EC-488F-AED2-84BE01C399A6}"/>
    <cellStyle name="SAPBEXinputData 4 2 2 3 5" xfId="19208" xr:uid="{00000000-0005-0000-0000-000025480000}"/>
    <cellStyle name="SAPBEXinputData 4 2 2 3 5 2" xfId="27410" xr:uid="{6F962F4C-8F97-4693-81B2-CF11200558A2}"/>
    <cellStyle name="SAPBEXinputData 4 2 2 3 5 2 2" xfId="42370" xr:uid="{E806998C-AB56-4130-A053-28D2EA8CA009}"/>
    <cellStyle name="SAPBEXinputData 4 2 2 3 5 3" xfId="34944" xr:uid="{BAA23244-8CA5-4CEC-AA8E-797653D9FB89}"/>
    <cellStyle name="SAPBEXinputData 4 2 2 3 6" xfId="19209" xr:uid="{00000000-0005-0000-0000-000026480000}"/>
    <cellStyle name="SAPBEXinputData 4 2 2 4" xfId="19210" xr:uid="{00000000-0005-0000-0000-000027480000}"/>
    <cellStyle name="SAPBEXinputData 4 2 2 4 2" xfId="19211" xr:uid="{00000000-0005-0000-0000-000028480000}"/>
    <cellStyle name="SAPBEXinputData 4 2 2 4 2 2" xfId="19212" xr:uid="{00000000-0005-0000-0000-000029480000}"/>
    <cellStyle name="SAPBEXinputData 4 2 2 4 2 3" xfId="19213" xr:uid="{00000000-0005-0000-0000-00002A480000}"/>
    <cellStyle name="SAPBEXinputData 4 2 2 4 3" xfId="19214" xr:uid="{00000000-0005-0000-0000-00002B480000}"/>
    <cellStyle name="SAPBEXinputData 4 2 2 4 3 2" xfId="19215" xr:uid="{00000000-0005-0000-0000-00002C480000}"/>
    <cellStyle name="SAPBEXinputData 4 2 2 4 3 3" xfId="27411" xr:uid="{ABC7615B-D05A-4870-A5C9-A1BA1A61AA3E}"/>
    <cellStyle name="SAPBEXinputData 4 2 2 4 3 3 2" xfId="42371" xr:uid="{78C93606-1799-4055-8F6A-6F8A57C3CAC9}"/>
    <cellStyle name="SAPBEXinputData 4 2 2 4 3 4" xfId="34945" xr:uid="{0A5A3287-C3A6-4C2D-9F03-AC5CCA3C5D2A}"/>
    <cellStyle name="SAPBEXinputData 4 2 2 4 4" xfId="19216" xr:uid="{00000000-0005-0000-0000-00002D480000}"/>
    <cellStyle name="SAPBEXinputData 4 2 2 5" xfId="19217" xr:uid="{00000000-0005-0000-0000-00002E480000}"/>
    <cellStyle name="SAPBEXinputData 4 2 2 5 2" xfId="19218" xr:uid="{00000000-0005-0000-0000-00002F480000}"/>
    <cellStyle name="SAPBEXinputData 4 2 2 5 3" xfId="19219" xr:uid="{00000000-0005-0000-0000-000030480000}"/>
    <cellStyle name="SAPBEXinputData 4 2 2 6" xfId="19220" xr:uid="{00000000-0005-0000-0000-000031480000}"/>
    <cellStyle name="SAPBEXinputData 4 2 2 7" xfId="19221" xr:uid="{00000000-0005-0000-0000-000032480000}"/>
    <cellStyle name="SAPBEXinputData 4 2 2 7 2" xfId="27412" xr:uid="{C4263A86-1446-4513-A981-6CA285DA70C5}"/>
    <cellStyle name="SAPBEXinputData 4 2 2 7 2 2" xfId="42372" xr:uid="{6A3C33A8-ECF3-4E38-885A-06E5541D210D}"/>
    <cellStyle name="SAPBEXinputData 4 2 2 7 3" xfId="34946" xr:uid="{81F53D8A-836F-40A8-A3AF-29101403FEEE}"/>
    <cellStyle name="SAPBEXinputData 4 2 2 8" xfId="19222" xr:uid="{00000000-0005-0000-0000-000033480000}"/>
    <cellStyle name="SAPBEXinputData 4 2 2 8 2" xfId="27413" xr:uid="{D1D7EB12-AB90-4225-B86F-E541C214C10F}"/>
    <cellStyle name="SAPBEXinputData 4 2 2 8 2 2" xfId="42373" xr:uid="{71F08160-B624-4EA8-BD36-8E5A96B707D5}"/>
    <cellStyle name="SAPBEXinputData 4 2 2 8 3" xfId="34947" xr:uid="{48280464-3942-4586-B90D-C24AD68B8B3D}"/>
    <cellStyle name="SAPBEXinputData 4 2 2 9" xfId="19223" xr:uid="{00000000-0005-0000-0000-000034480000}"/>
    <cellStyle name="SAPBEXinputData 4 2 3" xfId="19224" xr:uid="{00000000-0005-0000-0000-000035480000}"/>
    <cellStyle name="SAPBEXinputData 4 2 3 2" xfId="19225" xr:uid="{00000000-0005-0000-0000-000036480000}"/>
    <cellStyle name="SAPBEXinputData 4 2 3 2 2" xfId="19226" xr:uid="{00000000-0005-0000-0000-000037480000}"/>
    <cellStyle name="SAPBEXinputData 4 2 3 2 2 2" xfId="19227" xr:uid="{00000000-0005-0000-0000-000038480000}"/>
    <cellStyle name="SAPBEXinputData 4 2 3 2 2 3" xfId="19228" xr:uid="{00000000-0005-0000-0000-000039480000}"/>
    <cellStyle name="SAPBEXinputData 4 2 3 2 3" xfId="19229" xr:uid="{00000000-0005-0000-0000-00003A480000}"/>
    <cellStyle name="SAPBEXinputData 4 2 3 2 4" xfId="19230" xr:uid="{00000000-0005-0000-0000-00003B480000}"/>
    <cellStyle name="SAPBEXinputData 4 2 3 2 4 2" xfId="27414" xr:uid="{69D377A3-11C0-4363-BDA7-BDAF831BBD35}"/>
    <cellStyle name="SAPBEXinputData 4 2 3 2 4 2 2" xfId="42374" xr:uid="{99903DE3-C73F-4079-AC86-4D883D183DF3}"/>
    <cellStyle name="SAPBEXinputData 4 2 3 2 4 3" xfId="34948" xr:uid="{4C059C3B-41DE-4847-98A3-A84E045D9AB6}"/>
    <cellStyle name="SAPBEXinputData 4 2 3 2 5" xfId="19231" xr:uid="{00000000-0005-0000-0000-00003C480000}"/>
    <cellStyle name="SAPBEXinputData 4 2 3 2 5 2" xfId="27415" xr:uid="{214EB852-DFBA-43DC-8E44-EB1CC7D83BF3}"/>
    <cellStyle name="SAPBEXinputData 4 2 3 2 5 2 2" xfId="42375" xr:uid="{DEBABC7F-904F-4991-BEEA-7F168D44C4D2}"/>
    <cellStyle name="SAPBEXinputData 4 2 3 2 5 3" xfId="34949" xr:uid="{8C0AA026-4F27-4F81-9371-DEE6B9C8EE27}"/>
    <cellStyle name="SAPBEXinputData 4 2 3 2 6" xfId="19232" xr:uid="{00000000-0005-0000-0000-00003D480000}"/>
    <cellStyle name="SAPBEXinputData 4 2 3 3" xfId="19233" xr:uid="{00000000-0005-0000-0000-00003E480000}"/>
    <cellStyle name="SAPBEXinputData 4 2 3 3 2" xfId="19234" xr:uid="{00000000-0005-0000-0000-00003F480000}"/>
    <cellStyle name="SAPBEXinputData 4 2 3 3 2 2" xfId="19235" xr:uid="{00000000-0005-0000-0000-000040480000}"/>
    <cellStyle name="SAPBEXinputData 4 2 3 3 2 3" xfId="19236" xr:uid="{00000000-0005-0000-0000-000041480000}"/>
    <cellStyle name="SAPBEXinputData 4 2 3 3 3" xfId="19237" xr:uid="{00000000-0005-0000-0000-000042480000}"/>
    <cellStyle name="SAPBEXinputData 4 2 3 3 3 2" xfId="19238" xr:uid="{00000000-0005-0000-0000-000043480000}"/>
    <cellStyle name="SAPBEXinputData 4 2 3 3 3 3" xfId="27416" xr:uid="{936067B7-1037-4E82-8779-6B9A72665E70}"/>
    <cellStyle name="SAPBEXinputData 4 2 3 3 3 3 2" xfId="42376" xr:uid="{B3E08EC9-7517-4671-804E-C9A89E217B6E}"/>
    <cellStyle name="SAPBEXinputData 4 2 3 3 3 4" xfId="34950" xr:uid="{0E7E4E40-EAA3-4AC3-B9BA-CBD98B3CFA59}"/>
    <cellStyle name="SAPBEXinputData 4 2 3 3 4" xfId="19239" xr:uid="{00000000-0005-0000-0000-000044480000}"/>
    <cellStyle name="SAPBEXinputData 4 2 3 4" xfId="19240" xr:uid="{00000000-0005-0000-0000-000045480000}"/>
    <cellStyle name="SAPBEXinputData 4 2 3 4 2" xfId="19241" xr:uid="{00000000-0005-0000-0000-000046480000}"/>
    <cellStyle name="SAPBEXinputData 4 2 3 4 3" xfId="19242" xr:uid="{00000000-0005-0000-0000-000047480000}"/>
    <cellStyle name="SAPBEXinputData 4 2 3 5" xfId="19243" xr:uid="{00000000-0005-0000-0000-000048480000}"/>
    <cellStyle name="SAPBEXinputData 4 2 3 6" xfId="19244" xr:uid="{00000000-0005-0000-0000-000049480000}"/>
    <cellStyle name="SAPBEXinputData 4 2 3 6 2" xfId="27417" xr:uid="{E44FFEBE-38C7-4E18-8D33-A46E4AB8550E}"/>
    <cellStyle name="SAPBEXinputData 4 2 3 6 2 2" xfId="42377" xr:uid="{818C299C-1940-4CF2-9057-1DF0153E4B3D}"/>
    <cellStyle name="SAPBEXinputData 4 2 3 6 3" xfId="34951" xr:uid="{2008F39D-DCB9-47DD-A9C4-E93BB430F56F}"/>
    <cellStyle name="SAPBEXinputData 4 2 3 7" xfId="19245" xr:uid="{00000000-0005-0000-0000-00004A480000}"/>
    <cellStyle name="SAPBEXinputData 4 2 3 7 2" xfId="27418" xr:uid="{2CF64D5A-7893-4738-B5FC-8BF8D19D7BE6}"/>
    <cellStyle name="SAPBEXinputData 4 2 3 7 2 2" xfId="42378" xr:uid="{555FA748-49E3-4B05-9421-56ECF5D22034}"/>
    <cellStyle name="SAPBEXinputData 4 2 3 7 3" xfId="34952" xr:uid="{F4097E9B-58C2-4296-8DB0-5C7DFA376A8A}"/>
    <cellStyle name="SAPBEXinputData 4 2 3 8" xfId="19246" xr:uid="{00000000-0005-0000-0000-00004B480000}"/>
    <cellStyle name="SAPBEXinputData 4 2 4" xfId="19247" xr:uid="{00000000-0005-0000-0000-00004C480000}"/>
    <cellStyle name="SAPBEXinputData 4 2 4 2" xfId="19248" xr:uid="{00000000-0005-0000-0000-00004D480000}"/>
    <cellStyle name="SAPBEXinputData 4 2 4 2 2" xfId="19249" xr:uid="{00000000-0005-0000-0000-00004E480000}"/>
    <cellStyle name="SAPBEXinputData 4 2 4 2 3" xfId="19250" xr:uid="{00000000-0005-0000-0000-00004F480000}"/>
    <cellStyle name="SAPBEXinputData 4 2 4 2 3 2" xfId="27419" xr:uid="{6E1F5D74-B7BE-4F89-8399-81BBD3F604AF}"/>
    <cellStyle name="SAPBEXinputData 4 2 4 2 3 2 2" xfId="42379" xr:uid="{5939B7F0-CAC5-45A5-8F7B-D05578DDB2E2}"/>
    <cellStyle name="SAPBEXinputData 4 2 4 2 3 3" xfId="34953" xr:uid="{B353D98D-1833-4E22-ACB6-6078165D5F94}"/>
    <cellStyle name="SAPBEXinputData 4 2 4 2 4" xfId="19251" xr:uid="{00000000-0005-0000-0000-000050480000}"/>
    <cellStyle name="SAPBEXinputData 4 2 4 3" xfId="19252" xr:uid="{00000000-0005-0000-0000-000051480000}"/>
    <cellStyle name="SAPBEXinputData 4 2 4 4" xfId="19253" xr:uid="{00000000-0005-0000-0000-000052480000}"/>
    <cellStyle name="SAPBEXinputData 4 2 4 4 2" xfId="27420" xr:uid="{11C88013-B651-4D62-9622-9B2F59F4E7E0}"/>
    <cellStyle name="SAPBEXinputData 4 2 4 4 2 2" xfId="42380" xr:uid="{20090E93-4CB6-4719-870D-6A4CE5C1BC18}"/>
    <cellStyle name="SAPBEXinputData 4 2 4 4 3" xfId="34954" xr:uid="{FCF4A193-1D2B-4E8A-BFF0-432E7CAF4BDE}"/>
    <cellStyle name="SAPBEXinputData 4 2 4 5" xfId="19254" xr:uid="{00000000-0005-0000-0000-000053480000}"/>
    <cellStyle name="SAPBEXinputData 4 2 4 5 2" xfId="27421" xr:uid="{6EBE24A9-47FF-4244-ACA1-F6581544A5CC}"/>
    <cellStyle name="SAPBEXinputData 4 2 4 5 2 2" xfId="42381" xr:uid="{8722454B-9327-432F-8D1A-5125A4FDB96C}"/>
    <cellStyle name="SAPBEXinputData 4 2 4 5 3" xfId="34955" xr:uid="{9D1B26D3-8877-40C2-81B2-CAB3827FF4A9}"/>
    <cellStyle name="SAPBEXinputData 4 2 4 6" xfId="19255" xr:uid="{00000000-0005-0000-0000-000054480000}"/>
    <cellStyle name="SAPBEXinputData 4 2 5" xfId="19256" xr:uid="{00000000-0005-0000-0000-000055480000}"/>
    <cellStyle name="SAPBEXinputData 4 2 5 2" xfId="19257" xr:uid="{00000000-0005-0000-0000-000056480000}"/>
    <cellStyle name="SAPBEXinputData 4 2 5 2 2" xfId="19258" xr:uid="{00000000-0005-0000-0000-000057480000}"/>
    <cellStyle name="SAPBEXinputData 4 2 5 2 3" xfId="19259" xr:uid="{00000000-0005-0000-0000-000058480000}"/>
    <cellStyle name="SAPBEXinputData 4 2 5 3" xfId="19260" xr:uid="{00000000-0005-0000-0000-000059480000}"/>
    <cellStyle name="SAPBEXinputData 4 2 5 4" xfId="19261" xr:uid="{00000000-0005-0000-0000-00005A480000}"/>
    <cellStyle name="SAPBEXinputData 4 2 5 4 2" xfId="27422" xr:uid="{3D7D9EF6-190B-4C57-8928-76FB2096D629}"/>
    <cellStyle name="SAPBEXinputData 4 2 5 4 2 2" xfId="42382" xr:uid="{62EB137D-C2D7-4C63-9288-03E358C9B1ED}"/>
    <cellStyle name="SAPBEXinputData 4 2 5 4 3" xfId="34956" xr:uid="{EC69DE83-375A-4D1D-A6D1-1D2EF1126A77}"/>
    <cellStyle name="SAPBEXinputData 4 2 5 5" xfId="19262" xr:uid="{00000000-0005-0000-0000-00005B480000}"/>
    <cellStyle name="SAPBEXinputData 4 2 5 5 2" xfId="27423" xr:uid="{F861F330-BB05-48B2-B015-A3020CCD20F6}"/>
    <cellStyle name="SAPBEXinputData 4 2 5 5 2 2" xfId="42383" xr:uid="{105BD56E-210D-4D42-941D-5725E9649C21}"/>
    <cellStyle name="SAPBEXinputData 4 2 5 5 3" xfId="34957" xr:uid="{C5C0EE83-416F-4952-AD6C-BB1DC4D6161F}"/>
    <cellStyle name="SAPBEXinputData 4 2 5 6" xfId="19263" xr:uid="{00000000-0005-0000-0000-00005C480000}"/>
    <cellStyle name="SAPBEXinputData 4 2 6" xfId="19264" xr:uid="{00000000-0005-0000-0000-00005D480000}"/>
    <cellStyle name="SAPBEXinputData 4 2 6 2" xfId="19265" xr:uid="{00000000-0005-0000-0000-00005E480000}"/>
    <cellStyle name="SAPBEXinputData 4 2 6 3" xfId="19266" xr:uid="{00000000-0005-0000-0000-00005F480000}"/>
    <cellStyle name="SAPBEXinputData 4 2 7" xfId="19267" xr:uid="{00000000-0005-0000-0000-000060480000}"/>
    <cellStyle name="SAPBEXinputData 4 2 8" xfId="19268" xr:uid="{00000000-0005-0000-0000-000061480000}"/>
    <cellStyle name="SAPBEXinputData 4 2 8 2" xfId="27424" xr:uid="{031DFA19-296D-4DE2-9F9F-A687F9C79530}"/>
    <cellStyle name="SAPBEXinputData 4 2 8 2 2" xfId="42384" xr:uid="{818BB34B-DCCD-4EDC-9C93-C3447FE0A94C}"/>
    <cellStyle name="SAPBEXinputData 4 2 8 3" xfId="34958" xr:uid="{4974DCCF-3E41-434D-AF18-20E7996AE380}"/>
    <cellStyle name="SAPBEXinputData 4 2 9" xfId="19269" xr:uid="{00000000-0005-0000-0000-000062480000}"/>
    <cellStyle name="SAPBEXinputData 4 2 9 2" xfId="27425" xr:uid="{B13F3614-13B9-4E67-80CF-00DEFB788AC2}"/>
    <cellStyle name="SAPBEXinputData 4 2 9 2 2" xfId="42385" xr:uid="{0F2C7173-EC21-4AF5-B876-6E600A0E3365}"/>
    <cellStyle name="SAPBEXinputData 4 2 9 3" xfId="34959" xr:uid="{2C93E2F1-7D0B-4A0D-843A-87BA179CBECB}"/>
    <cellStyle name="SAPBEXinputData 4 3" xfId="19270" xr:uid="{00000000-0005-0000-0000-000063480000}"/>
    <cellStyle name="SAPBEXinputData 4 3 2" xfId="19271" xr:uid="{00000000-0005-0000-0000-000064480000}"/>
    <cellStyle name="SAPBEXinputData 4 3 2 2" xfId="19272" xr:uid="{00000000-0005-0000-0000-000065480000}"/>
    <cellStyle name="SAPBEXinputData 4 3 2 2 2" xfId="19273" xr:uid="{00000000-0005-0000-0000-000066480000}"/>
    <cellStyle name="SAPBEXinputData 4 3 2 2 2 2" xfId="19274" xr:uid="{00000000-0005-0000-0000-000067480000}"/>
    <cellStyle name="SAPBEXinputData 4 3 2 2 2 3" xfId="19275" xr:uid="{00000000-0005-0000-0000-000068480000}"/>
    <cellStyle name="SAPBEXinputData 4 3 2 2 3" xfId="19276" xr:uid="{00000000-0005-0000-0000-000069480000}"/>
    <cellStyle name="SAPBEXinputData 4 3 2 2 4" xfId="19277" xr:uid="{00000000-0005-0000-0000-00006A480000}"/>
    <cellStyle name="SAPBEXinputData 4 3 2 2 4 2" xfId="27426" xr:uid="{22E6CA6C-7F68-4404-BFB8-15E196BAACA3}"/>
    <cellStyle name="SAPBEXinputData 4 3 2 2 4 2 2" xfId="42386" xr:uid="{50CC9BE1-090C-4FB5-8FA5-727165D15330}"/>
    <cellStyle name="SAPBEXinputData 4 3 2 2 4 3" xfId="34960" xr:uid="{E09159CE-520F-4905-96BF-5E73323DE930}"/>
    <cellStyle name="SAPBEXinputData 4 3 2 2 5" xfId="19278" xr:uid="{00000000-0005-0000-0000-00006B480000}"/>
    <cellStyle name="SAPBEXinputData 4 3 2 2 5 2" xfId="27427" xr:uid="{F0294BD3-6F96-4331-B7E6-8F61B170ED9A}"/>
    <cellStyle name="SAPBEXinputData 4 3 2 2 5 2 2" xfId="42387" xr:uid="{7A24974B-8F1C-45B5-BB03-34F390235C18}"/>
    <cellStyle name="SAPBEXinputData 4 3 2 2 5 3" xfId="34961" xr:uid="{BEBA3E71-38E9-4BC7-83E9-7373C5B29F8C}"/>
    <cellStyle name="SAPBEXinputData 4 3 2 2 6" xfId="19279" xr:uid="{00000000-0005-0000-0000-00006C480000}"/>
    <cellStyle name="SAPBEXinputData 4 3 2 3" xfId="19280" xr:uid="{00000000-0005-0000-0000-00006D480000}"/>
    <cellStyle name="SAPBEXinputData 4 3 2 3 2" xfId="19281" xr:uid="{00000000-0005-0000-0000-00006E480000}"/>
    <cellStyle name="SAPBEXinputData 4 3 2 3 2 2" xfId="19282" xr:uid="{00000000-0005-0000-0000-00006F480000}"/>
    <cellStyle name="SAPBEXinputData 4 3 2 3 2 3" xfId="19283" xr:uid="{00000000-0005-0000-0000-000070480000}"/>
    <cellStyle name="SAPBEXinputData 4 3 2 3 3" xfId="19284" xr:uid="{00000000-0005-0000-0000-000071480000}"/>
    <cellStyle name="SAPBEXinputData 4 3 2 3 3 2" xfId="19285" xr:uid="{00000000-0005-0000-0000-000072480000}"/>
    <cellStyle name="SAPBEXinputData 4 3 2 3 3 3" xfId="27428" xr:uid="{B7C47E30-EB8E-4232-AB66-F3D8B06BB075}"/>
    <cellStyle name="SAPBEXinputData 4 3 2 3 3 3 2" xfId="42388" xr:uid="{C67AEE36-7FC3-4961-80A1-3DFFA7544551}"/>
    <cellStyle name="SAPBEXinputData 4 3 2 3 3 4" xfId="34962" xr:uid="{40D69719-DE31-4BB1-A25A-0AD503A4F84E}"/>
    <cellStyle name="SAPBEXinputData 4 3 2 3 4" xfId="19286" xr:uid="{00000000-0005-0000-0000-000073480000}"/>
    <cellStyle name="SAPBEXinputData 4 3 2 4" xfId="19287" xr:uid="{00000000-0005-0000-0000-000074480000}"/>
    <cellStyle name="SAPBEXinputData 4 3 2 4 2" xfId="19288" xr:uid="{00000000-0005-0000-0000-000075480000}"/>
    <cellStyle name="SAPBEXinputData 4 3 2 4 3" xfId="19289" xr:uid="{00000000-0005-0000-0000-000076480000}"/>
    <cellStyle name="SAPBEXinputData 4 3 2 5" xfId="19290" xr:uid="{00000000-0005-0000-0000-000077480000}"/>
    <cellStyle name="SAPBEXinputData 4 3 2 6" xfId="19291" xr:uid="{00000000-0005-0000-0000-000078480000}"/>
    <cellStyle name="SAPBEXinputData 4 3 2 6 2" xfId="27429" xr:uid="{F00C515A-55C5-4773-B3FA-7C529BEA856A}"/>
    <cellStyle name="SAPBEXinputData 4 3 2 6 2 2" xfId="42389" xr:uid="{892B6D87-BED2-43D7-84BF-239D1D99F289}"/>
    <cellStyle name="SAPBEXinputData 4 3 2 6 3" xfId="34963" xr:uid="{11B407DA-A1F7-4A40-88C7-EEA962A731D2}"/>
    <cellStyle name="SAPBEXinputData 4 3 2 7" xfId="19292" xr:uid="{00000000-0005-0000-0000-000079480000}"/>
    <cellStyle name="SAPBEXinputData 4 3 2 7 2" xfId="27430" xr:uid="{9A2DEE4D-C125-4759-ABD6-060F75461719}"/>
    <cellStyle name="SAPBEXinputData 4 3 2 7 2 2" xfId="42390" xr:uid="{D8D486C3-B078-4088-8393-BC6CDFBA0697}"/>
    <cellStyle name="SAPBEXinputData 4 3 2 7 3" xfId="34964" xr:uid="{51E207FB-73E3-472B-B48E-267EB67EC37F}"/>
    <cellStyle name="SAPBEXinputData 4 3 2 8" xfId="19293" xr:uid="{00000000-0005-0000-0000-00007A480000}"/>
    <cellStyle name="SAPBEXinputData 4 3 3" xfId="19294" xr:uid="{00000000-0005-0000-0000-00007B480000}"/>
    <cellStyle name="SAPBEXinputData 4 3 3 2" xfId="19295" xr:uid="{00000000-0005-0000-0000-00007C480000}"/>
    <cellStyle name="SAPBEXinputData 4 3 3 2 2" xfId="19296" xr:uid="{00000000-0005-0000-0000-00007D480000}"/>
    <cellStyle name="SAPBEXinputData 4 3 3 2 3" xfId="19297" xr:uid="{00000000-0005-0000-0000-00007E480000}"/>
    <cellStyle name="SAPBEXinputData 4 3 3 3" xfId="19298" xr:uid="{00000000-0005-0000-0000-00007F480000}"/>
    <cellStyle name="SAPBEXinputData 4 3 3 4" xfId="19299" xr:uid="{00000000-0005-0000-0000-000080480000}"/>
    <cellStyle name="SAPBEXinputData 4 3 3 4 2" xfId="27431" xr:uid="{98404937-08A0-4F49-A1BD-30B0CD5D32EE}"/>
    <cellStyle name="SAPBEXinputData 4 3 3 4 2 2" xfId="42391" xr:uid="{4A702E91-1622-42E0-99D4-FC96DD1B9DE5}"/>
    <cellStyle name="SAPBEXinputData 4 3 3 4 3" xfId="34965" xr:uid="{83A73365-0F55-45B6-889C-746EA3940FB3}"/>
    <cellStyle name="SAPBEXinputData 4 3 3 5" xfId="19300" xr:uid="{00000000-0005-0000-0000-000081480000}"/>
    <cellStyle name="SAPBEXinputData 4 3 3 5 2" xfId="27432" xr:uid="{DC859708-96CF-45AD-865D-72D3C58FC259}"/>
    <cellStyle name="SAPBEXinputData 4 3 3 5 2 2" xfId="42392" xr:uid="{ECF52EA6-C4A3-452E-8D4F-87B6B85D6583}"/>
    <cellStyle name="SAPBEXinputData 4 3 3 5 3" xfId="34966" xr:uid="{ED1F166B-50D1-4ACB-8399-310DEFC47B7A}"/>
    <cellStyle name="SAPBEXinputData 4 3 3 6" xfId="19301" xr:uid="{00000000-0005-0000-0000-000082480000}"/>
    <cellStyle name="SAPBEXinputData 4 3 4" xfId="19302" xr:uid="{00000000-0005-0000-0000-000083480000}"/>
    <cellStyle name="SAPBEXinputData 4 3 4 2" xfId="19303" xr:uid="{00000000-0005-0000-0000-000084480000}"/>
    <cellStyle name="SAPBEXinputData 4 3 4 2 2" xfId="19304" xr:uid="{00000000-0005-0000-0000-000085480000}"/>
    <cellStyle name="SAPBEXinputData 4 3 4 2 3" xfId="19305" xr:uid="{00000000-0005-0000-0000-000086480000}"/>
    <cellStyle name="SAPBEXinputData 4 3 4 3" xfId="19306" xr:uid="{00000000-0005-0000-0000-000087480000}"/>
    <cellStyle name="SAPBEXinputData 4 3 4 3 2" xfId="19307" xr:uid="{00000000-0005-0000-0000-000088480000}"/>
    <cellStyle name="SAPBEXinputData 4 3 4 3 3" xfId="27433" xr:uid="{0FD407F4-C2AC-46C6-9CEC-D8A5AA986077}"/>
    <cellStyle name="SAPBEXinputData 4 3 4 3 3 2" xfId="42393" xr:uid="{F82DBCF0-168D-4712-A744-1B1EED7E1245}"/>
    <cellStyle name="SAPBEXinputData 4 3 4 3 4" xfId="34967" xr:uid="{91495559-3C94-43D3-A719-B1E5DBBB56A5}"/>
    <cellStyle name="SAPBEXinputData 4 3 4 4" xfId="19308" xr:uid="{00000000-0005-0000-0000-000089480000}"/>
    <cellStyle name="SAPBEXinputData 4 3 5" xfId="19309" xr:uid="{00000000-0005-0000-0000-00008A480000}"/>
    <cellStyle name="SAPBEXinputData 4 3 5 2" xfId="19310" xr:uid="{00000000-0005-0000-0000-00008B480000}"/>
    <cellStyle name="SAPBEXinputData 4 3 5 3" xfId="19311" xr:uid="{00000000-0005-0000-0000-00008C480000}"/>
    <cellStyle name="SAPBEXinputData 4 3 6" xfId="19312" xr:uid="{00000000-0005-0000-0000-00008D480000}"/>
    <cellStyle name="SAPBEXinputData 4 3 7" xfId="19313" xr:uid="{00000000-0005-0000-0000-00008E480000}"/>
    <cellStyle name="SAPBEXinputData 4 3 7 2" xfId="27434" xr:uid="{78DA83C1-1C95-4E8A-BA26-367A2A1B3F47}"/>
    <cellStyle name="SAPBEXinputData 4 3 7 2 2" xfId="42394" xr:uid="{D357CAC5-B680-462A-99BD-62E6AB470965}"/>
    <cellStyle name="SAPBEXinputData 4 3 7 3" xfId="34968" xr:uid="{108AFA0B-3DE9-4DCF-8312-0AA39B45BC00}"/>
    <cellStyle name="SAPBEXinputData 4 3 8" xfId="19314" xr:uid="{00000000-0005-0000-0000-00008F480000}"/>
    <cellStyle name="SAPBEXinputData 4 3 8 2" xfId="27435" xr:uid="{58FD012D-175D-4FAB-A96C-BAA3D1B8B956}"/>
    <cellStyle name="SAPBEXinputData 4 3 8 2 2" xfId="42395" xr:uid="{3DD21215-529F-4AB6-AE04-8B2A69E48E11}"/>
    <cellStyle name="SAPBEXinputData 4 3 8 3" xfId="34969" xr:uid="{4A4B0312-8AC5-4BC0-B51D-FF66B232F4A7}"/>
    <cellStyle name="SAPBEXinputData 4 3 9" xfId="19315" xr:uid="{00000000-0005-0000-0000-000090480000}"/>
    <cellStyle name="SAPBEXinputData 4 4" xfId="19316" xr:uid="{00000000-0005-0000-0000-000091480000}"/>
    <cellStyle name="SAPBEXinputData 4 4 2" xfId="19317" xr:uid="{00000000-0005-0000-0000-000092480000}"/>
    <cellStyle name="SAPBEXinputData 4 4 2 2" xfId="19318" xr:uid="{00000000-0005-0000-0000-000093480000}"/>
    <cellStyle name="SAPBEXinputData 4 4 2 2 2" xfId="19319" xr:uid="{00000000-0005-0000-0000-000094480000}"/>
    <cellStyle name="SAPBEXinputData 4 4 2 2 3" xfId="19320" xr:uid="{00000000-0005-0000-0000-000095480000}"/>
    <cellStyle name="SAPBEXinputData 4 4 2 2 3 2" xfId="27436" xr:uid="{2682D484-3B38-4CD9-AD5D-C2B70165B5A5}"/>
    <cellStyle name="SAPBEXinputData 4 4 2 2 3 2 2" xfId="42396" xr:uid="{DA6E72CB-E019-4830-B235-53F0D3D77298}"/>
    <cellStyle name="SAPBEXinputData 4 4 2 2 3 3" xfId="34970" xr:uid="{A1A968A6-1D3A-42C6-81DF-E498D3843807}"/>
    <cellStyle name="SAPBEXinputData 4 4 2 2 4" xfId="19321" xr:uid="{00000000-0005-0000-0000-000096480000}"/>
    <cellStyle name="SAPBEXinputData 4 4 2 3" xfId="19322" xr:uid="{00000000-0005-0000-0000-000097480000}"/>
    <cellStyle name="SAPBEXinputData 4 4 2 4" xfId="19323" xr:uid="{00000000-0005-0000-0000-000098480000}"/>
    <cellStyle name="SAPBEXinputData 4 4 2 4 2" xfId="27437" xr:uid="{0B923B70-B0D7-4C15-8AD3-D7449A41E788}"/>
    <cellStyle name="SAPBEXinputData 4 4 2 4 2 2" xfId="42397" xr:uid="{4EDE97C9-3BD4-4757-8C2A-40F716210591}"/>
    <cellStyle name="SAPBEXinputData 4 4 2 4 3" xfId="34971" xr:uid="{D0F5319B-14C9-4673-9E61-F9C423CBD0E4}"/>
    <cellStyle name="SAPBEXinputData 4 4 2 5" xfId="19324" xr:uid="{00000000-0005-0000-0000-000099480000}"/>
    <cellStyle name="SAPBEXinputData 4 4 2 5 2" xfId="27438" xr:uid="{41F45597-DEA2-429B-AE93-894A2844FAB0}"/>
    <cellStyle name="SAPBEXinputData 4 4 2 5 2 2" xfId="42398" xr:uid="{C7477881-0CE5-4440-AF5B-F77DEBFE72A6}"/>
    <cellStyle name="SAPBEXinputData 4 4 2 5 3" xfId="34972" xr:uid="{1A2B011F-0AEF-4370-AE06-BECF980E8CBA}"/>
    <cellStyle name="SAPBEXinputData 4 4 2 6" xfId="19325" xr:uid="{00000000-0005-0000-0000-00009A480000}"/>
    <cellStyle name="SAPBEXinputData 4 4 3" xfId="19326" xr:uid="{00000000-0005-0000-0000-00009B480000}"/>
    <cellStyle name="SAPBEXinputData 4 4 3 2" xfId="19327" xr:uid="{00000000-0005-0000-0000-00009C480000}"/>
    <cellStyle name="SAPBEXinputData 4 4 3 2 2" xfId="19328" xr:uid="{00000000-0005-0000-0000-00009D480000}"/>
    <cellStyle name="SAPBEXinputData 4 4 3 2 3" xfId="19329" xr:uid="{00000000-0005-0000-0000-00009E480000}"/>
    <cellStyle name="SAPBEXinputData 4 4 3 3" xfId="19330" xr:uid="{00000000-0005-0000-0000-00009F480000}"/>
    <cellStyle name="SAPBEXinputData 4 4 3 4" xfId="19331" xr:uid="{00000000-0005-0000-0000-0000A0480000}"/>
    <cellStyle name="SAPBEXinputData 4 4 3 4 2" xfId="27439" xr:uid="{FC900F2E-36E1-4063-97C4-BA692DA78587}"/>
    <cellStyle name="SAPBEXinputData 4 4 3 4 2 2" xfId="42399" xr:uid="{C2F4BE2D-A194-4F85-9C21-FA908068E10F}"/>
    <cellStyle name="SAPBEXinputData 4 4 3 4 3" xfId="34973" xr:uid="{D9FA585D-1E3E-41B6-839F-5A20F4D9EC0B}"/>
    <cellStyle name="SAPBEXinputData 4 4 3 5" xfId="19332" xr:uid="{00000000-0005-0000-0000-0000A1480000}"/>
    <cellStyle name="SAPBEXinputData 4 4 3 5 2" xfId="27440" xr:uid="{0A422DFE-5E2C-4867-822E-DBDD40A222BF}"/>
    <cellStyle name="SAPBEXinputData 4 4 3 5 2 2" xfId="42400" xr:uid="{757B6CD4-E01A-4692-A398-D0BBDD6741A2}"/>
    <cellStyle name="SAPBEXinputData 4 4 3 5 3" xfId="34974" xr:uid="{8DE558ED-EC9F-4762-978F-03967782F60A}"/>
    <cellStyle name="SAPBEXinputData 4 4 3 6" xfId="19333" xr:uid="{00000000-0005-0000-0000-0000A2480000}"/>
    <cellStyle name="SAPBEXinputData 4 4 4" xfId="19334" xr:uid="{00000000-0005-0000-0000-0000A3480000}"/>
    <cellStyle name="SAPBEXinputData 4 4 4 2" xfId="19335" xr:uid="{00000000-0005-0000-0000-0000A4480000}"/>
    <cellStyle name="SAPBEXinputData 4 4 4 3" xfId="19336" xr:uid="{00000000-0005-0000-0000-0000A5480000}"/>
    <cellStyle name="SAPBEXinputData 4 4 5" xfId="19337" xr:uid="{00000000-0005-0000-0000-0000A6480000}"/>
    <cellStyle name="SAPBEXinputData 4 4 6" xfId="19338" xr:uid="{00000000-0005-0000-0000-0000A7480000}"/>
    <cellStyle name="SAPBEXinputData 4 4 6 2" xfId="27441" xr:uid="{8C3CF69B-E9E2-40E1-A986-767031A89CDB}"/>
    <cellStyle name="SAPBEXinputData 4 4 6 2 2" xfId="42401" xr:uid="{D6B5B9C3-024E-4173-BF23-07C4A3367083}"/>
    <cellStyle name="SAPBEXinputData 4 4 6 3" xfId="34975" xr:uid="{CC9D80F1-11E0-4A5C-BC26-A422AABE6735}"/>
    <cellStyle name="SAPBEXinputData 4 4 7" xfId="19339" xr:uid="{00000000-0005-0000-0000-0000A8480000}"/>
    <cellStyle name="SAPBEXinputData 4 4 7 2" xfId="27442" xr:uid="{DC24B320-3C6B-4A4B-811E-DAFE05457936}"/>
    <cellStyle name="SAPBEXinputData 4 4 7 2 2" xfId="42402" xr:uid="{29854FAC-80D7-4FC2-B46E-E92415534BF0}"/>
    <cellStyle name="SAPBEXinputData 4 4 7 3" xfId="34976" xr:uid="{85C810F3-BFEA-4A7E-820B-1011BAC556CE}"/>
    <cellStyle name="SAPBEXinputData 4 4 8" xfId="19340" xr:uid="{00000000-0005-0000-0000-0000A9480000}"/>
    <cellStyle name="SAPBEXinputData 4 5" xfId="19341" xr:uid="{00000000-0005-0000-0000-0000AA480000}"/>
    <cellStyle name="SAPBEXinputData 4 5 2" xfId="19342" xr:uid="{00000000-0005-0000-0000-0000AB480000}"/>
    <cellStyle name="SAPBEXinputData 4 5 2 2" xfId="19343" xr:uid="{00000000-0005-0000-0000-0000AC480000}"/>
    <cellStyle name="SAPBEXinputData 4 5 2 3" xfId="19344" xr:uid="{00000000-0005-0000-0000-0000AD480000}"/>
    <cellStyle name="SAPBEXinputData 4 5 2 3 2" xfId="27443" xr:uid="{AB0A2022-8F10-45EA-A357-1E17EFE01B4A}"/>
    <cellStyle name="SAPBEXinputData 4 5 2 3 2 2" xfId="42403" xr:uid="{49B7DA0A-A215-46C6-8D0A-DCD1F9C3C696}"/>
    <cellStyle name="SAPBEXinputData 4 5 2 3 3" xfId="34977" xr:uid="{2A2716C4-65A1-4195-A61E-336663BE2D58}"/>
    <cellStyle name="SAPBEXinputData 4 5 2 4" xfId="19345" xr:uid="{00000000-0005-0000-0000-0000AE480000}"/>
    <cellStyle name="SAPBEXinputData 4 5 3" xfId="19346" xr:uid="{00000000-0005-0000-0000-0000AF480000}"/>
    <cellStyle name="SAPBEXinputData 4 5 4" xfId="19347" xr:uid="{00000000-0005-0000-0000-0000B0480000}"/>
    <cellStyle name="SAPBEXinputData 4 5 4 2" xfId="27444" xr:uid="{B85F282A-E897-4B7B-A9F1-27FD660E4923}"/>
    <cellStyle name="SAPBEXinputData 4 5 4 2 2" xfId="42404" xr:uid="{31B5826D-3966-4CFC-B5EC-C76C9EA8577F}"/>
    <cellStyle name="SAPBEXinputData 4 5 4 3" xfId="34978" xr:uid="{593D81BD-28C0-4C96-803B-2FC4BDA2F280}"/>
    <cellStyle name="SAPBEXinputData 4 5 5" xfId="19348" xr:uid="{00000000-0005-0000-0000-0000B1480000}"/>
    <cellStyle name="SAPBEXinputData 4 5 5 2" xfId="27445" xr:uid="{DB3610E9-8DCC-4D8A-8119-D212F6FB505D}"/>
    <cellStyle name="SAPBEXinputData 4 5 5 2 2" xfId="42405" xr:uid="{D2928964-0E72-4471-B299-5F5E316011ED}"/>
    <cellStyle name="SAPBEXinputData 4 5 5 3" xfId="34979" xr:uid="{7CD94979-BF9B-4B74-8A31-E0CEFF36EE9D}"/>
    <cellStyle name="SAPBEXinputData 4 5 6" xfId="19349" xr:uid="{00000000-0005-0000-0000-0000B2480000}"/>
    <cellStyle name="SAPBEXinputData 4 6" xfId="19350" xr:uid="{00000000-0005-0000-0000-0000B3480000}"/>
    <cellStyle name="SAPBEXinputData 4 6 2" xfId="19351" xr:uid="{00000000-0005-0000-0000-0000B4480000}"/>
    <cellStyle name="SAPBEXinputData 4 6 2 2" xfId="19352" xr:uid="{00000000-0005-0000-0000-0000B5480000}"/>
    <cellStyle name="SAPBEXinputData 4 6 2 3" xfId="19353" xr:uid="{00000000-0005-0000-0000-0000B6480000}"/>
    <cellStyle name="SAPBEXinputData 4 6 3" xfId="19354" xr:uid="{00000000-0005-0000-0000-0000B7480000}"/>
    <cellStyle name="SAPBEXinputData 4 6 4" xfId="19355" xr:uid="{00000000-0005-0000-0000-0000B8480000}"/>
    <cellStyle name="SAPBEXinputData 4 6 4 2" xfId="27446" xr:uid="{15AE88CB-14E8-4DB7-8E28-32891D40AB28}"/>
    <cellStyle name="SAPBEXinputData 4 6 4 2 2" xfId="42406" xr:uid="{B5AE8FA8-458B-48CD-834A-F2BA344626C4}"/>
    <cellStyle name="SAPBEXinputData 4 6 4 3" xfId="34980" xr:uid="{7FEBF7A1-4C23-491E-8CF0-7146A776A430}"/>
    <cellStyle name="SAPBEXinputData 4 6 5" xfId="19356" xr:uid="{00000000-0005-0000-0000-0000B9480000}"/>
    <cellStyle name="SAPBEXinputData 4 6 5 2" xfId="27447" xr:uid="{FCC66862-A2BD-4F23-8530-046A00887A3F}"/>
    <cellStyle name="SAPBEXinputData 4 6 5 2 2" xfId="42407" xr:uid="{42469F78-BAC9-4B6B-BFAE-65C32A1C62C3}"/>
    <cellStyle name="SAPBEXinputData 4 6 5 3" xfId="34981" xr:uid="{6929F1A9-9802-4DCA-B4E7-020CB9E7A862}"/>
    <cellStyle name="SAPBEXinputData 4 6 6" xfId="19357" xr:uid="{00000000-0005-0000-0000-0000BA480000}"/>
    <cellStyle name="SAPBEXinputData 4 7" xfId="19358" xr:uid="{00000000-0005-0000-0000-0000BB480000}"/>
    <cellStyle name="SAPBEXinputData 4 7 2" xfId="19359" xr:uid="{00000000-0005-0000-0000-0000BC480000}"/>
    <cellStyle name="SAPBEXinputData 4 7 3" xfId="19360" xr:uid="{00000000-0005-0000-0000-0000BD480000}"/>
    <cellStyle name="SAPBEXinputData 4 8" xfId="19361" xr:uid="{00000000-0005-0000-0000-0000BE480000}"/>
    <cellStyle name="SAPBEXinputData 4 9" xfId="19362" xr:uid="{00000000-0005-0000-0000-0000BF480000}"/>
    <cellStyle name="SAPBEXinputData 4 9 2" xfId="27448" xr:uid="{B3DA8084-376E-4F2B-80A0-C1779CB0FBFA}"/>
    <cellStyle name="SAPBEXinputData 4 9 2 2" xfId="42408" xr:uid="{43FC77FA-5BB6-4166-BE61-8B6E0543DF4D}"/>
    <cellStyle name="SAPBEXinputData 4 9 3" xfId="34982" xr:uid="{7070659F-76F6-472C-A42B-340D0E3E0989}"/>
    <cellStyle name="SAPBEXinputData 5" xfId="19363" xr:uid="{00000000-0005-0000-0000-0000C0480000}"/>
    <cellStyle name="SAPBEXinputData 5 10" xfId="19364" xr:uid="{00000000-0005-0000-0000-0000C1480000}"/>
    <cellStyle name="SAPBEXinputData 5 2" xfId="19365" xr:uid="{00000000-0005-0000-0000-0000C2480000}"/>
    <cellStyle name="SAPBEXinputData 5 2 2" xfId="19366" xr:uid="{00000000-0005-0000-0000-0000C3480000}"/>
    <cellStyle name="SAPBEXinputData 5 2 2 2" xfId="19367" xr:uid="{00000000-0005-0000-0000-0000C4480000}"/>
    <cellStyle name="SAPBEXinputData 5 2 2 2 2" xfId="19368" xr:uid="{00000000-0005-0000-0000-0000C5480000}"/>
    <cellStyle name="SAPBEXinputData 5 2 2 2 2 2" xfId="19369" xr:uid="{00000000-0005-0000-0000-0000C6480000}"/>
    <cellStyle name="SAPBEXinputData 5 2 2 2 2 3" xfId="19370" xr:uid="{00000000-0005-0000-0000-0000C7480000}"/>
    <cellStyle name="SAPBEXinputData 5 2 2 2 3" xfId="19371" xr:uid="{00000000-0005-0000-0000-0000C8480000}"/>
    <cellStyle name="SAPBEXinputData 5 2 2 2 4" xfId="19372" xr:uid="{00000000-0005-0000-0000-0000C9480000}"/>
    <cellStyle name="SAPBEXinputData 5 2 2 2 4 2" xfId="27449" xr:uid="{5FA10AD7-E938-4BE8-A460-ABECA583A6D0}"/>
    <cellStyle name="SAPBEXinputData 5 2 2 2 4 2 2" xfId="42409" xr:uid="{CB363741-DD99-4EC2-94C3-55C7BCFF7582}"/>
    <cellStyle name="SAPBEXinputData 5 2 2 2 4 3" xfId="34983" xr:uid="{63E6588E-9242-406E-A6EE-761D9DA8845F}"/>
    <cellStyle name="SAPBEXinputData 5 2 2 2 5" xfId="19373" xr:uid="{00000000-0005-0000-0000-0000CA480000}"/>
    <cellStyle name="SAPBEXinputData 5 2 2 2 5 2" xfId="27450" xr:uid="{4905A78A-5791-46A9-B263-7B00D82ADB61}"/>
    <cellStyle name="SAPBEXinputData 5 2 2 2 5 2 2" xfId="42410" xr:uid="{DF410918-8544-4E96-AF08-2D7F099FC581}"/>
    <cellStyle name="SAPBEXinputData 5 2 2 2 5 3" xfId="34984" xr:uid="{7E37A4AE-A726-4EEB-B544-F4CB45FAA019}"/>
    <cellStyle name="SAPBEXinputData 5 2 2 2 6" xfId="19374" xr:uid="{00000000-0005-0000-0000-0000CB480000}"/>
    <cellStyle name="SAPBEXinputData 5 2 2 3" xfId="19375" xr:uid="{00000000-0005-0000-0000-0000CC480000}"/>
    <cellStyle name="SAPBEXinputData 5 2 2 3 2" xfId="19376" xr:uid="{00000000-0005-0000-0000-0000CD480000}"/>
    <cellStyle name="SAPBEXinputData 5 2 2 3 2 2" xfId="19377" xr:uid="{00000000-0005-0000-0000-0000CE480000}"/>
    <cellStyle name="SAPBEXinputData 5 2 2 3 2 3" xfId="19378" xr:uid="{00000000-0005-0000-0000-0000CF480000}"/>
    <cellStyle name="SAPBEXinputData 5 2 2 3 3" xfId="19379" xr:uid="{00000000-0005-0000-0000-0000D0480000}"/>
    <cellStyle name="SAPBEXinputData 5 2 2 3 3 2" xfId="19380" xr:uid="{00000000-0005-0000-0000-0000D1480000}"/>
    <cellStyle name="SAPBEXinputData 5 2 2 3 3 3" xfId="27451" xr:uid="{D9347F29-ED08-4A0A-B5BC-E512C784730F}"/>
    <cellStyle name="SAPBEXinputData 5 2 2 3 3 3 2" xfId="42411" xr:uid="{C05CBC48-457F-4BF8-BFBB-D79AF988CA27}"/>
    <cellStyle name="SAPBEXinputData 5 2 2 3 3 4" xfId="34985" xr:uid="{0F7292C9-79B0-4A02-9C19-E88A54C42190}"/>
    <cellStyle name="SAPBEXinputData 5 2 2 3 4" xfId="19381" xr:uid="{00000000-0005-0000-0000-0000D2480000}"/>
    <cellStyle name="SAPBEXinputData 5 2 2 4" xfId="19382" xr:uid="{00000000-0005-0000-0000-0000D3480000}"/>
    <cellStyle name="SAPBEXinputData 5 2 2 4 2" xfId="19383" xr:uid="{00000000-0005-0000-0000-0000D4480000}"/>
    <cellStyle name="SAPBEXinputData 5 2 2 4 3" xfId="19384" xr:uid="{00000000-0005-0000-0000-0000D5480000}"/>
    <cellStyle name="SAPBEXinputData 5 2 2 5" xfId="19385" xr:uid="{00000000-0005-0000-0000-0000D6480000}"/>
    <cellStyle name="SAPBEXinputData 5 2 2 6" xfId="19386" xr:uid="{00000000-0005-0000-0000-0000D7480000}"/>
    <cellStyle name="SAPBEXinputData 5 2 2 6 2" xfId="27452" xr:uid="{7D1A70C0-CD5A-4C30-9852-EAAF84ABC6FA}"/>
    <cellStyle name="SAPBEXinputData 5 2 2 6 2 2" xfId="42412" xr:uid="{05092680-64D9-4E34-8E65-40D99D251F68}"/>
    <cellStyle name="SAPBEXinputData 5 2 2 6 3" xfId="34986" xr:uid="{2D2B2A41-5CDC-46EE-89E6-0CDFFD722BCD}"/>
    <cellStyle name="SAPBEXinputData 5 2 2 7" xfId="19387" xr:uid="{00000000-0005-0000-0000-0000D8480000}"/>
    <cellStyle name="SAPBEXinputData 5 2 2 7 2" xfId="27453" xr:uid="{617FFCE8-50F0-481B-8AD4-30B5D787478E}"/>
    <cellStyle name="SAPBEXinputData 5 2 2 7 2 2" xfId="42413" xr:uid="{CC4A5E4C-860F-4FF2-A10A-A071D08B7244}"/>
    <cellStyle name="SAPBEXinputData 5 2 2 7 3" xfId="34987" xr:uid="{6FBE2FEC-FEAD-4351-AFB4-942DC5385A68}"/>
    <cellStyle name="SAPBEXinputData 5 2 2 8" xfId="19388" xr:uid="{00000000-0005-0000-0000-0000D9480000}"/>
    <cellStyle name="SAPBEXinputData 5 2 3" xfId="19389" xr:uid="{00000000-0005-0000-0000-0000DA480000}"/>
    <cellStyle name="SAPBEXinputData 5 2 3 2" xfId="19390" xr:uid="{00000000-0005-0000-0000-0000DB480000}"/>
    <cellStyle name="SAPBEXinputData 5 2 3 2 2" xfId="19391" xr:uid="{00000000-0005-0000-0000-0000DC480000}"/>
    <cellStyle name="SAPBEXinputData 5 2 3 2 3" xfId="19392" xr:uid="{00000000-0005-0000-0000-0000DD480000}"/>
    <cellStyle name="SAPBEXinputData 5 2 3 3" xfId="19393" xr:uid="{00000000-0005-0000-0000-0000DE480000}"/>
    <cellStyle name="SAPBEXinputData 5 2 3 4" xfId="19394" xr:uid="{00000000-0005-0000-0000-0000DF480000}"/>
    <cellStyle name="SAPBEXinputData 5 2 3 4 2" xfId="27454" xr:uid="{C3306630-4C6E-48EC-9A11-E20444039BA2}"/>
    <cellStyle name="SAPBEXinputData 5 2 3 4 2 2" xfId="42414" xr:uid="{D1EA2164-C78B-4C34-84AC-4BD9958B74B6}"/>
    <cellStyle name="SAPBEXinputData 5 2 3 4 3" xfId="34988" xr:uid="{FDE5DBB1-49FC-4936-A9D3-43F327227664}"/>
    <cellStyle name="SAPBEXinputData 5 2 3 5" xfId="19395" xr:uid="{00000000-0005-0000-0000-0000E0480000}"/>
    <cellStyle name="SAPBEXinputData 5 2 3 5 2" xfId="27455" xr:uid="{909BB552-2BB9-4490-8AA5-EADC1B95679E}"/>
    <cellStyle name="SAPBEXinputData 5 2 3 5 2 2" xfId="42415" xr:uid="{90A5EF84-5FCA-4183-B8FD-55D382332D71}"/>
    <cellStyle name="SAPBEXinputData 5 2 3 5 3" xfId="34989" xr:uid="{B3FEA604-A777-4D92-A785-504BC1EBC1BB}"/>
    <cellStyle name="SAPBEXinputData 5 2 3 6" xfId="19396" xr:uid="{00000000-0005-0000-0000-0000E1480000}"/>
    <cellStyle name="SAPBEXinputData 5 2 4" xfId="19397" xr:uid="{00000000-0005-0000-0000-0000E2480000}"/>
    <cellStyle name="SAPBEXinputData 5 2 4 2" xfId="19398" xr:uid="{00000000-0005-0000-0000-0000E3480000}"/>
    <cellStyle name="SAPBEXinputData 5 2 4 2 2" xfId="19399" xr:uid="{00000000-0005-0000-0000-0000E4480000}"/>
    <cellStyle name="SAPBEXinputData 5 2 4 2 3" xfId="19400" xr:uid="{00000000-0005-0000-0000-0000E5480000}"/>
    <cellStyle name="SAPBEXinputData 5 2 4 3" xfId="19401" xr:uid="{00000000-0005-0000-0000-0000E6480000}"/>
    <cellStyle name="SAPBEXinputData 5 2 4 3 2" xfId="19402" xr:uid="{00000000-0005-0000-0000-0000E7480000}"/>
    <cellStyle name="SAPBEXinputData 5 2 4 3 3" xfId="27456" xr:uid="{FB1C2F0D-1616-453C-AA3C-2A4EDD1265BB}"/>
    <cellStyle name="SAPBEXinputData 5 2 4 3 3 2" xfId="42416" xr:uid="{040314C8-348A-423B-A915-52DA8A78DA39}"/>
    <cellStyle name="SAPBEXinputData 5 2 4 3 4" xfId="34990" xr:uid="{38FE67E6-57B5-41FA-8FC1-F4E1A3139A16}"/>
    <cellStyle name="SAPBEXinputData 5 2 4 4" xfId="19403" xr:uid="{00000000-0005-0000-0000-0000E8480000}"/>
    <cellStyle name="SAPBEXinputData 5 2 5" xfId="19404" xr:uid="{00000000-0005-0000-0000-0000E9480000}"/>
    <cellStyle name="SAPBEXinputData 5 2 5 2" xfId="19405" xr:uid="{00000000-0005-0000-0000-0000EA480000}"/>
    <cellStyle name="SAPBEXinputData 5 2 5 3" xfId="19406" xr:uid="{00000000-0005-0000-0000-0000EB480000}"/>
    <cellStyle name="SAPBEXinputData 5 2 6" xfId="19407" xr:uid="{00000000-0005-0000-0000-0000EC480000}"/>
    <cellStyle name="SAPBEXinputData 5 2 7" xfId="19408" xr:uid="{00000000-0005-0000-0000-0000ED480000}"/>
    <cellStyle name="SAPBEXinputData 5 2 7 2" xfId="27457" xr:uid="{257E44E3-317F-4E50-9F5D-D49B6B1E5508}"/>
    <cellStyle name="SAPBEXinputData 5 2 7 2 2" xfId="42417" xr:uid="{9D5955FB-CE31-4118-A957-BD51D87B1400}"/>
    <cellStyle name="SAPBEXinputData 5 2 7 3" xfId="34991" xr:uid="{1A2E4C67-D327-48F2-AA62-CD5BB990CF26}"/>
    <cellStyle name="SAPBEXinputData 5 2 8" xfId="19409" xr:uid="{00000000-0005-0000-0000-0000EE480000}"/>
    <cellStyle name="SAPBEXinputData 5 2 8 2" xfId="27458" xr:uid="{36B4A24C-A90C-4DB0-96A0-FBF7CC7E6014}"/>
    <cellStyle name="SAPBEXinputData 5 2 8 2 2" xfId="42418" xr:uid="{7D66932B-ED9E-444D-B04B-8ADCD46B2560}"/>
    <cellStyle name="SAPBEXinputData 5 2 8 3" xfId="34992" xr:uid="{0BA2B8C6-0B87-4652-A411-BD98EEFDD15D}"/>
    <cellStyle name="SAPBEXinputData 5 2 9" xfId="19410" xr:uid="{00000000-0005-0000-0000-0000EF480000}"/>
    <cellStyle name="SAPBEXinputData 5 3" xfId="19411" xr:uid="{00000000-0005-0000-0000-0000F0480000}"/>
    <cellStyle name="SAPBEXinputData 5 3 2" xfId="19412" xr:uid="{00000000-0005-0000-0000-0000F1480000}"/>
    <cellStyle name="SAPBEXinputData 5 3 2 2" xfId="19413" xr:uid="{00000000-0005-0000-0000-0000F2480000}"/>
    <cellStyle name="SAPBEXinputData 5 3 2 2 2" xfId="19414" xr:uid="{00000000-0005-0000-0000-0000F3480000}"/>
    <cellStyle name="SAPBEXinputData 5 3 2 2 3" xfId="19415" xr:uid="{00000000-0005-0000-0000-0000F4480000}"/>
    <cellStyle name="SAPBEXinputData 5 3 2 3" xfId="19416" xr:uid="{00000000-0005-0000-0000-0000F5480000}"/>
    <cellStyle name="SAPBEXinputData 5 3 2 4" xfId="19417" xr:uid="{00000000-0005-0000-0000-0000F6480000}"/>
    <cellStyle name="SAPBEXinputData 5 3 2 4 2" xfId="27459" xr:uid="{9C0C71F6-C642-43F3-8891-029E3C88B418}"/>
    <cellStyle name="SAPBEXinputData 5 3 2 4 2 2" xfId="42419" xr:uid="{BE650136-8F6B-4735-ACBC-1D4EC66FE081}"/>
    <cellStyle name="SAPBEXinputData 5 3 2 4 3" xfId="34993" xr:uid="{373B63D9-9278-49D6-8784-6652018D0A73}"/>
    <cellStyle name="SAPBEXinputData 5 3 2 5" xfId="19418" xr:uid="{00000000-0005-0000-0000-0000F7480000}"/>
    <cellStyle name="SAPBEXinputData 5 3 2 5 2" xfId="27460" xr:uid="{E05C9737-95F6-45CC-8550-9FA9721609F4}"/>
    <cellStyle name="SAPBEXinputData 5 3 2 5 2 2" xfId="42420" xr:uid="{B24B5F31-D1CF-4C53-8BF5-89F3C087F1A5}"/>
    <cellStyle name="SAPBEXinputData 5 3 2 5 3" xfId="34994" xr:uid="{DBC199F7-9584-448D-9005-F21B4B33FE7E}"/>
    <cellStyle name="SAPBEXinputData 5 3 2 6" xfId="19419" xr:uid="{00000000-0005-0000-0000-0000F8480000}"/>
    <cellStyle name="SAPBEXinputData 5 3 3" xfId="19420" xr:uid="{00000000-0005-0000-0000-0000F9480000}"/>
    <cellStyle name="SAPBEXinputData 5 3 3 2" xfId="19421" xr:uid="{00000000-0005-0000-0000-0000FA480000}"/>
    <cellStyle name="SAPBEXinputData 5 3 3 2 2" xfId="19422" xr:uid="{00000000-0005-0000-0000-0000FB480000}"/>
    <cellStyle name="SAPBEXinputData 5 3 3 2 3" xfId="19423" xr:uid="{00000000-0005-0000-0000-0000FC480000}"/>
    <cellStyle name="SAPBEXinputData 5 3 3 3" xfId="19424" xr:uid="{00000000-0005-0000-0000-0000FD480000}"/>
    <cellStyle name="SAPBEXinputData 5 3 3 3 2" xfId="19425" xr:uid="{00000000-0005-0000-0000-0000FE480000}"/>
    <cellStyle name="SAPBEXinputData 5 3 3 3 3" xfId="27461" xr:uid="{8A1C72D3-6E3D-4369-BCB9-1C4E3B3DEBD2}"/>
    <cellStyle name="SAPBEXinputData 5 3 3 3 3 2" xfId="42421" xr:uid="{7C8B620A-0687-4102-95CC-97B8B6B9FD6E}"/>
    <cellStyle name="SAPBEXinputData 5 3 3 3 4" xfId="34995" xr:uid="{9BCFA6BA-4489-43FB-9112-D06B47D91BB8}"/>
    <cellStyle name="SAPBEXinputData 5 3 3 4" xfId="19426" xr:uid="{00000000-0005-0000-0000-0000FF480000}"/>
    <cellStyle name="SAPBEXinputData 5 3 4" xfId="19427" xr:uid="{00000000-0005-0000-0000-000000490000}"/>
    <cellStyle name="SAPBEXinputData 5 3 4 2" xfId="19428" xr:uid="{00000000-0005-0000-0000-000001490000}"/>
    <cellStyle name="SAPBEXinputData 5 3 4 3" xfId="19429" xr:uid="{00000000-0005-0000-0000-000002490000}"/>
    <cellStyle name="SAPBEXinputData 5 3 5" xfId="19430" xr:uid="{00000000-0005-0000-0000-000003490000}"/>
    <cellStyle name="SAPBEXinputData 5 3 6" xfId="19431" xr:uid="{00000000-0005-0000-0000-000004490000}"/>
    <cellStyle name="SAPBEXinputData 5 3 6 2" xfId="27462" xr:uid="{BC3E83EC-2D01-410C-B636-83EC52F2A606}"/>
    <cellStyle name="SAPBEXinputData 5 3 6 2 2" xfId="42422" xr:uid="{205FE279-EE62-41A8-9A17-060F0844C61A}"/>
    <cellStyle name="SAPBEXinputData 5 3 6 3" xfId="34996" xr:uid="{7FE75CFF-4F7D-4511-8703-0501E8B40957}"/>
    <cellStyle name="SAPBEXinputData 5 3 7" xfId="19432" xr:uid="{00000000-0005-0000-0000-000005490000}"/>
    <cellStyle name="SAPBEXinputData 5 3 7 2" xfId="27463" xr:uid="{50EDEA94-666E-41B0-B3D0-9CE1A5412816}"/>
    <cellStyle name="SAPBEXinputData 5 3 7 2 2" xfId="42423" xr:uid="{C778E528-5594-4E71-A516-50637311DE0C}"/>
    <cellStyle name="SAPBEXinputData 5 3 7 3" xfId="34997" xr:uid="{EA240C60-F5D0-4B7E-A620-72F01D3EFF69}"/>
    <cellStyle name="SAPBEXinputData 5 3 8" xfId="19433" xr:uid="{00000000-0005-0000-0000-000006490000}"/>
    <cellStyle name="SAPBEXinputData 5 4" xfId="19434" xr:uid="{00000000-0005-0000-0000-000007490000}"/>
    <cellStyle name="SAPBEXinputData 5 4 2" xfId="19435" xr:uid="{00000000-0005-0000-0000-000008490000}"/>
    <cellStyle name="SAPBEXinputData 5 4 2 2" xfId="19436" xr:uid="{00000000-0005-0000-0000-000009490000}"/>
    <cellStyle name="SAPBEXinputData 5 4 2 3" xfId="19437" xr:uid="{00000000-0005-0000-0000-00000A490000}"/>
    <cellStyle name="SAPBEXinputData 5 4 2 3 2" xfId="27464" xr:uid="{61383003-4A1B-445C-A284-DD20479FBCF4}"/>
    <cellStyle name="SAPBEXinputData 5 4 2 3 2 2" xfId="42424" xr:uid="{110A0594-F93B-4E4B-9DA0-A33C54C96E63}"/>
    <cellStyle name="SAPBEXinputData 5 4 2 3 3" xfId="34998" xr:uid="{53494410-3D2F-4EEB-8028-0AD5285141F2}"/>
    <cellStyle name="SAPBEXinputData 5 4 2 4" xfId="19438" xr:uid="{00000000-0005-0000-0000-00000B490000}"/>
    <cellStyle name="SAPBEXinputData 5 4 3" xfId="19439" xr:uid="{00000000-0005-0000-0000-00000C490000}"/>
    <cellStyle name="SAPBEXinputData 5 4 4" xfId="19440" xr:uid="{00000000-0005-0000-0000-00000D490000}"/>
    <cellStyle name="SAPBEXinputData 5 4 4 2" xfId="27465" xr:uid="{78419AB0-9725-4D7D-8C1B-AF4D3CE300EE}"/>
    <cellStyle name="SAPBEXinputData 5 4 4 2 2" xfId="42425" xr:uid="{64DB582D-0E6B-4506-BF50-46D2916C85E3}"/>
    <cellStyle name="SAPBEXinputData 5 4 4 3" xfId="34999" xr:uid="{39E15B15-DE52-4392-A8DE-D2955AA8C761}"/>
    <cellStyle name="SAPBEXinputData 5 4 5" xfId="19441" xr:uid="{00000000-0005-0000-0000-00000E490000}"/>
    <cellStyle name="SAPBEXinputData 5 4 5 2" xfId="27466" xr:uid="{07EC283C-8BF5-4A78-A47A-951B2655A415}"/>
    <cellStyle name="SAPBEXinputData 5 4 5 2 2" xfId="42426" xr:uid="{60E4064D-3F7C-4ED4-BEFB-DE48AA0FFCC8}"/>
    <cellStyle name="SAPBEXinputData 5 4 5 3" xfId="35000" xr:uid="{9205FCF8-A813-4FF2-AF50-64822EA86243}"/>
    <cellStyle name="SAPBEXinputData 5 4 6" xfId="19442" xr:uid="{00000000-0005-0000-0000-00000F490000}"/>
    <cellStyle name="SAPBEXinputData 5 5" xfId="19443" xr:uid="{00000000-0005-0000-0000-000010490000}"/>
    <cellStyle name="SAPBEXinputData 5 5 2" xfId="19444" xr:uid="{00000000-0005-0000-0000-000011490000}"/>
    <cellStyle name="SAPBEXinputData 5 5 2 2" xfId="19445" xr:uid="{00000000-0005-0000-0000-000012490000}"/>
    <cellStyle name="SAPBEXinputData 5 5 2 3" xfId="19446" xr:uid="{00000000-0005-0000-0000-000013490000}"/>
    <cellStyle name="SAPBEXinputData 5 5 3" xfId="19447" xr:uid="{00000000-0005-0000-0000-000014490000}"/>
    <cellStyle name="SAPBEXinputData 5 5 4" xfId="19448" xr:uid="{00000000-0005-0000-0000-000015490000}"/>
    <cellStyle name="SAPBEXinputData 5 5 4 2" xfId="27467" xr:uid="{7A0DEF22-67CC-423F-8881-EEBC61B84058}"/>
    <cellStyle name="SAPBEXinputData 5 5 4 2 2" xfId="42427" xr:uid="{B074136D-17FD-4FAE-BE54-8FBB5939DC7A}"/>
    <cellStyle name="SAPBEXinputData 5 5 4 3" xfId="35001" xr:uid="{D9F2CB07-267C-4D40-BCD3-0D633893D013}"/>
    <cellStyle name="SAPBEXinputData 5 5 5" xfId="19449" xr:uid="{00000000-0005-0000-0000-000016490000}"/>
    <cellStyle name="SAPBEXinputData 5 5 5 2" xfId="27468" xr:uid="{D2582973-0BBF-466C-8050-BF4A8E180216}"/>
    <cellStyle name="SAPBEXinputData 5 5 5 2 2" xfId="42428" xr:uid="{4B52364B-236C-4239-8D56-C8B4FD276847}"/>
    <cellStyle name="SAPBEXinputData 5 5 5 3" xfId="35002" xr:uid="{63F42C39-3E24-4869-A84A-243126AF83B4}"/>
    <cellStyle name="SAPBEXinputData 5 5 6" xfId="19450" xr:uid="{00000000-0005-0000-0000-000017490000}"/>
    <cellStyle name="SAPBEXinputData 5 6" xfId="19451" xr:uid="{00000000-0005-0000-0000-000018490000}"/>
    <cellStyle name="SAPBEXinputData 5 6 2" xfId="19452" xr:uid="{00000000-0005-0000-0000-000019490000}"/>
    <cellStyle name="SAPBEXinputData 5 6 3" xfId="19453" xr:uid="{00000000-0005-0000-0000-00001A490000}"/>
    <cellStyle name="SAPBEXinputData 5 7" xfId="19454" xr:uid="{00000000-0005-0000-0000-00001B490000}"/>
    <cellStyle name="SAPBEXinputData 5 8" xfId="19455" xr:uid="{00000000-0005-0000-0000-00001C490000}"/>
    <cellStyle name="SAPBEXinputData 5 8 2" xfId="27469" xr:uid="{998B951A-EA11-4B07-9BD9-39950AA46FCD}"/>
    <cellStyle name="SAPBEXinputData 5 8 2 2" xfId="42429" xr:uid="{4AF22D14-2AAF-4C17-A0E1-9034241E178F}"/>
    <cellStyle name="SAPBEXinputData 5 8 3" xfId="35003" xr:uid="{3613E488-D471-49B7-95B6-D603617F825F}"/>
    <cellStyle name="SAPBEXinputData 5 9" xfId="19456" xr:uid="{00000000-0005-0000-0000-00001D490000}"/>
    <cellStyle name="SAPBEXinputData 5 9 2" xfId="27470" xr:uid="{887674D4-431A-4E14-9000-C021F6DD4A8E}"/>
    <cellStyle name="SAPBEXinputData 5 9 2 2" xfId="42430" xr:uid="{7258A6FC-9530-4FC7-806D-715BD6B6AA54}"/>
    <cellStyle name="SAPBEXinputData 5 9 3" xfId="35004" xr:uid="{33B89E06-65E4-47FC-A95E-CB5256D22C4A}"/>
    <cellStyle name="SAPBEXinputData 6" xfId="19457" xr:uid="{00000000-0005-0000-0000-00001E490000}"/>
    <cellStyle name="SAPBEXinputData 6 2" xfId="19458" xr:uid="{00000000-0005-0000-0000-00001F490000}"/>
    <cellStyle name="SAPBEXinputData 6 2 2" xfId="19459" xr:uid="{00000000-0005-0000-0000-000020490000}"/>
    <cellStyle name="SAPBEXinputData 6 2 2 2" xfId="19460" xr:uid="{00000000-0005-0000-0000-000021490000}"/>
    <cellStyle name="SAPBEXinputData 6 2 2 2 2" xfId="19461" xr:uid="{00000000-0005-0000-0000-000022490000}"/>
    <cellStyle name="SAPBEXinputData 6 2 2 2 3" xfId="19462" xr:uid="{00000000-0005-0000-0000-000023490000}"/>
    <cellStyle name="SAPBEXinputData 6 2 2 3" xfId="19463" xr:uid="{00000000-0005-0000-0000-000024490000}"/>
    <cellStyle name="SAPBEXinputData 6 2 2 4" xfId="19464" xr:uid="{00000000-0005-0000-0000-000025490000}"/>
    <cellStyle name="SAPBEXinputData 6 2 2 4 2" xfId="27471" xr:uid="{DFCF64EC-CF1D-4656-84E6-EEF229D33BCB}"/>
    <cellStyle name="SAPBEXinputData 6 2 2 4 2 2" xfId="42431" xr:uid="{3F8DF071-426D-4E90-BDA1-C2BB00B8BE0C}"/>
    <cellStyle name="SAPBEXinputData 6 2 2 4 3" xfId="35005" xr:uid="{9CCD13E4-3D46-45CF-BFF9-6442E9D5005A}"/>
    <cellStyle name="SAPBEXinputData 6 2 2 5" xfId="19465" xr:uid="{00000000-0005-0000-0000-000026490000}"/>
    <cellStyle name="SAPBEXinputData 6 2 2 5 2" xfId="27472" xr:uid="{73BD7134-39E6-4F7C-A8BE-45288A9DEEB2}"/>
    <cellStyle name="SAPBEXinputData 6 2 2 5 2 2" xfId="42432" xr:uid="{15DE50B3-9277-4107-AEB2-71FA57CD3617}"/>
    <cellStyle name="SAPBEXinputData 6 2 2 5 3" xfId="35006" xr:uid="{A3ED8391-CD36-4472-9F8C-AF0AC6879240}"/>
    <cellStyle name="SAPBEXinputData 6 2 2 6" xfId="19466" xr:uid="{00000000-0005-0000-0000-000027490000}"/>
    <cellStyle name="SAPBEXinputData 6 2 3" xfId="19467" xr:uid="{00000000-0005-0000-0000-000028490000}"/>
    <cellStyle name="SAPBEXinputData 6 2 3 2" xfId="19468" xr:uid="{00000000-0005-0000-0000-000029490000}"/>
    <cellStyle name="SAPBEXinputData 6 2 3 2 2" xfId="19469" xr:uid="{00000000-0005-0000-0000-00002A490000}"/>
    <cellStyle name="SAPBEXinputData 6 2 3 2 3" xfId="19470" xr:uid="{00000000-0005-0000-0000-00002B490000}"/>
    <cellStyle name="SAPBEXinputData 6 2 3 3" xfId="19471" xr:uid="{00000000-0005-0000-0000-00002C490000}"/>
    <cellStyle name="SAPBEXinputData 6 2 3 3 2" xfId="19472" xr:uid="{00000000-0005-0000-0000-00002D490000}"/>
    <cellStyle name="SAPBEXinputData 6 2 3 3 3" xfId="27473" xr:uid="{26FDE379-489F-48CC-8DE4-57EBFCB1C5D2}"/>
    <cellStyle name="SAPBEXinputData 6 2 3 3 3 2" xfId="42433" xr:uid="{A218027C-5D8F-4172-A1B3-FE93F881BB90}"/>
    <cellStyle name="SAPBEXinputData 6 2 3 3 4" xfId="35007" xr:uid="{90474584-848A-40FB-B10E-F3F072ABCA17}"/>
    <cellStyle name="SAPBEXinputData 6 2 3 4" xfId="19473" xr:uid="{00000000-0005-0000-0000-00002E490000}"/>
    <cellStyle name="SAPBEXinputData 6 2 4" xfId="19474" xr:uid="{00000000-0005-0000-0000-00002F490000}"/>
    <cellStyle name="SAPBEXinputData 6 2 4 2" xfId="19475" xr:uid="{00000000-0005-0000-0000-000030490000}"/>
    <cellStyle name="SAPBEXinputData 6 2 4 3" xfId="19476" xr:uid="{00000000-0005-0000-0000-000031490000}"/>
    <cellStyle name="SAPBEXinputData 6 2 5" xfId="19477" xr:uid="{00000000-0005-0000-0000-000032490000}"/>
    <cellStyle name="SAPBEXinputData 6 2 6" xfId="19478" xr:uid="{00000000-0005-0000-0000-000033490000}"/>
    <cellStyle name="SAPBEXinputData 6 2 6 2" xfId="27474" xr:uid="{C9CF2DDF-9B5B-4329-8F90-BB87DF9F5773}"/>
    <cellStyle name="SAPBEXinputData 6 2 6 2 2" xfId="42434" xr:uid="{1F8D2F9B-CB19-4A0B-A888-F57C044A1E5F}"/>
    <cellStyle name="SAPBEXinputData 6 2 6 3" xfId="35008" xr:uid="{1EB41C9B-86E7-491D-B6FB-78087730A1B7}"/>
    <cellStyle name="SAPBEXinputData 6 2 7" xfId="19479" xr:uid="{00000000-0005-0000-0000-000034490000}"/>
    <cellStyle name="SAPBEXinputData 6 2 7 2" xfId="27475" xr:uid="{F4C59A0D-C091-4B87-ABCF-9F0433A6D6C1}"/>
    <cellStyle name="SAPBEXinputData 6 2 7 2 2" xfId="42435" xr:uid="{7DDAF88B-CD98-48B8-9113-BAEC7513BDA2}"/>
    <cellStyle name="SAPBEXinputData 6 2 7 3" xfId="35009" xr:uid="{6CA2D7F3-F33E-4C1B-8628-AD3B9D2173DE}"/>
    <cellStyle name="SAPBEXinputData 6 2 8" xfId="19480" xr:uid="{00000000-0005-0000-0000-000035490000}"/>
    <cellStyle name="SAPBEXinputData 6 3" xfId="19481" xr:uid="{00000000-0005-0000-0000-000036490000}"/>
    <cellStyle name="SAPBEXinputData 6 3 2" xfId="19482" xr:uid="{00000000-0005-0000-0000-000037490000}"/>
    <cellStyle name="SAPBEXinputData 6 3 2 2" xfId="19483" xr:uid="{00000000-0005-0000-0000-000038490000}"/>
    <cellStyle name="SAPBEXinputData 6 3 2 3" xfId="19484" xr:uid="{00000000-0005-0000-0000-000039490000}"/>
    <cellStyle name="SAPBEXinputData 6 3 3" xfId="19485" xr:uid="{00000000-0005-0000-0000-00003A490000}"/>
    <cellStyle name="SAPBEXinputData 6 3 4" xfId="19486" xr:uid="{00000000-0005-0000-0000-00003B490000}"/>
    <cellStyle name="SAPBEXinputData 6 3 4 2" xfId="27476" xr:uid="{36C0D875-4194-4EAA-8AF2-1ED78F221776}"/>
    <cellStyle name="SAPBEXinputData 6 3 4 2 2" xfId="42436" xr:uid="{FE5D063C-2D2B-417F-ABA2-51A51DDB1CF4}"/>
    <cellStyle name="SAPBEXinputData 6 3 4 3" xfId="35010" xr:uid="{6CAE00B5-0407-477D-93ED-DD5A4D4800D9}"/>
    <cellStyle name="SAPBEXinputData 6 3 5" xfId="19487" xr:uid="{00000000-0005-0000-0000-00003C490000}"/>
    <cellStyle name="SAPBEXinputData 6 3 5 2" xfId="27477" xr:uid="{4BB88ADA-021C-4C94-B952-D3A22C0A3E5B}"/>
    <cellStyle name="SAPBEXinputData 6 3 5 2 2" xfId="42437" xr:uid="{D953EECC-0DEE-4B0A-813A-75EE39D416A5}"/>
    <cellStyle name="SAPBEXinputData 6 3 5 3" xfId="35011" xr:uid="{6E1C955C-385F-4F0E-8C4F-47048CE777EF}"/>
    <cellStyle name="SAPBEXinputData 6 3 6" xfId="19488" xr:uid="{00000000-0005-0000-0000-00003D490000}"/>
    <cellStyle name="SAPBEXinputData 6 4" xfId="19489" xr:uid="{00000000-0005-0000-0000-00003E490000}"/>
    <cellStyle name="SAPBEXinputData 6 4 2" xfId="19490" xr:uid="{00000000-0005-0000-0000-00003F490000}"/>
    <cellStyle name="SAPBEXinputData 6 4 2 2" xfId="19491" xr:uid="{00000000-0005-0000-0000-000040490000}"/>
    <cellStyle name="SAPBEXinputData 6 4 2 3" xfId="19492" xr:uid="{00000000-0005-0000-0000-000041490000}"/>
    <cellStyle name="SAPBEXinputData 6 4 3" xfId="19493" xr:uid="{00000000-0005-0000-0000-000042490000}"/>
    <cellStyle name="SAPBEXinputData 6 4 3 2" xfId="19494" xr:uid="{00000000-0005-0000-0000-000043490000}"/>
    <cellStyle name="SAPBEXinputData 6 4 3 3" xfId="27478" xr:uid="{897FFD4E-F74C-40BE-AEBF-19282D11ECF3}"/>
    <cellStyle name="SAPBEXinputData 6 4 3 3 2" xfId="42438" xr:uid="{715ED767-F40C-4301-9DE5-852C45F9D486}"/>
    <cellStyle name="SAPBEXinputData 6 4 3 4" xfId="35012" xr:uid="{FF2F6F77-7DEC-4793-AA80-7BC04B7D2217}"/>
    <cellStyle name="SAPBEXinputData 6 4 4" xfId="19495" xr:uid="{00000000-0005-0000-0000-000044490000}"/>
    <cellStyle name="SAPBEXinputData 6 5" xfId="19496" xr:uid="{00000000-0005-0000-0000-000045490000}"/>
    <cellStyle name="SAPBEXinputData 6 5 2" xfId="19497" xr:uid="{00000000-0005-0000-0000-000046490000}"/>
    <cellStyle name="SAPBEXinputData 6 5 3" xfId="19498" xr:uid="{00000000-0005-0000-0000-000047490000}"/>
    <cellStyle name="SAPBEXinputData 6 6" xfId="19499" xr:uid="{00000000-0005-0000-0000-000048490000}"/>
    <cellStyle name="SAPBEXinputData 6 7" xfId="19500" xr:uid="{00000000-0005-0000-0000-000049490000}"/>
    <cellStyle name="SAPBEXinputData 6 7 2" xfId="27479" xr:uid="{594C7E83-3A05-40FA-8BB7-6A8F43E830FD}"/>
    <cellStyle name="SAPBEXinputData 6 7 2 2" xfId="42439" xr:uid="{16C173F9-0526-4801-AA7B-A505CD3C5857}"/>
    <cellStyle name="SAPBEXinputData 6 7 3" xfId="35013" xr:uid="{3826C355-1A90-400D-B533-C298780A01F8}"/>
    <cellStyle name="SAPBEXinputData 6 8" xfId="19501" xr:uid="{00000000-0005-0000-0000-00004A490000}"/>
    <cellStyle name="SAPBEXinputData 6 8 2" xfId="27480" xr:uid="{3ADB6527-6383-4E27-BA77-EA3296BE7EEB}"/>
    <cellStyle name="SAPBEXinputData 6 8 2 2" xfId="42440" xr:uid="{53BEE641-651A-4C87-8048-02CC7398306E}"/>
    <cellStyle name="SAPBEXinputData 6 8 3" xfId="35014" xr:uid="{1087A878-EEB8-4407-A83D-E2EEA9F10F64}"/>
    <cellStyle name="SAPBEXinputData 6 9" xfId="19502" xr:uid="{00000000-0005-0000-0000-00004B490000}"/>
    <cellStyle name="SAPBEXinputData 7" xfId="19503" xr:uid="{00000000-0005-0000-0000-00004C490000}"/>
    <cellStyle name="SAPBEXinputData 7 2" xfId="19504" xr:uid="{00000000-0005-0000-0000-00004D490000}"/>
    <cellStyle name="SAPBEXinputData 7 2 2" xfId="19505" xr:uid="{00000000-0005-0000-0000-00004E490000}"/>
    <cellStyle name="SAPBEXinputData 7 2 2 2" xfId="19506" xr:uid="{00000000-0005-0000-0000-00004F490000}"/>
    <cellStyle name="SAPBEXinputData 7 2 2 3" xfId="19507" xr:uid="{00000000-0005-0000-0000-000050490000}"/>
    <cellStyle name="SAPBEXinputData 7 2 2 3 2" xfId="27481" xr:uid="{9F046717-BC11-4926-9289-4C78639A8D3C}"/>
    <cellStyle name="SAPBEXinputData 7 2 2 3 2 2" xfId="42441" xr:uid="{701A2DE2-6F15-4AFA-9C52-FC15C2C6E73A}"/>
    <cellStyle name="SAPBEXinputData 7 2 2 3 3" xfId="35015" xr:uid="{0B58A12F-8BE7-4988-ABB6-697E416509D1}"/>
    <cellStyle name="SAPBEXinputData 7 2 2 4" xfId="19508" xr:uid="{00000000-0005-0000-0000-000051490000}"/>
    <cellStyle name="SAPBEXinputData 7 2 3" xfId="19509" xr:uid="{00000000-0005-0000-0000-000052490000}"/>
    <cellStyle name="SAPBEXinputData 7 2 4" xfId="19510" xr:uid="{00000000-0005-0000-0000-000053490000}"/>
    <cellStyle name="SAPBEXinputData 7 2 4 2" xfId="27482" xr:uid="{12947079-F27A-4232-8C3C-BFC51872A4A7}"/>
    <cellStyle name="SAPBEXinputData 7 2 4 2 2" xfId="42442" xr:uid="{9DCEDC2E-96B1-41A5-87C9-F0D7CE3FE4B4}"/>
    <cellStyle name="SAPBEXinputData 7 2 4 3" xfId="35016" xr:uid="{DF032082-C3E9-4A89-BB75-BA7A5692C87D}"/>
    <cellStyle name="SAPBEXinputData 7 2 5" xfId="19511" xr:uid="{00000000-0005-0000-0000-000054490000}"/>
    <cellStyle name="SAPBEXinputData 7 2 5 2" xfId="27483" xr:uid="{92B4E542-00DA-45C5-B713-0F06EF36B358}"/>
    <cellStyle name="SAPBEXinputData 7 2 5 2 2" xfId="42443" xr:uid="{E79C92D6-4EA3-43E3-8EA6-C88E96FF7F42}"/>
    <cellStyle name="SAPBEXinputData 7 2 5 3" xfId="35017" xr:uid="{519FCF53-41F7-4E8D-9B9D-A28D53E3D8B3}"/>
    <cellStyle name="SAPBEXinputData 7 2 6" xfId="19512" xr:uid="{00000000-0005-0000-0000-000055490000}"/>
    <cellStyle name="SAPBEXinputData 7 3" xfId="19513" xr:uid="{00000000-0005-0000-0000-000056490000}"/>
    <cellStyle name="SAPBEXinputData 7 3 2" xfId="19514" xr:uid="{00000000-0005-0000-0000-000057490000}"/>
    <cellStyle name="SAPBEXinputData 7 3 2 2" xfId="19515" xr:uid="{00000000-0005-0000-0000-000058490000}"/>
    <cellStyle name="SAPBEXinputData 7 3 2 3" xfId="19516" xr:uid="{00000000-0005-0000-0000-000059490000}"/>
    <cellStyle name="SAPBEXinputData 7 3 3" xfId="19517" xr:uid="{00000000-0005-0000-0000-00005A490000}"/>
    <cellStyle name="SAPBEXinputData 7 3 4" xfId="19518" xr:uid="{00000000-0005-0000-0000-00005B490000}"/>
    <cellStyle name="SAPBEXinputData 7 3 4 2" xfId="27484" xr:uid="{5BE7DF47-5C6B-4F8F-8659-53E715B28268}"/>
    <cellStyle name="SAPBEXinputData 7 3 4 2 2" xfId="42444" xr:uid="{08DD7FFB-D9E8-4A31-8A48-92C18A4A70B1}"/>
    <cellStyle name="SAPBEXinputData 7 3 4 3" xfId="35018" xr:uid="{27F73D48-6E74-4311-9C95-D79FF7DBA6CC}"/>
    <cellStyle name="SAPBEXinputData 7 3 5" xfId="19519" xr:uid="{00000000-0005-0000-0000-00005C490000}"/>
    <cellStyle name="SAPBEXinputData 7 3 5 2" xfId="27485" xr:uid="{77AC9354-A0CC-4846-988F-A42BED8D9BE6}"/>
    <cellStyle name="SAPBEXinputData 7 3 5 2 2" xfId="42445" xr:uid="{DC005679-F46E-4742-9843-1FE728D7A850}"/>
    <cellStyle name="SAPBEXinputData 7 3 5 3" xfId="35019" xr:uid="{F72EB403-9F43-4EE1-940E-33F6FC8D89F5}"/>
    <cellStyle name="SAPBEXinputData 7 3 6" xfId="19520" xr:uid="{00000000-0005-0000-0000-00005D490000}"/>
    <cellStyle name="SAPBEXinputData 7 4" xfId="19521" xr:uid="{00000000-0005-0000-0000-00005E490000}"/>
    <cellStyle name="SAPBEXinputData 7 4 2" xfId="19522" xr:uid="{00000000-0005-0000-0000-00005F490000}"/>
    <cellStyle name="SAPBEXinputData 7 4 3" xfId="19523" xr:uid="{00000000-0005-0000-0000-000060490000}"/>
    <cellStyle name="SAPBEXinputData 7 5" xfId="19524" xr:uid="{00000000-0005-0000-0000-000061490000}"/>
    <cellStyle name="SAPBEXinputData 7 6" xfId="19525" xr:uid="{00000000-0005-0000-0000-000062490000}"/>
    <cellStyle name="SAPBEXinputData 7 6 2" xfId="27486" xr:uid="{CA02D173-89C3-468E-8FDC-E64EFC743436}"/>
    <cellStyle name="SAPBEXinputData 7 6 2 2" xfId="42446" xr:uid="{79EE6BB4-C8CD-4558-8CA7-868E26AA13A3}"/>
    <cellStyle name="SAPBEXinputData 7 6 3" xfId="35020" xr:uid="{04C97B2E-2D5E-4035-8747-8111237032FF}"/>
    <cellStyle name="SAPBEXinputData 7 7" xfId="19526" xr:uid="{00000000-0005-0000-0000-000063490000}"/>
    <cellStyle name="SAPBEXinputData 7 7 2" xfId="27487" xr:uid="{10F99C64-5F9F-43E0-B54C-3464A701673D}"/>
    <cellStyle name="SAPBEXinputData 7 7 2 2" xfId="42447" xr:uid="{E767D5E5-E82F-4241-82A4-08D9F692C5EF}"/>
    <cellStyle name="SAPBEXinputData 7 7 3" xfId="35021" xr:uid="{B28958C9-283D-4CFB-B380-D72CA5D1AD26}"/>
    <cellStyle name="SAPBEXinputData 7 8" xfId="19527" xr:uid="{00000000-0005-0000-0000-000064490000}"/>
    <cellStyle name="SAPBEXinputData 8" xfId="19528" xr:uid="{00000000-0005-0000-0000-000065490000}"/>
    <cellStyle name="SAPBEXinputData 8 2" xfId="19529" xr:uid="{00000000-0005-0000-0000-000066490000}"/>
    <cellStyle name="SAPBEXinputData 8 2 2" xfId="19530" xr:uid="{00000000-0005-0000-0000-000067490000}"/>
    <cellStyle name="SAPBEXinputData 8 2 3" xfId="27488" xr:uid="{0F09175C-B935-460F-944A-C17DB6E4C018}"/>
    <cellStyle name="SAPBEXinputData 8 2 3 2" xfId="42448" xr:uid="{2306AF0E-177F-45D9-A615-9619FBC5C3B4}"/>
    <cellStyle name="SAPBEXinputData 8 2 4" xfId="35022" xr:uid="{DC0CA8AE-AC79-4257-80AA-3496E5C7C45B}"/>
    <cellStyle name="SAPBEXinputData 8 3" xfId="19531" xr:uid="{00000000-0005-0000-0000-000068490000}"/>
    <cellStyle name="SAPBEXinputData 8 4" xfId="19532" xr:uid="{00000000-0005-0000-0000-000069490000}"/>
    <cellStyle name="SAPBEXinputData 8 4 2" xfId="20427" xr:uid="{00000000-0005-0000-0000-000069490000}"/>
    <cellStyle name="SAPBEXinputData 8 4 2 2" xfId="27771" xr:uid="{3B841243-76E9-4564-BFB1-4010EFE6977C}"/>
    <cellStyle name="SAPBEXinputData 8 4 2 2 2" xfId="42708" xr:uid="{8DDF4031-11F1-41B3-86DD-E23AD3087F85}"/>
    <cellStyle name="SAPBEXinputData 8 4 2 3" xfId="35445" xr:uid="{4C69E82B-1043-483E-976E-E3E1B48E5320}"/>
    <cellStyle name="SAPBEXinputData 8 4 3" xfId="27489" xr:uid="{0827B940-2EFA-4EE6-8A85-25A0EAD2C03F}"/>
    <cellStyle name="SAPBEXinputData 8 4 3 2" xfId="42449" xr:uid="{918B798A-2D28-4D43-A346-7228983021FA}"/>
    <cellStyle name="SAPBEXinputData 8 4 4" xfId="35023" xr:uid="{E6BF1F23-7812-467A-BA92-AB0C22114133}"/>
    <cellStyle name="SAPBEXinputData 8 5" xfId="19533" xr:uid="{00000000-0005-0000-0000-00006A490000}"/>
    <cellStyle name="SAPBEXinputData 8 5 2" xfId="27490" xr:uid="{155360A5-F316-4BD7-9C1F-74470AA6B436}"/>
    <cellStyle name="SAPBEXinputData 8 5 2 2" xfId="42450" xr:uid="{3C1F54C8-1B9F-49E1-A63A-131DECF5E2E0}"/>
    <cellStyle name="SAPBEXinputData 8 5 3" xfId="35024" xr:uid="{AD9F3996-D46A-461C-B913-2BBDC6A69073}"/>
    <cellStyle name="SAPBEXinputData 8 6" xfId="19534" xr:uid="{00000000-0005-0000-0000-00006B490000}"/>
    <cellStyle name="SAPBEXinputData 9" xfId="19535" xr:uid="{00000000-0005-0000-0000-00006C490000}"/>
    <cellStyle name="SAPBEXinputData 9 2" xfId="19536" xr:uid="{00000000-0005-0000-0000-00006D490000}"/>
    <cellStyle name="SAPBEXinputData 9 2 2" xfId="19537" xr:uid="{00000000-0005-0000-0000-00006E490000}"/>
    <cellStyle name="SAPBEXinputData 9 2 3" xfId="19538" xr:uid="{00000000-0005-0000-0000-00006F490000}"/>
    <cellStyle name="SAPBEXinputData 9 3" xfId="19539" xr:uid="{00000000-0005-0000-0000-000070490000}"/>
    <cellStyle name="SAPBEXinputData 9 4" xfId="19540" xr:uid="{00000000-0005-0000-0000-000071490000}"/>
    <cellStyle name="SAPBEXinputData 9 4 2" xfId="27491" xr:uid="{4C7446A3-2A0B-47D4-BAEE-FF0D2EC39C56}"/>
    <cellStyle name="SAPBEXinputData 9 4 2 2" xfId="42451" xr:uid="{A67EB101-CD90-4F71-86E0-9AFB78B80116}"/>
    <cellStyle name="SAPBEXinputData 9 4 3" xfId="35025" xr:uid="{0BA5DF39-A3A7-4574-92A6-4D1EACA83B45}"/>
    <cellStyle name="SAPBEXinputData 9 5" xfId="19541" xr:uid="{00000000-0005-0000-0000-000072490000}"/>
    <cellStyle name="SAPBEXinputData 9 5 2" xfId="27492" xr:uid="{021B57D9-97A2-4E36-BD45-756C8FAC6ACD}"/>
    <cellStyle name="SAPBEXinputData 9 5 2 2" xfId="42452" xr:uid="{08056593-D9D5-4121-BE50-56B911C0D970}"/>
    <cellStyle name="SAPBEXinputData 9 5 3" xfId="35026" xr:uid="{983DD7D6-6FDA-40A5-8882-66E5E2B2B3C4}"/>
    <cellStyle name="SAPBEXinputData 9 6" xfId="19542" xr:uid="{00000000-0005-0000-0000-000073490000}"/>
    <cellStyle name="SAPBEXinputData_2010-2012 Program Workbook_Incent_FS" xfId="2729" xr:uid="{00000000-0005-0000-0000-00008B0A0000}"/>
    <cellStyle name="SAPBEXItemHeader" xfId="19543" xr:uid="{00000000-0005-0000-0000-000075490000}"/>
    <cellStyle name="SAPBEXItemHeader 2" xfId="19544" xr:uid="{00000000-0005-0000-0000-000076490000}"/>
    <cellStyle name="SAPBEXItemHeader 2 2" xfId="19545" xr:uid="{00000000-0005-0000-0000-000077490000}"/>
    <cellStyle name="SAPBEXItemHeader 2 2 2" xfId="20428" xr:uid="{00000000-0005-0000-0000-000077490000}"/>
    <cellStyle name="SAPBEXItemHeader 2 2 2 2" xfId="27772" xr:uid="{42370794-373F-4A1E-A26A-D89BCE240E3F}"/>
    <cellStyle name="SAPBEXItemHeader 2 2 2 2 2" xfId="42709" xr:uid="{53D7C2AE-78A6-41CF-9F0A-C0E6243C6BE1}"/>
    <cellStyle name="SAPBEXItemHeader 2 2 2 3" xfId="35446" xr:uid="{5FD756A3-D01E-4066-9DF1-7D7014D0ED9C}"/>
    <cellStyle name="SAPBEXItemHeader 2 2 3" xfId="35027" xr:uid="{627A649A-89CA-4E82-B4EC-09ECCE46D6F0}"/>
    <cellStyle name="SAPBEXItemHeader 3" xfId="19546" xr:uid="{00000000-0005-0000-0000-000078490000}"/>
    <cellStyle name="SAPBEXItemHeader 3 2" xfId="20429" xr:uid="{00000000-0005-0000-0000-000078490000}"/>
    <cellStyle name="SAPBEXItemHeader 3 2 2" xfId="27773" xr:uid="{BE0D4138-016D-4001-8370-C1CAF21B39DE}"/>
    <cellStyle name="SAPBEXItemHeader 3 2 2 2" xfId="42710" xr:uid="{F29DFB74-C168-4640-9B78-22DA99107DFD}"/>
    <cellStyle name="SAPBEXItemHeader 3 2 3" xfId="35447" xr:uid="{0EF35543-B43C-4469-A104-702A0B203987}"/>
    <cellStyle name="SAPBEXItemHeader 3 3" xfId="35028" xr:uid="{C1F15CBB-68C9-4749-868E-CD09EEAFC965}"/>
    <cellStyle name="SAPBEXItemHeader 4" xfId="19547" xr:uid="{00000000-0005-0000-0000-000079490000}"/>
    <cellStyle name="SAPBEXresData" xfId="2730" xr:uid="{00000000-0005-0000-0000-00008C0A0000}"/>
    <cellStyle name="SAPBEXresData 2" xfId="2731" xr:uid="{00000000-0005-0000-0000-00008D0A0000}"/>
    <cellStyle name="SAPBEXresData 2 2" xfId="19550" xr:uid="{00000000-0005-0000-0000-00007C490000}"/>
    <cellStyle name="SAPBEXresData 2 2 2" xfId="19551" xr:uid="{00000000-0005-0000-0000-00007D490000}"/>
    <cellStyle name="SAPBEXresData 2 2 2 2" xfId="20430" xr:uid="{00000000-0005-0000-0000-00007D490000}"/>
    <cellStyle name="SAPBEXresData 2 2 2 2 2" xfId="27774" xr:uid="{F16675AA-E621-4D52-95F1-F400637A8197}"/>
    <cellStyle name="SAPBEXresData 2 2 2 2 2 2" xfId="42711" xr:uid="{7FC7DF42-D11D-411A-B2A9-8723056A590D}"/>
    <cellStyle name="SAPBEXresData 2 2 2 2 3" xfId="35448" xr:uid="{255BB85B-1E2E-46EE-AE6B-B3B8AAEA3EF3}"/>
    <cellStyle name="SAPBEXresData 2 2 2 3" xfId="35029" xr:uid="{9174D403-62D0-4ADD-8E51-B014728DBCFA}"/>
    <cellStyle name="SAPBEXresData 2 3" xfId="19552" xr:uid="{00000000-0005-0000-0000-00007E490000}"/>
    <cellStyle name="SAPBEXresData 2 3 2" xfId="20431" xr:uid="{00000000-0005-0000-0000-00007E490000}"/>
    <cellStyle name="SAPBEXresData 2 3 2 2" xfId="27775" xr:uid="{2D4B98C1-EF87-4E07-8B61-5D08517F0759}"/>
    <cellStyle name="SAPBEXresData 2 3 2 2 2" xfId="42712" xr:uid="{84D9DF19-FA3C-4178-BED5-1C9CFDFCD178}"/>
    <cellStyle name="SAPBEXresData 2 3 2 3" xfId="35449" xr:uid="{182ACF08-5552-43ED-8D9B-2DACCD6EA25F}"/>
    <cellStyle name="SAPBEXresData 2 3 3" xfId="35030" xr:uid="{8E24E190-A25B-406B-8BAB-0C6A999E04B3}"/>
    <cellStyle name="SAPBEXresData 2 4" xfId="19553" xr:uid="{00000000-0005-0000-0000-00007F490000}"/>
    <cellStyle name="SAPBEXresData 2 5" xfId="19549" xr:uid="{00000000-0005-0000-0000-00007B490000}"/>
    <cellStyle name="SAPBEXresData 2 6" xfId="20786" xr:uid="{889B6DEB-19B5-4C95-8B6C-1E19BE31EAB7}"/>
    <cellStyle name="SAPBEXresData 2 6 2" xfId="35778" xr:uid="{F862925C-FEF5-457C-BA55-74346249F662}"/>
    <cellStyle name="SAPBEXresData 2 7" xfId="28157" xr:uid="{84DF3E2B-6C33-49A0-AAE2-4C12843135F0}"/>
    <cellStyle name="SAPBEXresData 3" xfId="19554" xr:uid="{00000000-0005-0000-0000-000080490000}"/>
    <cellStyle name="SAPBEXresData 3 2" xfId="19555" xr:uid="{00000000-0005-0000-0000-000081490000}"/>
    <cellStyle name="SAPBEXresData 3 3" xfId="19556" xr:uid="{00000000-0005-0000-0000-000082490000}"/>
    <cellStyle name="SAPBEXresData 3 3 2" xfId="20432" xr:uid="{00000000-0005-0000-0000-000082490000}"/>
    <cellStyle name="SAPBEXresData 3 3 2 2" xfId="27776" xr:uid="{2A94B523-F42F-4459-98B5-AA4176A51570}"/>
    <cellStyle name="SAPBEXresData 3 3 2 2 2" xfId="42713" xr:uid="{CFB90C08-859B-4396-A5F7-7D750E0E7AB0}"/>
    <cellStyle name="SAPBEXresData 3 3 2 3" xfId="35450" xr:uid="{7719E965-120C-49FC-AEDB-126D2E4C222A}"/>
    <cellStyle name="SAPBEXresData 3 3 3" xfId="35031" xr:uid="{6751D241-6C23-4605-ADE3-90F4705B5DAE}"/>
    <cellStyle name="SAPBEXresData 3 4" xfId="19557" xr:uid="{00000000-0005-0000-0000-000083490000}"/>
    <cellStyle name="SAPBEXresData 3 4 2" xfId="20433" xr:uid="{00000000-0005-0000-0000-000083490000}"/>
    <cellStyle name="SAPBEXresData 3 4 2 2" xfId="35451" xr:uid="{F63CA733-B3E2-465C-8BC1-725238E073CC}"/>
    <cellStyle name="SAPBEXresData 3 4 3" xfId="35032" xr:uid="{F157388F-7D22-4C4F-A855-EAA791156ED8}"/>
    <cellStyle name="SAPBEXresData 3 5" xfId="19558" xr:uid="{00000000-0005-0000-0000-000084490000}"/>
    <cellStyle name="SAPBEXresData 4" xfId="19559" xr:uid="{00000000-0005-0000-0000-000085490000}"/>
    <cellStyle name="SAPBEXresData 4 2" xfId="19560" xr:uid="{00000000-0005-0000-0000-000086490000}"/>
    <cellStyle name="SAPBEXresData 4 2 2" xfId="20434" xr:uid="{00000000-0005-0000-0000-000086490000}"/>
    <cellStyle name="SAPBEXresData 4 2 2 2" xfId="35452" xr:uid="{70430057-377A-482D-9B86-2ED2C4C02194}"/>
    <cellStyle name="SAPBEXresData 4 2 3" xfId="35033" xr:uid="{32DE35D4-C2A7-4673-A3DD-73C9577FC852}"/>
    <cellStyle name="SAPBEXresData 5" xfId="19561" xr:uid="{00000000-0005-0000-0000-000087490000}"/>
    <cellStyle name="SAPBEXresData 5 2" xfId="20435" xr:uid="{00000000-0005-0000-0000-000087490000}"/>
    <cellStyle name="SAPBEXresData 5 2 2" xfId="27777" xr:uid="{D4916112-D23E-4564-87FC-7F56C28B5731}"/>
    <cellStyle name="SAPBEXresData 5 2 2 2" xfId="42714" xr:uid="{6E04A5D9-925D-4F78-802C-4C7D5E658045}"/>
    <cellStyle name="SAPBEXresData 5 2 3" xfId="35453" xr:uid="{CCF8704C-693D-4B9A-B1E0-AD777EC9D76B}"/>
    <cellStyle name="SAPBEXresData 5 3" xfId="35034" xr:uid="{C27DE337-BC24-46D4-BE16-F4C80B91B8CE}"/>
    <cellStyle name="SAPBEXresData 6" xfId="19562" xr:uid="{00000000-0005-0000-0000-000088490000}"/>
    <cellStyle name="SAPBEXresData 7" xfId="19548" xr:uid="{00000000-0005-0000-0000-00007A490000}"/>
    <cellStyle name="SAPBEXresData 8" xfId="28156" xr:uid="{B5E90F66-20A2-48F9-8172-7AE7AF0F570E}"/>
    <cellStyle name="SAPBEXresDataEmph" xfId="2732" xr:uid="{00000000-0005-0000-0000-00008E0A0000}"/>
    <cellStyle name="SAPBEXresDataEmph 2" xfId="2733" xr:uid="{00000000-0005-0000-0000-00008F0A0000}"/>
    <cellStyle name="SAPBEXresDataEmph 2 2" xfId="19565" xr:uid="{00000000-0005-0000-0000-00008B490000}"/>
    <cellStyle name="SAPBEXresDataEmph 2 2 2" xfId="19566" xr:uid="{00000000-0005-0000-0000-00008C490000}"/>
    <cellStyle name="SAPBEXresDataEmph 2 2 2 2" xfId="20436" xr:uid="{00000000-0005-0000-0000-00008C490000}"/>
    <cellStyle name="SAPBEXresDataEmph 2 2 2 2 2" xfId="27778" xr:uid="{03E3A895-2908-4F86-BE90-721AD6F49E5D}"/>
    <cellStyle name="SAPBEXresDataEmph 2 2 2 2 2 2" xfId="42715" xr:uid="{8C63F13D-1A87-4228-BA0F-6B2059BCB4D9}"/>
    <cellStyle name="SAPBEXresDataEmph 2 2 2 2 3" xfId="35454" xr:uid="{FC9C3187-5616-4F7D-A113-220F01A4912E}"/>
    <cellStyle name="SAPBEXresDataEmph 2 2 2 3" xfId="27493" xr:uid="{7F6B272C-EEA0-4C09-986C-AB32D0FA8256}"/>
    <cellStyle name="SAPBEXresDataEmph 2 2 2 3 2" xfId="42453" xr:uid="{CEC6EAE2-7293-4AB5-B458-E45D666F6EE6}"/>
    <cellStyle name="SAPBEXresDataEmph 2 2 2 4" xfId="35035" xr:uid="{F8E5EB85-B8BD-465D-A377-844A7A1615AF}"/>
    <cellStyle name="SAPBEXresDataEmph 2 3" xfId="19567" xr:uid="{00000000-0005-0000-0000-00008D490000}"/>
    <cellStyle name="SAPBEXresDataEmph 2 3 2" xfId="20437" xr:uid="{00000000-0005-0000-0000-00008D490000}"/>
    <cellStyle name="SAPBEXresDataEmph 2 3 2 2" xfId="27779" xr:uid="{C0915397-FC8E-45FF-80F6-A4F639A4672A}"/>
    <cellStyle name="SAPBEXresDataEmph 2 3 2 2 2" xfId="42716" xr:uid="{611A9715-5C76-465F-86BB-D9CBE6EE189A}"/>
    <cellStyle name="SAPBEXresDataEmph 2 3 2 3" xfId="35455" xr:uid="{03A371C9-0AC6-4617-8FF6-11FAEEDFAFFB}"/>
    <cellStyle name="SAPBEXresDataEmph 2 3 3" xfId="27494" xr:uid="{D573087D-F917-491A-9366-81EF9F16D4E3}"/>
    <cellStyle name="SAPBEXresDataEmph 2 3 3 2" xfId="42454" xr:uid="{55676A39-BA3D-4595-A607-B26DF6FAA64A}"/>
    <cellStyle name="SAPBEXresDataEmph 2 3 4" xfId="35036" xr:uid="{8E33B9E4-99FE-41E9-8C09-1528145182CC}"/>
    <cellStyle name="SAPBEXresDataEmph 2 4" xfId="19568" xr:uid="{00000000-0005-0000-0000-00008E490000}"/>
    <cellStyle name="SAPBEXresDataEmph 2 5" xfId="19564" xr:uid="{00000000-0005-0000-0000-00008A490000}"/>
    <cellStyle name="SAPBEXresDataEmph 2 6" xfId="20787" xr:uid="{359C1144-2418-4018-9895-96022D7CBB24}"/>
    <cellStyle name="SAPBEXresDataEmph 2 6 2" xfId="35779" xr:uid="{581C009A-B512-4624-B167-BACE788E5434}"/>
    <cellStyle name="SAPBEXresDataEmph 2 7" xfId="28159" xr:uid="{0607DF6F-63B2-4AAD-BF68-637B570255CD}"/>
    <cellStyle name="SAPBEXresDataEmph 3" xfId="19569" xr:uid="{00000000-0005-0000-0000-00008F490000}"/>
    <cellStyle name="SAPBEXresDataEmph 3 2" xfId="19570" xr:uid="{00000000-0005-0000-0000-000090490000}"/>
    <cellStyle name="SAPBEXresDataEmph 3 3" xfId="19571" xr:uid="{00000000-0005-0000-0000-000091490000}"/>
    <cellStyle name="SAPBEXresDataEmph 3 3 2" xfId="20438" xr:uid="{00000000-0005-0000-0000-000091490000}"/>
    <cellStyle name="SAPBEXresDataEmph 3 3 2 2" xfId="27780" xr:uid="{C1758A51-3198-4F74-8216-4DEE18AF65A8}"/>
    <cellStyle name="SAPBEXresDataEmph 3 3 2 2 2" xfId="42717" xr:uid="{85616AEF-C642-456C-878D-EAE9693039ED}"/>
    <cellStyle name="SAPBEXresDataEmph 3 3 2 3" xfId="35456" xr:uid="{1C49C611-E635-48FA-A541-8A4AFB44AF59}"/>
    <cellStyle name="SAPBEXresDataEmph 3 3 3" xfId="35037" xr:uid="{51C1D791-BD8A-4C1D-BE8D-DC4ECD07991F}"/>
    <cellStyle name="SAPBEXresDataEmph 3 4" xfId="19572" xr:uid="{00000000-0005-0000-0000-000092490000}"/>
    <cellStyle name="SAPBEXresDataEmph 3 4 2" xfId="20439" xr:uid="{00000000-0005-0000-0000-000092490000}"/>
    <cellStyle name="SAPBEXresDataEmph 3 4 2 2" xfId="35457" xr:uid="{AB6B3171-FED7-4701-BA2E-90D4ED9191F8}"/>
    <cellStyle name="SAPBEXresDataEmph 3 4 3" xfId="35038" xr:uid="{BD0279B2-F9A5-4630-ACBA-A9CF1090081F}"/>
    <cellStyle name="SAPBEXresDataEmph 3 5" xfId="19573" xr:uid="{00000000-0005-0000-0000-000093490000}"/>
    <cellStyle name="SAPBEXresDataEmph 4" xfId="19574" xr:uid="{00000000-0005-0000-0000-000094490000}"/>
    <cellStyle name="SAPBEXresDataEmph 4 2" xfId="19575" xr:uid="{00000000-0005-0000-0000-000095490000}"/>
    <cellStyle name="SAPBEXresDataEmph 4 2 2" xfId="20440" xr:uid="{00000000-0005-0000-0000-000095490000}"/>
    <cellStyle name="SAPBEXresDataEmph 4 2 2 2" xfId="35458" xr:uid="{41D8F11B-6C0B-4BD7-B323-7DC0B2508D6A}"/>
    <cellStyle name="SAPBEXresDataEmph 4 2 3" xfId="35039" xr:uid="{47E7B08A-525B-4C22-8B47-5A17AD386478}"/>
    <cellStyle name="SAPBEXresDataEmph 5" xfId="19576" xr:uid="{00000000-0005-0000-0000-000096490000}"/>
    <cellStyle name="SAPBEXresDataEmph 5 2" xfId="20441" xr:uid="{00000000-0005-0000-0000-000096490000}"/>
    <cellStyle name="SAPBEXresDataEmph 5 2 2" xfId="27781" xr:uid="{1754C4B9-9EAB-47C2-B0D1-6A7C2255ABE7}"/>
    <cellStyle name="SAPBEXresDataEmph 5 2 2 2" xfId="42718" xr:uid="{FCE6A6F0-F6AB-4DB2-819D-7B292A1ABF4E}"/>
    <cellStyle name="SAPBEXresDataEmph 5 2 3" xfId="35459" xr:uid="{01E836F3-1EF8-4CB8-B566-288E30646518}"/>
    <cellStyle name="SAPBEXresDataEmph 5 3" xfId="35040" xr:uid="{0D9031EB-FDC7-483E-8447-B3B9B8913D45}"/>
    <cellStyle name="SAPBEXresDataEmph 6" xfId="19577" xr:uid="{00000000-0005-0000-0000-000097490000}"/>
    <cellStyle name="SAPBEXresDataEmph 7" xfId="19563" xr:uid="{00000000-0005-0000-0000-000089490000}"/>
    <cellStyle name="SAPBEXresDataEmph 8" xfId="28158" xr:uid="{83B48B72-9B51-4F40-89D7-605F4E2D194B}"/>
    <cellStyle name="SAPBEXresExc1" xfId="2734" xr:uid="{00000000-0005-0000-0000-0000900A0000}"/>
    <cellStyle name="SAPBEXresExc1 2" xfId="19579" xr:uid="{00000000-0005-0000-0000-000099490000}"/>
    <cellStyle name="SAPBEXresExc1 2 2" xfId="19580" xr:uid="{00000000-0005-0000-0000-00009A490000}"/>
    <cellStyle name="SAPBEXresExc1 2 3" xfId="27495" xr:uid="{6CC8C3AF-015C-48BB-811C-049F7F4F9DF1}"/>
    <cellStyle name="SAPBEXresExc1 3" xfId="19581" xr:uid="{00000000-0005-0000-0000-00009B490000}"/>
    <cellStyle name="SAPBEXresExc1 4" xfId="19578" xr:uid="{00000000-0005-0000-0000-000098490000}"/>
    <cellStyle name="SAPBEXresExc1 5" xfId="20788" xr:uid="{A8BF986F-6A95-4C3C-9A8E-9C18D531AA32}"/>
    <cellStyle name="SAPBEXresExc1Emph" xfId="2735" xr:uid="{00000000-0005-0000-0000-0000910A0000}"/>
    <cellStyle name="SAPBEXresExc1Emph 2" xfId="19583" xr:uid="{00000000-0005-0000-0000-00009D490000}"/>
    <cellStyle name="SAPBEXresExc1Emph 2 2" xfId="19584" xr:uid="{00000000-0005-0000-0000-00009E490000}"/>
    <cellStyle name="SAPBEXresExc1Emph 2 3" xfId="27496" xr:uid="{9A81B16B-75EB-4E8F-9265-0724F7952C63}"/>
    <cellStyle name="SAPBEXresExc1Emph 3" xfId="19585" xr:uid="{00000000-0005-0000-0000-00009F490000}"/>
    <cellStyle name="SAPBEXresExc1Emph 4" xfId="19582" xr:uid="{00000000-0005-0000-0000-00009C490000}"/>
    <cellStyle name="SAPBEXresExc1Emph 5" xfId="20789" xr:uid="{E0984BD1-DB01-4E13-99A5-742323D0D4AC}"/>
    <cellStyle name="SAPBEXresExc2" xfId="2736" xr:uid="{00000000-0005-0000-0000-0000920A0000}"/>
    <cellStyle name="SAPBEXresExc2 2" xfId="19587" xr:uid="{00000000-0005-0000-0000-0000A1490000}"/>
    <cellStyle name="SAPBEXresExc2 2 2" xfId="19588" xr:uid="{00000000-0005-0000-0000-0000A2490000}"/>
    <cellStyle name="SAPBEXresExc2 2 3" xfId="27497" xr:uid="{059BC182-C04A-4D1B-9A47-B17F9CE3B8EF}"/>
    <cellStyle name="SAPBEXresExc2 3" xfId="19589" xr:uid="{00000000-0005-0000-0000-0000A3490000}"/>
    <cellStyle name="SAPBEXresExc2 4" xfId="19586" xr:uid="{00000000-0005-0000-0000-0000A0490000}"/>
    <cellStyle name="SAPBEXresExc2 5" xfId="20790" xr:uid="{B85A2326-B34F-4AD1-908D-3671515B71AE}"/>
    <cellStyle name="SAPBEXresExc2Emph" xfId="2737" xr:uid="{00000000-0005-0000-0000-0000930A0000}"/>
    <cellStyle name="SAPBEXresExc2Emph 2" xfId="19591" xr:uid="{00000000-0005-0000-0000-0000A5490000}"/>
    <cellStyle name="SAPBEXresExc2Emph 2 2" xfId="19592" xr:uid="{00000000-0005-0000-0000-0000A6490000}"/>
    <cellStyle name="SAPBEXresExc2Emph 2 3" xfId="27498" xr:uid="{099A6616-44D8-4A2C-8C17-941667C9D04A}"/>
    <cellStyle name="SAPBEXresExc2Emph 3" xfId="19593" xr:uid="{00000000-0005-0000-0000-0000A7490000}"/>
    <cellStyle name="SAPBEXresExc2Emph 4" xfId="19590" xr:uid="{00000000-0005-0000-0000-0000A4490000}"/>
    <cellStyle name="SAPBEXresExc2Emph 5" xfId="20791" xr:uid="{2B202280-9F3F-498D-92C1-D143AC3D5670}"/>
    <cellStyle name="SAPBEXresItem" xfId="2738" xr:uid="{00000000-0005-0000-0000-0000940A0000}"/>
    <cellStyle name="SAPBEXresItem 2" xfId="19595" xr:uid="{00000000-0005-0000-0000-0000A9490000}"/>
    <cellStyle name="SAPBEXresItem 2 2" xfId="19596" xr:uid="{00000000-0005-0000-0000-0000AA490000}"/>
    <cellStyle name="SAPBEXresItem 2 2 2" xfId="19597" xr:uid="{00000000-0005-0000-0000-0000AB490000}"/>
    <cellStyle name="SAPBEXresItem 2 2 2 2" xfId="20442" xr:uid="{00000000-0005-0000-0000-0000AB490000}"/>
    <cellStyle name="SAPBEXresItem 2 2 2 2 2" xfId="27782" xr:uid="{479DB072-11A9-4820-94F3-5EAF1F08FB86}"/>
    <cellStyle name="SAPBEXresItem 2 2 2 2 2 2" xfId="42719" xr:uid="{EA10C887-476A-44AE-9AE1-FE861296C5A7}"/>
    <cellStyle name="SAPBEXresItem 2 2 2 2 3" xfId="35460" xr:uid="{C1D0BF42-946F-485D-A89A-696F6BC3FDD6}"/>
    <cellStyle name="SAPBEXresItem 2 2 2 3" xfId="35041" xr:uid="{C3816E38-8783-418D-BBD5-9439F684FB39}"/>
    <cellStyle name="SAPBEXresItem 2 3" xfId="19598" xr:uid="{00000000-0005-0000-0000-0000AC490000}"/>
    <cellStyle name="SAPBEXresItem 2 3 2" xfId="20443" xr:uid="{00000000-0005-0000-0000-0000AC490000}"/>
    <cellStyle name="SAPBEXresItem 2 3 2 2" xfId="27783" xr:uid="{4D4EF3C2-DEF7-4D4D-BBC0-9DF82BECD12F}"/>
    <cellStyle name="SAPBEXresItem 2 3 2 2 2" xfId="42720" xr:uid="{8D135D29-7A73-4000-8CF0-85B8A29864E6}"/>
    <cellStyle name="SAPBEXresItem 2 3 2 3" xfId="35461" xr:uid="{704CE90E-477D-4C41-B4C2-09020D07F1DD}"/>
    <cellStyle name="SAPBEXresItem 2 3 3" xfId="35042" xr:uid="{A02A4F9C-405D-41A1-B5A4-C4AEC2EB6381}"/>
    <cellStyle name="SAPBEXresItem 2 4" xfId="19599" xr:uid="{00000000-0005-0000-0000-0000AD490000}"/>
    <cellStyle name="SAPBEXresItem 3" xfId="19600" xr:uid="{00000000-0005-0000-0000-0000AE490000}"/>
    <cellStyle name="SAPBEXresItem 3 2" xfId="19601" xr:uid="{00000000-0005-0000-0000-0000AF490000}"/>
    <cellStyle name="SAPBEXresItem 3 3" xfId="19602" xr:uid="{00000000-0005-0000-0000-0000B0490000}"/>
    <cellStyle name="SAPBEXresItem 3 4" xfId="19603" xr:uid="{00000000-0005-0000-0000-0000B1490000}"/>
    <cellStyle name="SAPBEXresItem 3 4 2" xfId="20444" xr:uid="{00000000-0005-0000-0000-0000B1490000}"/>
    <cellStyle name="SAPBEXresItem 3 4 2 2" xfId="35462" xr:uid="{03E0CC20-1C5A-4C28-87DD-340167DE35BF}"/>
    <cellStyle name="SAPBEXresItem 3 4 3" xfId="35043" xr:uid="{09EB2124-D0A5-46C1-A251-404A7AD24461}"/>
    <cellStyle name="SAPBEXresItem 3 5" xfId="19604" xr:uid="{00000000-0005-0000-0000-0000B2490000}"/>
    <cellStyle name="SAPBEXresItem 4" xfId="19605" xr:uid="{00000000-0005-0000-0000-0000B3490000}"/>
    <cellStyle name="SAPBEXresItem 4 2" xfId="19606" xr:uid="{00000000-0005-0000-0000-0000B4490000}"/>
    <cellStyle name="SAPBEXresItem 4 2 2" xfId="20445" xr:uid="{00000000-0005-0000-0000-0000B4490000}"/>
    <cellStyle name="SAPBEXresItem 4 2 2 2" xfId="35463" xr:uid="{B39BFC82-8BBE-4BD3-85B2-89A7B4840A14}"/>
    <cellStyle name="SAPBEXresItem 4 2 3" xfId="35044" xr:uid="{DFF59419-8692-4A43-96CB-F21011885BFE}"/>
    <cellStyle name="SAPBEXresItem 5" xfId="19607" xr:uid="{00000000-0005-0000-0000-0000B5490000}"/>
    <cellStyle name="SAPBEXresItem 5 2" xfId="20446" xr:uid="{00000000-0005-0000-0000-0000B5490000}"/>
    <cellStyle name="SAPBEXresItem 5 2 2" xfId="27784" xr:uid="{659961A3-C887-49EB-A1D5-34F27635923C}"/>
    <cellStyle name="SAPBEXresItem 5 2 2 2" xfId="42721" xr:uid="{A8E6CD10-A480-4305-9AD4-9C727C835A3D}"/>
    <cellStyle name="SAPBEXresItem 5 2 3" xfId="35464" xr:uid="{3DE66C38-B541-464A-BAD6-4176C67D826F}"/>
    <cellStyle name="SAPBEXresItem 5 3" xfId="35045" xr:uid="{309BF0D0-81DA-48E0-90CD-27754ED95C1B}"/>
    <cellStyle name="SAPBEXresItem 6" xfId="19608" xr:uid="{00000000-0005-0000-0000-0000B6490000}"/>
    <cellStyle name="SAPBEXresItem 7" xfId="19594" xr:uid="{00000000-0005-0000-0000-0000A8490000}"/>
    <cellStyle name="SAPBEXresItemX" xfId="2739" xr:uid="{00000000-0005-0000-0000-0000950A0000}"/>
    <cellStyle name="SAPBEXresItemX 2" xfId="2740" xr:uid="{00000000-0005-0000-0000-0000960A0000}"/>
    <cellStyle name="SAPBEXresItemX 2 2" xfId="19611" xr:uid="{00000000-0005-0000-0000-0000B9490000}"/>
    <cellStyle name="SAPBEXresItemX 2 2 2" xfId="19612" xr:uid="{00000000-0005-0000-0000-0000BA490000}"/>
    <cellStyle name="SAPBEXresItemX 2 2 2 2" xfId="20447" xr:uid="{00000000-0005-0000-0000-0000BA490000}"/>
    <cellStyle name="SAPBEXresItemX 2 2 2 2 2" xfId="27785" xr:uid="{11EE7943-2997-440C-95FB-9A37F6BF3A80}"/>
    <cellStyle name="SAPBEXresItemX 2 2 2 2 2 2" xfId="42722" xr:uid="{FF47795D-8CB1-4108-83A8-9E68C71354CC}"/>
    <cellStyle name="SAPBEXresItemX 2 2 2 2 3" xfId="35465" xr:uid="{E0F07A83-47F0-4FE8-8803-1C22E4BD413E}"/>
    <cellStyle name="SAPBEXresItemX 2 2 2 3" xfId="35046" xr:uid="{FDB460DE-E230-42C1-B0FF-E17E58ECEB38}"/>
    <cellStyle name="SAPBEXresItemX 2 3" xfId="19613" xr:uid="{00000000-0005-0000-0000-0000BB490000}"/>
    <cellStyle name="SAPBEXresItemX 2 3 2" xfId="20448" xr:uid="{00000000-0005-0000-0000-0000BB490000}"/>
    <cellStyle name="SAPBEXresItemX 2 3 2 2" xfId="27786" xr:uid="{32848278-4837-48A9-A86B-A10EE2D98ACA}"/>
    <cellStyle name="SAPBEXresItemX 2 3 2 2 2" xfId="42723" xr:uid="{FDDB7691-BBB6-4D3B-9A6C-020F2E0EEBC6}"/>
    <cellStyle name="SAPBEXresItemX 2 3 2 3" xfId="35466" xr:uid="{FC7029EF-9EFC-4424-8A0F-702D2A34387F}"/>
    <cellStyle name="SAPBEXresItemX 2 3 3" xfId="35047" xr:uid="{591D695F-707D-42AD-91D2-1D37C45DFF93}"/>
    <cellStyle name="SAPBEXresItemX 2 4" xfId="19614" xr:uid="{00000000-0005-0000-0000-0000BC490000}"/>
    <cellStyle name="SAPBEXresItemX 2 5" xfId="19610" xr:uid="{00000000-0005-0000-0000-0000B8490000}"/>
    <cellStyle name="SAPBEXresItemX 2 6" xfId="20792" xr:uid="{16F973DB-BDC2-4932-9E77-356B5C703B16}"/>
    <cellStyle name="SAPBEXresItemX 2 6 2" xfId="35780" xr:uid="{EF495C95-08D6-4255-8804-DC383054D55C}"/>
    <cellStyle name="SAPBEXresItemX 2 7" xfId="28161" xr:uid="{F32967FB-E185-4FE9-916D-12D0083EF01C}"/>
    <cellStyle name="SAPBEXresItemX 3" xfId="19615" xr:uid="{00000000-0005-0000-0000-0000BD490000}"/>
    <cellStyle name="SAPBEXresItemX 3 2" xfId="19616" xr:uid="{00000000-0005-0000-0000-0000BE490000}"/>
    <cellStyle name="SAPBEXresItemX 3 3" xfId="19617" xr:uid="{00000000-0005-0000-0000-0000BF490000}"/>
    <cellStyle name="SAPBEXresItemX 3 3 2" xfId="20449" xr:uid="{00000000-0005-0000-0000-0000BF490000}"/>
    <cellStyle name="SAPBEXresItemX 3 3 2 2" xfId="27787" xr:uid="{36F76128-093B-4FC8-B860-565E50556AFD}"/>
    <cellStyle name="SAPBEXresItemX 3 3 2 2 2" xfId="42724" xr:uid="{02BB1181-FE6D-4B10-9098-8E1C12562CFE}"/>
    <cellStyle name="SAPBEXresItemX 3 3 2 3" xfId="35467" xr:uid="{45F585F8-58CB-4340-9B5D-12D736C0E3FC}"/>
    <cellStyle name="SAPBEXresItemX 3 3 3" xfId="35048" xr:uid="{23297061-8D45-403E-A88F-6B284494698F}"/>
    <cellStyle name="SAPBEXresItemX 3 4" xfId="19618" xr:uid="{00000000-0005-0000-0000-0000C0490000}"/>
    <cellStyle name="SAPBEXresItemX 3 4 2" xfId="20450" xr:uid="{00000000-0005-0000-0000-0000C0490000}"/>
    <cellStyle name="SAPBEXresItemX 3 4 2 2" xfId="35468" xr:uid="{A4CE7059-D0BE-4826-853E-ECE323F9E052}"/>
    <cellStyle name="SAPBEXresItemX 3 4 3" xfId="35049" xr:uid="{DEDC7D53-1D57-44E8-867A-5549AE820985}"/>
    <cellStyle name="SAPBEXresItemX 3 5" xfId="19619" xr:uid="{00000000-0005-0000-0000-0000C1490000}"/>
    <cellStyle name="SAPBEXresItemX 4" xfId="19620" xr:uid="{00000000-0005-0000-0000-0000C2490000}"/>
    <cellStyle name="SAPBEXresItemX 4 2" xfId="19621" xr:uid="{00000000-0005-0000-0000-0000C3490000}"/>
    <cellStyle name="SAPBEXresItemX 4 2 2" xfId="20451" xr:uid="{00000000-0005-0000-0000-0000C3490000}"/>
    <cellStyle name="SAPBEXresItemX 4 2 2 2" xfId="35469" xr:uid="{BE920917-7EB1-44C7-AF67-816323D1CD5D}"/>
    <cellStyle name="SAPBEXresItemX 4 2 3" xfId="35050" xr:uid="{0D1C9EC8-193A-42C5-855D-FF0A229A757C}"/>
    <cellStyle name="SAPBEXresItemX 5" xfId="19622" xr:uid="{00000000-0005-0000-0000-0000C4490000}"/>
    <cellStyle name="SAPBEXresItemX 5 2" xfId="20452" xr:uid="{00000000-0005-0000-0000-0000C4490000}"/>
    <cellStyle name="SAPBEXresItemX 5 2 2" xfId="27788" xr:uid="{ABF1A451-F005-4375-8868-3CB01225D1E3}"/>
    <cellStyle name="SAPBEXresItemX 5 2 2 2" xfId="42725" xr:uid="{C6B1CDF3-EB0C-4B04-A49D-08EA4E29603A}"/>
    <cellStyle name="SAPBEXresItemX 5 2 3" xfId="35470" xr:uid="{AF1FDB37-B327-4CE9-869A-4173A8E9FE06}"/>
    <cellStyle name="SAPBEXresItemX 5 3" xfId="35051" xr:uid="{6890BA96-A29F-4998-8687-69AEA9B013CD}"/>
    <cellStyle name="SAPBEXresItemX 6" xfId="19623" xr:uid="{00000000-0005-0000-0000-0000C5490000}"/>
    <cellStyle name="SAPBEXresItemX 7" xfId="19609" xr:uid="{00000000-0005-0000-0000-0000B7490000}"/>
    <cellStyle name="SAPBEXresItemX 8" xfId="28160" xr:uid="{E420E618-FBD9-45DA-B453-D0110D400225}"/>
    <cellStyle name="SAPBEXRow_Headings_SA" xfId="2741" xr:uid="{00000000-0005-0000-0000-0000970A0000}"/>
    <cellStyle name="SAPBEXRowResults_SA" xfId="2742" xr:uid="{00000000-0005-0000-0000-0000980A0000}"/>
    <cellStyle name="SAPBEXstdData" xfId="2743" xr:uid="{00000000-0005-0000-0000-0000990A0000}"/>
    <cellStyle name="SAPBEXstdData 2" xfId="2744" xr:uid="{00000000-0005-0000-0000-00009A0A0000}"/>
    <cellStyle name="SAPBEXstdData 2 10" xfId="28163" xr:uid="{F26E3194-627D-4DD8-BD75-C9E376A6D997}"/>
    <cellStyle name="SAPBEXstdData 2 2" xfId="2909" xr:uid="{00000000-0005-0000-0000-00009B0A0000}"/>
    <cellStyle name="SAPBEXstdData 2 2 2" xfId="19626" xr:uid="{00000000-0005-0000-0000-0000CB490000}"/>
    <cellStyle name="SAPBEXstdData 2 2 2 2" xfId="19627" xr:uid="{00000000-0005-0000-0000-0000CC490000}"/>
    <cellStyle name="SAPBEXstdData 2 2 2 3" xfId="19628" xr:uid="{00000000-0005-0000-0000-0000CD490000}"/>
    <cellStyle name="SAPBEXstdData 2 2 2 3 2" xfId="20453" xr:uid="{00000000-0005-0000-0000-0000CD490000}"/>
    <cellStyle name="SAPBEXstdData 2 2 2 3 2 2" xfId="27789" xr:uid="{310530D3-899E-45FA-945A-024C27D6DFE1}"/>
    <cellStyle name="SAPBEXstdData 2 2 2 3 2 2 2" xfId="42726" xr:uid="{1FF22722-ED20-4671-A067-051C6F4FD482}"/>
    <cellStyle name="SAPBEXstdData 2 2 2 3 2 3" xfId="35471" xr:uid="{AD76B578-C936-44ED-AE37-35184E13B5AB}"/>
    <cellStyle name="SAPBEXstdData 2 2 2 3 3" xfId="27499" xr:uid="{0CC3B192-8B17-4BFA-8A48-702194EDF925}"/>
    <cellStyle name="SAPBEXstdData 2 2 2 3 3 2" xfId="42455" xr:uid="{0D079C8B-E51E-4086-9298-6D0065BBBB2A}"/>
    <cellStyle name="SAPBEXstdData 2 2 2 3 4" xfId="35052" xr:uid="{79D3A75E-8ED7-4450-A613-31E077DFBBF8}"/>
    <cellStyle name="SAPBEXstdData 2 2 2 4" xfId="19629" xr:uid="{00000000-0005-0000-0000-0000CE490000}"/>
    <cellStyle name="SAPBEXstdData 2 2 3" xfId="19630" xr:uid="{00000000-0005-0000-0000-0000CF490000}"/>
    <cellStyle name="SAPBEXstdData 2 2 3 2" xfId="19631" xr:uid="{00000000-0005-0000-0000-0000D0490000}"/>
    <cellStyle name="SAPBEXstdData 2 2 3 2 2" xfId="20454" xr:uid="{00000000-0005-0000-0000-0000D0490000}"/>
    <cellStyle name="SAPBEXstdData 2 2 3 2 2 2" xfId="35472" xr:uid="{14E0E106-D7E2-4ECE-B830-8B000124E485}"/>
    <cellStyle name="SAPBEXstdData 2 2 3 2 3" xfId="35053" xr:uid="{ADD50D04-BA89-46D7-985D-255453E32BDF}"/>
    <cellStyle name="SAPBEXstdData 2 2 4" xfId="19632" xr:uid="{00000000-0005-0000-0000-0000D1490000}"/>
    <cellStyle name="SAPBEXstdData 2 2 4 2" xfId="20455" xr:uid="{00000000-0005-0000-0000-0000D1490000}"/>
    <cellStyle name="SAPBEXstdData 2 2 4 2 2" xfId="27790" xr:uid="{05E48D44-B713-49B7-9D2F-E6992D010A58}"/>
    <cellStyle name="SAPBEXstdData 2 2 4 2 2 2" xfId="42727" xr:uid="{197C03FA-969E-4469-A9AD-F4C2F1B306E3}"/>
    <cellStyle name="SAPBEXstdData 2 2 4 2 3" xfId="35473" xr:uid="{61F700C6-4A84-49BA-9917-6D1C2AD7A67F}"/>
    <cellStyle name="SAPBEXstdData 2 2 4 3" xfId="27500" xr:uid="{3804CB8C-FA5D-4DE7-895B-07DE755FB68C}"/>
    <cellStyle name="SAPBEXstdData 2 2 4 3 2" xfId="42456" xr:uid="{8C4B4C42-DEF5-45AE-951D-A0BDEC682876}"/>
    <cellStyle name="SAPBEXstdData 2 2 4 4" xfId="35054" xr:uid="{B2D94CEB-1B44-496B-9638-FC1667A04D4F}"/>
    <cellStyle name="SAPBEXstdData 2 2 5" xfId="19633" xr:uid="{00000000-0005-0000-0000-0000D2490000}"/>
    <cellStyle name="SAPBEXstdData 2 2 6" xfId="19625" xr:uid="{00000000-0005-0000-0000-0000CA490000}"/>
    <cellStyle name="SAPBEXstdData 2 2 7" xfId="20865" xr:uid="{2573353F-71D3-45F1-ACA8-BD7BEB5FCF92}"/>
    <cellStyle name="SAPBEXstdData 2 2 7 2" xfId="35841" xr:uid="{16B0AC90-376C-40D5-8773-15B49A6FBFF0}"/>
    <cellStyle name="SAPBEXstdData 2 2 8" xfId="28237" xr:uid="{D551176E-D6AC-449E-9C40-D9EE8B5B6383}"/>
    <cellStyle name="SAPBEXstdData 2 3" xfId="19634" xr:uid="{00000000-0005-0000-0000-0000D3490000}"/>
    <cellStyle name="SAPBEXstdData 2 3 2" xfId="19635" xr:uid="{00000000-0005-0000-0000-0000D4490000}"/>
    <cellStyle name="SAPBEXstdData 2 3 3" xfId="19636" xr:uid="{00000000-0005-0000-0000-0000D5490000}"/>
    <cellStyle name="SAPBEXstdData 2 3 3 2" xfId="20456" xr:uid="{00000000-0005-0000-0000-0000D5490000}"/>
    <cellStyle name="SAPBEXstdData 2 3 3 2 2" xfId="27791" xr:uid="{5DF701EB-9C6E-4FBE-A762-7E675D516349}"/>
    <cellStyle name="SAPBEXstdData 2 3 3 2 2 2" xfId="42728" xr:uid="{8C4ED13F-5961-4789-A933-FC9D4C1E667E}"/>
    <cellStyle name="SAPBEXstdData 2 3 3 2 3" xfId="35474" xr:uid="{F2E5EEE1-ED66-4B61-9A2D-821266AFE043}"/>
    <cellStyle name="SAPBEXstdData 2 3 3 3" xfId="27501" xr:uid="{A269C467-6BA0-49AE-A81D-55637076FFB7}"/>
    <cellStyle name="SAPBEXstdData 2 3 3 3 2" xfId="42457" xr:uid="{30E83329-0AC8-42C8-AB9B-281731160668}"/>
    <cellStyle name="SAPBEXstdData 2 3 3 4" xfId="35055" xr:uid="{B9A24114-6086-42AF-A3F0-37EFE9616C71}"/>
    <cellStyle name="SAPBEXstdData 2 3 4" xfId="19637" xr:uid="{00000000-0005-0000-0000-0000D6490000}"/>
    <cellStyle name="SAPBEXstdData 2 4" xfId="19638" xr:uid="{00000000-0005-0000-0000-0000D7490000}"/>
    <cellStyle name="SAPBEXstdData 2 4 2" xfId="19639" xr:uid="{00000000-0005-0000-0000-0000D8490000}"/>
    <cellStyle name="SAPBEXstdData 2 4 2 2" xfId="19640" xr:uid="{00000000-0005-0000-0000-0000D9490000}"/>
    <cellStyle name="SAPBEXstdData 2 4 2 3" xfId="20457" xr:uid="{00000000-0005-0000-0000-0000D8490000}"/>
    <cellStyle name="SAPBEXstdData 2 4 2 3 2" xfId="27792" xr:uid="{41359332-38E2-4FFD-A0C4-E1B2748009AF}"/>
    <cellStyle name="SAPBEXstdData 2 4 2 3 2 2" xfId="42729" xr:uid="{2451286B-E54C-4971-A19D-F8019FEAA2EF}"/>
    <cellStyle name="SAPBEXstdData 2 4 2 3 3" xfId="35475" xr:uid="{E6B931B0-6527-46F3-BCBD-4D9CAA8582FE}"/>
    <cellStyle name="SAPBEXstdData 2 4 2 4" xfId="27502" xr:uid="{B190E4CA-76C3-44CB-B190-9A3AA394379E}"/>
    <cellStyle name="SAPBEXstdData 2 4 2 4 2" xfId="42458" xr:uid="{A9730CF7-5D5B-42FB-9B89-E01694CCF022}"/>
    <cellStyle name="SAPBEXstdData 2 4 2 5" xfId="35056" xr:uid="{94085E6D-CD0F-4D0F-9E00-F11A1D05444A}"/>
    <cellStyle name="SAPBEXstdData 2 4 3" xfId="19641" xr:uid="{00000000-0005-0000-0000-0000DA490000}"/>
    <cellStyle name="SAPBEXstdData 2 5" xfId="19642" xr:uid="{00000000-0005-0000-0000-0000DB490000}"/>
    <cellStyle name="SAPBEXstdData 2 5 2" xfId="19643" xr:uid="{00000000-0005-0000-0000-0000DC490000}"/>
    <cellStyle name="SAPBEXstdData 2 5 2 2" xfId="20458" xr:uid="{00000000-0005-0000-0000-0000DC490000}"/>
    <cellStyle name="SAPBEXstdData 2 5 2 2 2" xfId="27793" xr:uid="{6D73E434-A717-463F-8448-D7B1B99E0794}"/>
    <cellStyle name="SAPBEXstdData 2 5 2 2 2 2" xfId="42730" xr:uid="{9386580B-C9CE-433A-949B-CA19FF327D84}"/>
    <cellStyle name="SAPBEXstdData 2 5 2 2 3" xfId="35476" xr:uid="{44E5BACD-948F-4920-B90C-4E4266C91ADA}"/>
    <cellStyle name="SAPBEXstdData 2 5 2 3" xfId="27503" xr:uid="{415159C4-1D3E-45FA-ADD8-F7FCF628135C}"/>
    <cellStyle name="SAPBEXstdData 2 5 2 3 2" xfId="42459" xr:uid="{018C2FFB-A671-4E31-83DE-587DF31D3487}"/>
    <cellStyle name="SAPBEXstdData 2 5 2 4" xfId="35057" xr:uid="{64C2D89D-6268-4E3C-8CA8-9FBD55866FB3}"/>
    <cellStyle name="SAPBEXstdData 2 6" xfId="19644" xr:uid="{00000000-0005-0000-0000-0000DD490000}"/>
    <cellStyle name="SAPBEXstdData 2 6 2" xfId="20459" xr:uid="{00000000-0005-0000-0000-0000DD490000}"/>
    <cellStyle name="SAPBEXstdData 2 6 2 2" xfId="35477" xr:uid="{296CBC20-0A3A-4E13-A672-9193110046E1}"/>
    <cellStyle name="SAPBEXstdData 2 6 3" xfId="35058" xr:uid="{1DF518EA-7650-4DA9-92AA-C014A1086E0C}"/>
    <cellStyle name="SAPBEXstdData 2 7" xfId="19645" xr:uid="{00000000-0005-0000-0000-0000DE490000}"/>
    <cellStyle name="SAPBEXstdData 2 8" xfId="19624" xr:uid="{00000000-0005-0000-0000-0000C9490000}"/>
    <cellStyle name="SAPBEXstdData 2 9" xfId="20793" xr:uid="{887A4F11-77C9-4E2C-8C4C-632A26BFF7CC}"/>
    <cellStyle name="SAPBEXstdData 2 9 2" xfId="35781" xr:uid="{D17CE7B9-7989-4231-816D-466105A6F0E4}"/>
    <cellStyle name="SAPBEXstdData 3" xfId="19646" xr:uid="{00000000-0005-0000-0000-0000DF490000}"/>
    <cellStyle name="SAPBEXstdData 3 2" xfId="19647" xr:uid="{00000000-0005-0000-0000-0000E0490000}"/>
    <cellStyle name="SAPBEXstdData 3 2 2" xfId="19648" xr:uid="{00000000-0005-0000-0000-0000E1490000}"/>
    <cellStyle name="SAPBEXstdData 3 2 2 2" xfId="20460" xr:uid="{00000000-0005-0000-0000-0000E1490000}"/>
    <cellStyle name="SAPBEXstdData 3 2 2 2 2" xfId="27794" xr:uid="{2601FFEB-85D2-41B9-9E50-B3E47E88EF04}"/>
    <cellStyle name="SAPBEXstdData 3 2 2 2 2 2" xfId="42731" xr:uid="{B71637E4-2140-4A49-95C0-71C730C921C1}"/>
    <cellStyle name="SAPBEXstdData 3 2 2 2 3" xfId="35478" xr:uid="{B91F672D-E3D9-4045-B65B-1E8753695DB3}"/>
    <cellStyle name="SAPBEXstdData 3 2 2 3" xfId="27504" xr:uid="{05B32FB7-9B79-40EF-94A4-FBEDF0629FAA}"/>
    <cellStyle name="SAPBEXstdData 3 2 2 3 2" xfId="42460" xr:uid="{28054688-FAFF-4669-8C17-4241201F1ED0}"/>
    <cellStyle name="SAPBEXstdData 3 2 2 4" xfId="35059" xr:uid="{A3B3AAB3-5BEA-46DC-979E-DA87F3E708B0}"/>
    <cellStyle name="SAPBEXstdData 3 3" xfId="19649" xr:uid="{00000000-0005-0000-0000-0000E2490000}"/>
    <cellStyle name="SAPBEXstdData 3 3 2" xfId="20461" xr:uid="{00000000-0005-0000-0000-0000E2490000}"/>
    <cellStyle name="SAPBEXstdData 3 3 2 2" xfId="27795" xr:uid="{31D0C2E1-007F-40B2-8119-41BE2E63674C}"/>
    <cellStyle name="SAPBEXstdData 3 3 2 2 2" xfId="42732" xr:uid="{B132D10A-173F-4F3E-A581-B387BF962B7F}"/>
    <cellStyle name="SAPBEXstdData 3 3 2 3" xfId="35479" xr:uid="{79BCB713-5F58-47F5-AE5A-0B1CDA6FE7E6}"/>
    <cellStyle name="SAPBEXstdData 3 3 3" xfId="27505" xr:uid="{09E6172E-D39A-4318-8D3E-F48DD56F894C}"/>
    <cellStyle name="SAPBEXstdData 3 3 3 2" xfId="42461" xr:uid="{0AF337CB-1EFA-44B0-BA15-E541B16236E4}"/>
    <cellStyle name="SAPBEXstdData 3 3 4" xfId="35060" xr:uid="{B2EAA188-A638-4D05-A224-4F8F3C30C1AD}"/>
    <cellStyle name="SAPBEXstdData 3 4" xfId="19650" xr:uid="{00000000-0005-0000-0000-0000E3490000}"/>
    <cellStyle name="SAPBEXstdData 3 4 2" xfId="20462" xr:uid="{00000000-0005-0000-0000-0000E3490000}"/>
    <cellStyle name="SAPBEXstdData 3 4 2 2" xfId="35480" xr:uid="{5B50FE25-5A45-44BB-AD01-D7EBC6795D96}"/>
    <cellStyle name="SAPBEXstdData 3 4 3" xfId="35061" xr:uid="{93CFC589-27E7-4142-97D9-D687C56038D1}"/>
    <cellStyle name="SAPBEXstdData 3 5" xfId="19651" xr:uid="{00000000-0005-0000-0000-0000E4490000}"/>
    <cellStyle name="SAPBEXstdData 4" xfId="19652" xr:uid="{00000000-0005-0000-0000-0000E5490000}"/>
    <cellStyle name="SAPBEXstdData 4 2" xfId="19653" xr:uid="{00000000-0005-0000-0000-0000E6490000}"/>
    <cellStyle name="SAPBEXstdData 4 3" xfId="20463" xr:uid="{00000000-0005-0000-0000-0000E5490000}"/>
    <cellStyle name="SAPBEXstdData 4 3 2" xfId="35481" xr:uid="{27B97B4D-F53D-4DF6-B6D6-7CB7B2F09EE7}"/>
    <cellStyle name="SAPBEXstdData 4 4" xfId="35062" xr:uid="{A010D219-AE54-452C-9097-BAACB7436F54}"/>
    <cellStyle name="SAPBEXstdData 5" xfId="19654" xr:uid="{00000000-0005-0000-0000-0000E7490000}"/>
    <cellStyle name="SAPBEXstdData 6" xfId="19655" xr:uid="{00000000-0005-0000-0000-0000E8490000}"/>
    <cellStyle name="SAPBEXstdData 6 2" xfId="20464" xr:uid="{00000000-0005-0000-0000-0000E8490000}"/>
    <cellStyle name="SAPBEXstdData 6 2 2" xfId="27796" xr:uid="{A17848F0-F90E-4D82-8F35-AA765785C05B}"/>
    <cellStyle name="SAPBEXstdData 6 2 2 2" xfId="42733" xr:uid="{8B5C7063-BCF7-4077-85E7-F99B859828EB}"/>
    <cellStyle name="SAPBEXstdData 6 2 3" xfId="35482" xr:uid="{2B8D6E72-42B3-4802-9AF9-3DF71D0A5F7F}"/>
    <cellStyle name="SAPBEXstdData 6 3" xfId="35063" xr:uid="{97085087-E496-45E9-B363-8B951BB68D0A}"/>
    <cellStyle name="SAPBEXstdData 7" xfId="19656" xr:uid="{00000000-0005-0000-0000-0000E9490000}"/>
    <cellStyle name="SAPBEXstdData 8" xfId="13618" xr:uid="{00000000-0005-0000-0000-0000C8490000}"/>
    <cellStyle name="SAPBEXstdData 8 2" xfId="33838" xr:uid="{33F260DA-FBF1-4FA7-8CD2-D34BEB71FABE}"/>
    <cellStyle name="SAPBEXstdData 9" xfId="28162" xr:uid="{9737285A-FB20-4A24-AF49-79C7A88E78E3}"/>
    <cellStyle name="SAPBEXstdData_13737 3p Contracts v3" xfId="2745" xr:uid="{00000000-0005-0000-0000-00009C0A0000}"/>
    <cellStyle name="SAPBEXstdDataEmph" xfId="2746" xr:uid="{00000000-0005-0000-0000-00009D0A0000}"/>
    <cellStyle name="SAPBEXstdDataEmph 2" xfId="2747" xr:uid="{00000000-0005-0000-0000-00009E0A0000}"/>
    <cellStyle name="SAPBEXstdDataEmph 2 2" xfId="19659" xr:uid="{00000000-0005-0000-0000-0000ED490000}"/>
    <cellStyle name="SAPBEXstdDataEmph 2 2 2" xfId="19660" xr:uid="{00000000-0005-0000-0000-0000EE490000}"/>
    <cellStyle name="SAPBEXstdDataEmph 2 2 2 2" xfId="20465" xr:uid="{00000000-0005-0000-0000-0000EE490000}"/>
    <cellStyle name="SAPBEXstdDataEmph 2 2 2 2 2" xfId="27797" xr:uid="{B09A2C18-A2F0-4D39-909F-790E084E2F17}"/>
    <cellStyle name="SAPBEXstdDataEmph 2 2 2 2 2 2" xfId="42734" xr:uid="{66D0C9FC-BA00-425A-8223-C5ABCFCD6BE0}"/>
    <cellStyle name="SAPBEXstdDataEmph 2 2 2 2 3" xfId="35483" xr:uid="{007F5A36-C2B3-4B2F-81CC-B0185D792F62}"/>
    <cellStyle name="SAPBEXstdDataEmph 2 2 2 3" xfId="27506" xr:uid="{5043366A-9172-499E-91FC-79A60379D67C}"/>
    <cellStyle name="SAPBEXstdDataEmph 2 2 2 3 2" xfId="42462" xr:uid="{F4CF26E4-6393-4FF3-A3BB-EB7DF6746A76}"/>
    <cellStyle name="SAPBEXstdDataEmph 2 2 2 4" xfId="35064" xr:uid="{EEADEF08-03EE-4B79-9CEA-9072DD86A5B6}"/>
    <cellStyle name="SAPBEXstdDataEmph 2 3" xfId="19661" xr:uid="{00000000-0005-0000-0000-0000EF490000}"/>
    <cellStyle name="SAPBEXstdDataEmph 2 3 2" xfId="20466" xr:uid="{00000000-0005-0000-0000-0000EF490000}"/>
    <cellStyle name="SAPBEXstdDataEmph 2 3 2 2" xfId="27798" xr:uid="{1FEE0311-6E31-4049-8982-EAC14AEE5EAF}"/>
    <cellStyle name="SAPBEXstdDataEmph 2 3 2 2 2" xfId="42735" xr:uid="{F4E982F4-F93E-42F6-9E73-F6D911C7C606}"/>
    <cellStyle name="SAPBEXstdDataEmph 2 3 2 3" xfId="35484" xr:uid="{D1C8EC7C-ABDE-42AD-AEA6-2607F8CB686A}"/>
    <cellStyle name="SAPBEXstdDataEmph 2 3 3" xfId="27507" xr:uid="{88E3FCCE-0C3A-4296-9BAD-326EBFDB1368}"/>
    <cellStyle name="SAPBEXstdDataEmph 2 3 3 2" xfId="42463" xr:uid="{92CB1C66-4411-4AD5-96A0-09E7BCC2F1BA}"/>
    <cellStyle name="SAPBEXstdDataEmph 2 3 4" xfId="35065" xr:uid="{16FBBE6A-61EC-4729-8A37-A6A228BA0B49}"/>
    <cellStyle name="SAPBEXstdDataEmph 2 4" xfId="19662" xr:uid="{00000000-0005-0000-0000-0000F0490000}"/>
    <cellStyle name="SAPBEXstdDataEmph 2 5" xfId="19658" xr:uid="{00000000-0005-0000-0000-0000EC490000}"/>
    <cellStyle name="SAPBEXstdDataEmph 2 6" xfId="20794" xr:uid="{B0B5743D-D277-428D-838A-A45CA39CBABE}"/>
    <cellStyle name="SAPBEXstdDataEmph 2 6 2" xfId="35782" xr:uid="{8458FC8E-14F0-4F1E-82D5-0F2F0C509DAB}"/>
    <cellStyle name="SAPBEXstdDataEmph 2 7" xfId="28165" xr:uid="{7CECC2D0-8C15-4953-9002-973E6023D410}"/>
    <cellStyle name="SAPBEXstdDataEmph 3" xfId="19663" xr:uid="{00000000-0005-0000-0000-0000F1490000}"/>
    <cellStyle name="SAPBEXstdDataEmph 3 2" xfId="19664" xr:uid="{00000000-0005-0000-0000-0000F2490000}"/>
    <cellStyle name="SAPBEXstdDataEmph 3 3" xfId="19665" xr:uid="{00000000-0005-0000-0000-0000F3490000}"/>
    <cellStyle name="SAPBEXstdDataEmph 3 3 2" xfId="20467" xr:uid="{00000000-0005-0000-0000-0000F3490000}"/>
    <cellStyle name="SAPBEXstdDataEmph 3 3 2 2" xfId="27799" xr:uid="{B415292C-F825-4EE1-8D87-27317423A696}"/>
    <cellStyle name="SAPBEXstdDataEmph 3 3 2 2 2" xfId="42736" xr:uid="{B536E939-6FE2-4B60-B829-C362DCEE3839}"/>
    <cellStyle name="SAPBEXstdDataEmph 3 3 2 3" xfId="35485" xr:uid="{B05AF774-A559-4941-A8AD-90AE91645B4B}"/>
    <cellStyle name="SAPBEXstdDataEmph 3 3 3" xfId="35066" xr:uid="{2BD1ED92-7216-49D8-9BDD-B458786B6E59}"/>
    <cellStyle name="SAPBEXstdDataEmph 3 4" xfId="19666" xr:uid="{00000000-0005-0000-0000-0000F4490000}"/>
    <cellStyle name="SAPBEXstdDataEmph 3 4 2" xfId="20468" xr:uid="{00000000-0005-0000-0000-0000F4490000}"/>
    <cellStyle name="SAPBEXstdDataEmph 3 4 2 2" xfId="35486" xr:uid="{B18418BA-A321-42E6-9797-08FFDF7CABB4}"/>
    <cellStyle name="SAPBEXstdDataEmph 3 4 3" xfId="35067" xr:uid="{AFC832A6-B183-4985-BF37-67DFBF07E253}"/>
    <cellStyle name="SAPBEXstdDataEmph 3 5" xfId="19667" xr:uid="{00000000-0005-0000-0000-0000F5490000}"/>
    <cellStyle name="SAPBEXstdDataEmph 4" xfId="19668" xr:uid="{00000000-0005-0000-0000-0000F6490000}"/>
    <cellStyle name="SAPBEXstdDataEmph 4 2" xfId="19669" xr:uid="{00000000-0005-0000-0000-0000F7490000}"/>
    <cellStyle name="SAPBEXstdDataEmph 4 2 2" xfId="20469" xr:uid="{00000000-0005-0000-0000-0000F7490000}"/>
    <cellStyle name="SAPBEXstdDataEmph 4 2 2 2" xfId="35487" xr:uid="{913DD2D9-2799-4CFC-93C2-3F39A9D4AEC0}"/>
    <cellStyle name="SAPBEXstdDataEmph 4 2 3" xfId="35068" xr:uid="{67CD057D-1030-4E21-9EFE-58D1B081B3CA}"/>
    <cellStyle name="SAPBEXstdDataEmph 5" xfId="19670" xr:uid="{00000000-0005-0000-0000-0000F8490000}"/>
    <cellStyle name="SAPBEXstdDataEmph 5 2" xfId="20470" xr:uid="{00000000-0005-0000-0000-0000F8490000}"/>
    <cellStyle name="SAPBEXstdDataEmph 5 2 2" xfId="27800" xr:uid="{D0C3FC54-77AD-4A4D-8555-A96462541DFD}"/>
    <cellStyle name="SAPBEXstdDataEmph 5 2 2 2" xfId="42737" xr:uid="{555AC211-7D21-4E74-B46A-AD43B3DDD4E9}"/>
    <cellStyle name="SAPBEXstdDataEmph 5 2 3" xfId="35488" xr:uid="{836ACEFE-0FD8-471F-95D2-F73F88289428}"/>
    <cellStyle name="SAPBEXstdDataEmph 5 3" xfId="35069" xr:uid="{7C9529D5-DD81-4836-A973-5AC3D91177DC}"/>
    <cellStyle name="SAPBEXstdDataEmph 6" xfId="19671" xr:uid="{00000000-0005-0000-0000-0000F9490000}"/>
    <cellStyle name="SAPBEXstdDataEmph 7" xfId="19657" xr:uid="{00000000-0005-0000-0000-0000EB490000}"/>
    <cellStyle name="SAPBEXstdDataEmph 8" xfId="28164" xr:uid="{67E8053D-58F3-4CCE-870E-A7FB25C0E9AC}"/>
    <cellStyle name="SAPBEXstdExc1" xfId="2748" xr:uid="{00000000-0005-0000-0000-00009F0A0000}"/>
    <cellStyle name="SAPBEXstdExc1 2" xfId="19673" xr:uid="{00000000-0005-0000-0000-0000FB490000}"/>
    <cellStyle name="SAPBEXstdExc1 2 2" xfId="19674" xr:uid="{00000000-0005-0000-0000-0000FC490000}"/>
    <cellStyle name="SAPBEXstdExc1 2 3" xfId="27508" xr:uid="{599B7837-417A-41C1-819E-D1CC747B1579}"/>
    <cellStyle name="SAPBEXstdExc1 3" xfId="19675" xr:uid="{00000000-0005-0000-0000-0000FD490000}"/>
    <cellStyle name="SAPBEXstdExc1 4" xfId="19672" xr:uid="{00000000-0005-0000-0000-0000FA490000}"/>
    <cellStyle name="SAPBEXstdExc1 5" xfId="20795" xr:uid="{EEB7420E-478F-4541-9687-A07C39D41EE9}"/>
    <cellStyle name="SAPBEXstdExc1Emph" xfId="2749" xr:uid="{00000000-0005-0000-0000-0000A00A0000}"/>
    <cellStyle name="SAPBEXstdExc1Emph 2" xfId="19677" xr:uid="{00000000-0005-0000-0000-0000FF490000}"/>
    <cellStyle name="SAPBEXstdExc1Emph 2 2" xfId="19678" xr:uid="{00000000-0005-0000-0000-0000004A0000}"/>
    <cellStyle name="SAPBEXstdExc1Emph 2 3" xfId="27509" xr:uid="{E62526E9-7E29-46A5-8226-89FAD9340BE7}"/>
    <cellStyle name="SAPBEXstdExc1Emph 3" xfId="19679" xr:uid="{00000000-0005-0000-0000-0000014A0000}"/>
    <cellStyle name="SAPBEXstdExc1Emph 4" xfId="19676" xr:uid="{00000000-0005-0000-0000-0000FE490000}"/>
    <cellStyle name="SAPBEXstdExc1Emph 5" xfId="20796" xr:uid="{7CC3490D-E384-473A-BF3D-650FB915F0B1}"/>
    <cellStyle name="SAPBEXstdExc2" xfId="2750" xr:uid="{00000000-0005-0000-0000-0000A10A0000}"/>
    <cellStyle name="SAPBEXstdExc2 2" xfId="19681" xr:uid="{00000000-0005-0000-0000-0000034A0000}"/>
    <cellStyle name="SAPBEXstdExc2 2 2" xfId="19682" xr:uid="{00000000-0005-0000-0000-0000044A0000}"/>
    <cellStyle name="SAPBEXstdExc2 2 3" xfId="27510" xr:uid="{702EC307-F38D-42C9-8DC6-C37B4B27BEFA}"/>
    <cellStyle name="SAPBEXstdExc2 3" xfId="19683" xr:uid="{00000000-0005-0000-0000-0000054A0000}"/>
    <cellStyle name="SAPBEXstdExc2 4" xfId="19680" xr:uid="{00000000-0005-0000-0000-0000024A0000}"/>
    <cellStyle name="SAPBEXstdExc2 5" xfId="20797" xr:uid="{26BC68B7-D146-4D98-874C-55FAE36E2CE0}"/>
    <cellStyle name="SAPBEXstdExc2Emph" xfId="2751" xr:uid="{00000000-0005-0000-0000-0000A20A0000}"/>
    <cellStyle name="SAPBEXstdExc2Emph 2" xfId="19685" xr:uid="{00000000-0005-0000-0000-0000074A0000}"/>
    <cellStyle name="SAPBEXstdExc2Emph 2 2" xfId="19686" xr:uid="{00000000-0005-0000-0000-0000084A0000}"/>
    <cellStyle name="SAPBEXstdExc2Emph 2 3" xfId="27511" xr:uid="{0E3FDCD6-3D93-4E36-A291-16644AAEFDFD}"/>
    <cellStyle name="SAPBEXstdExc2Emph 3" xfId="19687" xr:uid="{00000000-0005-0000-0000-0000094A0000}"/>
    <cellStyle name="SAPBEXstdExc2Emph 4" xfId="19684" xr:uid="{00000000-0005-0000-0000-0000064A0000}"/>
    <cellStyle name="SAPBEXstdExc2Emph 5" xfId="20798" xr:uid="{E9FDF361-0592-410B-B723-78622AC86695}"/>
    <cellStyle name="SAPBEXstdItem" xfId="2752" xr:uid="{00000000-0005-0000-0000-0000A30A0000}"/>
    <cellStyle name="SAPBEXstdItem 2" xfId="2753" xr:uid="{00000000-0005-0000-0000-0000A40A0000}"/>
    <cellStyle name="SAPBEXstdItem 2 10" xfId="28167" xr:uid="{051D33B4-F86D-4BDA-9B42-D964FB0ECB8E}"/>
    <cellStyle name="SAPBEXstdItem 2 2" xfId="2911" xr:uid="{00000000-0005-0000-0000-0000A50A0000}"/>
    <cellStyle name="SAPBEXstdItem 2 2 2" xfId="19691" xr:uid="{00000000-0005-0000-0000-00000D4A0000}"/>
    <cellStyle name="SAPBEXstdItem 2 2 3" xfId="19692" xr:uid="{00000000-0005-0000-0000-00000E4A0000}"/>
    <cellStyle name="SAPBEXstdItem 2 2 3 2" xfId="20471" xr:uid="{00000000-0005-0000-0000-00000E4A0000}"/>
    <cellStyle name="SAPBEXstdItem 2 2 3 2 2" xfId="27801" xr:uid="{7938C309-2FFB-4BA0-B8CA-9F24A0FC7734}"/>
    <cellStyle name="SAPBEXstdItem 2 2 3 2 2 2" xfId="42738" xr:uid="{CC51431F-F5AA-44F9-B40E-AB66E2F9D2E1}"/>
    <cellStyle name="SAPBEXstdItem 2 2 3 2 3" xfId="35489" xr:uid="{14F60C29-7FF9-436B-8C62-986D829849C7}"/>
    <cellStyle name="SAPBEXstdItem 2 2 3 3" xfId="27512" xr:uid="{AC3369C6-F94B-48A1-8B1B-2FCAE84778A8}"/>
    <cellStyle name="SAPBEXstdItem 2 2 3 3 2" xfId="42464" xr:uid="{76154C5D-8FF5-44A6-8B0C-88B7D725F613}"/>
    <cellStyle name="SAPBEXstdItem 2 2 3 4" xfId="35070" xr:uid="{16795B6B-307F-4E7B-A62A-73DA8ACEA6FD}"/>
    <cellStyle name="SAPBEXstdItem 2 2 4" xfId="19693" xr:uid="{00000000-0005-0000-0000-00000F4A0000}"/>
    <cellStyle name="SAPBEXstdItem 2 2 5" xfId="19690" xr:uid="{00000000-0005-0000-0000-00000C4A0000}"/>
    <cellStyle name="SAPBEXstdItem 2 2 6" xfId="20867" xr:uid="{E587762C-4D07-4B10-9D88-A014687A5B30}"/>
    <cellStyle name="SAPBEXstdItem 2 2 6 2" xfId="35843" xr:uid="{8799402E-EFAB-4E95-B1F5-CC6B6783582A}"/>
    <cellStyle name="SAPBEXstdItem 2 2 7" xfId="28239" xr:uid="{D76D9EF3-68C8-4D18-8A1B-898DC269508B}"/>
    <cellStyle name="SAPBEXstdItem 2 3" xfId="19694" xr:uid="{00000000-0005-0000-0000-0000104A0000}"/>
    <cellStyle name="SAPBEXstdItem 2 3 2" xfId="19695" xr:uid="{00000000-0005-0000-0000-0000114A0000}"/>
    <cellStyle name="SAPBEXstdItem 2 3 3" xfId="19696" xr:uid="{00000000-0005-0000-0000-0000124A0000}"/>
    <cellStyle name="SAPBEXstdItem 2 3 3 2" xfId="20472" xr:uid="{00000000-0005-0000-0000-0000124A0000}"/>
    <cellStyle name="SAPBEXstdItem 2 3 3 2 2" xfId="27802" xr:uid="{B935C86B-2C3B-49EF-A5A7-7284AD8B4BAD}"/>
    <cellStyle name="SAPBEXstdItem 2 3 3 2 2 2" xfId="42739" xr:uid="{27B27667-8C3E-449C-80C6-329EE8B825AB}"/>
    <cellStyle name="SAPBEXstdItem 2 3 3 2 3" xfId="35490" xr:uid="{FC09D76D-BF6F-4EA1-B8CE-8F785E5EE497}"/>
    <cellStyle name="SAPBEXstdItem 2 3 3 3" xfId="27513" xr:uid="{F964DADA-25BB-43AB-A17F-7E510C911A23}"/>
    <cellStyle name="SAPBEXstdItem 2 3 3 3 2" xfId="42465" xr:uid="{D5CFE903-4321-4514-B2BF-D6C4889FE304}"/>
    <cellStyle name="SAPBEXstdItem 2 3 3 4" xfId="35071" xr:uid="{7F49E879-82E2-4CC0-B5CE-70E8D688859F}"/>
    <cellStyle name="SAPBEXstdItem 2 3 4" xfId="19697" xr:uid="{00000000-0005-0000-0000-0000134A0000}"/>
    <cellStyle name="SAPBEXstdItem 2 4" xfId="19698" xr:uid="{00000000-0005-0000-0000-0000144A0000}"/>
    <cellStyle name="SAPBEXstdItem 2 4 2" xfId="19699" xr:uid="{00000000-0005-0000-0000-0000154A0000}"/>
    <cellStyle name="SAPBEXstdItem 2 4 2 2" xfId="19700" xr:uid="{00000000-0005-0000-0000-0000164A0000}"/>
    <cellStyle name="SAPBEXstdItem 2 4 2 3" xfId="20473" xr:uid="{00000000-0005-0000-0000-0000154A0000}"/>
    <cellStyle name="SAPBEXstdItem 2 4 2 3 2" xfId="27803" xr:uid="{B66D1538-E0F1-49D1-8877-0741EF9BB592}"/>
    <cellStyle name="SAPBEXstdItem 2 4 2 3 2 2" xfId="42740" xr:uid="{0136AB20-5871-4855-8644-6E713B81307D}"/>
    <cellStyle name="SAPBEXstdItem 2 4 2 3 3" xfId="35491" xr:uid="{BBFDE391-ACB5-454C-BFC0-6457F2B149C2}"/>
    <cellStyle name="SAPBEXstdItem 2 4 2 4" xfId="27514" xr:uid="{56C31E75-0480-4AA2-B331-D7953CB3BE3C}"/>
    <cellStyle name="SAPBEXstdItem 2 4 2 4 2" xfId="42466" xr:uid="{5FF2511D-0745-4CB1-AA47-43DE897FBF62}"/>
    <cellStyle name="SAPBEXstdItem 2 4 2 5" xfId="35072" xr:uid="{BE631695-1688-4BBB-97F9-BEEE1088A976}"/>
    <cellStyle name="SAPBEXstdItem 2 4 3" xfId="19701" xr:uid="{00000000-0005-0000-0000-0000174A0000}"/>
    <cellStyle name="SAPBEXstdItem 2 5" xfId="19702" xr:uid="{00000000-0005-0000-0000-0000184A0000}"/>
    <cellStyle name="SAPBEXstdItem 2 5 2" xfId="19703" xr:uid="{00000000-0005-0000-0000-0000194A0000}"/>
    <cellStyle name="SAPBEXstdItem 2 5 2 2" xfId="20474" xr:uid="{00000000-0005-0000-0000-0000194A0000}"/>
    <cellStyle name="SAPBEXstdItem 2 5 2 2 2" xfId="27804" xr:uid="{70B5D868-EFF7-41FF-8F6B-7C101761F26A}"/>
    <cellStyle name="SAPBEXstdItem 2 5 2 2 2 2" xfId="42741" xr:uid="{024A3425-3EC0-460F-95DB-8F02ADB19885}"/>
    <cellStyle name="SAPBEXstdItem 2 5 2 2 3" xfId="35492" xr:uid="{55C7A643-D2E7-468C-9BF0-B84DF3CFBE38}"/>
    <cellStyle name="SAPBEXstdItem 2 5 2 3" xfId="27515" xr:uid="{6BD8E832-1FDC-47F5-9DB1-05507C244757}"/>
    <cellStyle name="SAPBEXstdItem 2 5 2 3 2" xfId="42467" xr:uid="{BCC4F193-5FFC-429E-8CE0-5F3B510652F4}"/>
    <cellStyle name="SAPBEXstdItem 2 5 2 4" xfId="35073" xr:uid="{9311C2F7-FFA6-47A3-A4C8-6ACD523C788E}"/>
    <cellStyle name="SAPBEXstdItem 2 6" xfId="19704" xr:uid="{00000000-0005-0000-0000-00001A4A0000}"/>
    <cellStyle name="SAPBEXstdItem 2 6 2" xfId="20475" xr:uid="{00000000-0005-0000-0000-00001A4A0000}"/>
    <cellStyle name="SAPBEXstdItem 2 6 2 2" xfId="27805" xr:uid="{8222207A-5B8D-44BF-9881-AC31CD1F3F7B}"/>
    <cellStyle name="SAPBEXstdItem 2 6 2 2 2" xfId="42742" xr:uid="{B301EA2B-E1A4-4AAA-BA23-A7D30BEA0E88}"/>
    <cellStyle name="SAPBEXstdItem 2 6 2 3" xfId="35493" xr:uid="{C0CBA890-54FC-4C8F-A5EE-869EEC9BF54D}"/>
    <cellStyle name="SAPBEXstdItem 2 6 3" xfId="27516" xr:uid="{090D9880-B39B-418F-9A04-2DC50C52323E}"/>
    <cellStyle name="SAPBEXstdItem 2 6 3 2" xfId="42468" xr:uid="{28BCB6E9-D10F-4A74-9B78-2AC496059BA7}"/>
    <cellStyle name="SAPBEXstdItem 2 6 4" xfId="35074" xr:uid="{16190675-B7FC-46EF-B757-0E3F6381FC12}"/>
    <cellStyle name="SAPBEXstdItem 2 7" xfId="19705" xr:uid="{00000000-0005-0000-0000-00001B4A0000}"/>
    <cellStyle name="SAPBEXstdItem 2 8" xfId="19689" xr:uid="{00000000-0005-0000-0000-00000B4A0000}"/>
    <cellStyle name="SAPBEXstdItem 2 9" xfId="20800" xr:uid="{0943CFED-AF21-4194-BA7D-64066FFEA627}"/>
    <cellStyle name="SAPBEXstdItem 2 9 2" xfId="35784" xr:uid="{941BCC4A-DFB8-4AFA-922D-6C0699F0E99D}"/>
    <cellStyle name="SAPBEXstdItem 3" xfId="2910" xr:uid="{00000000-0005-0000-0000-0000A60A0000}"/>
    <cellStyle name="SAPBEXstdItem 3 2" xfId="19707" xr:uid="{00000000-0005-0000-0000-00001D4A0000}"/>
    <cellStyle name="SAPBEXstdItem 3 2 2" xfId="19708" xr:uid="{00000000-0005-0000-0000-00001E4A0000}"/>
    <cellStyle name="SAPBEXstdItem 3 2 2 2" xfId="20476" xr:uid="{00000000-0005-0000-0000-00001E4A0000}"/>
    <cellStyle name="SAPBEXstdItem 3 2 2 2 2" xfId="35494" xr:uid="{20A10865-58EB-496A-B16A-589419E3A759}"/>
    <cellStyle name="SAPBEXstdItem 3 2 2 3" xfId="35075" xr:uid="{7B7A9228-85A5-427B-A51D-8D8E5721E64D}"/>
    <cellStyle name="SAPBEXstdItem 3 3" xfId="19709" xr:uid="{00000000-0005-0000-0000-00001F4A0000}"/>
    <cellStyle name="SAPBEXstdItem 3 3 2" xfId="19710" xr:uid="{00000000-0005-0000-0000-0000204A0000}"/>
    <cellStyle name="SAPBEXstdItem 3 3 2 2" xfId="20478" xr:uid="{00000000-0005-0000-0000-0000204A0000}"/>
    <cellStyle name="SAPBEXstdItem 3 3 2 2 2" xfId="35496" xr:uid="{49290BE8-3392-4AB5-962E-55F8EF915E00}"/>
    <cellStyle name="SAPBEXstdItem 3 3 2 3" xfId="35077" xr:uid="{A0CC14A2-A5D3-4EB7-A79A-0BB5A22B47A3}"/>
    <cellStyle name="SAPBEXstdItem 3 3 3" xfId="20477" xr:uid="{00000000-0005-0000-0000-00001F4A0000}"/>
    <cellStyle name="SAPBEXstdItem 3 3 3 2" xfId="27806" xr:uid="{221CADE9-44E9-425C-AEBD-B43CC3189432}"/>
    <cellStyle name="SAPBEXstdItem 3 3 3 2 2" xfId="42743" xr:uid="{EDC75E09-E6D2-4B8C-9C72-D4F72B2D22AB}"/>
    <cellStyle name="SAPBEXstdItem 3 3 3 3" xfId="35495" xr:uid="{EFE75D0B-836B-4ED3-81D4-FE2423A5EACB}"/>
    <cellStyle name="SAPBEXstdItem 3 3 4" xfId="27517" xr:uid="{54180486-7881-40A2-BD71-15127D0298D5}"/>
    <cellStyle name="SAPBEXstdItem 3 3 4 2" xfId="42469" xr:uid="{25C96152-290B-49B1-845D-4EF82EEA3BD9}"/>
    <cellStyle name="SAPBEXstdItem 3 3 5" xfId="35076" xr:uid="{4C419E22-9676-413C-B2F5-943EFC6718BD}"/>
    <cellStyle name="SAPBEXstdItem 3 4" xfId="19711" xr:uid="{00000000-0005-0000-0000-0000214A0000}"/>
    <cellStyle name="SAPBEXstdItem 3 4 2" xfId="20479" xr:uid="{00000000-0005-0000-0000-0000214A0000}"/>
    <cellStyle name="SAPBEXstdItem 3 4 2 2" xfId="35497" xr:uid="{1178625D-86C9-4D3D-BA94-47FEBBDDD92E}"/>
    <cellStyle name="SAPBEXstdItem 3 4 3" xfId="35078" xr:uid="{3B579184-61BE-42BF-9428-048FBC4D3B3B}"/>
    <cellStyle name="SAPBEXstdItem 3 5" xfId="19712" xr:uid="{00000000-0005-0000-0000-0000224A0000}"/>
    <cellStyle name="SAPBEXstdItem 3 6" xfId="19706" xr:uid="{00000000-0005-0000-0000-00001C4A0000}"/>
    <cellStyle name="SAPBEXstdItem 3 7" xfId="20866" xr:uid="{A5E3AA5F-6106-4EB8-8B5D-C0A4E8A0C1F8}"/>
    <cellStyle name="SAPBEXstdItem 3 7 2" xfId="35842" xr:uid="{EBE658EA-16B8-4856-80D0-CEB1223180F0}"/>
    <cellStyle name="SAPBEXstdItem 3 8" xfId="28238" xr:uid="{7C88E939-2F4A-4F46-A86A-B5B9B66E1C68}"/>
    <cellStyle name="SAPBEXstdItem 4" xfId="19713" xr:uid="{00000000-0005-0000-0000-0000234A0000}"/>
    <cellStyle name="SAPBEXstdItem 4 2" xfId="19714" xr:uid="{00000000-0005-0000-0000-0000244A0000}"/>
    <cellStyle name="SAPBEXstdItem 4 2 2" xfId="20480" xr:uid="{00000000-0005-0000-0000-0000244A0000}"/>
    <cellStyle name="SAPBEXstdItem 4 2 2 2" xfId="35498" xr:uid="{79876C41-DE72-47F0-AF48-6D7CE91E000F}"/>
    <cellStyle name="SAPBEXstdItem 4 2 3" xfId="35079" xr:uid="{7E5BC8EE-1BC2-4A01-8092-004EFDE53437}"/>
    <cellStyle name="SAPBEXstdItem 5" xfId="19715" xr:uid="{00000000-0005-0000-0000-0000254A0000}"/>
    <cellStyle name="SAPBEXstdItem 5 2" xfId="19716" xr:uid="{00000000-0005-0000-0000-0000264A0000}"/>
    <cellStyle name="SAPBEXstdItem 5 2 2" xfId="20482" xr:uid="{00000000-0005-0000-0000-0000264A0000}"/>
    <cellStyle name="SAPBEXstdItem 5 2 2 2" xfId="35500" xr:uid="{B17DCF73-9F19-4ED6-A750-E0C7B84E8136}"/>
    <cellStyle name="SAPBEXstdItem 5 2 3" xfId="35081" xr:uid="{6A682A6A-1156-45DB-AD06-C23AAAE5C461}"/>
    <cellStyle name="SAPBEXstdItem 5 3" xfId="20481" xr:uid="{00000000-0005-0000-0000-0000254A0000}"/>
    <cellStyle name="SAPBEXstdItem 5 3 2" xfId="27807" xr:uid="{9C9EDE83-1D34-4A5A-8AFE-167C478AE141}"/>
    <cellStyle name="SAPBEXstdItem 5 3 2 2" xfId="42744" xr:uid="{D9E45599-2428-4144-98C4-347530C83DF1}"/>
    <cellStyle name="SAPBEXstdItem 5 3 3" xfId="35499" xr:uid="{71E0A562-95B7-4022-A0DC-B7B43A95AF0D}"/>
    <cellStyle name="SAPBEXstdItem 5 4" xfId="35080" xr:uid="{5F0FF59D-3E7F-4E94-92A5-566944F023A3}"/>
    <cellStyle name="SAPBEXstdItem 6" xfId="19717" xr:uid="{00000000-0005-0000-0000-0000274A0000}"/>
    <cellStyle name="SAPBEXstdItem 7" xfId="19688" xr:uid="{00000000-0005-0000-0000-00000A4A0000}"/>
    <cellStyle name="SAPBEXstdItem 8" xfId="20799" xr:uid="{4FDAAEE6-8E35-4D7D-B7F3-FED5CB8BD475}"/>
    <cellStyle name="SAPBEXstdItem 8 2" xfId="35783" xr:uid="{44DAF359-DFF6-48F9-9DD3-3A4A04EE9164}"/>
    <cellStyle name="SAPBEXstdItem 9" xfId="28166" xr:uid="{CFA1053B-091F-4BDC-A0F8-5E51D8FB256E}"/>
    <cellStyle name="SAPBEXstdItem_13737 3p Contracts v3" xfId="2754" xr:uid="{00000000-0005-0000-0000-0000A70A0000}"/>
    <cellStyle name="SAPBEXstdItemX" xfId="2755" xr:uid="{00000000-0005-0000-0000-0000A80A0000}"/>
    <cellStyle name="SAPBEXstdItemX 2" xfId="2756" xr:uid="{00000000-0005-0000-0000-0000A90A0000}"/>
    <cellStyle name="SAPBEXstdItemX 2 2" xfId="2913" xr:uid="{00000000-0005-0000-0000-0000AA0A0000}"/>
    <cellStyle name="SAPBEXstdItemX 2 2 2" xfId="19721" xr:uid="{00000000-0005-0000-0000-00002C4A0000}"/>
    <cellStyle name="SAPBEXstdItemX 2 2 2 2" xfId="19722" xr:uid="{00000000-0005-0000-0000-00002D4A0000}"/>
    <cellStyle name="SAPBEXstdItemX 2 2 2 3" xfId="20483" xr:uid="{00000000-0005-0000-0000-00002C4A0000}"/>
    <cellStyle name="SAPBEXstdItemX 2 2 2 3 2" xfId="27808" xr:uid="{6777C2AE-EC23-4BAD-933B-52C8E85A4165}"/>
    <cellStyle name="SAPBEXstdItemX 2 2 2 3 2 2" xfId="42745" xr:uid="{3C19BC95-80A6-4961-B1BD-A697447F056C}"/>
    <cellStyle name="SAPBEXstdItemX 2 2 2 3 3" xfId="35501" xr:uid="{21ED85C3-066D-444B-B7B1-10F252EC2D7A}"/>
    <cellStyle name="SAPBEXstdItemX 2 2 2 4" xfId="27518" xr:uid="{0409EA5C-1675-4ED8-B68F-74F53B224A96}"/>
    <cellStyle name="SAPBEXstdItemX 2 2 2 4 2" xfId="42470" xr:uid="{8637D75C-26F3-4C13-8047-6F8FF9C7EB37}"/>
    <cellStyle name="SAPBEXstdItemX 2 2 2 5" xfId="35082" xr:uid="{44ACEFD6-E30B-45D6-8018-16C58C266454}"/>
    <cellStyle name="SAPBEXstdItemX 2 2 3" xfId="19723" xr:uid="{00000000-0005-0000-0000-00002E4A0000}"/>
    <cellStyle name="SAPBEXstdItemX 2 2 4" xfId="19720" xr:uid="{00000000-0005-0000-0000-00002B4A0000}"/>
    <cellStyle name="SAPBEXstdItemX 2 2 5" xfId="20869" xr:uid="{27D5D14C-253C-4A4D-8876-4510BAA37F32}"/>
    <cellStyle name="SAPBEXstdItemX 2 2 5 2" xfId="35845" xr:uid="{193A316C-A490-4B4E-8698-E059CA68FD47}"/>
    <cellStyle name="SAPBEXstdItemX 2 2 6" xfId="28241" xr:uid="{1D5C895A-3609-4D8C-B76D-598F035E9472}"/>
    <cellStyle name="SAPBEXstdItemX 2 3" xfId="19724" xr:uid="{00000000-0005-0000-0000-00002F4A0000}"/>
    <cellStyle name="SAPBEXstdItemX 2 3 2" xfId="19725" xr:uid="{00000000-0005-0000-0000-0000304A0000}"/>
    <cellStyle name="SAPBEXstdItemX 2 3 2 2" xfId="20484" xr:uid="{00000000-0005-0000-0000-0000304A0000}"/>
    <cellStyle name="SAPBEXstdItemX 2 3 2 2 2" xfId="27809" xr:uid="{2BF86E45-5444-4E54-AC0D-9AA02B1EFD1E}"/>
    <cellStyle name="SAPBEXstdItemX 2 3 2 2 2 2" xfId="42746" xr:uid="{C392AACB-3DCA-4E8D-9EFC-1DA0073FAA29}"/>
    <cellStyle name="SAPBEXstdItemX 2 3 2 2 3" xfId="35502" xr:uid="{C35AB706-CCA4-429D-9E82-5A43511F50B5}"/>
    <cellStyle name="SAPBEXstdItemX 2 3 2 3" xfId="35083" xr:uid="{888DDA4C-F422-4428-9B61-8ADFA8CC127B}"/>
    <cellStyle name="SAPBEXstdItemX 2 4" xfId="19726" xr:uid="{00000000-0005-0000-0000-0000314A0000}"/>
    <cellStyle name="SAPBEXstdItemX 2 4 2" xfId="20485" xr:uid="{00000000-0005-0000-0000-0000314A0000}"/>
    <cellStyle name="SAPBEXstdItemX 2 4 2 2" xfId="27810" xr:uid="{733BCFC6-848F-4648-A625-296C48035FE7}"/>
    <cellStyle name="SAPBEXstdItemX 2 4 2 2 2" xfId="42747" xr:uid="{12729F51-1D4B-4609-87FD-E420DC8FA244}"/>
    <cellStyle name="SAPBEXstdItemX 2 4 2 3" xfId="35503" xr:uid="{403D500B-85BF-47C5-9600-EE00246FDFD4}"/>
    <cellStyle name="SAPBEXstdItemX 2 4 3" xfId="35084" xr:uid="{5EE4B736-9600-48E4-9502-A01F4C00C089}"/>
    <cellStyle name="SAPBEXstdItemX 2 5" xfId="19727" xr:uid="{00000000-0005-0000-0000-0000324A0000}"/>
    <cellStyle name="SAPBEXstdItemX 2 6" xfId="19719" xr:uid="{00000000-0005-0000-0000-00002A4A0000}"/>
    <cellStyle name="SAPBEXstdItemX 2 7" xfId="20802" xr:uid="{90100563-C145-45A8-BECC-F68F9096B840}"/>
    <cellStyle name="SAPBEXstdItemX 2 7 2" xfId="35786" xr:uid="{F43BE1B4-CB76-4DB8-880D-8A79802A361B}"/>
    <cellStyle name="SAPBEXstdItemX 2 8" xfId="28169" xr:uid="{F7F855AA-99BE-433C-B4EA-686D5A35EEB9}"/>
    <cellStyle name="SAPBEXstdItemX 3" xfId="2912" xr:uid="{00000000-0005-0000-0000-0000AB0A0000}"/>
    <cellStyle name="SAPBEXstdItemX 3 2" xfId="19729" xr:uid="{00000000-0005-0000-0000-0000344A0000}"/>
    <cellStyle name="SAPBEXstdItemX 3 2 2" xfId="19730" xr:uid="{00000000-0005-0000-0000-0000354A0000}"/>
    <cellStyle name="SAPBEXstdItemX 3 2 2 2" xfId="20486" xr:uid="{00000000-0005-0000-0000-0000354A0000}"/>
    <cellStyle name="SAPBEXstdItemX 3 2 2 2 2" xfId="35504" xr:uid="{AD0B1DF3-5810-4DB8-8053-3306E2E67CD3}"/>
    <cellStyle name="SAPBEXstdItemX 3 2 2 3" xfId="35085" xr:uid="{0712CA17-5B1D-4BB9-94BE-215BC4022332}"/>
    <cellStyle name="SAPBEXstdItemX 3 3" xfId="19731" xr:uid="{00000000-0005-0000-0000-0000364A0000}"/>
    <cellStyle name="SAPBEXstdItemX 3 3 2" xfId="19732" xr:uid="{00000000-0005-0000-0000-0000374A0000}"/>
    <cellStyle name="SAPBEXstdItemX 3 3 2 2" xfId="20488" xr:uid="{00000000-0005-0000-0000-0000374A0000}"/>
    <cellStyle name="SAPBEXstdItemX 3 3 2 2 2" xfId="35506" xr:uid="{9623D52D-B333-4D85-B183-EC6B5E8D6E25}"/>
    <cellStyle name="SAPBEXstdItemX 3 3 2 3" xfId="35087" xr:uid="{859895C4-3BC4-4DCA-8530-89AF83694B22}"/>
    <cellStyle name="SAPBEXstdItemX 3 3 3" xfId="20487" xr:uid="{00000000-0005-0000-0000-0000364A0000}"/>
    <cellStyle name="SAPBEXstdItemX 3 3 3 2" xfId="27811" xr:uid="{D883EF60-460C-42CB-B622-00D285AF4706}"/>
    <cellStyle name="SAPBEXstdItemX 3 3 3 2 2" xfId="42748" xr:uid="{6F611959-A494-439F-9128-21D95D9502C9}"/>
    <cellStyle name="SAPBEXstdItemX 3 3 3 3" xfId="35505" xr:uid="{A47EB5C4-4E24-49E5-813F-3F2A2DF109C8}"/>
    <cellStyle name="SAPBEXstdItemX 3 3 4" xfId="27519" xr:uid="{91E2DD98-3DE8-425B-B74F-49EB044CA04F}"/>
    <cellStyle name="SAPBEXstdItemX 3 3 4 2" xfId="42471" xr:uid="{8A0C68CF-2CCB-4B0E-9454-6FB910F5AEAB}"/>
    <cellStyle name="SAPBEXstdItemX 3 3 5" xfId="35086" xr:uid="{E37D2BE3-21DD-4F38-83BA-C284370B98BD}"/>
    <cellStyle name="SAPBEXstdItemX 3 4" xfId="19733" xr:uid="{00000000-0005-0000-0000-0000384A0000}"/>
    <cellStyle name="SAPBEXstdItemX 3 4 2" xfId="20489" xr:uid="{00000000-0005-0000-0000-0000384A0000}"/>
    <cellStyle name="SAPBEXstdItemX 3 4 2 2" xfId="35507" xr:uid="{5899EEE7-3E20-4C05-9F87-D6F7ED047278}"/>
    <cellStyle name="SAPBEXstdItemX 3 4 3" xfId="35088" xr:uid="{AB505E5E-F3B6-4E12-BD1A-5F99EF56BACE}"/>
    <cellStyle name="SAPBEXstdItemX 3 5" xfId="19734" xr:uid="{00000000-0005-0000-0000-0000394A0000}"/>
    <cellStyle name="SAPBEXstdItemX 3 6" xfId="19728" xr:uid="{00000000-0005-0000-0000-0000334A0000}"/>
    <cellStyle name="SAPBEXstdItemX 3 7" xfId="20868" xr:uid="{62701971-22A4-49EE-BFA2-83EED788D461}"/>
    <cellStyle name="SAPBEXstdItemX 3 7 2" xfId="35844" xr:uid="{E04B6083-427B-4884-9464-1F42879AD2D2}"/>
    <cellStyle name="SAPBEXstdItemX 3 8" xfId="28240" xr:uid="{DCF4CCCA-EFD0-4264-989E-2322A1045051}"/>
    <cellStyle name="SAPBEXstdItemX 4" xfId="19735" xr:uid="{00000000-0005-0000-0000-00003A4A0000}"/>
    <cellStyle name="SAPBEXstdItemX 4 2" xfId="19736" xr:uid="{00000000-0005-0000-0000-00003B4A0000}"/>
    <cellStyle name="SAPBEXstdItemX 4 2 2" xfId="20490" xr:uid="{00000000-0005-0000-0000-00003B4A0000}"/>
    <cellStyle name="SAPBEXstdItemX 4 2 2 2" xfId="35508" xr:uid="{A80CB671-2F4D-4F1A-91ED-B4122C235460}"/>
    <cellStyle name="SAPBEXstdItemX 4 2 3" xfId="35089" xr:uid="{5770B862-24CB-423B-9B93-7E77CF951420}"/>
    <cellStyle name="SAPBEXstdItemX 5" xfId="19737" xr:uid="{00000000-0005-0000-0000-00003C4A0000}"/>
    <cellStyle name="SAPBEXstdItemX 5 2" xfId="19738" xr:uid="{00000000-0005-0000-0000-00003D4A0000}"/>
    <cellStyle name="SAPBEXstdItemX 5 2 2" xfId="20492" xr:uid="{00000000-0005-0000-0000-00003D4A0000}"/>
    <cellStyle name="SAPBEXstdItemX 5 2 2 2" xfId="35510" xr:uid="{8F087141-58F9-48F4-A6F0-A2EFE64F8470}"/>
    <cellStyle name="SAPBEXstdItemX 5 2 3" xfId="35091" xr:uid="{7D3EC68A-BD6F-4F68-8F3B-C54D67C7F0AE}"/>
    <cellStyle name="SAPBEXstdItemX 5 3" xfId="20491" xr:uid="{00000000-0005-0000-0000-00003C4A0000}"/>
    <cellStyle name="SAPBEXstdItemX 5 3 2" xfId="27812" xr:uid="{BC38C70F-683E-4782-9EEA-E82D8E140C87}"/>
    <cellStyle name="SAPBEXstdItemX 5 3 2 2" xfId="42749" xr:uid="{39D06113-51C7-4F30-BB44-334D0C6E7866}"/>
    <cellStyle name="SAPBEXstdItemX 5 3 3" xfId="35509" xr:uid="{AB826B38-2A99-43D0-B53D-802D851CB955}"/>
    <cellStyle name="SAPBEXstdItemX 5 4" xfId="35090" xr:uid="{A54542A4-A376-4597-8B18-1580D5DE2214}"/>
    <cellStyle name="SAPBEXstdItemX 6" xfId="19739" xr:uid="{00000000-0005-0000-0000-00003E4A0000}"/>
    <cellStyle name="SAPBEXstdItemX 7" xfId="19718" xr:uid="{00000000-0005-0000-0000-0000294A0000}"/>
    <cellStyle name="SAPBEXstdItemX 8" xfId="20801" xr:uid="{57D47BC8-AFA4-45CE-B2FE-55390BEDA00B}"/>
    <cellStyle name="SAPBEXstdItemX 8 2" xfId="35785" xr:uid="{4756B20A-808A-4E9E-88E5-507E1D762F12}"/>
    <cellStyle name="SAPBEXstdItemX 9" xfId="28168" xr:uid="{AB9902A4-50D2-402B-8C98-0F6C3578CDD7}"/>
    <cellStyle name="SAPBEXstdItemX_Budget Consolidation by Balancing Acct v1" xfId="2757" xr:uid="{00000000-0005-0000-0000-0000AC0A0000}"/>
    <cellStyle name="SAPBEXsubData" xfId="2758" xr:uid="{00000000-0005-0000-0000-0000AD0A0000}"/>
    <cellStyle name="SAPBEXsubData 2" xfId="19741" xr:uid="{00000000-0005-0000-0000-0000414A0000}"/>
    <cellStyle name="SAPBEXsubData 2 2" xfId="19742" xr:uid="{00000000-0005-0000-0000-0000424A0000}"/>
    <cellStyle name="SAPBEXsubData 2 3" xfId="35092" xr:uid="{E038E109-58F5-420F-B288-66A2CF25877E}"/>
    <cellStyle name="SAPBEXsubData 3" xfId="19743" xr:uid="{00000000-0005-0000-0000-0000434A0000}"/>
    <cellStyle name="SAPBEXsubData 4" xfId="19740" xr:uid="{00000000-0005-0000-0000-0000404A0000}"/>
    <cellStyle name="SAPBEXsubData 5" xfId="28170" xr:uid="{700FF7F0-E086-4A1C-B0FC-756B98A0DEC3}"/>
    <cellStyle name="SAPBEXsubDataEmph" xfId="2759" xr:uid="{00000000-0005-0000-0000-0000AE0A0000}"/>
    <cellStyle name="SAPBEXsubDataEmph 2" xfId="19745" xr:uid="{00000000-0005-0000-0000-0000454A0000}"/>
    <cellStyle name="SAPBEXsubDataEmph 2 2" xfId="19746" xr:uid="{00000000-0005-0000-0000-0000464A0000}"/>
    <cellStyle name="SAPBEXsubDataEmph 2 3" xfId="35093" xr:uid="{A109D5DA-712E-4851-AF3F-DBF26FCE214B}"/>
    <cellStyle name="SAPBEXsubDataEmph 3" xfId="19747" xr:uid="{00000000-0005-0000-0000-0000474A0000}"/>
    <cellStyle name="SAPBEXsubDataEmph 4" xfId="19744" xr:uid="{00000000-0005-0000-0000-0000444A0000}"/>
    <cellStyle name="SAPBEXsubDataEmph 5" xfId="28171" xr:uid="{53764A53-A9CD-4179-AD2C-E23D9CEDF9AA}"/>
    <cellStyle name="SAPBEXsubExc1" xfId="2760" xr:uid="{00000000-0005-0000-0000-0000AF0A0000}"/>
    <cellStyle name="SAPBEXsubExc1 2" xfId="19749" xr:uid="{00000000-0005-0000-0000-0000494A0000}"/>
    <cellStyle name="SAPBEXsubExc1 2 2" xfId="19750" xr:uid="{00000000-0005-0000-0000-00004A4A0000}"/>
    <cellStyle name="SAPBEXsubExc1 2 3" xfId="35094" xr:uid="{F6FEFA6D-2DEC-4C3E-A572-92224682B442}"/>
    <cellStyle name="SAPBEXsubExc1 3" xfId="19751" xr:uid="{00000000-0005-0000-0000-00004B4A0000}"/>
    <cellStyle name="SAPBEXsubExc1 4" xfId="19748" xr:uid="{00000000-0005-0000-0000-0000484A0000}"/>
    <cellStyle name="SAPBEXsubExc1 5" xfId="28172" xr:uid="{D2C3590B-63FB-46A9-93BB-B328E2B3B5AE}"/>
    <cellStyle name="SAPBEXsubExc1Emph" xfId="2761" xr:uid="{00000000-0005-0000-0000-0000B00A0000}"/>
    <cellStyle name="SAPBEXsubExc1Emph 2" xfId="19753" xr:uid="{00000000-0005-0000-0000-00004D4A0000}"/>
    <cellStyle name="SAPBEXsubExc1Emph 2 2" xfId="19754" xr:uid="{00000000-0005-0000-0000-00004E4A0000}"/>
    <cellStyle name="SAPBEXsubExc1Emph 2 3" xfId="35095" xr:uid="{89AF3747-1D65-41BC-BC6F-06B5F20FE98A}"/>
    <cellStyle name="SAPBEXsubExc1Emph 3" xfId="19755" xr:uid="{00000000-0005-0000-0000-00004F4A0000}"/>
    <cellStyle name="SAPBEXsubExc1Emph 4" xfId="19752" xr:uid="{00000000-0005-0000-0000-00004C4A0000}"/>
    <cellStyle name="SAPBEXsubExc1Emph 5" xfId="28173" xr:uid="{8D8973C1-3D18-47F7-9955-864F5D05EE48}"/>
    <cellStyle name="SAPBEXsubExc2" xfId="2762" xr:uid="{00000000-0005-0000-0000-0000B10A0000}"/>
    <cellStyle name="SAPBEXsubExc2 2" xfId="19757" xr:uid="{00000000-0005-0000-0000-0000514A0000}"/>
    <cellStyle name="SAPBEXsubExc2 2 2" xfId="19758" xr:uid="{00000000-0005-0000-0000-0000524A0000}"/>
    <cellStyle name="SAPBEXsubExc2 2 3" xfId="27520" xr:uid="{0F6E287B-35B2-41A8-A3EC-82017D4AFFDC}"/>
    <cellStyle name="SAPBEXsubExc2 3" xfId="19759" xr:uid="{00000000-0005-0000-0000-0000534A0000}"/>
    <cellStyle name="SAPBEXsubExc2 4" xfId="19756" xr:uid="{00000000-0005-0000-0000-0000504A0000}"/>
    <cellStyle name="SAPBEXsubExc2 5" xfId="20803" xr:uid="{A7F05275-9578-4C0A-880D-F4975B9C9D1A}"/>
    <cellStyle name="SAPBEXsubExc2Emph" xfId="2763" xr:uid="{00000000-0005-0000-0000-0000B20A0000}"/>
    <cellStyle name="SAPBEXsubExc2Emph 2" xfId="19761" xr:uid="{00000000-0005-0000-0000-0000554A0000}"/>
    <cellStyle name="SAPBEXsubExc2Emph 2 2" xfId="19762" xr:uid="{00000000-0005-0000-0000-0000564A0000}"/>
    <cellStyle name="SAPBEXsubExc2Emph 2 3" xfId="27521" xr:uid="{97E041AE-6269-4141-BA66-91855A3E4EC8}"/>
    <cellStyle name="SAPBEXsubExc2Emph 3" xfId="19763" xr:uid="{00000000-0005-0000-0000-0000574A0000}"/>
    <cellStyle name="SAPBEXsubExc2Emph 4" xfId="19760" xr:uid="{00000000-0005-0000-0000-0000544A0000}"/>
    <cellStyle name="SAPBEXsubExc2Emph 5" xfId="20804" xr:uid="{52CFEE96-1B1E-4293-B8AF-06B57B97A4C5}"/>
    <cellStyle name="SAPBEXsubItem" xfId="2764" xr:uid="{00000000-0005-0000-0000-0000B30A0000}"/>
    <cellStyle name="SAPBEXsubItem 2" xfId="19765" xr:uid="{00000000-0005-0000-0000-0000594A0000}"/>
    <cellStyle name="SAPBEXsubItem 2 2" xfId="19766" xr:uid="{00000000-0005-0000-0000-00005A4A0000}"/>
    <cellStyle name="SAPBEXsubItem 2 3" xfId="35096" xr:uid="{26703AFC-DB18-4478-B3FA-C88C9F09C285}"/>
    <cellStyle name="SAPBEXsubItem 3" xfId="19767" xr:uid="{00000000-0005-0000-0000-00005B4A0000}"/>
    <cellStyle name="SAPBEXsubItem 4" xfId="19764" xr:uid="{00000000-0005-0000-0000-0000584A0000}"/>
    <cellStyle name="SAPBEXsubItem 5" xfId="28174" xr:uid="{97B132FB-19CA-4D12-BA71-73D91B51CAF2}"/>
    <cellStyle name="SAPBEXtitle" xfId="2765" xr:uid="{00000000-0005-0000-0000-0000B40A0000}"/>
    <cellStyle name="SAPBEXtitle 2" xfId="19769" xr:uid="{00000000-0005-0000-0000-00005D4A0000}"/>
    <cellStyle name="SAPBEXtitle 2 2" xfId="19770" xr:uid="{00000000-0005-0000-0000-00005E4A0000}"/>
    <cellStyle name="SAPBEXtitle 2 2 2" xfId="19771" xr:uid="{00000000-0005-0000-0000-00005F4A0000}"/>
    <cellStyle name="SAPBEXtitle 2 2 2 2" xfId="20493" xr:uid="{00000000-0005-0000-0000-00005F4A0000}"/>
    <cellStyle name="SAPBEXtitle 2 2 2 2 2" xfId="27813" xr:uid="{CF7DDEAD-B23B-45F2-8FEF-58FEE0E56217}"/>
    <cellStyle name="SAPBEXtitle 2 2 2 2 2 2" xfId="42750" xr:uid="{B695AFCE-E46A-46FB-9E99-A786410A6B29}"/>
    <cellStyle name="SAPBEXtitle 2 2 2 2 3" xfId="35511" xr:uid="{3D5EF476-7CBD-4235-B1EF-8FE6184C7867}"/>
    <cellStyle name="SAPBEXtitle 2 2 2 3" xfId="27522" xr:uid="{51914E99-9353-41D1-83E3-3EB7406996BD}"/>
    <cellStyle name="SAPBEXtitle 2 2 2 3 2" xfId="42472" xr:uid="{980A86B4-07CF-458A-B672-1BFE70D6A670}"/>
    <cellStyle name="SAPBEXtitle 2 2 2 4" xfId="35097" xr:uid="{8F141205-9582-4D89-A945-3F6B4F7E8C08}"/>
    <cellStyle name="SAPBEXtitle 2 3" xfId="19772" xr:uid="{00000000-0005-0000-0000-0000604A0000}"/>
    <cellStyle name="SAPBEXtitle 2 3 2" xfId="20494" xr:uid="{00000000-0005-0000-0000-0000604A0000}"/>
    <cellStyle name="SAPBEXtitle 2 3 2 2" xfId="27814" xr:uid="{06D8D22A-8D74-45E0-82D9-B264A926AD5C}"/>
    <cellStyle name="SAPBEXtitle 2 3 2 2 2" xfId="42751" xr:uid="{D873707E-F375-400F-8E73-E14100F8B473}"/>
    <cellStyle name="SAPBEXtitle 2 3 2 3" xfId="35512" xr:uid="{EE1F0461-4EA5-42D0-B0B9-CE2B099EB79F}"/>
    <cellStyle name="SAPBEXtitle 2 3 3" xfId="27523" xr:uid="{C08FFF22-D987-420C-AE4A-4F04249F0FD7}"/>
    <cellStyle name="SAPBEXtitle 2 3 3 2" xfId="42473" xr:uid="{5FF80716-7219-42ED-B7FB-57145E0C900B}"/>
    <cellStyle name="SAPBEXtitle 2 3 4" xfId="35098" xr:uid="{FEE967A7-6627-4B75-81DF-CB092E9B9DB8}"/>
    <cellStyle name="SAPBEXtitle 2 4" xfId="19773" xr:uid="{00000000-0005-0000-0000-0000614A0000}"/>
    <cellStyle name="SAPBEXtitle 3" xfId="19774" xr:uid="{00000000-0005-0000-0000-0000624A0000}"/>
    <cellStyle name="SAPBEXtitle 3 2" xfId="19775" xr:uid="{00000000-0005-0000-0000-0000634A0000}"/>
    <cellStyle name="SAPBEXtitle 3 3" xfId="19776" xr:uid="{00000000-0005-0000-0000-0000644A0000}"/>
    <cellStyle name="SAPBEXtitle 3 4" xfId="19777" xr:uid="{00000000-0005-0000-0000-0000654A0000}"/>
    <cellStyle name="SAPBEXtitle 3 5" xfId="19778" xr:uid="{00000000-0005-0000-0000-0000664A0000}"/>
    <cellStyle name="SAPBEXtitle 4" xfId="19779" xr:uid="{00000000-0005-0000-0000-0000674A0000}"/>
    <cellStyle name="SAPBEXtitle 4 2" xfId="19780" xr:uid="{00000000-0005-0000-0000-0000684A0000}"/>
    <cellStyle name="SAPBEXtitle 5" xfId="19781" xr:uid="{00000000-0005-0000-0000-0000694A0000}"/>
    <cellStyle name="SAPBEXtitle 6" xfId="19782" xr:uid="{00000000-0005-0000-0000-00006A4A0000}"/>
    <cellStyle name="SAPBEXtitle 7" xfId="19768" xr:uid="{00000000-0005-0000-0000-00005C4A0000}"/>
    <cellStyle name="SAPBEXunassignedItem" xfId="19783" xr:uid="{00000000-0005-0000-0000-00006B4A0000}"/>
    <cellStyle name="SAPBEXunassignedItem 2" xfId="19784" xr:uid="{00000000-0005-0000-0000-00006C4A0000}"/>
    <cellStyle name="SAPBEXunassignedItem 2 2" xfId="19785" xr:uid="{00000000-0005-0000-0000-00006D4A0000}"/>
    <cellStyle name="SAPBEXunassignedItem 2 2 2" xfId="19786" xr:uid="{00000000-0005-0000-0000-00006E4A0000}"/>
    <cellStyle name="SAPBEXunassignedItem 2 2 2 2" xfId="20495" xr:uid="{00000000-0005-0000-0000-00006E4A0000}"/>
    <cellStyle name="SAPBEXunassignedItem 2 2 2 2 2" xfId="27815" xr:uid="{8D75E629-1A4B-4726-BD14-68C929116E11}"/>
    <cellStyle name="SAPBEXunassignedItem 2 2 2 2 2 2" xfId="42752" xr:uid="{EFC506D1-FECA-4490-A5CF-FC742543BD7E}"/>
    <cellStyle name="SAPBEXunassignedItem 2 2 2 2 3" xfId="35513" xr:uid="{38012121-BB73-4A68-ADB1-776ACA048CE1}"/>
    <cellStyle name="SAPBEXunassignedItem 2 2 2 3" xfId="27524" xr:uid="{14E79F66-5DFF-4850-8AA5-990694C7F401}"/>
    <cellStyle name="SAPBEXunassignedItem 2 2 2 3 2" xfId="42474" xr:uid="{BDD58B20-5E44-4C7A-8F28-2CF7AC2AF3A0}"/>
    <cellStyle name="SAPBEXunassignedItem 2 2 2 4" xfId="35099" xr:uid="{17AB1732-5F6C-4316-9834-6FC0E5C44E69}"/>
    <cellStyle name="SAPBEXunassignedItem 2 3" xfId="19787" xr:uid="{00000000-0005-0000-0000-00006F4A0000}"/>
    <cellStyle name="SAPBEXunassignedItem 2 3 2" xfId="20496" xr:uid="{00000000-0005-0000-0000-00006F4A0000}"/>
    <cellStyle name="SAPBEXunassignedItem 2 3 2 2" xfId="27816" xr:uid="{2D86B44C-9104-4B07-A64C-65E46B3FAE8C}"/>
    <cellStyle name="SAPBEXunassignedItem 2 3 2 2 2" xfId="42753" xr:uid="{B321E67B-3BEF-4867-B92C-18FB11BD38CB}"/>
    <cellStyle name="SAPBEXunassignedItem 2 3 2 3" xfId="35514" xr:uid="{E6F0E957-AD13-402E-B059-18866D8CC13B}"/>
    <cellStyle name="SAPBEXunassignedItem 2 3 3" xfId="27525" xr:uid="{35221741-DC0B-4978-A442-7C7AD2A324E5}"/>
    <cellStyle name="SAPBEXunassignedItem 2 3 3 2" xfId="42475" xr:uid="{515FC286-83F1-4C51-9156-436A0FCB5331}"/>
    <cellStyle name="SAPBEXunassignedItem 2 3 4" xfId="35100" xr:uid="{80A3EDDB-7379-4D05-A305-33FF1B9C1999}"/>
    <cellStyle name="SAPBEXunassignedItem 2 4" xfId="19788" xr:uid="{00000000-0005-0000-0000-0000704A0000}"/>
    <cellStyle name="SAPBEXunassignedItem 3" xfId="19789" xr:uid="{00000000-0005-0000-0000-0000714A0000}"/>
    <cellStyle name="SAPBEXunassignedItem 3 2" xfId="19790" xr:uid="{00000000-0005-0000-0000-0000724A0000}"/>
    <cellStyle name="SAPBEXunassignedItem 3 3" xfId="19791" xr:uid="{00000000-0005-0000-0000-0000734A0000}"/>
    <cellStyle name="SAPBEXunassignedItem 3 3 2" xfId="20497" xr:uid="{00000000-0005-0000-0000-0000734A0000}"/>
    <cellStyle name="SAPBEXunassignedItem 3 3 2 2" xfId="27817" xr:uid="{2EBF8285-3344-48E7-84A0-51B4A528FFF4}"/>
    <cellStyle name="SAPBEXunassignedItem 3 3 2 2 2" xfId="42754" xr:uid="{FD669566-898A-44BD-99CA-193A18312E40}"/>
    <cellStyle name="SAPBEXunassignedItem 3 3 2 3" xfId="35515" xr:uid="{25E17B4B-0F6A-4FEA-9761-3406239EE9A8}"/>
    <cellStyle name="SAPBEXunassignedItem 3 3 3" xfId="27526" xr:uid="{ABFE3E5E-2541-4460-A53A-4E33192257C7}"/>
    <cellStyle name="SAPBEXunassignedItem 3 3 3 2" xfId="42476" xr:uid="{6C542106-A954-4C9C-A931-6E8D837540C5}"/>
    <cellStyle name="SAPBEXunassignedItem 3 3 4" xfId="35101" xr:uid="{B29D9FB6-1390-4E01-96CB-0E4CA0FF6CD1}"/>
    <cellStyle name="SAPBEXunassignedItem 3 4" xfId="19792" xr:uid="{00000000-0005-0000-0000-0000744A0000}"/>
    <cellStyle name="SAPBEXunassignedItem 4" xfId="19793" xr:uid="{00000000-0005-0000-0000-0000754A0000}"/>
    <cellStyle name="SAPBEXunassignedItem 4 2" xfId="19794" xr:uid="{00000000-0005-0000-0000-0000764A0000}"/>
    <cellStyle name="SAPBEXunassignedItem 4 2 2" xfId="20498" xr:uid="{00000000-0005-0000-0000-0000764A0000}"/>
    <cellStyle name="SAPBEXunassignedItem 4 2 2 2" xfId="27818" xr:uid="{A43B545E-7913-4729-BEA1-4CA49687C215}"/>
    <cellStyle name="SAPBEXunassignedItem 4 2 2 2 2" xfId="42755" xr:uid="{ED48A1B8-93EF-4F44-A78E-67FD5DDAF101}"/>
    <cellStyle name="SAPBEXunassignedItem 4 2 2 3" xfId="35516" xr:uid="{E96D1801-42C5-4669-A2FC-EE3B2D281E61}"/>
    <cellStyle name="SAPBEXunassignedItem 4 2 3" xfId="27527" xr:uid="{9077B2F9-6A82-4383-BD85-5B795BCB7061}"/>
    <cellStyle name="SAPBEXunassignedItem 4 2 3 2" xfId="42477" xr:uid="{B1846B42-9A71-4D42-AD13-82DA3B33270C}"/>
    <cellStyle name="SAPBEXunassignedItem 4 2 4" xfId="35102" xr:uid="{6B486974-DD92-44F5-8D04-B5CC95E89A07}"/>
    <cellStyle name="SAPBEXunassignedItem 5" xfId="19795" xr:uid="{00000000-0005-0000-0000-0000774A0000}"/>
    <cellStyle name="SAPBEXunassignedItem 5 2" xfId="20499" xr:uid="{00000000-0005-0000-0000-0000774A0000}"/>
    <cellStyle name="SAPBEXunassignedItem 5 2 2" xfId="27819" xr:uid="{5CF06A5E-F04B-49E3-8C9C-FD5936F0C842}"/>
    <cellStyle name="SAPBEXunassignedItem 5 2 2 2" xfId="42756" xr:uid="{AC40890F-6712-470E-A8C4-64DA5D60BE6C}"/>
    <cellStyle name="SAPBEXunassignedItem 5 2 3" xfId="35517" xr:uid="{D826AD23-5173-4C4D-8ABB-FEE714582821}"/>
    <cellStyle name="SAPBEXunassignedItem 5 3" xfId="27528" xr:uid="{5D9BFA43-25C9-4CEF-AD61-F9C9F77CF992}"/>
    <cellStyle name="SAPBEXunassignedItem 5 3 2" xfId="42478" xr:uid="{6638ECEA-13D3-49BF-B7DD-9A78B2A247E3}"/>
    <cellStyle name="SAPBEXunassignedItem 5 4" xfId="35103" xr:uid="{5C37863E-6017-42DC-9E6D-CFDB7D9E1CCE}"/>
    <cellStyle name="SAPBEXunassignedItem 6" xfId="19796" xr:uid="{00000000-0005-0000-0000-0000784A0000}"/>
    <cellStyle name="SAPBEXundefined" xfId="2766" xr:uid="{00000000-0005-0000-0000-0000B50A0000}"/>
    <cellStyle name="SAPBEXundefined 2" xfId="2767" xr:uid="{00000000-0005-0000-0000-0000B60A0000}"/>
    <cellStyle name="SAPBEXundefined 2 2" xfId="19799" xr:uid="{00000000-0005-0000-0000-00007B4A0000}"/>
    <cellStyle name="SAPBEXundefined 2 2 2" xfId="19800" xr:uid="{00000000-0005-0000-0000-00007C4A0000}"/>
    <cellStyle name="SAPBEXundefined 2 2 2 2" xfId="20500" xr:uid="{00000000-0005-0000-0000-00007C4A0000}"/>
    <cellStyle name="SAPBEXundefined 2 2 2 2 2" xfId="27820" xr:uid="{4F309BDC-1878-4F36-9B3D-7D692FCF0024}"/>
    <cellStyle name="SAPBEXundefined 2 2 2 2 2 2" xfId="42757" xr:uid="{CB4CE960-FBF2-4EC3-9D3B-017EC559DDF7}"/>
    <cellStyle name="SAPBEXundefined 2 2 2 2 3" xfId="35518" xr:uid="{F3A543E5-CB66-43E6-9224-7EF88215D2FC}"/>
    <cellStyle name="SAPBEXundefined 2 2 2 3" xfId="27529" xr:uid="{EA35FC31-1ABF-450B-BC05-E860F1DD5F7C}"/>
    <cellStyle name="SAPBEXundefined 2 2 2 3 2" xfId="42479" xr:uid="{78A4A04B-CC08-4C3A-A359-D548B6B3F7B8}"/>
    <cellStyle name="SAPBEXundefined 2 2 2 4" xfId="35104" xr:uid="{8C28E009-6661-4BB0-9D47-CF1FADA6E43F}"/>
    <cellStyle name="SAPBEXundefined 2 3" xfId="19801" xr:uid="{00000000-0005-0000-0000-00007D4A0000}"/>
    <cellStyle name="SAPBEXundefined 2 3 2" xfId="20501" xr:uid="{00000000-0005-0000-0000-00007D4A0000}"/>
    <cellStyle name="SAPBEXundefined 2 3 2 2" xfId="27821" xr:uid="{FFDA14F2-9980-4F1A-9D04-F0B39CCF7C37}"/>
    <cellStyle name="SAPBEXundefined 2 3 2 2 2" xfId="42758" xr:uid="{270F14A9-EBD1-4B54-9633-197C1215A01B}"/>
    <cellStyle name="SAPBEXundefined 2 3 2 3" xfId="35519" xr:uid="{AF2FF3B6-322C-46AF-AAF3-17D9D40290B8}"/>
    <cellStyle name="SAPBEXundefined 2 3 3" xfId="27530" xr:uid="{1883FABF-EC01-463B-8EDD-68BC549DB55A}"/>
    <cellStyle name="SAPBEXundefined 2 3 3 2" xfId="42480" xr:uid="{46D8293B-1258-46FF-B114-BDC06B6B3E23}"/>
    <cellStyle name="SAPBEXundefined 2 3 4" xfId="35105" xr:uid="{FD1D5884-8975-4A44-810E-63965D5D0795}"/>
    <cellStyle name="SAPBEXundefined 2 4" xfId="19802" xr:uid="{00000000-0005-0000-0000-00007E4A0000}"/>
    <cellStyle name="SAPBEXundefined 2 5" xfId="19798" xr:uid="{00000000-0005-0000-0000-00007A4A0000}"/>
    <cellStyle name="SAPBEXundefined 2 6" xfId="20805" xr:uid="{2DC91FAC-D1EF-49BF-88BA-1DD144E7D891}"/>
    <cellStyle name="SAPBEXundefined 2 6 2" xfId="35787" xr:uid="{9F8F4EC6-F096-4CDE-835F-CE290AF430CD}"/>
    <cellStyle name="SAPBEXundefined 2 7" xfId="28176" xr:uid="{5CD2673B-7FBF-4600-BE83-9B0952A78A9E}"/>
    <cellStyle name="SAPBEXundefined 3" xfId="19803" xr:uid="{00000000-0005-0000-0000-00007F4A0000}"/>
    <cellStyle name="SAPBEXundefined 3 2" xfId="19804" xr:uid="{00000000-0005-0000-0000-0000804A0000}"/>
    <cellStyle name="SAPBEXundefined 3 3" xfId="19805" xr:uid="{00000000-0005-0000-0000-0000814A0000}"/>
    <cellStyle name="SAPBEXundefined 3 3 2" xfId="20502" xr:uid="{00000000-0005-0000-0000-0000814A0000}"/>
    <cellStyle name="SAPBEXundefined 3 3 2 2" xfId="27822" xr:uid="{BD8F6AF0-3D58-4E5E-964E-381E978D5CED}"/>
    <cellStyle name="SAPBEXundefined 3 3 2 2 2" xfId="42759" xr:uid="{A1AA5330-2C06-4041-8483-4FFC3CFA12EA}"/>
    <cellStyle name="SAPBEXundefined 3 3 2 3" xfId="35520" xr:uid="{8DEAEEBC-6C83-49EA-A7A5-467FB6FC3FE8}"/>
    <cellStyle name="SAPBEXundefined 3 3 3" xfId="35106" xr:uid="{855CB5BB-B34D-4C17-B98F-938C9F849DEC}"/>
    <cellStyle name="SAPBEXundefined 3 4" xfId="19806" xr:uid="{00000000-0005-0000-0000-0000824A0000}"/>
    <cellStyle name="SAPBEXundefined 3 4 2" xfId="20503" xr:uid="{00000000-0005-0000-0000-0000824A0000}"/>
    <cellStyle name="SAPBEXundefined 3 4 2 2" xfId="35521" xr:uid="{292E17E7-3F1E-4715-8FFD-2334D95163F9}"/>
    <cellStyle name="SAPBEXundefined 3 4 3" xfId="35107" xr:uid="{AFA25164-06D0-413C-A619-369D1ABC1480}"/>
    <cellStyle name="SAPBEXundefined 3 5" xfId="19807" xr:uid="{00000000-0005-0000-0000-0000834A0000}"/>
    <cellStyle name="SAPBEXundefined 4" xfId="19808" xr:uid="{00000000-0005-0000-0000-0000844A0000}"/>
    <cellStyle name="SAPBEXundefined 4 2" xfId="19809" xr:uid="{00000000-0005-0000-0000-0000854A0000}"/>
    <cellStyle name="SAPBEXundefined 4 2 2" xfId="20504" xr:uid="{00000000-0005-0000-0000-0000854A0000}"/>
    <cellStyle name="SAPBEXundefined 4 2 2 2" xfId="35522" xr:uid="{5B2FE2A6-655E-4C5E-9198-DD8AEE50D62E}"/>
    <cellStyle name="SAPBEXundefined 4 2 3" xfId="35108" xr:uid="{7D13F1E6-116C-4889-8782-DAEC1374D847}"/>
    <cellStyle name="SAPBEXundefined 5" xfId="19810" xr:uid="{00000000-0005-0000-0000-0000864A0000}"/>
    <cellStyle name="SAPBEXundefined 5 2" xfId="20505" xr:uid="{00000000-0005-0000-0000-0000864A0000}"/>
    <cellStyle name="SAPBEXundefined 5 2 2" xfId="27823" xr:uid="{EC87C833-0761-46D2-8CA9-2243478B6C2F}"/>
    <cellStyle name="SAPBEXundefined 5 2 2 2" xfId="42760" xr:uid="{BDB81037-BE28-45E2-9C80-A7558FAE7FE3}"/>
    <cellStyle name="SAPBEXundefined 5 2 3" xfId="35523" xr:uid="{ADF14BD0-DEAA-472C-8049-46510671F943}"/>
    <cellStyle name="SAPBEXundefined 5 3" xfId="35109" xr:uid="{9FB921CA-8137-4C73-82FF-6885B8BD9309}"/>
    <cellStyle name="SAPBEXundefined 6" xfId="19811" xr:uid="{00000000-0005-0000-0000-0000874A0000}"/>
    <cellStyle name="SAPBEXundefined 7" xfId="19797" xr:uid="{00000000-0005-0000-0000-0000794A0000}"/>
    <cellStyle name="SAPBEXundefined 8" xfId="28175" xr:uid="{A5826E7A-779A-4B60-88FF-1FB2210EAA78}"/>
    <cellStyle name="Sched" xfId="2768" xr:uid="{00000000-0005-0000-0000-0000B70A0000}"/>
    <cellStyle name="Sched 2" xfId="19813" xr:uid="{00000000-0005-0000-0000-0000894A0000}"/>
    <cellStyle name="Sched 2 2" xfId="19814" xr:uid="{00000000-0005-0000-0000-00008A4A0000}"/>
    <cellStyle name="Sched 3" xfId="19815" xr:uid="{00000000-0005-0000-0000-00008B4A0000}"/>
    <cellStyle name="Sched 4" xfId="19812" xr:uid="{00000000-0005-0000-0000-0000884A0000}"/>
    <cellStyle name="SEM-BPS-data" xfId="2769" xr:uid="{00000000-0005-0000-0000-0000B80A0000}"/>
    <cellStyle name="SEM-BPS-data 2" xfId="19817" xr:uid="{00000000-0005-0000-0000-00008D4A0000}"/>
    <cellStyle name="SEM-BPS-data 2 2" xfId="19818" xr:uid="{00000000-0005-0000-0000-00008E4A0000}"/>
    <cellStyle name="SEM-BPS-data 3" xfId="19819" xr:uid="{00000000-0005-0000-0000-00008F4A0000}"/>
    <cellStyle name="SEM-BPS-data 4" xfId="19816" xr:uid="{00000000-0005-0000-0000-00008C4A0000}"/>
    <cellStyle name="SEM-BPS-head" xfId="2770" xr:uid="{00000000-0005-0000-0000-0000B90A0000}"/>
    <cellStyle name="SEM-BPS-head 2" xfId="19821" xr:uid="{00000000-0005-0000-0000-0000914A0000}"/>
    <cellStyle name="SEM-BPS-head 2 2" xfId="19822" xr:uid="{00000000-0005-0000-0000-0000924A0000}"/>
    <cellStyle name="SEM-BPS-head 3" xfId="19823" xr:uid="{00000000-0005-0000-0000-0000934A0000}"/>
    <cellStyle name="SEM-BPS-head 4" xfId="19820" xr:uid="{00000000-0005-0000-0000-0000904A0000}"/>
    <cellStyle name="SEM-BPS-headdata" xfId="2771" xr:uid="{00000000-0005-0000-0000-0000BA0A0000}"/>
    <cellStyle name="SEM-BPS-headdata 2" xfId="19825" xr:uid="{00000000-0005-0000-0000-0000954A0000}"/>
    <cellStyle name="SEM-BPS-headdata 2 2" xfId="19826" xr:uid="{00000000-0005-0000-0000-0000964A0000}"/>
    <cellStyle name="SEM-BPS-headdata 3" xfId="19827" xr:uid="{00000000-0005-0000-0000-0000974A0000}"/>
    <cellStyle name="SEM-BPS-headdata 4" xfId="19824" xr:uid="{00000000-0005-0000-0000-0000944A0000}"/>
    <cellStyle name="SEM-BPS-headkey" xfId="2772" xr:uid="{00000000-0005-0000-0000-0000BB0A0000}"/>
    <cellStyle name="SEM-BPS-headkey 2" xfId="19829" xr:uid="{00000000-0005-0000-0000-0000994A0000}"/>
    <cellStyle name="SEM-BPS-headkey 2 2" xfId="19830" xr:uid="{00000000-0005-0000-0000-00009A4A0000}"/>
    <cellStyle name="SEM-BPS-headkey 3" xfId="19831" xr:uid="{00000000-0005-0000-0000-00009B4A0000}"/>
    <cellStyle name="SEM-BPS-headkey 4" xfId="19828" xr:uid="{00000000-0005-0000-0000-0000984A0000}"/>
    <cellStyle name="SEM-BPS-input-on" xfId="2773" xr:uid="{00000000-0005-0000-0000-0000BC0A0000}"/>
    <cellStyle name="SEM-BPS-input-on 2" xfId="19833" xr:uid="{00000000-0005-0000-0000-00009D4A0000}"/>
    <cellStyle name="SEM-BPS-input-on 2 2" xfId="19834" xr:uid="{00000000-0005-0000-0000-00009E4A0000}"/>
    <cellStyle name="SEM-BPS-input-on 3" xfId="19835" xr:uid="{00000000-0005-0000-0000-00009F4A0000}"/>
    <cellStyle name="SEM-BPS-input-on 4" xfId="19832" xr:uid="{00000000-0005-0000-0000-00009C4A0000}"/>
    <cellStyle name="SEM-BPS-key" xfId="2774" xr:uid="{00000000-0005-0000-0000-0000BD0A0000}"/>
    <cellStyle name="SEM-BPS-key 2" xfId="19837" xr:uid="{00000000-0005-0000-0000-0000A14A0000}"/>
    <cellStyle name="SEM-BPS-key 2 2" xfId="19838" xr:uid="{00000000-0005-0000-0000-0000A24A0000}"/>
    <cellStyle name="SEM-BPS-key 3" xfId="19839" xr:uid="{00000000-0005-0000-0000-0000A34A0000}"/>
    <cellStyle name="SEM-BPS-key 4" xfId="19836" xr:uid="{00000000-0005-0000-0000-0000A04A0000}"/>
    <cellStyle name="SEM-BPS-sub1" xfId="2775" xr:uid="{00000000-0005-0000-0000-0000BE0A0000}"/>
    <cellStyle name="SEM-BPS-sub1 2" xfId="19841" xr:uid="{00000000-0005-0000-0000-0000A54A0000}"/>
    <cellStyle name="SEM-BPS-sub1 2 2" xfId="19842" xr:uid="{00000000-0005-0000-0000-0000A64A0000}"/>
    <cellStyle name="SEM-BPS-sub1 3" xfId="19843" xr:uid="{00000000-0005-0000-0000-0000A74A0000}"/>
    <cellStyle name="SEM-BPS-sub1 4" xfId="19840" xr:uid="{00000000-0005-0000-0000-0000A44A0000}"/>
    <cellStyle name="SEM-BPS-sub2" xfId="2776" xr:uid="{00000000-0005-0000-0000-0000BF0A0000}"/>
    <cellStyle name="SEM-BPS-sub2 2" xfId="19845" xr:uid="{00000000-0005-0000-0000-0000A94A0000}"/>
    <cellStyle name="SEM-BPS-sub2 2 2" xfId="19846" xr:uid="{00000000-0005-0000-0000-0000AA4A0000}"/>
    <cellStyle name="SEM-BPS-sub2 3" xfId="19847" xr:uid="{00000000-0005-0000-0000-0000AB4A0000}"/>
    <cellStyle name="SEM-BPS-sub2 4" xfId="19844" xr:uid="{00000000-0005-0000-0000-0000A84A0000}"/>
    <cellStyle name="SEM-BPS-total" xfId="2777" xr:uid="{00000000-0005-0000-0000-0000C00A0000}"/>
    <cellStyle name="SEM-BPS-total 2" xfId="19849" xr:uid="{00000000-0005-0000-0000-0000AD4A0000}"/>
    <cellStyle name="SEM-BPS-total 2 2" xfId="19850" xr:uid="{00000000-0005-0000-0000-0000AE4A0000}"/>
    <cellStyle name="SEM-BPS-total 3" xfId="19851" xr:uid="{00000000-0005-0000-0000-0000AF4A0000}"/>
    <cellStyle name="SEM-BPS-total 4" xfId="19848" xr:uid="{00000000-0005-0000-0000-0000AC4A0000}"/>
    <cellStyle name="Sheet Title" xfId="2778" xr:uid="{00000000-0005-0000-0000-0000C10A0000}"/>
    <cellStyle name="Sheet Title 2" xfId="19853" xr:uid="{00000000-0005-0000-0000-0000B14A0000}"/>
    <cellStyle name="Sheet Title 2 2" xfId="19854" xr:uid="{00000000-0005-0000-0000-0000B24A0000}"/>
    <cellStyle name="Sheet Title 3" xfId="19855" xr:uid="{00000000-0005-0000-0000-0000B34A0000}"/>
    <cellStyle name="Sheet Title 4" xfId="19856" xr:uid="{00000000-0005-0000-0000-0000B44A0000}"/>
    <cellStyle name="Sheet Title 5" xfId="19852" xr:uid="{00000000-0005-0000-0000-0000B04A0000}"/>
    <cellStyle name="small" xfId="2779" xr:uid="{00000000-0005-0000-0000-0000C20A0000}"/>
    <cellStyle name="small 2" xfId="2780" xr:uid="{00000000-0005-0000-0000-0000C30A0000}"/>
    <cellStyle name="small 2 2" xfId="19859" xr:uid="{00000000-0005-0000-0000-0000B74A0000}"/>
    <cellStyle name="small 2 3" xfId="19858" xr:uid="{00000000-0005-0000-0000-0000B64A0000}"/>
    <cellStyle name="small 2 3 2" xfId="27531" xr:uid="{F25D9A46-35CA-4D85-9B76-72CC87BC55BA}"/>
    <cellStyle name="small 2 3 2 2" xfId="42481" xr:uid="{DC6471CA-D2E9-4ED4-8B8D-79C59B76E688}"/>
    <cellStyle name="small 2 3 3" xfId="35110" xr:uid="{F8BE33B7-9D08-4BF4-8B91-77FB6ADE1868}"/>
    <cellStyle name="small 2 4" xfId="20506" xr:uid="{00000000-0005-0000-0000-0000B64A0000}"/>
    <cellStyle name="small 2 4 2" xfId="27824" xr:uid="{3D0F0A12-AAB6-4AC4-93B8-703F42E8D337}"/>
    <cellStyle name="small 2 4 2 2" xfId="42761" xr:uid="{B7A3DF36-4CDD-418C-A45C-9FAA0FC6ACDE}"/>
    <cellStyle name="small 2 4 3" xfId="35524" xr:uid="{6CE5D686-EC34-47B0-A1D4-DB0B468BF359}"/>
    <cellStyle name="small 2 5" xfId="20807" xr:uid="{FA8DE8AD-8431-4710-B8E7-FA525188072E}"/>
    <cellStyle name="small 2 5 2" xfId="35789" xr:uid="{1F694FAA-90DC-43AD-87F1-87F802B12D97}"/>
    <cellStyle name="small 2 6" xfId="28178" xr:uid="{AE28A73D-1F0A-42F5-B120-652447CF9EBE}"/>
    <cellStyle name="small 3" xfId="19860" xr:uid="{00000000-0005-0000-0000-0000B84A0000}"/>
    <cellStyle name="small 4" xfId="19857" xr:uid="{00000000-0005-0000-0000-0000B54A0000}"/>
    <cellStyle name="small 5" xfId="20806" xr:uid="{53C795F8-A575-4FB8-8EFB-E412E5026648}"/>
    <cellStyle name="small 5 2" xfId="35788" xr:uid="{C19F1C84-0F35-4BE7-8331-DB6D9C151FCD}"/>
    <cellStyle name="small 6" xfId="28177" xr:uid="{7BE16F54-49D7-454E-92BE-63244326F32D}"/>
    <cellStyle name="Sort_Name" xfId="2781" xr:uid="{00000000-0005-0000-0000-0000C40A0000}"/>
    <cellStyle name="State" xfId="2782" xr:uid="{00000000-0005-0000-0000-0000C50A0000}"/>
    <cellStyle name="State 2" xfId="5310" xr:uid="{00000000-0005-0000-0000-0000BB4A0000}"/>
    <cellStyle name="State 2 2" xfId="13615" xr:uid="{00000000-0005-0000-0000-0000BB4A0000}"/>
    <cellStyle name="State 2 2 2" xfId="33837" xr:uid="{4C110B9B-EB7C-4BE1-897F-6A1708E54B97}"/>
    <cellStyle name="State 3" xfId="5502" xr:uid="{00000000-0005-0000-0000-0000BA4A0000}"/>
    <cellStyle name="Step" xfId="2783" xr:uid="{00000000-0005-0000-0000-0000C60A0000}"/>
    <cellStyle name="Style 1" xfId="2784" xr:uid="{00000000-0005-0000-0000-0000C70A0000}"/>
    <cellStyle name="Style 1 2" xfId="19862" xr:uid="{00000000-0005-0000-0000-0000BE4A0000}"/>
    <cellStyle name="Style 1 2 2" xfId="19863" xr:uid="{00000000-0005-0000-0000-0000BF4A0000}"/>
    <cellStyle name="Style 1 3" xfId="19864" xr:uid="{00000000-0005-0000-0000-0000C04A0000}"/>
    <cellStyle name="Style 1 4" xfId="19861" xr:uid="{00000000-0005-0000-0000-0000BD4A0000}"/>
    <cellStyle name="Style 2" xfId="2785" xr:uid="{00000000-0005-0000-0000-0000C80A0000}"/>
    <cellStyle name="Style 2 2" xfId="19865" xr:uid="{00000000-0005-0000-0000-0000C24A0000}"/>
    <cellStyle name="Style 2 3" xfId="19866" xr:uid="{00000000-0005-0000-0000-0000C34A0000}"/>
    <cellStyle name="Style 21" xfId="19867" xr:uid="{00000000-0005-0000-0000-0000C44A0000}"/>
    <cellStyle name="Style 22" xfId="19868" xr:uid="{00000000-0005-0000-0000-0000C54A0000}"/>
    <cellStyle name="Style 22 2" xfId="19869" xr:uid="{00000000-0005-0000-0000-0000C64A0000}"/>
    <cellStyle name="Style 23" xfId="19870" xr:uid="{00000000-0005-0000-0000-0000C74A0000}"/>
    <cellStyle name="Style 23 2" xfId="19871" xr:uid="{00000000-0005-0000-0000-0000C84A0000}"/>
    <cellStyle name="Style 24" xfId="19872" xr:uid="{00000000-0005-0000-0000-0000C94A0000}"/>
    <cellStyle name="Style 24 2" xfId="19873" xr:uid="{00000000-0005-0000-0000-0000CA4A0000}"/>
    <cellStyle name="Style 25" xfId="19874" xr:uid="{00000000-0005-0000-0000-0000CB4A0000}"/>
    <cellStyle name="Style 25 2" xfId="19875" xr:uid="{00000000-0005-0000-0000-0000CC4A0000}"/>
    <cellStyle name="Style 26" xfId="2786" xr:uid="{00000000-0005-0000-0000-0000C90A0000}"/>
    <cellStyle name="Style 26 2" xfId="19877" xr:uid="{00000000-0005-0000-0000-0000CE4A0000}"/>
    <cellStyle name="Style 26 3" xfId="19878" xr:uid="{00000000-0005-0000-0000-0000CF4A0000}"/>
    <cellStyle name="Style 26 4" xfId="19879" xr:uid="{00000000-0005-0000-0000-0000D04A0000}"/>
    <cellStyle name="Style 26 5" xfId="19876" xr:uid="{00000000-0005-0000-0000-0000CD4A0000}"/>
    <cellStyle name="Style 27" xfId="19880" xr:uid="{00000000-0005-0000-0000-0000D14A0000}"/>
    <cellStyle name="Style 27 2" xfId="19881" xr:uid="{00000000-0005-0000-0000-0000D24A0000}"/>
    <cellStyle name="Style 28" xfId="2787" xr:uid="{00000000-0005-0000-0000-0000CA0A0000}"/>
    <cellStyle name="Style 28 2" xfId="19883" xr:uid="{00000000-0005-0000-0000-0000D44A0000}"/>
    <cellStyle name="Style 28 2 2" xfId="19884" xr:uid="{00000000-0005-0000-0000-0000D54A0000}"/>
    <cellStyle name="Style 28 3" xfId="19885" xr:uid="{00000000-0005-0000-0000-0000D64A0000}"/>
    <cellStyle name="Style 28 4" xfId="19886" xr:uid="{00000000-0005-0000-0000-0000D74A0000}"/>
    <cellStyle name="Style 28 5" xfId="19887" xr:uid="{00000000-0005-0000-0000-0000D84A0000}"/>
    <cellStyle name="Style 28 6" xfId="19888" xr:uid="{00000000-0005-0000-0000-0000D94A0000}"/>
    <cellStyle name="Style 28 7" xfId="19882" xr:uid="{00000000-0005-0000-0000-0000D34A0000}"/>
    <cellStyle name="Style 29" xfId="19889" xr:uid="{00000000-0005-0000-0000-0000DA4A0000}"/>
    <cellStyle name="Style 29 2" xfId="19890" xr:uid="{00000000-0005-0000-0000-0000DB4A0000}"/>
    <cellStyle name="Style 3" xfId="2788" xr:uid="{00000000-0005-0000-0000-0000CB0A0000}"/>
    <cellStyle name="Style 3 2" xfId="19892" xr:uid="{00000000-0005-0000-0000-0000DD4A0000}"/>
    <cellStyle name="Style 3 2 2" xfId="19893" xr:uid="{00000000-0005-0000-0000-0000DE4A0000}"/>
    <cellStyle name="Style 3 3" xfId="19894" xr:uid="{00000000-0005-0000-0000-0000DF4A0000}"/>
    <cellStyle name="Style 3 4" xfId="19891" xr:uid="{00000000-0005-0000-0000-0000DC4A0000}"/>
    <cellStyle name="Style 30" xfId="19895" xr:uid="{00000000-0005-0000-0000-0000E04A0000}"/>
    <cellStyle name="Style 30 2" xfId="19896" xr:uid="{00000000-0005-0000-0000-0000E14A0000}"/>
    <cellStyle name="Style 31" xfId="19897" xr:uid="{00000000-0005-0000-0000-0000E24A0000}"/>
    <cellStyle name="Style 31 2" xfId="19898" xr:uid="{00000000-0005-0000-0000-0000E34A0000}"/>
    <cellStyle name="Style 32" xfId="19899" xr:uid="{00000000-0005-0000-0000-0000E44A0000}"/>
    <cellStyle name="Style 32 2" xfId="19900" xr:uid="{00000000-0005-0000-0000-0000E54A0000}"/>
    <cellStyle name="Style 32 2 2" xfId="20508" xr:uid="{00000000-0005-0000-0000-0000E54A0000}"/>
    <cellStyle name="Style 32 2 2 2" xfId="27826" xr:uid="{A13C83DC-E843-49B6-BFC5-25C36B548A30}"/>
    <cellStyle name="Style 32 2 2 2 2" xfId="42763" xr:uid="{3DEDE0AB-D6E1-4B3B-97F8-38C945CC1B35}"/>
    <cellStyle name="Style 32 2 2 3" xfId="35526" xr:uid="{09026EB2-7E60-4EBB-AFE2-719BE60CFF23}"/>
    <cellStyle name="Style 32 2 3" xfId="27533" xr:uid="{F4021B13-5F18-4E23-83F4-5FA42BB22048}"/>
    <cellStyle name="Style 32 2 3 2" xfId="42483" xr:uid="{B941C627-FCFD-41B2-A25B-D326254EEBCE}"/>
    <cellStyle name="Style 32 2 4" xfId="35112" xr:uid="{B8885DF1-3F61-4508-B8A8-DC0A2D234940}"/>
    <cellStyle name="Style 32 3" xfId="20507" xr:uid="{00000000-0005-0000-0000-0000E44A0000}"/>
    <cellStyle name="Style 32 3 2" xfId="27825" xr:uid="{D473F3B7-5168-493E-873D-F04EC527517D}"/>
    <cellStyle name="Style 32 3 2 2" xfId="42762" xr:uid="{717DD2D6-A105-4AA1-9EE1-9488DA6BA318}"/>
    <cellStyle name="Style 32 3 3" xfId="35525" xr:uid="{12448F60-7E43-4742-8D61-A42C1DDFB08E}"/>
    <cellStyle name="Style 32 4" xfId="27532" xr:uid="{EB0A6E60-86B1-4E8C-9CE4-3BB328D10709}"/>
    <cellStyle name="Style 32 4 2" xfId="42482" xr:uid="{6391DDCD-EE28-4963-B38B-41E7BB1C3395}"/>
    <cellStyle name="Style 32 5" xfId="35111" xr:uid="{44156D23-E803-4B6B-AE0F-4DBCACB0E367}"/>
    <cellStyle name="Style 33" xfId="19901" xr:uid="{00000000-0005-0000-0000-0000E64A0000}"/>
    <cellStyle name="Style 33 2" xfId="19902" xr:uid="{00000000-0005-0000-0000-0000E74A0000}"/>
    <cellStyle name="Style 34" xfId="19903" xr:uid="{00000000-0005-0000-0000-0000E84A0000}"/>
    <cellStyle name="Style 34 2" xfId="19904" xr:uid="{00000000-0005-0000-0000-0000E94A0000}"/>
    <cellStyle name="Style 34 2 2" xfId="19905" xr:uid="{00000000-0005-0000-0000-0000EA4A0000}"/>
    <cellStyle name="Style 34 2 2 2" xfId="20511" xr:uid="{00000000-0005-0000-0000-0000EA4A0000}"/>
    <cellStyle name="Style 34 2 2 2 2" xfId="35529" xr:uid="{4D0084DE-997E-49FA-AB92-CE198361D2C9}"/>
    <cellStyle name="Style 34 2 2 3" xfId="27536" xr:uid="{76EB7B78-F25B-4453-94ED-2E1DBE70EBB2}"/>
    <cellStyle name="Style 34 2 3" xfId="20510" xr:uid="{00000000-0005-0000-0000-0000E94A0000}"/>
    <cellStyle name="Style 34 2 3 2" xfId="35528" xr:uid="{9FE9B2EB-4364-4F1A-8703-CC6ECB443AF0}"/>
    <cellStyle name="Style 34 2 4" xfId="27535" xr:uid="{185BF390-3CF2-4397-B64D-91869F0B77C3}"/>
    <cellStyle name="Style 34 3" xfId="19906" xr:uid="{00000000-0005-0000-0000-0000EB4A0000}"/>
    <cellStyle name="Style 34 3 2" xfId="20512" xr:uid="{00000000-0005-0000-0000-0000EB4A0000}"/>
    <cellStyle name="Style 34 3 2 2" xfId="35530" xr:uid="{0881832F-BE8E-4DD8-95CC-4B7FFF03223A}"/>
    <cellStyle name="Style 34 3 3" xfId="27537" xr:uid="{3895DB80-7ECC-4952-9D18-0BAB4297965F}"/>
    <cellStyle name="Style 34 4" xfId="20509" xr:uid="{00000000-0005-0000-0000-0000E84A0000}"/>
    <cellStyle name="Style 34 4 2" xfId="35527" xr:uid="{C026B67B-2A63-4A8B-ACD5-A88940589ECF}"/>
    <cellStyle name="Style 34 5" xfId="27534" xr:uid="{E86D2436-2358-467D-A165-4BB0434E1A8D}"/>
    <cellStyle name="Style 35" xfId="2789" xr:uid="{00000000-0005-0000-0000-0000CC0A0000}"/>
    <cellStyle name="Style 35 2" xfId="19908" xr:uid="{00000000-0005-0000-0000-0000ED4A0000}"/>
    <cellStyle name="Style 35 2 2" xfId="19909" xr:uid="{00000000-0005-0000-0000-0000EE4A0000}"/>
    <cellStyle name="Style 35 2 3" xfId="19910" xr:uid="{00000000-0005-0000-0000-0000EF4A0000}"/>
    <cellStyle name="Style 35 3" xfId="19911" xr:uid="{00000000-0005-0000-0000-0000F04A0000}"/>
    <cellStyle name="Style 35 4" xfId="19912" xr:uid="{00000000-0005-0000-0000-0000F14A0000}"/>
    <cellStyle name="Style 35 5" xfId="19913" xr:uid="{00000000-0005-0000-0000-0000F24A0000}"/>
    <cellStyle name="Style 35 6" xfId="19914" xr:uid="{00000000-0005-0000-0000-0000F34A0000}"/>
    <cellStyle name="Style 35 7" xfId="19915" xr:uid="{00000000-0005-0000-0000-0000F44A0000}"/>
    <cellStyle name="Style 35 8" xfId="19907" xr:uid="{00000000-0005-0000-0000-0000EC4A0000}"/>
    <cellStyle name="Style 36" xfId="2790" xr:uid="{00000000-0005-0000-0000-0000CD0A0000}"/>
    <cellStyle name="Style 36 2" xfId="19917" xr:uid="{00000000-0005-0000-0000-0000F64A0000}"/>
    <cellStyle name="Style 36 2 2" xfId="19918" xr:uid="{00000000-0005-0000-0000-0000F74A0000}"/>
    <cellStyle name="Style 36 2 2 2" xfId="35114" xr:uid="{5EC515E9-6551-47C1-85CC-E4F0418DBB95}"/>
    <cellStyle name="Style 36 2 3" xfId="19919" xr:uid="{00000000-0005-0000-0000-0000F84A0000}"/>
    <cellStyle name="Style 36 2 4" xfId="35113" xr:uid="{5FA28715-AFBD-46B9-960A-F64F0E690D82}"/>
    <cellStyle name="Style 36 3" xfId="19920" xr:uid="{00000000-0005-0000-0000-0000F94A0000}"/>
    <cellStyle name="Style 36 3 2" xfId="35115" xr:uid="{27EA6779-F694-4BE2-AAE7-16EB3552F6CD}"/>
    <cellStyle name="Style 36 4" xfId="19921" xr:uid="{00000000-0005-0000-0000-0000FA4A0000}"/>
    <cellStyle name="Style 36 5" xfId="19922" xr:uid="{00000000-0005-0000-0000-0000FB4A0000}"/>
    <cellStyle name="Style 36 6" xfId="19923" xr:uid="{00000000-0005-0000-0000-0000FC4A0000}"/>
    <cellStyle name="Style 36 6 2" xfId="35116" xr:uid="{52761D88-1C62-40A3-ADFA-71B31E091E09}"/>
    <cellStyle name="Style 36 7" xfId="19924" xr:uid="{00000000-0005-0000-0000-0000FD4A0000}"/>
    <cellStyle name="Style 36 8" xfId="19916" xr:uid="{00000000-0005-0000-0000-0000F54A0000}"/>
    <cellStyle name="Style 37" xfId="19925" xr:uid="{00000000-0005-0000-0000-0000FE4A0000}"/>
    <cellStyle name="Style 37 2" xfId="19926" xr:uid="{00000000-0005-0000-0000-0000FF4A0000}"/>
    <cellStyle name="Style 37 2 2" xfId="19927" xr:uid="{00000000-0005-0000-0000-0000004B0000}"/>
    <cellStyle name="Style 37 3" xfId="19928" xr:uid="{00000000-0005-0000-0000-0000014B0000}"/>
    <cellStyle name="Style 38" xfId="19929" xr:uid="{00000000-0005-0000-0000-0000024B0000}"/>
    <cellStyle name="Style 38 2" xfId="19930" xr:uid="{00000000-0005-0000-0000-0000034B0000}"/>
    <cellStyle name="Style 38 2 2" xfId="19931" xr:uid="{00000000-0005-0000-0000-0000044B0000}"/>
    <cellStyle name="Style 38 3" xfId="19932" xr:uid="{00000000-0005-0000-0000-0000054B0000}"/>
    <cellStyle name="Style 39" xfId="19933" xr:uid="{00000000-0005-0000-0000-0000064B0000}"/>
    <cellStyle name="Style 39 2" xfId="19934" xr:uid="{00000000-0005-0000-0000-0000074B0000}"/>
    <cellStyle name="Style 39 2 2" xfId="19935" xr:uid="{00000000-0005-0000-0000-0000084B0000}"/>
    <cellStyle name="Style 39 3" xfId="19936" xr:uid="{00000000-0005-0000-0000-0000094B0000}"/>
    <cellStyle name="Style 40" xfId="19937" xr:uid="{00000000-0005-0000-0000-00000A4B0000}"/>
    <cellStyle name="Style 40 2" xfId="19938" xr:uid="{00000000-0005-0000-0000-00000B4B0000}"/>
    <cellStyle name="Style 40 2 2" xfId="19939" xr:uid="{00000000-0005-0000-0000-00000C4B0000}"/>
    <cellStyle name="Style 40 2 2 2" xfId="20515" xr:uid="{00000000-0005-0000-0000-00000C4B0000}"/>
    <cellStyle name="Style 40 2 2 2 2" xfId="27829" xr:uid="{699C3964-FF41-4C9D-B155-853AC218034B}"/>
    <cellStyle name="Style 40 2 2 2 2 2" xfId="42766" xr:uid="{63683BDD-DBED-4B48-9D05-3765615AB6CC}"/>
    <cellStyle name="Style 40 2 2 2 3" xfId="35533" xr:uid="{76C209D9-3664-4E4D-BF1B-E96FA63543F3}"/>
    <cellStyle name="Style 40 2 2 3" xfId="27540" xr:uid="{6D0FCE52-C218-4676-8CCD-5F74C3213336}"/>
    <cellStyle name="Style 40 2 2 3 2" xfId="42486" xr:uid="{E0F92E81-BBFA-43B8-85B3-6F0ABC725F57}"/>
    <cellStyle name="Style 40 2 2 4" xfId="35119" xr:uid="{22DDD3C7-7882-4C36-925B-62B6C687E307}"/>
    <cellStyle name="Style 40 2 3" xfId="20514" xr:uid="{00000000-0005-0000-0000-00000B4B0000}"/>
    <cellStyle name="Style 40 2 3 2" xfId="27828" xr:uid="{733296BD-A392-447C-A408-015E83324DB1}"/>
    <cellStyle name="Style 40 2 3 2 2" xfId="42765" xr:uid="{B42E0F0B-7D23-4E1D-AC79-C8476615C29A}"/>
    <cellStyle name="Style 40 2 3 3" xfId="35532" xr:uid="{AD4A4D48-FF04-4EAD-A8AC-2A1EAE689066}"/>
    <cellStyle name="Style 40 2 4" xfId="27539" xr:uid="{8014A99C-10CC-4C78-A62C-FE93D255B215}"/>
    <cellStyle name="Style 40 2 4 2" xfId="42485" xr:uid="{0AD022B4-247E-486C-B959-7019A8D452F1}"/>
    <cellStyle name="Style 40 2 5" xfId="35118" xr:uid="{E6E585E2-F39C-439D-9C91-EB693DA21F86}"/>
    <cellStyle name="Style 40 3" xfId="19940" xr:uid="{00000000-0005-0000-0000-00000D4B0000}"/>
    <cellStyle name="Style 40 3 2" xfId="20516" xr:uid="{00000000-0005-0000-0000-00000D4B0000}"/>
    <cellStyle name="Style 40 3 2 2" xfId="27830" xr:uid="{536DD995-A1AB-441D-AA83-2A28FC095D06}"/>
    <cellStyle name="Style 40 3 2 2 2" xfId="42767" xr:uid="{F1550EEF-514E-4806-9D81-9F1AB03C0470}"/>
    <cellStyle name="Style 40 3 2 3" xfId="35534" xr:uid="{18AA5F33-B16A-4F2E-8960-BB7073481D00}"/>
    <cellStyle name="Style 40 3 3" xfId="27541" xr:uid="{06D5E31D-F8BA-4FDD-B917-C1F4805B5723}"/>
    <cellStyle name="Style 40 3 3 2" xfId="42487" xr:uid="{237C5805-03BE-4DB9-81AC-303199D9B32A}"/>
    <cellStyle name="Style 40 3 4" xfId="35120" xr:uid="{7E401113-8756-4124-8D2F-BE75C1C39268}"/>
    <cellStyle name="Style 40 4" xfId="20513" xr:uid="{00000000-0005-0000-0000-00000A4B0000}"/>
    <cellStyle name="Style 40 4 2" xfId="27827" xr:uid="{FA23C314-DE67-4C56-B6B8-71048283A0D3}"/>
    <cellStyle name="Style 40 4 2 2" xfId="42764" xr:uid="{6DC30E98-102C-4FA1-A89B-BDEF355561DB}"/>
    <cellStyle name="Style 40 4 3" xfId="35531" xr:uid="{99723781-0489-4E48-BA6A-4BDECC04D5D5}"/>
    <cellStyle name="Style 40 5" xfId="27538" xr:uid="{4EB150B2-83F1-4FFF-A523-6036AE619492}"/>
    <cellStyle name="Style 40 5 2" xfId="42484" xr:uid="{52257705-02B7-4B03-96AF-9B1C1D82F78F}"/>
    <cellStyle name="Style 40 6" xfId="35117" xr:uid="{E1D26EC5-9969-47E1-A994-5ED39A30C281}"/>
    <cellStyle name="Style 41" xfId="19941" xr:uid="{00000000-0005-0000-0000-00000E4B0000}"/>
    <cellStyle name="Style 41 2" xfId="19942" xr:uid="{00000000-0005-0000-0000-00000F4B0000}"/>
    <cellStyle name="Style 41 2 2" xfId="19943" xr:uid="{00000000-0005-0000-0000-0000104B0000}"/>
    <cellStyle name="Style 41 2 2 2" xfId="20519" xr:uid="{00000000-0005-0000-0000-0000104B0000}"/>
    <cellStyle name="Style 41 2 2 2 2" xfId="35537" xr:uid="{F7AA0920-8BB4-4467-AE66-D8A122EDA48F}"/>
    <cellStyle name="Style 41 2 2 3" xfId="27544" xr:uid="{7B9C032A-B089-4C45-A31D-AF00D96CC64F}"/>
    <cellStyle name="Style 41 2 2 3 2" xfId="42490" xr:uid="{9F8552B3-2841-4468-A25D-998CC0AB3649}"/>
    <cellStyle name="Style 41 2 2 4" xfId="35123" xr:uid="{503A91AB-C8BB-475F-AE93-D73ACAE263C3}"/>
    <cellStyle name="Style 41 2 3" xfId="20518" xr:uid="{00000000-0005-0000-0000-00000F4B0000}"/>
    <cellStyle name="Style 41 2 3 2" xfId="35536" xr:uid="{2120C209-5AAE-4A1F-B347-E2AD04ACD00B}"/>
    <cellStyle name="Style 41 2 4" xfId="27543" xr:uid="{8DBD6732-B914-421D-B91F-88DB6B5795A3}"/>
    <cellStyle name="Style 41 2 4 2" xfId="42489" xr:uid="{2936EEB2-A913-4097-B8AB-86D908D52504}"/>
    <cellStyle name="Style 41 2 5" xfId="35122" xr:uid="{0E294CE8-8E01-4F43-84D3-C4AE51BDD31E}"/>
    <cellStyle name="Style 41 3" xfId="19944" xr:uid="{00000000-0005-0000-0000-0000114B0000}"/>
    <cellStyle name="Style 41 3 2" xfId="20520" xr:uid="{00000000-0005-0000-0000-0000114B0000}"/>
    <cellStyle name="Style 41 3 2 2" xfId="35538" xr:uid="{CAEC2E5F-99E5-4C68-97E5-40A28DC06D16}"/>
    <cellStyle name="Style 41 3 3" xfId="27545" xr:uid="{2603535A-EA7E-44A8-9CE4-BB204D6D643E}"/>
    <cellStyle name="Style 41 3 3 2" xfId="42491" xr:uid="{8DA9399E-0DCC-41DB-AF11-8C56A243EBDE}"/>
    <cellStyle name="Style 41 3 4" xfId="35124" xr:uid="{0004CCD7-FCFD-4455-8965-5DA4B2FB8439}"/>
    <cellStyle name="Style 41 4" xfId="20517" xr:uid="{00000000-0005-0000-0000-00000E4B0000}"/>
    <cellStyle name="Style 41 4 2" xfId="35535" xr:uid="{870D4833-E400-4A5D-B7DA-454D563E5943}"/>
    <cellStyle name="Style 41 5" xfId="27542" xr:uid="{B7CD0585-3592-4932-B156-8851E9E413B1}"/>
    <cellStyle name="Style 41 5 2" xfId="42488" xr:uid="{B2DBF6C7-684B-4585-9C8E-11619F7D94B7}"/>
    <cellStyle name="Style 41 6" xfId="35121" xr:uid="{9F73BBE2-78BE-4800-9A08-5797585AA1E8}"/>
    <cellStyle name="Subtotal" xfId="2791" xr:uid="{00000000-0005-0000-0000-0000CE0A0000}"/>
    <cellStyle name="test a style" xfId="2792" xr:uid="{00000000-0005-0000-0000-0000CF0A0000}"/>
    <cellStyle name="Text" xfId="2793" xr:uid="{00000000-0005-0000-0000-0000D00A0000}"/>
    <cellStyle name="Text 2" xfId="19946" xr:uid="{00000000-0005-0000-0000-0000154B0000}"/>
    <cellStyle name="Text 2 2" xfId="19947" xr:uid="{00000000-0005-0000-0000-0000164B0000}"/>
    <cellStyle name="Text 3" xfId="19948" xr:uid="{00000000-0005-0000-0000-0000174B0000}"/>
    <cellStyle name="Text 4" xfId="19945" xr:uid="{00000000-0005-0000-0000-0000144B0000}"/>
    <cellStyle name="Thousand" xfId="2794" xr:uid="{00000000-0005-0000-0000-0000D10A0000}"/>
    <cellStyle name="Thousand 2" xfId="19950" xr:uid="{00000000-0005-0000-0000-0000194B0000}"/>
    <cellStyle name="Thousand 2 2" xfId="19951" xr:uid="{00000000-0005-0000-0000-00001A4B0000}"/>
    <cellStyle name="Thousand 3" xfId="19952" xr:uid="{00000000-0005-0000-0000-00001B4B0000}"/>
    <cellStyle name="Thousand 4" xfId="19949" xr:uid="{00000000-0005-0000-0000-0000184B0000}"/>
    <cellStyle name="Thousands" xfId="2795" xr:uid="{00000000-0005-0000-0000-0000D20A0000}"/>
    <cellStyle name="Thousands 2" xfId="19954" xr:uid="{00000000-0005-0000-0000-00001D4B0000}"/>
    <cellStyle name="Thousands 2 2" xfId="19955" xr:uid="{00000000-0005-0000-0000-00001E4B0000}"/>
    <cellStyle name="Thousands 3" xfId="19956" xr:uid="{00000000-0005-0000-0000-00001F4B0000}"/>
    <cellStyle name="Thousands 4" xfId="19953" xr:uid="{00000000-0005-0000-0000-00001C4B0000}"/>
    <cellStyle name="Title" xfId="65" builtinId="15" customBuiltin="1"/>
    <cellStyle name="Title 10" xfId="19957" xr:uid="{00000000-0005-0000-0000-0000204B0000}"/>
    <cellStyle name="Title 11" xfId="19958" xr:uid="{00000000-0005-0000-0000-0000214B0000}"/>
    <cellStyle name="Title 12" xfId="19959" xr:uid="{00000000-0005-0000-0000-0000224B0000}"/>
    <cellStyle name="Title 2" xfId="2796" xr:uid="{00000000-0005-0000-0000-0000D30A0000}"/>
    <cellStyle name="Title 2 2" xfId="19961" xr:uid="{00000000-0005-0000-0000-0000244B0000}"/>
    <cellStyle name="Title 2 2 2" xfId="19962" xr:uid="{00000000-0005-0000-0000-0000254B0000}"/>
    <cellStyle name="Title 2 3" xfId="19963" xr:uid="{00000000-0005-0000-0000-0000264B0000}"/>
    <cellStyle name="Title 2 4" xfId="19964" xr:uid="{00000000-0005-0000-0000-0000274B0000}"/>
    <cellStyle name="Title 2 5" xfId="19960" xr:uid="{00000000-0005-0000-0000-0000234B0000}"/>
    <cellStyle name="Title 3" xfId="2797" xr:uid="{00000000-0005-0000-0000-0000D40A0000}"/>
    <cellStyle name="Title 3 2" xfId="19966" xr:uid="{00000000-0005-0000-0000-0000294B0000}"/>
    <cellStyle name="Title 3 3" xfId="19967" xr:uid="{00000000-0005-0000-0000-00002A4B0000}"/>
    <cellStyle name="Title 3 4" xfId="19968" xr:uid="{00000000-0005-0000-0000-00002B4B0000}"/>
    <cellStyle name="Title 3 5" xfId="19969" xr:uid="{00000000-0005-0000-0000-00002C4B0000}"/>
    <cellStyle name="Title 3 6" xfId="19965" xr:uid="{00000000-0005-0000-0000-0000284B0000}"/>
    <cellStyle name="Title 4" xfId="2798" xr:uid="{00000000-0005-0000-0000-0000D50A0000}"/>
    <cellStyle name="Title 4 2" xfId="19971" xr:uid="{00000000-0005-0000-0000-00002E4B0000}"/>
    <cellStyle name="Title 4 2 2" xfId="19972" xr:uid="{00000000-0005-0000-0000-00002F4B0000}"/>
    <cellStyle name="Title 4 3" xfId="19973" xr:uid="{00000000-0005-0000-0000-0000304B0000}"/>
    <cellStyle name="Title 4 4" xfId="19970" xr:uid="{00000000-0005-0000-0000-00002D4B0000}"/>
    <cellStyle name="Title 5" xfId="2799" xr:uid="{00000000-0005-0000-0000-0000D60A0000}"/>
    <cellStyle name="Title 5 2" xfId="19975" xr:uid="{00000000-0005-0000-0000-0000324B0000}"/>
    <cellStyle name="Title 5 2 2" xfId="19976" xr:uid="{00000000-0005-0000-0000-0000334B0000}"/>
    <cellStyle name="Title 5 3" xfId="19977" xr:uid="{00000000-0005-0000-0000-0000344B0000}"/>
    <cellStyle name="Title 5 4" xfId="19974" xr:uid="{00000000-0005-0000-0000-0000314B0000}"/>
    <cellStyle name="Title 6" xfId="2800" xr:uid="{00000000-0005-0000-0000-0000D70A0000}"/>
    <cellStyle name="Title 6 2" xfId="19979" xr:uid="{00000000-0005-0000-0000-0000364B0000}"/>
    <cellStyle name="Title 6 2 2" xfId="19980" xr:uid="{00000000-0005-0000-0000-0000374B0000}"/>
    <cellStyle name="Title 6 3" xfId="19981" xr:uid="{00000000-0005-0000-0000-0000384B0000}"/>
    <cellStyle name="Title 6 4" xfId="19978" xr:uid="{00000000-0005-0000-0000-0000354B0000}"/>
    <cellStyle name="Title 7" xfId="2801" xr:uid="{00000000-0005-0000-0000-0000D80A0000}"/>
    <cellStyle name="Title 7 2" xfId="19983" xr:uid="{00000000-0005-0000-0000-00003A4B0000}"/>
    <cellStyle name="Title 7 2 2" xfId="19984" xr:uid="{00000000-0005-0000-0000-00003B4B0000}"/>
    <cellStyle name="Title 7 3" xfId="19985" xr:uid="{00000000-0005-0000-0000-00003C4B0000}"/>
    <cellStyle name="Title 7 4" xfId="19982" xr:uid="{00000000-0005-0000-0000-0000394B0000}"/>
    <cellStyle name="Title 8" xfId="19986" xr:uid="{00000000-0005-0000-0000-00003D4B0000}"/>
    <cellStyle name="Title 8 2" xfId="19987" xr:uid="{00000000-0005-0000-0000-00003E4B0000}"/>
    <cellStyle name="Title 8 3" xfId="19988" xr:uid="{00000000-0005-0000-0000-00003F4B0000}"/>
    <cellStyle name="Title 9" xfId="19989" xr:uid="{00000000-0005-0000-0000-0000404B0000}"/>
    <cellStyle name="Title 9 2" xfId="19990" xr:uid="{00000000-0005-0000-0000-0000414B0000}"/>
    <cellStyle name="Total" xfId="80" builtinId="25" customBuiltin="1"/>
    <cellStyle name="Total 10" xfId="19991" xr:uid="{00000000-0005-0000-0000-0000434B0000}"/>
    <cellStyle name="Total 11" xfId="19992" xr:uid="{00000000-0005-0000-0000-0000444B0000}"/>
    <cellStyle name="Total 11 2" xfId="27546" xr:uid="{DB0AC300-43E5-4B20-BCB9-3FA15D7BC6B7}"/>
    <cellStyle name="Total 12" xfId="19993" xr:uid="{00000000-0005-0000-0000-0000454B0000}"/>
    <cellStyle name="Total 2" xfId="2802" xr:uid="{00000000-0005-0000-0000-0000D90A0000}"/>
    <cellStyle name="Total 2 2" xfId="2803" xr:uid="{00000000-0005-0000-0000-0000DA0A0000}"/>
    <cellStyle name="Total 2 2 2" xfId="19994" xr:uid="{00000000-0005-0000-0000-0000484B0000}"/>
    <cellStyle name="Total 2 2 2 2" xfId="19995" xr:uid="{00000000-0005-0000-0000-0000494B0000}"/>
    <cellStyle name="Total 2 2 2 2 2" xfId="20521" xr:uid="{00000000-0005-0000-0000-0000494B0000}"/>
    <cellStyle name="Total 2 2 2 2 2 2" xfId="27831" xr:uid="{D4AFE377-6CC8-46F6-892F-BF2C21FF4D7A}"/>
    <cellStyle name="Total 2 2 2 2 2 2 2" xfId="42768" xr:uid="{720D9941-F2C3-471A-9385-9C46527DAFC0}"/>
    <cellStyle name="Total 2 2 2 2 2 3" xfId="35539" xr:uid="{B6ADD286-15B3-4357-A67F-1D02ED4F18BF}"/>
    <cellStyle name="Total 2 2 2 2 3" xfId="27548" xr:uid="{73FA3CB0-50EC-4DB6-8267-8CDA0FC32385}"/>
    <cellStyle name="Total 2 2 2 2 3 2" xfId="42492" xr:uid="{1C39A76B-155B-4FE0-A233-B585F7B6954E}"/>
    <cellStyle name="Total 2 2 2 2 4" xfId="35125" xr:uid="{6C18BD41-F3FA-448E-90FD-8BB12BC04724}"/>
    <cellStyle name="Total 2 2 2 3" xfId="19996" xr:uid="{00000000-0005-0000-0000-00004A4B0000}"/>
    <cellStyle name="Total 2 2 2 4" xfId="27547" xr:uid="{ED52004D-69DA-4987-A9BD-490DD910DA56}"/>
    <cellStyle name="Total 2 2 3" xfId="19997" xr:uid="{00000000-0005-0000-0000-00004B4B0000}"/>
    <cellStyle name="Total 2 2 4" xfId="19998" xr:uid="{00000000-0005-0000-0000-00004C4B0000}"/>
    <cellStyle name="Total 2 2 4 2" xfId="20522" xr:uid="{00000000-0005-0000-0000-00004C4B0000}"/>
    <cellStyle name="Total 2 2 4 2 2" xfId="27832" xr:uid="{21F0FFA1-F8E5-4199-A746-B08D70288285}"/>
    <cellStyle name="Total 2 2 4 2 2 2" xfId="42769" xr:uid="{9C93A2DD-37DF-4B28-812E-B771FE7E32CE}"/>
    <cellStyle name="Total 2 2 4 2 3" xfId="35540" xr:uid="{B9DF13AC-9268-40A1-94FD-411EC3DAE85D}"/>
    <cellStyle name="Total 2 2 4 3" xfId="27549" xr:uid="{C565D79D-6C49-482B-AF8C-5E2954ECA272}"/>
    <cellStyle name="Total 2 2 4 3 2" xfId="42493" xr:uid="{74288D3B-6A6B-424C-9BDC-1E8D1902C161}"/>
    <cellStyle name="Total 2 2 4 4" xfId="35126" xr:uid="{13BE5172-5D1C-4B69-9383-F994D800F2FA}"/>
    <cellStyle name="Total 2 2 5" xfId="19999" xr:uid="{00000000-0005-0000-0000-00004D4B0000}"/>
    <cellStyle name="Total 2 2 6" xfId="5309" xr:uid="{00000000-0005-0000-0000-0000474B0000}"/>
    <cellStyle name="Total 2 2 6 2" xfId="23175" xr:uid="{78BBE739-B336-4878-8709-9C07471F7C6F}"/>
    <cellStyle name="Total 2 2 7" xfId="28179" xr:uid="{1942FBA4-DA89-4EE1-B348-B6FDB351AFEE}"/>
    <cellStyle name="Total 2 3" xfId="20000" xr:uid="{00000000-0005-0000-0000-00004E4B0000}"/>
    <cellStyle name="Total 2 3 2" xfId="20001" xr:uid="{00000000-0005-0000-0000-00004F4B0000}"/>
    <cellStyle name="Total 2 3 2 2" xfId="20524" xr:uid="{00000000-0005-0000-0000-00004F4B0000}"/>
    <cellStyle name="Total 2 3 2 2 2" xfId="27834" xr:uid="{ACD7941F-00BF-463F-9962-9397B8A95004}"/>
    <cellStyle name="Total 2 3 2 2 2 2" xfId="42771" xr:uid="{2451DBB5-75DD-4CAB-A8FB-759E809B128C}"/>
    <cellStyle name="Total 2 3 2 2 3" xfId="35542" xr:uid="{1E606A14-C14D-4AF5-A99B-C7D8D10B3A87}"/>
    <cellStyle name="Total 2 3 2 3" xfId="27551" xr:uid="{AC9DFF6A-1AA2-4CD3-A0D2-767FA06B2C1D}"/>
    <cellStyle name="Total 2 3 2 3 2" xfId="42495" xr:uid="{AF0BC694-C12C-46CD-B5F5-D68A33521020}"/>
    <cellStyle name="Total 2 3 2 4" xfId="35128" xr:uid="{8524EBFC-7250-4C5A-B6ED-E3680E8EB25F}"/>
    <cellStyle name="Total 2 3 3" xfId="20002" xr:uid="{00000000-0005-0000-0000-0000504B0000}"/>
    <cellStyle name="Total 2 3 4" xfId="20523" xr:uid="{00000000-0005-0000-0000-00004E4B0000}"/>
    <cellStyle name="Total 2 3 4 2" xfId="27833" xr:uid="{7B7E51FC-F93E-4647-BB3A-250A2BDBD071}"/>
    <cellStyle name="Total 2 3 4 2 2" xfId="42770" xr:uid="{0E2E9CE9-26AB-42E7-A5F8-A5DBCF058681}"/>
    <cellStyle name="Total 2 3 4 3" xfId="35541" xr:uid="{271744BE-EDDE-4613-82E6-8E0FCA80943F}"/>
    <cellStyle name="Total 2 3 5" xfId="27550" xr:uid="{1B3CA901-ADE6-4E20-977F-0248B9C52845}"/>
    <cellStyle name="Total 2 3 5 2" xfId="42494" xr:uid="{061E7275-64B5-4621-9967-4F4C66BCDA2D}"/>
    <cellStyle name="Total 2 3 6" xfId="35127" xr:uid="{7D1D2532-F3F8-45E3-9CD0-E83285AA30FB}"/>
    <cellStyle name="Total 2 4" xfId="20003" xr:uid="{00000000-0005-0000-0000-0000514B0000}"/>
    <cellStyle name="Total 2 4 2" xfId="27552" xr:uid="{E13589CC-58F9-48EF-B967-572C4C324CD1}"/>
    <cellStyle name="Total 2 5" xfId="20004" xr:uid="{00000000-0005-0000-0000-0000524B0000}"/>
    <cellStyle name="Total 2 6" xfId="20005" xr:uid="{00000000-0005-0000-0000-0000534B0000}"/>
    <cellStyle name="Total 2 6 2" xfId="20525" xr:uid="{00000000-0005-0000-0000-0000534B0000}"/>
    <cellStyle name="Total 2 6 2 2" xfId="27835" xr:uid="{4593575C-F047-4C3B-8EDC-67404EB3D09A}"/>
    <cellStyle name="Total 2 6 2 2 2" xfId="42772" xr:uid="{AF615ABE-7D98-4F88-BB1E-089946B3CCAE}"/>
    <cellStyle name="Total 2 6 2 3" xfId="35543" xr:uid="{6F257BB5-B82B-4F48-8E24-079573C8708D}"/>
    <cellStyle name="Total 2 6 3" xfId="27553" xr:uid="{E573B736-1C8A-4915-8F1A-CB882564BB0F}"/>
    <cellStyle name="Total 2 6 3 2" xfId="42496" xr:uid="{DE390AE0-0FD0-40DD-BBB8-0CED85A2F0CD}"/>
    <cellStyle name="Total 2 6 4" xfId="35129" xr:uid="{A4E4100E-7819-460C-BFEF-D32B37ADA923}"/>
    <cellStyle name="Total 2 7" xfId="20006" xr:uid="{00000000-0005-0000-0000-0000544B0000}"/>
    <cellStyle name="Total 2 8" xfId="20808" xr:uid="{56E48D62-ED1C-425E-BE23-D418EDB66B90}"/>
    <cellStyle name="Total 2_App b.3 Unspent_" xfId="2804" xr:uid="{00000000-0005-0000-0000-0000DB0A0000}"/>
    <cellStyle name="Total 3" xfId="2805" xr:uid="{00000000-0005-0000-0000-0000DC0A0000}"/>
    <cellStyle name="Total 3 2" xfId="20007" xr:uid="{00000000-0005-0000-0000-0000564B0000}"/>
    <cellStyle name="Total 3 2 2" xfId="20008" xr:uid="{00000000-0005-0000-0000-0000574B0000}"/>
    <cellStyle name="Total 3 2 3" xfId="27554" xr:uid="{73A9A9A4-EA86-448A-91B6-1EFB6B66E562}"/>
    <cellStyle name="Total 3 3" xfId="20009" xr:uid="{00000000-0005-0000-0000-0000584B0000}"/>
    <cellStyle name="Total 3 4" xfId="20010" xr:uid="{00000000-0005-0000-0000-0000594B0000}"/>
    <cellStyle name="Total 3 4 2" xfId="27555" xr:uid="{4898F275-6CE6-454F-BF25-B9235DDF65BA}"/>
    <cellStyle name="Total 3 4 3" xfId="35130" xr:uid="{20481873-35C3-404F-9EBF-221063CDE57D}"/>
    <cellStyle name="Total 3 5" xfId="20011" xr:uid="{00000000-0005-0000-0000-00005A4B0000}"/>
    <cellStyle name="Total 3 6" xfId="20012" xr:uid="{00000000-0005-0000-0000-00005B4B0000}"/>
    <cellStyle name="Total 3 7" xfId="5308" xr:uid="{00000000-0005-0000-0000-0000554B0000}"/>
    <cellStyle name="Total 3 7 2" xfId="23174" xr:uid="{53A85277-5B93-42DF-9F4D-AAF163A523EC}"/>
    <cellStyle name="Total 3 8" xfId="20809" xr:uid="{520F4747-A68D-4D1B-A43C-A838D41C0DDE}"/>
    <cellStyle name="Total 3 9" xfId="28180" xr:uid="{07BC94C7-B42E-4DE1-AC12-3924A6B06C2F}"/>
    <cellStyle name="Total 4" xfId="2806" xr:uid="{00000000-0005-0000-0000-0000DD0A0000}"/>
    <cellStyle name="Total 4 2" xfId="20014" xr:uid="{00000000-0005-0000-0000-00005D4B0000}"/>
    <cellStyle name="Total 4 2 2" xfId="20015" xr:uid="{00000000-0005-0000-0000-00005E4B0000}"/>
    <cellStyle name="Total 4 2 3" xfId="27556" xr:uid="{9733DDF4-9FC5-493E-9E75-E8697D717E27}"/>
    <cellStyle name="Total 4 2 4" xfId="35131" xr:uid="{F6B4A2B7-D071-4706-BC37-C2F61CD396EF}"/>
    <cellStyle name="Total 4 3" xfId="20016" xr:uid="{00000000-0005-0000-0000-00005F4B0000}"/>
    <cellStyle name="Total 4 4" xfId="20013" xr:uid="{00000000-0005-0000-0000-00005C4B0000}"/>
    <cellStyle name="Total 4 5" xfId="20810" xr:uid="{A66A7DF7-3240-4261-8349-84BF521C7C30}"/>
    <cellStyle name="Total 4 6" xfId="28181" xr:uid="{DEF0D040-2344-44A8-BD77-81276A3FA491}"/>
    <cellStyle name="Total 5" xfId="2807" xr:uid="{00000000-0005-0000-0000-0000DE0A0000}"/>
    <cellStyle name="Total 5 2" xfId="20018" xr:uid="{00000000-0005-0000-0000-0000614B0000}"/>
    <cellStyle name="Total 5 2 2" xfId="20019" xr:uid="{00000000-0005-0000-0000-0000624B0000}"/>
    <cellStyle name="Total 5 2 3" xfId="27557" xr:uid="{781F8D30-3BFC-4A85-A951-09E730F82490}"/>
    <cellStyle name="Total 5 2 4" xfId="35132" xr:uid="{473032B3-4968-4086-A94C-4FA7C2632140}"/>
    <cellStyle name="Total 5 3" xfId="20020" xr:uid="{00000000-0005-0000-0000-0000634B0000}"/>
    <cellStyle name="Total 5 4" xfId="20017" xr:uid="{00000000-0005-0000-0000-0000604B0000}"/>
    <cellStyle name="Total 5 5" xfId="20811" xr:uid="{0A45461A-0F5F-430B-9F07-5314104C1BFD}"/>
    <cellStyle name="Total 5 6" xfId="28182" xr:uid="{805CBCE5-D870-499F-8C33-1DBDF3B6FB1F}"/>
    <cellStyle name="Total 6" xfId="2808" xr:uid="{00000000-0005-0000-0000-0000DF0A0000}"/>
    <cellStyle name="Total 6 2" xfId="20022" xr:uid="{00000000-0005-0000-0000-0000654B0000}"/>
    <cellStyle name="Total 6 2 2" xfId="20023" xr:uid="{00000000-0005-0000-0000-0000664B0000}"/>
    <cellStyle name="Total 6 2 3" xfId="27558" xr:uid="{5E34A1D1-64D2-48B8-8629-B98D0C7E3551}"/>
    <cellStyle name="Total 6 2 4" xfId="35133" xr:uid="{0E6D6466-91B7-4177-A038-9550EFB4104F}"/>
    <cellStyle name="Total 6 3" xfId="20024" xr:uid="{00000000-0005-0000-0000-0000674B0000}"/>
    <cellStyle name="Total 6 4" xfId="20021" xr:uid="{00000000-0005-0000-0000-0000644B0000}"/>
    <cellStyle name="Total 6 5" xfId="20812" xr:uid="{D66626D2-84AE-4693-9054-DFAE482B8A3A}"/>
    <cellStyle name="Total 6 6" xfId="28183" xr:uid="{D44D97DE-7C12-4530-8B25-399E6910EEA5}"/>
    <cellStyle name="Total 7" xfId="2809" xr:uid="{00000000-0005-0000-0000-0000E00A0000}"/>
    <cellStyle name="Total 7 2" xfId="20026" xr:uid="{00000000-0005-0000-0000-0000694B0000}"/>
    <cellStyle name="Total 7 2 2" xfId="20027" xr:uid="{00000000-0005-0000-0000-00006A4B0000}"/>
    <cellStyle name="Total 7 2 3" xfId="27559" xr:uid="{52B7F6AB-EC5A-41F6-A415-CE33BCAE119E}"/>
    <cellStyle name="Total 7 2 4" xfId="35134" xr:uid="{A7278F99-8A36-4838-8127-7CBFB829405D}"/>
    <cellStyle name="Total 7 3" xfId="20028" xr:uid="{00000000-0005-0000-0000-00006B4B0000}"/>
    <cellStyle name="Total 7 4" xfId="20025" xr:uid="{00000000-0005-0000-0000-0000684B0000}"/>
    <cellStyle name="Total 7 5" xfId="20813" xr:uid="{5B198663-290E-489F-9A79-AD83576A81B7}"/>
    <cellStyle name="Total 7 6" xfId="28184" xr:uid="{1B5D9D6C-2DFC-4528-BD82-B9609AF92BB2}"/>
    <cellStyle name="Total 8" xfId="20029" xr:uid="{00000000-0005-0000-0000-00006C4B0000}"/>
    <cellStyle name="Total 8 2" xfId="20030" xr:uid="{00000000-0005-0000-0000-00006D4B0000}"/>
    <cellStyle name="Total 8 3" xfId="20031" xr:uid="{00000000-0005-0000-0000-00006E4B0000}"/>
    <cellStyle name="Total 9" xfId="20032" xr:uid="{00000000-0005-0000-0000-00006F4B0000}"/>
    <cellStyle name="Total 9 2" xfId="20033" xr:uid="{00000000-0005-0000-0000-0000704B0000}"/>
    <cellStyle name="Unprot" xfId="2810" xr:uid="{00000000-0005-0000-0000-0000E10A0000}"/>
    <cellStyle name="Unprot 2" xfId="2811" xr:uid="{00000000-0005-0000-0000-0000E20A0000}"/>
    <cellStyle name="Unprot 2 2" xfId="20035" xr:uid="{00000000-0005-0000-0000-0000734B0000}"/>
    <cellStyle name="Unprot 2 2 2" xfId="20036" xr:uid="{00000000-0005-0000-0000-0000744B0000}"/>
    <cellStyle name="Unprot 2 3" xfId="20037" xr:uid="{00000000-0005-0000-0000-0000754B0000}"/>
    <cellStyle name="Unprot 2 4" xfId="20034" xr:uid="{00000000-0005-0000-0000-0000724B0000}"/>
    <cellStyle name="Unprot 3" xfId="20038" xr:uid="{00000000-0005-0000-0000-0000764B0000}"/>
    <cellStyle name="Unprot 4" xfId="20039" xr:uid="{00000000-0005-0000-0000-0000774B0000}"/>
    <cellStyle name="Unprot 5" xfId="20040" xr:uid="{00000000-0005-0000-0000-0000784B0000}"/>
    <cellStyle name="Unprot$" xfId="2813" xr:uid="{00000000-0005-0000-0000-0000E30A0000}"/>
    <cellStyle name="Unprot$ 2" xfId="5307" xr:uid="{00000000-0005-0000-0000-00007A4B0000}"/>
    <cellStyle name="Unprot$ 2 2" xfId="20041" xr:uid="{00000000-0005-0000-0000-00007B4B0000}"/>
    <cellStyle name="Unprot$ 3" xfId="20042" xr:uid="{00000000-0005-0000-0000-00007C4B0000}"/>
    <cellStyle name="Unprot$ 4" xfId="20043" xr:uid="{00000000-0005-0000-0000-00007D4B0000}"/>
    <cellStyle name="Unprot$ 5" xfId="20044" xr:uid="{00000000-0005-0000-0000-00007E4B0000}"/>
    <cellStyle name="Unprot_01 05 Reports" xfId="2812" xr:uid="{00000000-0005-0000-0000-0000E40A0000}"/>
    <cellStyle name="Unprotect" xfId="2814" xr:uid="{00000000-0005-0000-0000-0000E50A0000}"/>
    <cellStyle name="Unprotect 2" xfId="20045" xr:uid="{00000000-0005-0000-0000-0000814B0000}"/>
    <cellStyle name="Unprotect 3" xfId="20046" xr:uid="{00000000-0005-0000-0000-0000824B0000}"/>
    <cellStyle name="Unprotect 3 2" xfId="20526" xr:uid="{00000000-0005-0000-0000-0000824B0000}"/>
    <cellStyle name="Unprotect 3 2 2" xfId="35544" xr:uid="{E57D444F-E39B-4025-8EE0-CB43618BC9F1}"/>
    <cellStyle name="Unprotect 3 3" xfId="35135" xr:uid="{513DD88A-CD67-429D-8034-AEFDB70289AA}"/>
    <cellStyle name="Unprotect 4" xfId="20047" xr:uid="{00000000-0005-0000-0000-0000834B0000}"/>
    <cellStyle name="Unprotect 5" xfId="16353" xr:uid="{00000000-0005-0000-0000-0000804B0000}"/>
    <cellStyle name="Unprotect 5 2" xfId="34364" xr:uid="{267878A6-9F13-4314-BE7C-C7EE6ACC3BC9}"/>
    <cellStyle name="Unprotect 6" xfId="28185" xr:uid="{67B6F60E-766C-498A-AC7A-0FC390F0BE84}"/>
    <cellStyle name="USD" xfId="2815" xr:uid="{00000000-0005-0000-0000-0000E60A0000}"/>
    <cellStyle name="USD 2" xfId="20049" xr:uid="{00000000-0005-0000-0000-0000854B0000}"/>
    <cellStyle name="USD 2 2" xfId="20050" xr:uid="{00000000-0005-0000-0000-0000864B0000}"/>
    <cellStyle name="USD 3" xfId="20051" xr:uid="{00000000-0005-0000-0000-0000874B0000}"/>
    <cellStyle name="USD 4" xfId="20048" xr:uid="{00000000-0005-0000-0000-0000844B0000}"/>
    <cellStyle name="USD billion" xfId="2816" xr:uid="{00000000-0005-0000-0000-0000E70A0000}"/>
    <cellStyle name="USD billion 2" xfId="20053" xr:uid="{00000000-0005-0000-0000-0000894B0000}"/>
    <cellStyle name="USD billion 2 2" xfId="20054" xr:uid="{00000000-0005-0000-0000-00008A4B0000}"/>
    <cellStyle name="USD billion 3" xfId="20055" xr:uid="{00000000-0005-0000-0000-00008B4B0000}"/>
    <cellStyle name="USD billion 4" xfId="20052" xr:uid="{00000000-0005-0000-0000-0000884B0000}"/>
    <cellStyle name="USD million" xfId="2817" xr:uid="{00000000-0005-0000-0000-0000E80A0000}"/>
    <cellStyle name="USD million 2" xfId="20057" xr:uid="{00000000-0005-0000-0000-00008D4B0000}"/>
    <cellStyle name="USD million 2 2" xfId="20058" xr:uid="{00000000-0005-0000-0000-00008E4B0000}"/>
    <cellStyle name="USD million 3" xfId="20059" xr:uid="{00000000-0005-0000-0000-00008F4B0000}"/>
    <cellStyle name="USD million 4" xfId="20056" xr:uid="{00000000-0005-0000-0000-00008C4B0000}"/>
    <cellStyle name="USD thousand" xfId="2818" xr:uid="{00000000-0005-0000-0000-0000E90A0000}"/>
    <cellStyle name="USD thousand 2" xfId="20061" xr:uid="{00000000-0005-0000-0000-0000914B0000}"/>
    <cellStyle name="USD thousand 2 2" xfId="20062" xr:uid="{00000000-0005-0000-0000-0000924B0000}"/>
    <cellStyle name="USD thousand 3" xfId="20063" xr:uid="{00000000-0005-0000-0000-0000934B0000}"/>
    <cellStyle name="USD thousand 4" xfId="20060" xr:uid="{00000000-0005-0000-0000-0000904B0000}"/>
    <cellStyle name="Value" xfId="2819" xr:uid="{00000000-0005-0000-0000-0000EA0A0000}"/>
    <cellStyle name="Warning Text" xfId="78" builtinId="11" customBuiltin="1"/>
    <cellStyle name="Warning Text 10" xfId="20064" xr:uid="{00000000-0005-0000-0000-0000954B0000}"/>
    <cellStyle name="Warning Text 11" xfId="20065" xr:uid="{00000000-0005-0000-0000-0000964B0000}"/>
    <cellStyle name="Warning Text 12" xfId="20066" xr:uid="{00000000-0005-0000-0000-0000974B0000}"/>
    <cellStyle name="Warning Text 2" xfId="2820" xr:uid="{00000000-0005-0000-0000-0000EB0A0000}"/>
    <cellStyle name="Warning Text 2 2" xfId="20068" xr:uid="{00000000-0005-0000-0000-0000994B0000}"/>
    <cellStyle name="Warning Text 2 2 2" xfId="20069" xr:uid="{00000000-0005-0000-0000-00009A4B0000}"/>
    <cellStyle name="Warning Text 2 2 2 2" xfId="20070" xr:uid="{00000000-0005-0000-0000-00009B4B0000}"/>
    <cellStyle name="Warning Text 2 2 3" xfId="20071" xr:uid="{00000000-0005-0000-0000-00009C4B0000}"/>
    <cellStyle name="Warning Text 2 2 4" xfId="20072" xr:uid="{00000000-0005-0000-0000-00009D4B0000}"/>
    <cellStyle name="Warning Text 2 3" xfId="20073" xr:uid="{00000000-0005-0000-0000-00009E4B0000}"/>
    <cellStyle name="Warning Text 2 3 2" xfId="20074" xr:uid="{00000000-0005-0000-0000-00009F4B0000}"/>
    <cellStyle name="Warning Text 2 3 3" xfId="20075" xr:uid="{00000000-0005-0000-0000-0000A04B0000}"/>
    <cellStyle name="Warning Text 2 4" xfId="20076" xr:uid="{00000000-0005-0000-0000-0000A14B0000}"/>
    <cellStyle name="Warning Text 2 5" xfId="20077" xr:uid="{00000000-0005-0000-0000-0000A24B0000}"/>
    <cellStyle name="Warning Text 2 6" xfId="20078" xr:uid="{00000000-0005-0000-0000-0000A34B0000}"/>
    <cellStyle name="Warning Text 2 7" xfId="20067" xr:uid="{00000000-0005-0000-0000-0000984B0000}"/>
    <cellStyle name="Warning Text 3" xfId="2821" xr:uid="{00000000-0005-0000-0000-0000EC0A0000}"/>
    <cellStyle name="Warning Text 3 2" xfId="20080" xr:uid="{00000000-0005-0000-0000-0000A54B0000}"/>
    <cellStyle name="Warning Text 3 3" xfId="20081" xr:uid="{00000000-0005-0000-0000-0000A64B0000}"/>
    <cellStyle name="Warning Text 3 4" xfId="20082" xr:uid="{00000000-0005-0000-0000-0000A74B0000}"/>
    <cellStyle name="Warning Text 3 5" xfId="20083" xr:uid="{00000000-0005-0000-0000-0000A84B0000}"/>
    <cellStyle name="Warning Text 3 6" xfId="20079" xr:uid="{00000000-0005-0000-0000-0000A44B0000}"/>
    <cellStyle name="Warning Text 4" xfId="2822" xr:uid="{00000000-0005-0000-0000-0000ED0A0000}"/>
    <cellStyle name="Warning Text 4 2" xfId="20085" xr:uid="{00000000-0005-0000-0000-0000AA4B0000}"/>
    <cellStyle name="Warning Text 4 2 2" xfId="20086" xr:uid="{00000000-0005-0000-0000-0000AB4B0000}"/>
    <cellStyle name="Warning Text 4 3" xfId="20087" xr:uid="{00000000-0005-0000-0000-0000AC4B0000}"/>
    <cellStyle name="Warning Text 4 4" xfId="20084" xr:uid="{00000000-0005-0000-0000-0000A94B0000}"/>
    <cellStyle name="Warning Text 5" xfId="2823" xr:uid="{00000000-0005-0000-0000-0000EE0A0000}"/>
    <cellStyle name="Warning Text 5 2" xfId="20089" xr:uid="{00000000-0005-0000-0000-0000AE4B0000}"/>
    <cellStyle name="Warning Text 5 2 2" xfId="20090" xr:uid="{00000000-0005-0000-0000-0000AF4B0000}"/>
    <cellStyle name="Warning Text 5 3" xfId="20091" xr:uid="{00000000-0005-0000-0000-0000B04B0000}"/>
    <cellStyle name="Warning Text 5 4" xfId="20088" xr:uid="{00000000-0005-0000-0000-0000AD4B0000}"/>
    <cellStyle name="Warning Text 6" xfId="2824" xr:uid="{00000000-0005-0000-0000-0000EF0A0000}"/>
    <cellStyle name="Warning Text 6 2" xfId="20093" xr:uid="{00000000-0005-0000-0000-0000B24B0000}"/>
    <cellStyle name="Warning Text 6 2 2" xfId="20094" xr:uid="{00000000-0005-0000-0000-0000B34B0000}"/>
    <cellStyle name="Warning Text 6 3" xfId="20095" xr:uid="{00000000-0005-0000-0000-0000B44B0000}"/>
    <cellStyle name="Warning Text 6 4" xfId="20092" xr:uid="{00000000-0005-0000-0000-0000B14B0000}"/>
    <cellStyle name="Warning Text 7" xfId="2825" xr:uid="{00000000-0005-0000-0000-0000F00A0000}"/>
    <cellStyle name="Warning Text 7 2" xfId="20097" xr:uid="{00000000-0005-0000-0000-0000B64B0000}"/>
    <cellStyle name="Warning Text 7 2 2" xfId="20098" xr:uid="{00000000-0005-0000-0000-0000B74B0000}"/>
    <cellStyle name="Warning Text 7 3" xfId="20099" xr:uid="{00000000-0005-0000-0000-0000B84B0000}"/>
    <cellStyle name="Warning Text 7 4" xfId="20096" xr:uid="{00000000-0005-0000-0000-0000B54B0000}"/>
    <cellStyle name="Warning Text 8" xfId="20100" xr:uid="{00000000-0005-0000-0000-0000B94B0000}"/>
    <cellStyle name="Warning Text 8 2" xfId="20101" xr:uid="{00000000-0005-0000-0000-0000BA4B0000}"/>
    <cellStyle name="Warning Text 8 3" xfId="20102" xr:uid="{00000000-0005-0000-0000-0000BB4B0000}"/>
    <cellStyle name="Warning Text 9" xfId="20103" xr:uid="{00000000-0005-0000-0000-0000BC4B0000}"/>
    <cellStyle name="Warning Text 9 2" xfId="20104" xr:uid="{00000000-0005-0000-0000-0000BD4B0000}"/>
    <cellStyle name="XBodyBottom" xfId="2826" xr:uid="{00000000-0005-0000-0000-0000F10A0000}"/>
    <cellStyle name="XBodyBottom 2" xfId="5306" xr:uid="{00000000-0005-0000-0000-0000BF4B0000}"/>
    <cellStyle name="XBodyCenter" xfId="2827" xr:uid="{00000000-0005-0000-0000-0000F20A0000}"/>
    <cellStyle name="XBodyCenter 2" xfId="5305" xr:uid="{00000000-0005-0000-0000-0000C14B0000}"/>
    <cellStyle name="XBodyCenter 2 2" xfId="13602" xr:uid="{00000000-0005-0000-0000-0000C14B0000}"/>
    <cellStyle name="XBodyCenter 2 2 2" xfId="33836" xr:uid="{04016AAE-AE65-4DB1-8EB6-FD187536EFAC}"/>
    <cellStyle name="XBodyCenter 3" xfId="5501" xr:uid="{00000000-0005-0000-0000-0000C04B0000}"/>
    <cellStyle name="XBodyTop" xfId="2828" xr:uid="{00000000-0005-0000-0000-0000F30A0000}"/>
    <cellStyle name="XBodyTop 2" xfId="2829" xr:uid="{00000000-0005-0000-0000-0000F40A0000}"/>
    <cellStyle name="XBodyTop 2 2" xfId="13599" xr:uid="{00000000-0005-0000-0000-0000C34B0000}"/>
    <cellStyle name="XBodyTop 2 2 2" xfId="26467" xr:uid="{F670071B-DF51-4B20-8280-B2E6C265B221}"/>
    <cellStyle name="XBodyTop 2 2 2 2" xfId="41430" xr:uid="{D1F7E631-DB02-4E0B-808B-BEB5A2BB57F6}"/>
    <cellStyle name="XBodyTop 2 2 3" xfId="33835" xr:uid="{E2E31C57-D8EC-4FDA-9DA5-F88401ADE28F}"/>
    <cellStyle name="XBodyTop 2 3" xfId="20815" xr:uid="{71BB4E50-4467-43C6-B86A-476E47620E63}"/>
    <cellStyle name="XBodyTop 2 3 2" xfId="35791" xr:uid="{CE85DAF4-CF3A-4214-A418-E7752A87CC8A}"/>
    <cellStyle name="XBodyTop 2 4" xfId="28187" xr:uid="{705DD517-8646-4215-9A9E-C4C13D1AE6E2}"/>
    <cellStyle name="XBodyTop 3" xfId="16344" xr:uid="{00000000-0005-0000-0000-0000C24B0000}"/>
    <cellStyle name="XBodyTop 3 2" xfId="26988" xr:uid="{3BBCF56F-C8FF-4085-9D69-2C6F43A3C924}"/>
    <cellStyle name="XBodyTop 3 2 2" xfId="41951" xr:uid="{7C024764-67DD-450A-8943-FACC478CD130}"/>
    <cellStyle name="XBodyTop 3 3" xfId="34363" xr:uid="{90AC2369-F6EF-48F5-B2BC-E34F40C2FAAE}"/>
    <cellStyle name="XBodyTop 4" xfId="20814" xr:uid="{00377F48-6A30-4140-A117-C449023CB82B}"/>
    <cellStyle name="XBodyTop 4 2" xfId="35790" xr:uid="{0C4811FF-A083-44A7-AF33-AE90AD22A788}"/>
    <cellStyle name="XBodyTop 5" xfId="28186" xr:uid="{8763A685-6949-4953-82E2-6E71F5112CA6}"/>
    <cellStyle name="XPivot1" xfId="2830" xr:uid="{00000000-0005-0000-0000-0000F50A0000}"/>
    <cellStyle name="XPivot10" xfId="2831" xr:uid="{00000000-0005-0000-0000-0000F60A0000}"/>
    <cellStyle name="XPivot10 2" xfId="5304" xr:uid="{00000000-0005-0000-0000-0000C64B0000}"/>
    <cellStyle name="XPivot11" xfId="2832" xr:uid="{00000000-0005-0000-0000-0000F70A0000}"/>
    <cellStyle name="XPivot11 2" xfId="5303" xr:uid="{00000000-0005-0000-0000-0000C84B0000}"/>
    <cellStyle name="XPivot12" xfId="2833" xr:uid="{00000000-0005-0000-0000-0000F80A0000}"/>
    <cellStyle name="XPivot13" xfId="2834" xr:uid="{00000000-0005-0000-0000-0000F90A0000}"/>
    <cellStyle name="XPivot13 2" xfId="5302" xr:uid="{00000000-0005-0000-0000-0000CB4B0000}"/>
    <cellStyle name="XPivot14" xfId="2835" xr:uid="{00000000-0005-0000-0000-0000FA0A0000}"/>
    <cellStyle name="XPivot14 2" xfId="5301" xr:uid="{00000000-0005-0000-0000-0000CD4B0000}"/>
    <cellStyle name="XPivot15" xfId="2836" xr:uid="{00000000-0005-0000-0000-0000FB0A0000}"/>
    <cellStyle name="XPivot15 2" xfId="5300" xr:uid="{00000000-0005-0000-0000-0000CF4B0000}"/>
    <cellStyle name="XPivot2" xfId="2837" xr:uid="{00000000-0005-0000-0000-0000FC0A0000}"/>
    <cellStyle name="XPivot3" xfId="2838" xr:uid="{00000000-0005-0000-0000-0000FD0A0000}"/>
    <cellStyle name="XPivot4" xfId="2839" xr:uid="{00000000-0005-0000-0000-0000FE0A0000}"/>
    <cellStyle name="XPivot4 2" xfId="5299" xr:uid="{00000000-0005-0000-0000-0000D34B0000}"/>
    <cellStyle name="XPivot5" xfId="2840" xr:uid="{00000000-0005-0000-0000-0000FF0A0000}"/>
    <cellStyle name="XPivot5 2" xfId="5298" xr:uid="{00000000-0005-0000-0000-0000D54B0000}"/>
    <cellStyle name="XPivot6" xfId="2841" xr:uid="{00000000-0005-0000-0000-0000000B0000}"/>
    <cellStyle name="XPivot6 2" xfId="5297" xr:uid="{00000000-0005-0000-0000-0000D74B0000}"/>
    <cellStyle name="XPivot7" xfId="2842" xr:uid="{00000000-0005-0000-0000-0000010B0000}"/>
    <cellStyle name="XPivot7 2" xfId="5296" xr:uid="{00000000-0005-0000-0000-0000D94B0000}"/>
    <cellStyle name="XPivot9" xfId="2843" xr:uid="{00000000-0005-0000-0000-0000020B0000}"/>
    <cellStyle name="XSubtotalLine0" xfId="2844" xr:uid="{00000000-0005-0000-0000-0000030B0000}"/>
    <cellStyle name="XSubTotalLine1" xfId="2845" xr:uid="{00000000-0005-0000-0000-0000040B0000}"/>
    <cellStyle name="XSubTotalLine2" xfId="2846" xr:uid="{00000000-0005-0000-0000-0000050B0000}"/>
    <cellStyle name="XSubTotalLine3" xfId="2847" xr:uid="{00000000-0005-0000-0000-0000060B0000}"/>
    <cellStyle name="XSubTotalLine4" xfId="2848" xr:uid="{00000000-0005-0000-0000-0000070B0000}"/>
    <cellStyle name="XSubTotalLine5" xfId="2849" xr:uid="{00000000-0005-0000-0000-0000080B0000}"/>
    <cellStyle name="XSubTotalLine6" xfId="2850" xr:uid="{00000000-0005-0000-0000-0000090B0000}"/>
    <cellStyle name="XTitlesHidden" xfId="2851" xr:uid="{00000000-0005-0000-0000-00000A0B0000}"/>
    <cellStyle name="XTitlesHidden 2" xfId="2852" xr:uid="{00000000-0005-0000-0000-00000B0B0000}"/>
    <cellStyle name="XTitlesHidden 2 2" xfId="2921" xr:uid="{00000000-0005-0000-0000-00000C0B0000}"/>
    <cellStyle name="XTitlesHidden 2 2 2" xfId="20877" xr:uid="{9F96808C-0D76-4843-AF17-9BB6271F9389}"/>
    <cellStyle name="XTitlesHidden 2 2 2 2" xfId="35853" xr:uid="{DF33483A-B3DE-4A74-8394-13D3501116ED}"/>
    <cellStyle name="XTitlesHidden 2 2 3" xfId="28249" xr:uid="{699B320F-6184-4AFD-A088-D3B2B1CA0ECF}"/>
    <cellStyle name="XTitlesHidden 2 3" xfId="20817" xr:uid="{B1BE0E52-A6CE-42D7-B8C1-CCC2F92BA16E}"/>
    <cellStyle name="XTitlesHidden 2 3 2" xfId="35793" xr:uid="{65A04155-7084-492A-8D2C-58F2C840A4AD}"/>
    <cellStyle name="XTitlesHidden 2 4" xfId="28189" xr:uid="{6A3E6A59-7699-4D18-AA39-78426186461C}"/>
    <cellStyle name="XTitlesHidden 3" xfId="2920" xr:uid="{00000000-0005-0000-0000-00000D0B0000}"/>
    <cellStyle name="XTitlesHidden 3 2" xfId="20876" xr:uid="{C153C64D-106A-4A43-8CB4-DEEF8DF93980}"/>
    <cellStyle name="XTitlesHidden 3 2 2" xfId="35852" xr:uid="{AA2C90FF-DF6F-4EB9-A8E1-F404DBD69F85}"/>
    <cellStyle name="XTitlesHidden 3 3" xfId="28248" xr:uid="{30DE1C57-A954-43E0-96B4-ECFBF045C784}"/>
    <cellStyle name="XTitlesHidden 4" xfId="15909" xr:uid="{00000000-0005-0000-0000-0000E24B0000}"/>
    <cellStyle name="XTitlesHidden 4 2" xfId="26892" xr:uid="{B1CA1A30-5767-4CC8-B772-E200918593A7}"/>
    <cellStyle name="XTitlesHidden 4 2 2" xfId="41855" xr:uid="{45536BBA-5AA6-4FEB-A1E0-067BB12CAD72}"/>
    <cellStyle name="XTitlesHidden 4 3" xfId="34267" xr:uid="{B0877C9D-156D-4F18-80F7-3ACF1FAC2266}"/>
    <cellStyle name="XTitlesHidden 5" xfId="20816" xr:uid="{2120F79E-E50F-4177-B175-36C113511AA4}"/>
    <cellStyle name="XTitlesHidden 5 2" xfId="35792" xr:uid="{4C41A874-92BD-455E-9E05-B27752866617}"/>
    <cellStyle name="XTitlesHidden 6" xfId="28188" xr:uid="{C1AA144D-13ED-4A22-ABB5-5E2A849C691F}"/>
    <cellStyle name="XTitlesHidden_App b.3 Unspent_" xfId="2853" xr:uid="{00000000-0005-0000-0000-00000E0B0000}"/>
    <cellStyle name="XTitlesUnhidden" xfId="2854" xr:uid="{00000000-0005-0000-0000-00000F0B0000}"/>
    <cellStyle name="XTitlesUnhidden 2" xfId="2855" xr:uid="{00000000-0005-0000-0000-0000100B0000}"/>
    <cellStyle name="XTitlesUnhidden 2 2" xfId="2923" xr:uid="{00000000-0005-0000-0000-0000110B0000}"/>
    <cellStyle name="XTitlesUnhidden 2 2 2" xfId="20879" xr:uid="{B452AB80-BB75-4556-9776-2CAB81D2B9EF}"/>
    <cellStyle name="XTitlesUnhidden 2 2 2 2" xfId="35855" xr:uid="{35C27193-5A43-4A63-B04B-0FAAC3464E58}"/>
    <cellStyle name="XTitlesUnhidden 2 2 3" xfId="28251" xr:uid="{D4607CCB-2A99-4D87-ACDF-9D9D0C77F97D}"/>
    <cellStyle name="XTitlesUnhidden 2 3" xfId="20819" xr:uid="{39DAA3DD-39F7-4D43-B0B4-3FB14B48B266}"/>
    <cellStyle name="XTitlesUnhidden 2 3 2" xfId="35795" xr:uid="{E333120D-692D-4438-B2F0-69F6764D15E7}"/>
    <cellStyle name="XTitlesUnhidden 2 4" xfId="28191" xr:uid="{775725FF-B6BD-4C23-A7AE-9C0431C1FF2E}"/>
    <cellStyle name="XTitlesUnhidden 3" xfId="2922" xr:uid="{00000000-0005-0000-0000-0000120B0000}"/>
    <cellStyle name="XTitlesUnhidden 3 2" xfId="20878" xr:uid="{80DB6AC3-802D-401B-BB07-F734B3ED9C6E}"/>
    <cellStyle name="XTitlesUnhidden 3 2 2" xfId="35854" xr:uid="{D057FB5A-6CE5-4059-B012-71431A0E1544}"/>
    <cellStyle name="XTitlesUnhidden 3 3" xfId="28250" xr:uid="{B2C7BA00-DBC0-488F-82A9-CD69C2C754AC}"/>
    <cellStyle name="XTitlesUnhidden 4" xfId="15906" xr:uid="{00000000-0005-0000-0000-0000E34B0000}"/>
    <cellStyle name="XTitlesUnhidden 4 2" xfId="26891" xr:uid="{DC16E0E2-055C-4027-A26B-B4D593770D5E}"/>
    <cellStyle name="XTitlesUnhidden 4 2 2" xfId="41854" xr:uid="{3004D29F-F4F1-41DD-AB83-4A83C49BA5C3}"/>
    <cellStyle name="XTitlesUnhidden 4 3" xfId="34266" xr:uid="{DF40F708-D602-456A-A840-0C6B19289A08}"/>
    <cellStyle name="XTitlesUnhidden 5" xfId="20818" xr:uid="{6686A9B4-164B-491D-9040-073817D21256}"/>
    <cellStyle name="XTitlesUnhidden 5 2" xfId="35794" xr:uid="{FB3A9AE2-CB33-4203-9101-537968E48F3B}"/>
    <cellStyle name="XTitlesUnhidden 6" xfId="28190" xr:uid="{0413230A-441B-4C08-9A84-4C4C5DD4B6FA}"/>
    <cellStyle name="XTitlesUnhidden_App b.3 Unspent_" xfId="2856" xr:uid="{00000000-0005-0000-0000-0000130B0000}"/>
    <cellStyle name="XTotals" xfId="2857" xr:uid="{00000000-0005-0000-0000-0000140B0000}"/>
    <cellStyle name="XTotals 2" xfId="2858" xr:uid="{00000000-0005-0000-0000-0000150B0000}"/>
    <cellStyle name="XTotals 2 2" xfId="2925" xr:uid="{00000000-0005-0000-0000-0000160B0000}"/>
    <cellStyle name="XTotals 2 2 2" xfId="20881" xr:uid="{24E013BD-5C41-4EF8-AE07-D3A571AF0307}"/>
    <cellStyle name="XTotals 2 2 2 2" xfId="35857" xr:uid="{24F0F2CB-F30E-4CA3-8A03-EF7751ADE3BC}"/>
    <cellStyle name="XTotals 2 2 3" xfId="28253" xr:uid="{E82E0F7D-B031-4B43-8733-A4DEF2C1213F}"/>
    <cellStyle name="XTotals 2 3" xfId="20821" xr:uid="{9D840BDE-3988-45F5-8AF8-213EBC77F450}"/>
    <cellStyle name="XTotals 2 3 2" xfId="35797" xr:uid="{7110BE22-9353-4306-B7A7-FBDE969253B2}"/>
    <cellStyle name="XTotals 2 4" xfId="28193" xr:uid="{77DBCBDC-40F5-4F7D-8A60-4E80BAB7E6F0}"/>
    <cellStyle name="XTotals 3" xfId="2924" xr:uid="{00000000-0005-0000-0000-0000170B0000}"/>
    <cellStyle name="XTotals 3 2" xfId="20880" xr:uid="{FC303C05-3911-4137-A42A-0332198B3C26}"/>
    <cellStyle name="XTotals 3 2 2" xfId="35856" xr:uid="{2A7B9D83-A04F-4B49-9613-BF744473A617}"/>
    <cellStyle name="XTotals 3 3" xfId="28252" xr:uid="{1097F57D-41DF-4894-8997-DDFB6F4D2DBB}"/>
    <cellStyle name="XTotals 4" xfId="15903" xr:uid="{00000000-0005-0000-0000-0000E44B0000}"/>
    <cellStyle name="XTotals 4 2" xfId="26890" xr:uid="{EB509687-4BA2-4E5B-A4B0-680518083530}"/>
    <cellStyle name="XTotals 4 2 2" xfId="41853" xr:uid="{4A1B764F-B8C8-43D0-8CA8-BDC5371F2282}"/>
    <cellStyle name="XTotals 4 3" xfId="34265" xr:uid="{D97509F5-6E53-41C0-9949-017A0AFC82A9}"/>
    <cellStyle name="XTotals 5" xfId="20820" xr:uid="{A687A1C9-77E0-4A39-8A6D-E0D307C886C1}"/>
    <cellStyle name="XTotals 5 2" xfId="35796" xr:uid="{F5D71BEB-C524-4538-A864-D8ED4CFC7002}"/>
    <cellStyle name="XTotals 6" xfId="28192" xr:uid="{15BA8EB2-3F54-4ADE-BB5F-ED6BA41087A0}"/>
    <cellStyle name="XTotals_App b.3 Unspent_" xfId="2859" xr:uid="{00000000-0005-0000-0000-0000180B0000}"/>
    <cellStyle name="Year" xfId="2860" xr:uid="{00000000-0005-0000-0000-0000190B0000}"/>
    <cellStyle name="Year 2" xfId="20106" xr:uid="{00000000-0005-0000-0000-0000E64B0000}"/>
    <cellStyle name="Year 2 2" xfId="20107" xr:uid="{00000000-0005-0000-0000-0000E74B0000}"/>
    <cellStyle name="Year 3" xfId="20108" xr:uid="{00000000-0005-0000-0000-0000E84B0000}"/>
    <cellStyle name="Year 4" xfId="20105" xr:uid="{00000000-0005-0000-0000-0000E54B0000}"/>
    <cellStyle name="Year_Mth" xfId="5498" xr:uid="{00000000-0005-0000-0000-0000E94B0000}"/>
    <cellStyle name="YrHeader" xfId="2861" xr:uid="{00000000-0005-0000-0000-00001A0B0000}"/>
    <cellStyle name="YrHeader 2" xfId="20110" xr:uid="{00000000-0005-0000-0000-0000EB4B0000}"/>
    <cellStyle name="YrHeader 2 2" xfId="20111" xr:uid="{00000000-0005-0000-0000-0000EC4B0000}"/>
    <cellStyle name="YrHeader 3" xfId="20112" xr:uid="{00000000-0005-0000-0000-0000ED4B0000}"/>
    <cellStyle name="YrHeader 4" xfId="20109" xr:uid="{00000000-0005-0000-0000-0000EA4B0000}"/>
    <cellStyle name="Zip_Code" xfId="2862" xr:uid="{00000000-0005-0000-0000-00001B0B0000}"/>
    <cellStyle name="敨瑥1渀欀" xfId="2863" xr:uid="{00000000-0005-0000-0000-00001C0B0000}"/>
    <cellStyle name="敨瑥1渀欀 2" xfId="20114" xr:uid="{00000000-0005-0000-0000-0000F04B0000}"/>
    <cellStyle name="敨瑥1渀欀 2 2" xfId="20115" xr:uid="{00000000-0005-0000-0000-0000F14B0000}"/>
    <cellStyle name="敨瑥1渀欀 3" xfId="20116" xr:uid="{00000000-0005-0000-0000-0000F24B0000}"/>
    <cellStyle name="敨瑥1渀欀 4" xfId="20113" xr:uid="{00000000-0005-0000-0000-0000EF4B0000}"/>
  </cellStyles>
  <dxfs count="1">
    <dxf>
      <font>
        <color rgb="FF9C5700"/>
      </font>
      <fill>
        <patternFill>
          <bgColor rgb="FFFFEB9C"/>
        </patternFill>
      </fill>
    </dxf>
  </dxfs>
  <tableStyles count="1" defaultTableStyle="TableStyleMedium2" defaultPivotStyle="PivotStyleLight16">
    <tableStyle name="Slicer Style 1" pivot="0" table="0" count="0" xr9:uid="{32686EFC-A119-4C74-8D2B-8939CAD879D3}"/>
  </tableStyles>
  <colors>
    <mruColors>
      <color rgb="FF0000FF"/>
      <color rgb="FFFF00FF"/>
      <color rgb="FFFFFFCC"/>
    </mruColors>
  </colors>
  <extLst>
    <ext xmlns:x14="http://schemas.microsoft.com/office/spreadsheetml/2009/9/main" uri="{EB79DEF2-80B8-43e5-95BD-54CBDDF9020C}">
      <x14:slicerStyles defaultSlicerStyle="SlicerStyleLight1">
        <x14:slicerStyle name="Slicer Style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3189630</xdr:colOff>
      <xdr:row>1</xdr:row>
      <xdr:rowOff>95249</xdr:rowOff>
    </xdr:from>
    <xdr:ext cx="5956799" cy="1388372"/>
    <xdr:pic>
      <xdr:nvPicPr>
        <xdr:cNvPr id="2" name="Picture 3">
          <a:extLst>
            <a:ext uri="{FF2B5EF4-FFF2-40B4-BE49-F238E27FC236}">
              <a16:creationId xmlns:a16="http://schemas.microsoft.com/office/drawing/2014/main" id="{2D405D2E-8BF2-BD8E-703A-19736C89CF02}"/>
            </a:ext>
          </a:extLst>
        </xdr:cNvPr>
        <xdr:cNvPicPr>
          <a:picLocks noChangeAspect="1"/>
        </xdr:cNvPicPr>
      </xdr:nvPicPr>
      <xdr:blipFill>
        <a:blip xmlns:r="http://schemas.openxmlformats.org/officeDocument/2006/relationships" r:embed="rId1"/>
        <a:stretch>
          <a:fillRect/>
        </a:stretch>
      </xdr:blipFill>
      <xdr:spPr>
        <a:xfrm>
          <a:off x="6011411" y="452437"/>
          <a:ext cx="5939633" cy="136921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s://cedars.cpuc.ca.gov/documents/download/2749/mainchange_summary%7Cmain%7Credline)/" TargetMode="External"/><Relationship Id="rId3" Type="http://schemas.openxmlformats.org/officeDocument/2006/relationships/hyperlink" Target="https://cedars.cpuc.ca.gov/documents/download/2783/mainchange_summary%7Cmain%7Credline)/" TargetMode="External"/><Relationship Id="rId7" Type="http://schemas.openxmlformats.org/officeDocument/2006/relationships/hyperlink" Target="https://cedars.cpuc.ca.gov/documents/download/3448/mainchange_summary%7Cmain%7Credline)/" TargetMode="External"/><Relationship Id="rId12" Type="http://schemas.openxmlformats.org/officeDocument/2006/relationships/printerSettings" Target="../printerSettings/printerSettings19.bin"/><Relationship Id="rId2" Type="http://schemas.openxmlformats.org/officeDocument/2006/relationships/hyperlink" Target="https://cedars.cpuc.ca.gov/documents/download/3149/mainchange_summary%7Cmain%7Credline)/" TargetMode="External"/><Relationship Id="rId1" Type="http://schemas.openxmlformats.org/officeDocument/2006/relationships/hyperlink" Target="https://cedars.cpuc.ca.gov/documents/download/3150/mainchange_summary%7Cmain%7Credline)/" TargetMode="External"/><Relationship Id="rId6" Type="http://schemas.openxmlformats.org/officeDocument/2006/relationships/hyperlink" Target="https://cedars.cpuc.ca.gov/documents/download/3224/mainchange_summary%7Cmain%7Credline)/" TargetMode="External"/><Relationship Id="rId11" Type="http://schemas.openxmlformats.org/officeDocument/2006/relationships/hyperlink" Target="https://cedars.cpuc.ca.gov/documents/download/2831/mainchange_summary%7Cmain%7Credline)/" TargetMode="External"/><Relationship Id="rId5" Type="http://schemas.openxmlformats.org/officeDocument/2006/relationships/hyperlink" Target="https://cedars.cpuc.ca.gov/documents/download/2837/mainchange_summary%7Cmain%7Credline)/" TargetMode="External"/><Relationship Id="rId10" Type="http://schemas.openxmlformats.org/officeDocument/2006/relationships/hyperlink" Target="https://cedars.cpuc.ca.gov/documents/download/3426/mainchange_summary%7Cmain%7Credline)/" TargetMode="External"/><Relationship Id="rId4" Type="http://schemas.openxmlformats.org/officeDocument/2006/relationships/hyperlink" Target="https://cedars.cpuc.ca.gov/documents/download/1562/mainchange_summary%7Cmain%7Credline)/" TargetMode="External"/><Relationship Id="rId9" Type="http://schemas.openxmlformats.org/officeDocument/2006/relationships/hyperlink" Target="https://cedars.cpuc.ca.gov/documents/download/3428/mainchange_summary%7Cmain%7Cred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EE81-753C-44DB-ACD4-00EC4622CF40}">
  <sheetPr codeName="Sheet1">
    <tabColor theme="0" tint="-0.249977111117893"/>
  </sheetPr>
  <dimension ref="B2:L44"/>
  <sheetViews>
    <sheetView tabSelected="1" zoomScaleNormal="100" workbookViewId="0">
      <selection activeCell="C49" sqref="C49"/>
    </sheetView>
  </sheetViews>
  <sheetFormatPr defaultColWidth="7.75" defaultRowHeight="15"/>
  <cols>
    <col min="1" max="1" width="4" style="44" customWidth="1"/>
    <col min="2" max="2" width="38.25" style="44" bestFit="1" customWidth="1"/>
    <col min="3" max="3" width="124.75" style="44" bestFit="1" customWidth="1"/>
    <col min="4" max="5" width="7.75" style="44"/>
    <col min="6" max="11" width="20.25" style="44" customWidth="1"/>
    <col min="12" max="12" width="33.125" style="44" customWidth="1"/>
    <col min="13" max="13" width="10" style="44" customWidth="1"/>
    <col min="14" max="16384" width="7.75" style="44"/>
  </cols>
  <sheetData>
    <row r="2" spans="2:12">
      <c r="B2" s="662" t="s">
        <v>0</v>
      </c>
      <c r="C2" s="663"/>
      <c r="D2" s="663"/>
      <c r="E2" s="663"/>
      <c r="F2" s="663"/>
      <c r="G2" s="663"/>
      <c r="H2" s="663"/>
      <c r="I2" s="663"/>
      <c r="J2" s="663"/>
      <c r="K2" s="663"/>
      <c r="L2" s="663"/>
    </row>
    <row r="3" spans="2:12">
      <c r="B3" s="662" t="s">
        <v>1</v>
      </c>
      <c r="C3" s="663"/>
      <c r="D3" s="663"/>
      <c r="E3" s="663"/>
      <c r="F3" s="663"/>
      <c r="G3" s="663"/>
      <c r="H3" s="663"/>
      <c r="I3" s="663"/>
      <c r="J3" s="663"/>
      <c r="K3" s="663"/>
      <c r="L3" s="663"/>
    </row>
    <row r="4" spans="2:12">
      <c r="B4" s="662"/>
      <c r="C4" s="663"/>
      <c r="D4" s="663"/>
      <c r="E4" s="663"/>
      <c r="F4" s="663"/>
      <c r="G4" s="663"/>
      <c r="H4" s="663"/>
      <c r="I4" s="663"/>
      <c r="J4" s="663"/>
      <c r="K4" s="663"/>
      <c r="L4" s="663"/>
    </row>
    <row r="5" spans="2:12" ht="15.75" thickBot="1">
      <c r="B5" s="662"/>
      <c r="C5" s="663"/>
      <c r="D5" s="663"/>
      <c r="E5" s="663"/>
      <c r="F5" s="663"/>
      <c r="G5" s="663"/>
      <c r="H5" s="663"/>
      <c r="I5" s="663"/>
      <c r="J5" s="663"/>
      <c r="K5" s="663"/>
      <c r="L5" s="663"/>
    </row>
    <row r="6" spans="2:12" ht="15.75" thickTop="1">
      <c r="B6" s="45"/>
      <c r="C6" s="663"/>
      <c r="D6" s="663"/>
      <c r="E6" s="664"/>
      <c r="F6" s="665"/>
      <c r="G6" s="665"/>
      <c r="H6" s="665"/>
      <c r="I6" s="665"/>
      <c r="J6" s="665"/>
      <c r="K6" s="665"/>
      <c r="L6" s="665"/>
    </row>
    <row r="7" spans="2:12">
      <c r="B7" s="663" t="s">
        <v>2</v>
      </c>
      <c r="C7" s="666" t="s">
        <v>3</v>
      </c>
      <c r="D7" s="663"/>
      <c r="E7" s="667"/>
      <c r="F7" s="668" t="s">
        <v>4</v>
      </c>
      <c r="G7" s="668"/>
      <c r="H7" s="668"/>
      <c r="I7" s="668"/>
      <c r="J7" s="668"/>
      <c r="K7" s="668"/>
      <c r="L7" s="668"/>
    </row>
    <row r="8" spans="2:12">
      <c r="B8" s="663"/>
      <c r="C8" s="663"/>
      <c r="D8" s="663"/>
      <c r="E8" s="667"/>
      <c r="F8" s="669"/>
      <c r="G8" s="669"/>
      <c r="H8" s="669"/>
      <c r="I8" s="669"/>
      <c r="J8" s="669"/>
      <c r="K8" s="669"/>
      <c r="L8" s="669"/>
    </row>
    <row r="9" spans="2:12" ht="15.75" thickBot="1">
      <c r="B9" s="669" t="s">
        <v>5</v>
      </c>
      <c r="C9" s="669"/>
      <c r="D9" s="663"/>
      <c r="E9" s="667"/>
      <c r="F9" s="103" t="s">
        <v>6</v>
      </c>
      <c r="G9" s="103" t="s">
        <v>7</v>
      </c>
      <c r="H9" s="103" t="s">
        <v>8</v>
      </c>
      <c r="I9" s="103" t="s">
        <v>9</v>
      </c>
      <c r="J9" s="103" t="s">
        <v>10</v>
      </c>
      <c r="K9" s="103" t="s">
        <v>11</v>
      </c>
      <c r="L9" s="103" t="s">
        <v>12</v>
      </c>
    </row>
    <row r="10" spans="2:12" ht="16.5" thickTop="1" thickBot="1">
      <c r="B10" s="214" t="s">
        <v>13</v>
      </c>
      <c r="C10" s="167" t="s">
        <v>14</v>
      </c>
      <c r="D10" s="663"/>
      <c r="E10" s="667"/>
      <c r="F10" s="104" t="s">
        <v>15</v>
      </c>
      <c r="G10" s="104" t="s">
        <v>16</v>
      </c>
      <c r="H10" s="104" t="s">
        <v>17</v>
      </c>
      <c r="I10" s="104" t="s">
        <v>18</v>
      </c>
      <c r="J10" s="104" t="s">
        <v>19</v>
      </c>
      <c r="K10" s="104" t="s">
        <v>20</v>
      </c>
      <c r="L10" s="104" t="s">
        <v>21</v>
      </c>
    </row>
    <row r="11" spans="2:12" ht="15.75" thickBot="1">
      <c r="B11" s="7" t="s">
        <v>22</v>
      </c>
      <c r="C11" s="167" t="s">
        <v>23</v>
      </c>
      <c r="D11" s="663"/>
      <c r="E11" s="667"/>
      <c r="F11" s="104" t="s">
        <v>24</v>
      </c>
      <c r="G11" s="104" t="s">
        <v>25</v>
      </c>
      <c r="H11" s="104" t="s">
        <v>26</v>
      </c>
      <c r="I11" s="104" t="s">
        <v>27</v>
      </c>
      <c r="J11" s="104" t="s">
        <v>28</v>
      </c>
      <c r="K11" s="104" t="s">
        <v>29</v>
      </c>
      <c r="L11" s="104" t="s">
        <v>30</v>
      </c>
    </row>
    <row r="12" spans="2:12" ht="15.6" customHeight="1">
      <c r="B12" s="662"/>
      <c r="C12" s="670" t="s">
        <v>31</v>
      </c>
      <c r="D12" s="663"/>
      <c r="E12" s="667"/>
      <c r="F12" s="104"/>
      <c r="G12" s="104" t="s">
        <v>32</v>
      </c>
      <c r="H12" s="104" t="s">
        <v>33</v>
      </c>
      <c r="I12" s="104" t="s">
        <v>34</v>
      </c>
      <c r="J12" s="104" t="s">
        <v>35</v>
      </c>
      <c r="K12" s="104" t="s">
        <v>36</v>
      </c>
      <c r="L12" s="104" t="s">
        <v>37</v>
      </c>
    </row>
    <row r="13" spans="2:12">
      <c r="B13" s="662"/>
      <c r="C13" s="670" t="s">
        <v>38</v>
      </c>
      <c r="D13" s="663"/>
      <c r="E13" s="667"/>
      <c r="F13" s="104"/>
      <c r="G13" s="104" t="s">
        <v>13</v>
      </c>
      <c r="H13" s="104"/>
      <c r="I13" s="104" t="s">
        <v>39</v>
      </c>
      <c r="J13" s="104" t="s">
        <v>40</v>
      </c>
      <c r="K13" s="104" t="s">
        <v>41</v>
      </c>
      <c r="L13" s="104" t="s">
        <v>42</v>
      </c>
    </row>
    <row r="14" spans="2:12">
      <c r="B14" s="662"/>
      <c r="C14" s="670" t="s">
        <v>43</v>
      </c>
      <c r="D14" s="663"/>
      <c r="E14" s="667"/>
      <c r="F14" s="104"/>
      <c r="G14" s="104" t="s">
        <v>44</v>
      </c>
      <c r="H14" s="104"/>
      <c r="I14" s="104" t="s">
        <v>45</v>
      </c>
      <c r="J14" s="104" t="s">
        <v>46</v>
      </c>
      <c r="K14" s="104" t="s">
        <v>47</v>
      </c>
      <c r="L14" s="104" t="s">
        <v>48</v>
      </c>
    </row>
    <row r="15" spans="2:12">
      <c r="B15" s="662"/>
      <c r="C15" s="418" t="s">
        <v>49</v>
      </c>
      <c r="D15" s="663"/>
      <c r="E15" s="667"/>
      <c r="F15" s="104"/>
      <c r="G15" s="104"/>
      <c r="H15" s="104"/>
      <c r="I15" s="104" t="s">
        <v>50</v>
      </c>
      <c r="J15" s="104" t="s">
        <v>51</v>
      </c>
      <c r="K15" s="104"/>
      <c r="L15" s="104" t="s">
        <v>52</v>
      </c>
    </row>
    <row r="16" spans="2:12" ht="15.75" thickBot="1">
      <c r="B16" s="662"/>
      <c r="C16" s="419" t="s">
        <v>53</v>
      </c>
      <c r="D16" s="663"/>
      <c r="E16" s="667"/>
      <c r="F16" s="104"/>
      <c r="G16" s="104"/>
      <c r="H16" s="104"/>
      <c r="I16" s="104" t="s">
        <v>54</v>
      </c>
      <c r="J16" s="104" t="s">
        <v>55</v>
      </c>
      <c r="K16" s="104"/>
      <c r="L16" s="104"/>
    </row>
    <row r="17" spans="2:12" ht="15.75" thickBot="1">
      <c r="B17" s="662"/>
      <c r="C17" s="419" t="s">
        <v>56</v>
      </c>
      <c r="D17" s="663"/>
      <c r="E17" s="667"/>
      <c r="F17" s="104"/>
      <c r="G17" s="104"/>
      <c r="H17" s="104"/>
      <c r="I17" s="104"/>
      <c r="J17" s="104" t="s">
        <v>57</v>
      </c>
      <c r="K17" s="104"/>
      <c r="L17" s="104"/>
    </row>
    <row r="18" spans="2:12" ht="15.75" thickBot="1">
      <c r="B18" s="662"/>
      <c r="C18" s="669"/>
      <c r="D18" s="663"/>
      <c r="E18" s="667"/>
      <c r="F18" s="104"/>
      <c r="G18" s="104"/>
      <c r="H18" s="104"/>
      <c r="I18" s="104"/>
      <c r="J18" s="104" t="s">
        <v>41</v>
      </c>
      <c r="K18" s="104"/>
      <c r="L18" s="104"/>
    </row>
    <row r="19" spans="2:12" ht="17.100000000000001" customHeight="1">
      <c r="B19" s="833" t="s">
        <v>58</v>
      </c>
      <c r="C19" s="834"/>
      <c r="D19" s="663"/>
      <c r="E19" s="667"/>
      <c r="F19" s="104"/>
      <c r="G19" s="104"/>
      <c r="H19" s="104"/>
      <c r="I19" s="104"/>
      <c r="J19" s="104" t="s">
        <v>47</v>
      </c>
      <c r="K19" s="104"/>
      <c r="L19" s="104"/>
    </row>
    <row r="20" spans="2:12" ht="32.1" customHeight="1" thickBot="1">
      <c r="B20" s="835" t="s">
        <v>59</v>
      </c>
      <c r="C20" s="836"/>
      <c r="D20" s="663"/>
      <c r="E20" s="667"/>
      <c r="F20" s="104"/>
      <c r="G20" s="104"/>
      <c r="H20" s="104"/>
      <c r="I20" s="104"/>
      <c r="J20" s="663"/>
      <c r="K20" s="104"/>
      <c r="L20" s="104"/>
    </row>
    <row r="21" spans="2:12" ht="15.75" thickBot="1">
      <c r="B21" s="671"/>
      <c r="C21" s="672"/>
      <c r="D21" s="663"/>
      <c r="E21" s="667"/>
      <c r="F21" s="104"/>
      <c r="G21" s="104"/>
      <c r="H21" s="104"/>
      <c r="I21" s="104"/>
      <c r="J21" s="663"/>
      <c r="K21" s="104"/>
      <c r="L21" s="104"/>
    </row>
    <row r="22" spans="2:12">
      <c r="B22" s="833" t="s">
        <v>60</v>
      </c>
      <c r="C22" s="834"/>
      <c r="D22" s="6"/>
      <c r="E22" s="667"/>
      <c r="F22" s="104"/>
      <c r="G22" s="104"/>
      <c r="H22" s="104"/>
      <c r="I22" s="663"/>
      <c r="J22" s="663"/>
      <c r="K22" s="104"/>
      <c r="L22" s="104"/>
    </row>
    <row r="23" spans="2:12" ht="30.75" thickBot="1">
      <c r="B23" s="420" t="s">
        <v>61</v>
      </c>
      <c r="C23" s="673" t="s">
        <v>62</v>
      </c>
      <c r="D23" s="6"/>
      <c r="E23" s="674"/>
      <c r="F23" s="105"/>
      <c r="G23" s="105"/>
      <c r="H23" s="105"/>
      <c r="I23" s="105"/>
      <c r="J23" s="105"/>
      <c r="K23" s="105"/>
      <c r="L23" s="105"/>
    </row>
    <row r="24" spans="2:12" ht="30.75" thickTop="1">
      <c r="B24" s="421" t="s">
        <v>63</v>
      </c>
      <c r="C24" s="673" t="s">
        <v>64</v>
      </c>
      <c r="D24" s="6"/>
      <c r="E24" s="663"/>
      <c r="F24" s="663"/>
      <c r="G24" s="663"/>
      <c r="H24" s="663"/>
      <c r="I24" s="663"/>
      <c r="J24" s="663"/>
      <c r="K24" s="663"/>
      <c r="L24" s="663"/>
    </row>
    <row r="25" spans="2:12" ht="30">
      <c r="B25" s="420" t="s">
        <v>65</v>
      </c>
      <c r="C25" s="675" t="s">
        <v>66</v>
      </c>
      <c r="D25" s="6"/>
      <c r="E25" s="663"/>
      <c r="F25" s="663"/>
      <c r="G25" s="663"/>
      <c r="H25" s="663"/>
      <c r="I25" s="663"/>
      <c r="J25" s="663"/>
      <c r="K25" s="663"/>
      <c r="L25" s="663"/>
    </row>
    <row r="26" spans="2:12" ht="30">
      <c r="B26" s="420" t="s">
        <v>67</v>
      </c>
      <c r="C26" s="676" t="s">
        <v>68</v>
      </c>
      <c r="D26" s="6"/>
      <c r="E26" s="663"/>
      <c r="F26" s="663"/>
      <c r="G26" s="663"/>
      <c r="H26" s="663"/>
      <c r="I26" s="663"/>
      <c r="J26" s="663"/>
      <c r="K26" s="663"/>
      <c r="L26" s="663"/>
    </row>
    <row r="27" spans="2:12" ht="30">
      <c r="B27" s="420" t="s">
        <v>69</v>
      </c>
      <c r="C27" s="675" t="s">
        <v>70</v>
      </c>
      <c r="D27" s="6"/>
      <c r="E27" s="663"/>
      <c r="F27" s="663"/>
      <c r="G27" s="663"/>
      <c r="H27" s="663"/>
      <c r="I27" s="663"/>
      <c r="J27" s="663"/>
      <c r="K27" s="663"/>
      <c r="L27" s="663"/>
    </row>
    <row r="28" spans="2:12" ht="15.75">
      <c r="B28" s="420" t="s">
        <v>71</v>
      </c>
      <c r="C28" s="675" t="s">
        <v>72</v>
      </c>
      <c r="D28" s="6"/>
      <c r="E28" s="663"/>
      <c r="F28" s="663"/>
      <c r="G28" s="663"/>
      <c r="H28" s="663"/>
      <c r="I28" s="663"/>
      <c r="J28" s="663"/>
      <c r="K28" s="663"/>
      <c r="L28" s="663"/>
    </row>
    <row r="29" spans="2:12" ht="30">
      <c r="B29" s="420" t="s">
        <v>73</v>
      </c>
      <c r="C29" s="675" t="s">
        <v>74</v>
      </c>
      <c r="D29" s="6"/>
      <c r="E29" s="663"/>
      <c r="F29" s="663"/>
      <c r="G29" s="663"/>
      <c r="H29" s="663"/>
      <c r="I29" s="663"/>
      <c r="J29" s="663"/>
      <c r="K29" s="663"/>
      <c r="L29" s="663"/>
    </row>
    <row r="30" spans="2:12" ht="15.75">
      <c r="B30" s="420" t="s">
        <v>75</v>
      </c>
      <c r="C30" s="675" t="s">
        <v>76</v>
      </c>
      <c r="D30" s="6"/>
      <c r="E30" s="663"/>
      <c r="F30" s="663"/>
      <c r="G30" s="663"/>
      <c r="H30" s="663"/>
      <c r="I30" s="663"/>
      <c r="J30" s="663"/>
      <c r="K30" s="663"/>
      <c r="L30" s="663"/>
    </row>
    <row r="31" spans="2:12" ht="30">
      <c r="B31" s="420" t="s">
        <v>77</v>
      </c>
      <c r="C31" s="675" t="s">
        <v>78</v>
      </c>
      <c r="D31" s="6"/>
      <c r="E31" s="663"/>
      <c r="F31" s="663"/>
      <c r="G31" s="663"/>
      <c r="H31" s="663"/>
      <c r="I31" s="663"/>
      <c r="J31" s="663"/>
      <c r="K31" s="663"/>
      <c r="L31" s="663"/>
    </row>
    <row r="32" spans="2:12" ht="45">
      <c r="B32" s="420" t="s">
        <v>79</v>
      </c>
      <c r="C32" s="675" t="s">
        <v>80</v>
      </c>
      <c r="D32" s="6"/>
      <c r="E32" s="663"/>
      <c r="F32" s="663"/>
      <c r="G32" s="663"/>
      <c r="H32" s="663"/>
      <c r="I32" s="663"/>
      <c r="J32" s="663"/>
      <c r="K32" s="663"/>
      <c r="L32" s="663"/>
    </row>
    <row r="33" spans="2:3" ht="30">
      <c r="B33" s="420" t="s">
        <v>81</v>
      </c>
      <c r="C33" s="673" t="s">
        <v>82</v>
      </c>
    </row>
    <row r="34" spans="2:3" ht="15.75">
      <c r="B34" s="420" t="s">
        <v>83</v>
      </c>
      <c r="C34" s="673" t="s">
        <v>84</v>
      </c>
    </row>
    <row r="35" spans="2:3" ht="30">
      <c r="B35" s="420" t="s">
        <v>85</v>
      </c>
      <c r="C35" s="673" t="s">
        <v>86</v>
      </c>
    </row>
    <row r="36" spans="2:3" ht="30">
      <c r="B36" s="420" t="s">
        <v>87</v>
      </c>
      <c r="C36" s="673" t="s">
        <v>88</v>
      </c>
    </row>
    <row r="37" spans="2:3" ht="30.75" thickBot="1">
      <c r="B37" s="422" t="s">
        <v>89</v>
      </c>
      <c r="C37" s="677" t="s">
        <v>90</v>
      </c>
    </row>
    <row r="38" spans="2:3" ht="16.5" thickBot="1">
      <c r="B38" s="422" t="s">
        <v>91</v>
      </c>
      <c r="C38" s="677" t="s">
        <v>92</v>
      </c>
    </row>
    <row r="39" spans="2:3" ht="14.25" customHeight="1" thickBot="1">
      <c r="B39" s="663"/>
      <c r="C39" s="663"/>
    </row>
    <row r="40" spans="2:3" ht="14.25" customHeight="1">
      <c r="B40" s="833" t="s">
        <v>93</v>
      </c>
      <c r="C40" s="834"/>
    </row>
    <row r="41" spans="2:3" ht="14.25" customHeight="1">
      <c r="B41" s="678" t="s">
        <v>94</v>
      </c>
      <c r="C41" s="673" t="s">
        <v>95</v>
      </c>
    </row>
    <row r="42" spans="2:3">
      <c r="B42" s="423" t="s">
        <v>96</v>
      </c>
      <c r="C42" s="673" t="s">
        <v>97</v>
      </c>
    </row>
    <row r="43" spans="2:3">
      <c r="B43" s="679" t="s">
        <v>98</v>
      </c>
      <c r="C43" s="673" t="s">
        <v>99</v>
      </c>
    </row>
    <row r="44" spans="2:3" ht="30.75" thickBot="1">
      <c r="B44" s="680" t="s">
        <v>100</v>
      </c>
      <c r="C44" s="681" t="s">
        <v>101</v>
      </c>
    </row>
  </sheetData>
  <mergeCells count="4">
    <mergeCell ref="B22:C22"/>
    <mergeCell ref="B40:C40"/>
    <mergeCell ref="B20:C20"/>
    <mergeCell ref="B19:C19"/>
  </mergeCells>
  <phoneticPr fontId="185" type="noConversion"/>
  <dataValidations count="1">
    <dataValidation type="list" allowBlank="1" showInputMessage="1" showErrorMessage="1" sqref="B10" xr:uid="{1955B62D-6CE0-4724-BB3F-66E645FCD8C5}">
      <formula1>$G$10:$G$23</formula1>
    </dataValidation>
  </dataValidations>
  <hyperlinks>
    <hyperlink ref="B23" location="'0 Validations'!A1" display="Function Definitions" xr:uid="{21DE4C6C-EA0E-4C80-A1C0-5F98B0A8C17E}"/>
    <hyperlink ref="B24" location="'0 Validations'!A1" display="0 Validations" xr:uid="{7E89A66C-4FE0-442D-B060-3BD34A9D5175}"/>
    <hyperlink ref="B25" location="'1 Participant Bill Impacts'!A1" display="1 Biller Payer Impacts" xr:uid="{60DD2904-0F25-4424-8BA6-8C6E50282973}"/>
    <hyperlink ref="B26" location="'2 Rates Rev- IOU Only'!A1" display="2 Rates Rev-IOU Only" xr:uid="{DC3A0E06-0986-4CC4-937C-37CCB447BBB8}"/>
    <hyperlink ref="B27" location="'3.1 Funding Category'!A1" display="3.1 Funding Category" xr:uid="{DB7E1B99-5D66-4806-890A-2D54F2CA6012}"/>
    <hyperlink ref="B28" location="'3.2 Funding CCA_REN only'!A1" display="3.2 Funding - CCA_REN only" xr:uid="{B294241F-1138-4498-9380-950CA51858FD}"/>
    <hyperlink ref="B30" location="'4.2 Sector Seg Budget 2032-2035'!A1" display="4.2 Sector Seg Budget 2032-2035" xr:uid="{5878B10E-0992-43DF-B12E-B38AF0D003FC}"/>
    <hyperlink ref="B31" location="'4.3 TSB and C&amp;S Targets'!A1" display="4.3 TSB and C&amp;S Budget 2032-2035" xr:uid="{92628C0E-5823-4C8C-B0B3-5BABF0F7B678}"/>
    <hyperlink ref="B33" location="'6 Statewide Programs'!A1" display="6 Statewide Programs" xr:uid="{D65D8183-1C37-4832-ACCF-0BC69EEC8A8C}"/>
    <hyperlink ref="B34" location="'7 PA PY Budget'!A1" display="7 PA PY Budget" xr:uid="{CEE1EA8F-93BA-40B5-8B48-8F8C41DA332B}"/>
    <hyperlink ref="B35" location="'8 Cap &amp; Target '!A1" display="8 Cap &amp; Target" xr:uid="{2E0782AA-7215-45A7-B034-69695B7D32A0}"/>
    <hyperlink ref="B36" location="'9 Portfolio FTE and Budget'!A1" display="9 Portfolio FTE and Budget" xr:uid="{8EC83CE6-0B32-40B4-BE15-062DD9C5219A}"/>
    <hyperlink ref="B37" location="'10 Indicators &amp; Metrics'!A1" display="10 Indicators &amp; Metrics" xr:uid="{752BD181-CB6A-4FB7-A0CF-8CD8B3D686A6}"/>
    <hyperlink ref="B38" location="'11 Program Card'!A1" display="11 Program Cards" xr:uid="{1795F467-7B7F-4EB8-8F9A-12FBC98596E4}"/>
    <hyperlink ref="B29" location="'4.1 Program Budget 2028-2031'!A1" display="4.1 Program Budget 2028-2031" xr:uid="{6CB46CC1-1C22-4A2E-AB02-A15074FE1E1D}"/>
    <hyperlink ref="B32" location="'Budget Filing Data'!A1" display="Budget Filing Data" xr:uid="{BBB04E56-812A-45A0-BF1A-93F993EC6B22}"/>
  </hyperlinks>
  <pageMargins left="0.25" right="0.25" top="0.75" bottom="0.75" header="0.3" footer="0.3"/>
  <pageSetup paperSize="17" orientation="landscape" verticalDpi="1200"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4BCA-7FDC-4517-9575-BBEEFC04AE79}">
  <sheetPr codeName="Sheet14">
    <tabColor theme="0" tint="-0.249977111117893"/>
    <pageSetUpPr fitToPage="1"/>
  </sheetPr>
  <dimension ref="B2:E32"/>
  <sheetViews>
    <sheetView zoomScaleNormal="100" workbookViewId="0">
      <selection activeCell="R21" sqref="R21"/>
    </sheetView>
  </sheetViews>
  <sheetFormatPr defaultColWidth="8.625" defaultRowHeight="15"/>
  <cols>
    <col min="1" max="1" width="2.625" style="43" customWidth="1"/>
    <col min="2" max="2" width="27.625" style="43" customWidth="1"/>
    <col min="3" max="3" width="22.125" style="43" customWidth="1"/>
    <col min="4" max="4" width="15.625" style="43" customWidth="1"/>
    <col min="5" max="5" width="76.125" style="43" customWidth="1"/>
    <col min="6" max="16384" width="8.625" style="43"/>
  </cols>
  <sheetData>
    <row r="2" spans="2:5" ht="14.65" customHeight="1">
      <c r="B2" s="837" t="s">
        <v>58</v>
      </c>
      <c r="C2" s="839" t="s">
        <v>62</v>
      </c>
      <c r="D2" s="840"/>
      <c r="E2" s="841"/>
    </row>
    <row r="3" spans="2:5">
      <c r="B3" s="838"/>
      <c r="C3" s="842"/>
      <c r="D3" s="843"/>
      <c r="E3" s="844"/>
    </row>
    <row r="4" spans="2:5" ht="14.65" customHeight="1" thickBot="1">
      <c r="B4" s="424" t="s">
        <v>102</v>
      </c>
      <c r="C4" s="850" t="s">
        <v>103</v>
      </c>
      <c r="D4" s="851"/>
      <c r="E4" s="852"/>
    </row>
    <row r="5" spans="2:5" ht="15.75" thickBot="1">
      <c r="B5" s="33"/>
      <c r="C5" s="682"/>
      <c r="D5" s="683"/>
      <c r="E5" s="684"/>
    </row>
    <row r="6" spans="2:5" ht="15.75">
      <c r="B6" s="168" t="s">
        <v>104</v>
      </c>
      <c r="C6" s="169" t="str">
        <f>'Read Me'!B10</f>
        <v>SDG&amp;E</v>
      </c>
      <c r="D6" s="684"/>
      <c r="E6" s="683"/>
    </row>
    <row r="7" spans="2:5" ht="16.5" thickBot="1">
      <c r="B7" s="425" t="s">
        <v>105</v>
      </c>
      <c r="C7" s="426" t="str">
        <f>'Read Me'!B11</f>
        <v>2028-2035</v>
      </c>
      <c r="D7" s="684"/>
      <c r="E7" s="684"/>
    </row>
    <row r="8" spans="2:5" ht="15.75" thickBot="1">
      <c r="B8" s="684"/>
      <c r="C8" s="684"/>
      <c r="D8" s="684"/>
      <c r="E8" s="684"/>
    </row>
    <row r="9" spans="2:5" ht="15.75" thickBot="1">
      <c r="B9" s="34" t="s">
        <v>106</v>
      </c>
      <c r="C9" s="684"/>
      <c r="D9" s="684"/>
      <c r="E9" s="684"/>
    </row>
    <row r="10" spans="2:5" ht="30.75" thickBot="1">
      <c r="B10" s="98" t="s">
        <v>107</v>
      </c>
      <c r="C10" s="99" t="s">
        <v>108</v>
      </c>
      <c r="D10" s="98" t="s">
        <v>109</v>
      </c>
      <c r="E10" s="99" t="s">
        <v>110</v>
      </c>
    </row>
    <row r="11" spans="2:5" ht="75.75" thickBot="1">
      <c r="B11" s="848" t="s">
        <v>111</v>
      </c>
      <c r="C11" s="848" t="s">
        <v>112</v>
      </c>
      <c r="D11" s="220" t="s">
        <v>113</v>
      </c>
      <c r="E11" s="133" t="s">
        <v>114</v>
      </c>
    </row>
    <row r="12" spans="2:5" ht="45.75" thickBot="1">
      <c r="B12" s="849"/>
      <c r="C12" s="849"/>
      <c r="D12" s="220" t="s">
        <v>115</v>
      </c>
      <c r="E12" s="170" t="s">
        <v>116</v>
      </c>
    </row>
    <row r="13" spans="2:5" ht="90.75" thickBot="1">
      <c r="B13" s="845" t="s">
        <v>117</v>
      </c>
      <c r="C13" s="845" t="s">
        <v>118</v>
      </c>
      <c r="D13" s="134" t="s">
        <v>119</v>
      </c>
      <c r="E13" s="171" t="s">
        <v>120</v>
      </c>
    </row>
    <row r="14" spans="2:5" ht="150.75" thickBot="1">
      <c r="B14" s="846"/>
      <c r="C14" s="846"/>
      <c r="D14" s="134" t="s">
        <v>121</v>
      </c>
      <c r="E14" s="8" t="s">
        <v>122</v>
      </c>
    </row>
    <row r="15" spans="2:5" ht="30.75" thickBot="1">
      <c r="B15" s="846"/>
      <c r="C15" s="846"/>
      <c r="D15" s="220" t="s">
        <v>123</v>
      </c>
      <c r="E15" s="135"/>
    </row>
    <row r="16" spans="2:5" ht="38.25" customHeight="1" thickBot="1">
      <c r="B16" s="847"/>
      <c r="C16" s="847"/>
      <c r="D16" s="136" t="s">
        <v>124</v>
      </c>
      <c r="E16" s="137" t="s">
        <v>125</v>
      </c>
    </row>
    <row r="17" spans="2:5" ht="32.25" customHeight="1" thickBot="1">
      <c r="B17" s="848" t="s">
        <v>126</v>
      </c>
      <c r="C17" s="848" t="s">
        <v>127</v>
      </c>
      <c r="D17" s="220" t="s">
        <v>128</v>
      </c>
      <c r="E17" s="848" t="s">
        <v>129</v>
      </c>
    </row>
    <row r="18" spans="2:5" ht="30.75" thickBot="1">
      <c r="B18" s="846"/>
      <c r="C18" s="846"/>
      <c r="D18" s="220" t="s">
        <v>130</v>
      </c>
      <c r="E18" s="846"/>
    </row>
    <row r="19" spans="2:5" ht="85.5" customHeight="1" thickBot="1">
      <c r="B19" s="846"/>
      <c r="C19" s="849"/>
      <c r="D19" s="220" t="s">
        <v>131</v>
      </c>
      <c r="E19" s="849"/>
    </row>
    <row r="20" spans="2:5" ht="43.5" customHeight="1" thickBot="1">
      <c r="B20" s="685" t="s">
        <v>132</v>
      </c>
      <c r="C20" s="137" t="s">
        <v>133</v>
      </c>
      <c r="D20" s="136" t="s">
        <v>134</v>
      </c>
      <c r="E20" s="138"/>
    </row>
    <row r="21" spans="2:5" ht="95.25" customHeight="1" thickBot="1">
      <c r="B21" s="136" t="s">
        <v>135</v>
      </c>
      <c r="C21" s="137" t="s">
        <v>136</v>
      </c>
      <c r="D21" s="136" t="s">
        <v>135</v>
      </c>
      <c r="E21" s="138"/>
    </row>
    <row r="22" spans="2:5">
      <c r="B22" s="848" t="s">
        <v>137</v>
      </c>
      <c r="C22" s="848" t="s">
        <v>138</v>
      </c>
      <c r="D22" s="853" t="s">
        <v>139</v>
      </c>
      <c r="E22" s="848" t="s">
        <v>140</v>
      </c>
    </row>
    <row r="23" spans="2:5" ht="15.75" thickBot="1">
      <c r="B23" s="849"/>
      <c r="C23" s="849"/>
      <c r="D23" s="854"/>
      <c r="E23" s="849"/>
    </row>
    <row r="24" spans="2:5" ht="15.75" thickBot="1">
      <c r="B24" s="845" t="s">
        <v>47</v>
      </c>
      <c r="C24" s="855" t="s">
        <v>141</v>
      </c>
      <c r="D24" s="220" t="s">
        <v>142</v>
      </c>
      <c r="E24" s="135" t="s">
        <v>143</v>
      </c>
    </row>
    <row r="25" spans="2:5" ht="30.75" thickBot="1">
      <c r="B25" s="849"/>
      <c r="C25" s="856"/>
      <c r="D25" s="220" t="s">
        <v>144</v>
      </c>
      <c r="E25" s="133" t="s">
        <v>145</v>
      </c>
    </row>
    <row r="26" spans="2:5" ht="30.75" thickBot="1">
      <c r="B26" s="845" t="s">
        <v>146</v>
      </c>
      <c r="C26" s="845" t="s">
        <v>147</v>
      </c>
      <c r="D26" s="220" t="s">
        <v>148</v>
      </c>
      <c r="E26" s="133" t="s">
        <v>149</v>
      </c>
    </row>
    <row r="27" spans="2:5" ht="30.75" thickBot="1">
      <c r="B27" s="849"/>
      <c r="C27" s="849"/>
      <c r="D27" s="220" t="s">
        <v>150</v>
      </c>
      <c r="E27" s="133" t="s">
        <v>151</v>
      </c>
    </row>
    <row r="28" spans="2:5" ht="59.25" customHeight="1" thickBot="1">
      <c r="B28" s="220" t="s">
        <v>152</v>
      </c>
      <c r="C28" s="133" t="s">
        <v>153</v>
      </c>
      <c r="D28" s="220" t="s">
        <v>154</v>
      </c>
      <c r="E28" s="135"/>
    </row>
    <row r="29" spans="2:5" ht="15.75" thickBot="1">
      <c r="B29" s="848" t="s">
        <v>155</v>
      </c>
      <c r="C29" s="848" t="s">
        <v>156</v>
      </c>
      <c r="D29" s="220" t="s">
        <v>157</v>
      </c>
      <c r="E29" s="848" t="s">
        <v>158</v>
      </c>
    </row>
    <row r="30" spans="2:5" ht="84.75" customHeight="1" thickBot="1">
      <c r="B30" s="849"/>
      <c r="C30" s="849"/>
      <c r="D30" s="220" t="s">
        <v>159</v>
      </c>
      <c r="E30" s="849"/>
    </row>
    <row r="31" spans="2:5" ht="83.25" customHeight="1" thickBot="1">
      <c r="B31" s="136" t="s">
        <v>160</v>
      </c>
      <c r="C31" s="137" t="s">
        <v>161</v>
      </c>
      <c r="D31" s="136" t="s">
        <v>160</v>
      </c>
      <c r="E31" s="138"/>
    </row>
    <row r="32" spans="2:5" ht="45.75" thickBot="1">
      <c r="B32" s="220" t="s">
        <v>162</v>
      </c>
      <c r="C32" s="133" t="s">
        <v>163</v>
      </c>
      <c r="D32" s="136" t="s">
        <v>162</v>
      </c>
      <c r="E32" s="138"/>
    </row>
  </sheetData>
  <mergeCells count="21">
    <mergeCell ref="B22:B23"/>
    <mergeCell ref="C22:C23"/>
    <mergeCell ref="D22:D23"/>
    <mergeCell ref="E22:E23"/>
    <mergeCell ref="B24:B25"/>
    <mergeCell ref="C24:C25"/>
    <mergeCell ref="B26:B27"/>
    <mergeCell ref="C26:C27"/>
    <mergeCell ref="B29:B30"/>
    <mergeCell ref="C29:C30"/>
    <mergeCell ref="E29:E30"/>
    <mergeCell ref="B2:B3"/>
    <mergeCell ref="C2:E3"/>
    <mergeCell ref="B13:B16"/>
    <mergeCell ref="C13:C16"/>
    <mergeCell ref="B17:B19"/>
    <mergeCell ref="C17:C19"/>
    <mergeCell ref="E17:E19"/>
    <mergeCell ref="B11:B12"/>
    <mergeCell ref="C11:C12"/>
    <mergeCell ref="C4:E4"/>
  </mergeCells>
  <pageMargins left="0.25" right="0.25" top="0.75" bottom="0.75" header="0.3" footer="0.3"/>
  <pageSetup paperSize="17" fitToHeight="0" orientation="landscape"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1A77-E2ED-4E0A-8D2B-24FD9278AA6A}">
  <sheetPr codeName="Sheet2">
    <tabColor theme="4"/>
    <pageSetUpPr fitToPage="1"/>
  </sheetPr>
  <dimension ref="B1:AJ40"/>
  <sheetViews>
    <sheetView zoomScaleNormal="100" workbookViewId="0">
      <selection activeCell="R52" sqref="R52"/>
    </sheetView>
  </sheetViews>
  <sheetFormatPr defaultColWidth="9" defaultRowHeight="15"/>
  <cols>
    <col min="1" max="1" width="2.75" style="46" customWidth="1"/>
    <col min="2" max="2" width="12.25" style="46" bestFit="1" customWidth="1"/>
    <col min="3" max="3" width="64.125" style="46" customWidth="1"/>
    <col min="4" max="4" width="14.125" style="46" customWidth="1"/>
    <col min="5" max="5" width="13.25" style="46" customWidth="1"/>
    <col min="6" max="6" width="13.375" style="46" bestFit="1" customWidth="1"/>
    <col min="7" max="7" width="14" style="46" customWidth="1"/>
    <col min="8" max="8" width="11.75" style="46" bestFit="1" customWidth="1"/>
    <col min="9" max="9" width="12.375" style="46" bestFit="1" customWidth="1"/>
    <col min="10" max="10" width="12.25" style="46" bestFit="1" customWidth="1"/>
    <col min="11" max="11" width="15.5" style="46" bestFit="1" customWidth="1"/>
    <col min="12" max="12" width="12.25" style="46" bestFit="1" customWidth="1"/>
    <col min="13" max="13" width="11.5" style="46" bestFit="1" customWidth="1"/>
    <col min="14" max="14" width="13.375" style="46" bestFit="1" customWidth="1"/>
    <col min="15" max="15" width="14.25" style="46" bestFit="1" customWidth="1"/>
    <col min="16" max="16" width="12.25" style="46" bestFit="1" customWidth="1"/>
    <col min="17" max="17" width="11.5" style="46" bestFit="1" customWidth="1"/>
    <col min="18" max="19" width="12.25" style="46" bestFit="1" customWidth="1"/>
    <col min="20" max="16384" width="9" style="46"/>
  </cols>
  <sheetData>
    <row r="1" spans="2:11" ht="12.6" customHeight="1" thickBot="1">
      <c r="B1" s="669"/>
      <c r="C1" s="669"/>
      <c r="D1" s="669"/>
      <c r="E1" s="669"/>
      <c r="F1" s="669"/>
      <c r="G1" s="669"/>
      <c r="H1" s="669"/>
      <c r="I1" s="669"/>
      <c r="J1" s="669"/>
      <c r="K1" s="669"/>
    </row>
    <row r="2" spans="2:11" ht="15.6" customHeight="1">
      <c r="B2" s="857" t="s">
        <v>58</v>
      </c>
      <c r="C2" s="859" t="s">
        <v>64</v>
      </c>
      <c r="D2" s="859"/>
      <c r="E2" s="859"/>
      <c r="F2" s="859"/>
      <c r="G2" s="860"/>
      <c r="H2" s="669"/>
      <c r="I2" s="669"/>
      <c r="J2" s="669"/>
      <c r="K2" s="669"/>
    </row>
    <row r="3" spans="2:11">
      <c r="B3" s="858"/>
      <c r="C3" s="861"/>
      <c r="D3" s="861"/>
      <c r="E3" s="861"/>
      <c r="F3" s="861"/>
      <c r="G3" s="862"/>
      <c r="H3" s="669"/>
      <c r="I3" s="669"/>
      <c r="J3" s="669"/>
      <c r="K3" s="669"/>
    </row>
    <row r="4" spans="2:11" ht="15.75" thickBot="1">
      <c r="B4" s="427" t="s">
        <v>102</v>
      </c>
      <c r="C4" s="863" t="s">
        <v>164</v>
      </c>
      <c r="D4" s="863"/>
      <c r="E4" s="863"/>
      <c r="F4" s="863"/>
      <c r="G4" s="864"/>
      <c r="H4" s="669"/>
      <c r="I4" s="669"/>
      <c r="J4" s="669"/>
      <c r="K4" s="669"/>
    </row>
    <row r="5" spans="2:11" ht="15.75" thickBot="1">
      <c r="B5" s="669"/>
      <c r="C5" s="669"/>
      <c r="D5" s="683"/>
      <c r="E5" s="683"/>
      <c r="F5" s="683"/>
      <c r="G5" s="669"/>
      <c r="H5" s="669"/>
      <c r="I5" s="669"/>
      <c r="J5" s="669"/>
      <c r="K5" s="669"/>
    </row>
    <row r="6" spans="2:11" ht="15.75">
      <c r="B6" s="172" t="s">
        <v>104</v>
      </c>
      <c r="C6" s="173" t="str">
        <f>'Read Me'!B10</f>
        <v>SDG&amp;E</v>
      </c>
      <c r="D6" s="669"/>
      <c r="E6"/>
      <c r="F6" s="669"/>
      <c r="G6" s="669"/>
      <c r="H6" s="669"/>
      <c r="I6" s="669"/>
      <c r="J6" s="669"/>
      <c r="K6" s="669"/>
    </row>
    <row r="7" spans="2:11" ht="16.5" thickBot="1">
      <c r="B7" s="428" t="s">
        <v>105</v>
      </c>
      <c r="C7" s="429" t="str">
        <f>'Read Me'!B11</f>
        <v>2028-2035</v>
      </c>
      <c r="D7" s="669"/>
      <c r="E7"/>
      <c r="F7" s="686"/>
      <c r="G7" s="686"/>
      <c r="H7" s="686"/>
      <c r="I7" s="669"/>
      <c r="J7" s="669"/>
      <c r="K7" s="669"/>
    </row>
    <row r="8" spans="2:11" ht="15.75" thickBot="1">
      <c r="B8" s="669"/>
      <c r="C8" s="669"/>
      <c r="D8" s="669"/>
      <c r="E8" s="63"/>
      <c r="F8" s="669"/>
      <c r="G8" s="669"/>
      <c r="H8" s="669"/>
      <c r="I8" s="669"/>
      <c r="J8" s="669"/>
      <c r="K8" s="669"/>
    </row>
    <row r="9" spans="2:11">
      <c r="B9" s="669"/>
      <c r="C9" s="64" t="s">
        <v>165</v>
      </c>
      <c r="D9" s="223">
        <v>2028</v>
      </c>
      <c r="E9" s="221">
        <f>+D9+1</f>
        <v>2029</v>
      </c>
      <c r="F9" s="221">
        <f>+E9+1</f>
        <v>2030</v>
      </c>
      <c r="G9" s="221">
        <f t="shared" ref="G9:K9" si="0">+F9+1</f>
        <v>2031</v>
      </c>
      <c r="H9" s="221">
        <f t="shared" si="0"/>
        <v>2032</v>
      </c>
      <c r="I9" s="221">
        <f t="shared" si="0"/>
        <v>2033</v>
      </c>
      <c r="J9" s="221">
        <f t="shared" si="0"/>
        <v>2034</v>
      </c>
      <c r="K9" s="222">
        <f t="shared" si="0"/>
        <v>2035</v>
      </c>
    </row>
    <row r="10" spans="2:11" ht="15.6" customHeight="1">
      <c r="B10" s="669"/>
      <c r="C10" s="669" t="s">
        <v>166</v>
      </c>
      <c r="D10" s="687">
        <f>SUMIFS('3.1 Funding Category'!$D$10:$D$97, '3.1 Funding Category'!$C$10:$C$97, '3.1 Funding Category'!$C$10, '3.1 Funding Category'!$B$10:$B$97, '0 Validations'!D9)+
SUMIFS('3.1 Funding Category'!$D$10:$D$97, '3.1 Funding Category'!$C$10:$C$97, '3.1 Funding Category'!$C$18, '3.1 Funding Category'!$B$10:$B$97, '0 Validations'!D9)</f>
        <v>68428097.894683659</v>
      </c>
      <c r="E10" s="687">
        <f>SUMIFS('3.1 Funding Category'!$D$10:$D$97, '3.1 Funding Category'!$C$10:$C$97, '3.1 Funding Category'!$C$10, '3.1 Funding Category'!$B$10:$B$97, '0 Validations'!E9)+
SUMIFS('3.1 Funding Category'!$D$10:$D$97, '3.1 Funding Category'!$C$10:$C$97, '3.1 Funding Category'!$C$18, '3.1 Funding Category'!$B$10:$B$97, '0 Validations'!E9)</f>
        <v>67760602.463221148</v>
      </c>
      <c r="F10" s="687">
        <f>SUMIFS('3.1 Funding Category'!$D$10:$D$97, '3.1 Funding Category'!$C$10:$C$97, '3.1 Funding Category'!$C$10, '3.1 Funding Category'!$B$10:$B$97, '0 Validations'!F9)+
SUMIFS('3.1 Funding Category'!$D$10:$D$97, '3.1 Funding Category'!$C$10:$C$97, '3.1 Funding Category'!$C$18, '3.1 Funding Category'!$B$10:$B$97, '0 Validations'!F9)</f>
        <v>68776559.578791097</v>
      </c>
      <c r="G10" s="687">
        <f>SUMIFS('3.1 Funding Category'!$D$10:$D$97, '3.1 Funding Category'!$C$10:$C$97, '3.1 Funding Category'!$C$10, '3.1 Funding Category'!$B$10:$B$97, '0 Validations'!G9)+
SUMIFS('3.1 Funding Category'!$D$10:$D$97, '3.1 Funding Category'!$C$10:$C$97, '3.1 Funding Category'!$C$18, '3.1 Funding Category'!$B$10:$B$97, '0 Validations'!G9)</f>
        <v>71832337.397800133</v>
      </c>
      <c r="H10" s="687">
        <f>SUMIFS('3.1 Funding Category'!$D$10:$D$97, '3.1 Funding Category'!$C$10:$C$97, '3.1 Funding Category'!$C$10, '3.1 Funding Category'!$B$10:$B$97, '0 Validations'!H9)+
SUMIFS('3.1 Funding Category'!$D$10:$D$97, '3.1 Funding Category'!$C$10:$C$97, '3.1 Funding Category'!$C$18, '3.1 Funding Category'!$B$10:$B$97, '0 Validations'!H9)</f>
        <v>71832337.397800133</v>
      </c>
      <c r="I10" s="687">
        <f>SUMIFS('3.1 Funding Category'!$D$10:$D$97, '3.1 Funding Category'!$C$10:$C$97, '3.1 Funding Category'!$C$10, '3.1 Funding Category'!$B$10:$B$97, '0 Validations'!I9)+
SUMIFS('3.1 Funding Category'!$D$10:$D$97, '3.1 Funding Category'!$C$10:$C$97, '3.1 Funding Category'!$C$18, '3.1 Funding Category'!$B$10:$B$97, '0 Validations'!I9)</f>
        <v>71832337.397800133</v>
      </c>
      <c r="J10" s="687">
        <f>SUMIFS('3.1 Funding Category'!$D$10:$D$97, '3.1 Funding Category'!$C$10:$C$97, '3.1 Funding Category'!$C$10, '3.1 Funding Category'!$B$10:$B$97, '0 Validations'!J9)+
SUMIFS('3.1 Funding Category'!$D$10:$D$97, '3.1 Funding Category'!$C$10:$C$97, '3.1 Funding Category'!$C$18, '3.1 Funding Category'!$B$10:$B$97, '0 Validations'!J9)</f>
        <v>71832337.397800133</v>
      </c>
      <c r="K10" s="687">
        <f>SUMIFS('3.1 Funding Category'!$D$10:$D$97, '3.1 Funding Category'!$C$10:$C$97, '3.1 Funding Category'!$C$10, '3.1 Funding Category'!$B$10:$B$97, '0 Validations'!K9)+
SUMIFS('3.1 Funding Category'!$D$10:$D$97, '3.1 Funding Category'!$C$10:$C$97, '3.1 Funding Category'!$C$18, '3.1 Funding Category'!$B$10:$B$97, '0 Validations'!K9)</f>
        <v>71832337.397800133</v>
      </c>
    </row>
    <row r="11" spans="2:11" ht="15.6" customHeight="1">
      <c r="B11" s="669"/>
      <c r="C11" s="669" t="s">
        <v>167</v>
      </c>
      <c r="D11" s="687">
        <f>SUMIFS('4.1 Program Budget 2028-2031'!$N$16:$N$303, '4.1 Program Budget 2028-2031'!$M$16:$M$303, '0 Validations'!D9)</f>
        <v>68428097.894683659</v>
      </c>
      <c r="E11" s="688">
        <f>SUMIFS('4.1 Program Budget 2028-2031'!$N$16:$N$303, '4.1 Program Budget 2028-2031'!$M$16:$M$303, '0 Validations'!E9)</f>
        <v>67760602.463221148</v>
      </c>
      <c r="F11" s="688">
        <f>SUMIFS('4.1 Program Budget 2028-2031'!$N$16:$N$303, '4.1 Program Budget 2028-2031'!$M$16:$M$303, '0 Validations'!F9)</f>
        <v>68776559.578791097</v>
      </c>
      <c r="G11" s="688">
        <f>SUMIFS('4.1 Program Budget 2028-2031'!$N$16:$N$303, '4.1 Program Budget 2028-2031'!$M$16:$M$303, '0 Validations'!G9)</f>
        <v>71832337.397800133</v>
      </c>
      <c r="H11" s="688">
        <f>SUMIFS('4.2 Sector Seg Budget 2032-2035'!$F$13:$F$108, '4.2 Sector Seg Budget 2032-2035'!$E$13:$E$108, '0 Validations'!H9)</f>
        <v>71832337.397800133</v>
      </c>
      <c r="I11" s="688">
        <f>SUMIFS('4.2 Sector Seg Budget 2032-2035'!$F$13:$F$108, '4.2 Sector Seg Budget 2032-2035'!$E$13:$E$108, '0 Validations'!I9)</f>
        <v>71832337.397800133</v>
      </c>
      <c r="J11" s="688">
        <f>SUMIFS('4.2 Sector Seg Budget 2032-2035'!$F$13:$F$108, '4.2 Sector Seg Budget 2032-2035'!$E$13:$E$108, '0 Validations'!J9)</f>
        <v>71832337.397800133</v>
      </c>
      <c r="K11" s="689">
        <f>SUMIFS('4.2 Sector Seg Budget 2032-2035'!$F$13:$F$108, '4.2 Sector Seg Budget 2032-2035'!$E$13:$E$108, '0 Validations'!K9)</f>
        <v>71832337.397800133</v>
      </c>
    </row>
    <row r="12" spans="2:11">
      <c r="B12" s="669"/>
      <c r="C12" s="669" t="s">
        <v>168</v>
      </c>
      <c r="D12" s="687">
        <f>SUMIFS('7 PA PY Budget'!$J$9:$J$60, '7 PA PY Budget'!$D$9:$D$60, '0 Validations'!$C$6, '7 PA PY Budget'!$C$9:$C$60, '0 Validations'!D9)-'7 PA PY Budget'!F9</f>
        <v>68428097.894683674</v>
      </c>
      <c r="E12" s="688">
        <f>SUMIFS('7 PA PY Budget'!$J$9:$J$60, '7 PA PY Budget'!$D$9:$D$60, '0 Validations'!$C$6, '7 PA PY Budget'!$C$9:$C$60, '0 Validations'!E9)-'7 PA PY Budget'!F22</f>
        <v>67760602.463221148</v>
      </c>
      <c r="F12" s="688">
        <f>SUMIFS('7 PA PY Budget'!$J$9:$J$60, '7 PA PY Budget'!$D$9:$D$60, '0 Validations'!$C$6, '7 PA PY Budget'!$C$9:$C$60, '0 Validations'!F9)-'7 PA PY Budget'!F35</f>
        <v>68776559.578791097</v>
      </c>
      <c r="G12" s="688">
        <f>SUMIFS('7 PA PY Budget'!$J$9:$J$60, '7 PA PY Budget'!$D$9:$D$60, '0 Validations'!$C$6, '7 PA PY Budget'!$C$9:$C$60, '0 Validations'!G9)-'7 PA PY Budget'!F48</f>
        <v>71832337.397800133</v>
      </c>
      <c r="H12" s="690"/>
      <c r="I12" s="690"/>
      <c r="J12" s="690"/>
      <c r="K12" s="691"/>
    </row>
    <row r="13" spans="2:11">
      <c r="B13" s="669"/>
      <c r="C13" s="669" t="s">
        <v>169</v>
      </c>
      <c r="D13" s="687">
        <f>SUMIFS('8 Cap &amp; Target '!$G$32:$G$111, '8 Cap &amp; Target '!$D$32:$D$111, '8 Cap &amp; Target '!$D$47, '8 Cap &amp; Target '!$B$32:$B$111, D9)</f>
        <v>68428097.894683674</v>
      </c>
      <c r="E13" s="688">
        <f>SUMIFS('8 Cap &amp; Target '!$G$32:$G$111, '8 Cap &amp; Target '!$D$32:$D$111, '8 Cap &amp; Target '!$D$47, '8 Cap &amp; Target '!$B$32:$B$111, E9)</f>
        <v>67760602.463221133</v>
      </c>
      <c r="F13" s="688">
        <f>SUMIFS('8 Cap &amp; Target '!$G$32:$G$111, '8 Cap &amp; Target '!$D$32:$D$111, '8 Cap &amp; Target '!$D$47, '8 Cap &amp; Target '!$B$32:$B$111, F9)</f>
        <v>68776559.578791082</v>
      </c>
      <c r="G13" s="688">
        <f>SUMIFS('8 Cap &amp; Target '!$G$32:$G$111, '8 Cap &amp; Target '!$D$32:$D$111, '8 Cap &amp; Target '!$D$47, '8 Cap &amp; Target '!$B$32:$B$111, G9)</f>
        <v>71832337.397800118</v>
      </c>
      <c r="H13" s="690"/>
      <c r="I13" s="690"/>
      <c r="J13" s="690"/>
      <c r="K13" s="691"/>
    </row>
    <row r="14" spans="2:11" ht="15.75" thickBot="1">
      <c r="B14" s="669"/>
      <c r="C14" s="669" t="s">
        <v>170</v>
      </c>
      <c r="D14" s="692">
        <f>'9 Portfolio FTE and Budget'!E52</f>
        <v>68428097.894683659</v>
      </c>
      <c r="E14" s="693">
        <f>'9 Portfolio FTE and Budget'!F52</f>
        <v>67760602.463221133</v>
      </c>
      <c r="F14" s="693">
        <f>'9 Portfolio FTE and Budget'!G52</f>
        <v>68776559.578791082</v>
      </c>
      <c r="G14" s="693">
        <f>'9 Portfolio FTE and Budget'!H52</f>
        <v>71832337.397800133</v>
      </c>
      <c r="H14" s="694"/>
      <c r="I14" s="694"/>
      <c r="J14" s="694"/>
      <c r="K14" s="695"/>
    </row>
    <row r="15" spans="2:11">
      <c r="B15" s="669"/>
      <c r="C15" s="65" t="s">
        <v>171</v>
      </c>
      <c r="D15" s="66">
        <f>IF(AND(D10=D11,D12=D13,D14=D13,D12=D11,D10=D14,D11=D13)=TRUE,0,"ERROR")</f>
        <v>0</v>
      </c>
      <c r="E15" s="66">
        <f>IF(AND(E10=E11,E12=E13,E14=E13,E12=E11,E10=E14,E11=E13)=TRUE,0,"ERROR")</f>
        <v>0</v>
      </c>
      <c r="F15" s="66">
        <f t="shared" ref="F15:G15" si="1">IF(AND(F10=F11,F12=F13,F14=F13,F12=F11,F10=F14,F11=F13)=TRUE,0,"ERROR")</f>
        <v>0</v>
      </c>
      <c r="G15" s="66">
        <f t="shared" si="1"/>
        <v>0</v>
      </c>
      <c r="H15" s="66">
        <f>IF(AND(H10=H11)=TRUE,0,"ERROR")</f>
        <v>0</v>
      </c>
      <c r="I15" s="66">
        <f>IF(AND(I10=I11)=TRUE,0,"ERROR")</f>
        <v>0</v>
      </c>
      <c r="J15" s="66">
        <f>IF(AND(J10=J11)=TRUE,0,"ERROR")</f>
        <v>0</v>
      </c>
      <c r="K15" s="66">
        <f>IF(AND(K10=K11)=TRUE,0,"ERROR")</f>
        <v>0</v>
      </c>
    </row>
    <row r="16" spans="2:11" ht="15.75" thickBot="1">
      <c r="B16" s="669"/>
      <c r="C16" s="65"/>
      <c r="D16" s="66"/>
      <c r="E16" s="66"/>
      <c r="F16" s="686"/>
      <c r="G16" s="686"/>
      <c r="H16" s="669"/>
      <c r="I16" s="669"/>
      <c r="J16" s="669"/>
      <c r="K16" s="669"/>
    </row>
    <row r="17" spans="3:36">
      <c r="C17" s="64" t="s">
        <v>172</v>
      </c>
      <c r="D17" s="223" t="str">
        <f>LEFT($C$7,4)</f>
        <v>2028</v>
      </c>
      <c r="E17" s="221">
        <f>+D17+1</f>
        <v>2029</v>
      </c>
      <c r="F17" s="221">
        <f>+E17+1</f>
        <v>2030</v>
      </c>
      <c r="G17" s="221">
        <f t="shared" ref="G17:K17" si="2">+F17+1</f>
        <v>2031</v>
      </c>
      <c r="H17" s="221">
        <f t="shared" si="2"/>
        <v>2032</v>
      </c>
      <c r="I17" s="221">
        <f t="shared" si="2"/>
        <v>2033</v>
      </c>
      <c r="J17" s="221">
        <f t="shared" si="2"/>
        <v>2034</v>
      </c>
      <c r="K17" s="222">
        <f t="shared" si="2"/>
        <v>2035</v>
      </c>
      <c r="L17" s="669"/>
      <c r="M17" s="669"/>
      <c r="N17" s="669"/>
      <c r="O17" s="669"/>
      <c r="P17" s="669"/>
      <c r="Q17" s="669"/>
      <c r="R17" s="669"/>
      <c r="S17" s="669"/>
      <c r="T17" s="669"/>
      <c r="U17" s="669"/>
      <c r="V17" s="669"/>
      <c r="W17" s="669"/>
      <c r="X17" s="669"/>
      <c r="Y17" s="669"/>
      <c r="Z17" s="669"/>
      <c r="AA17" s="669"/>
      <c r="AB17" s="669"/>
      <c r="AC17" s="669"/>
      <c r="AD17" s="669"/>
      <c r="AE17" s="669"/>
      <c r="AF17" s="669"/>
      <c r="AG17" s="669"/>
      <c r="AH17" s="669"/>
      <c r="AI17" s="669"/>
      <c r="AJ17" s="669"/>
    </row>
    <row r="18" spans="3:36" ht="15.75" thickBot="1">
      <c r="C18" s="669" t="s">
        <v>173</v>
      </c>
      <c r="D18" s="692">
        <f>'3.1 Funding Category'!$D90</f>
        <v>109747118.89468366</v>
      </c>
      <c r="E18" s="693">
        <f>'3.1 Funding Category'!$D91</f>
        <v>110728418.46322115</v>
      </c>
      <c r="F18" s="693">
        <f>'3.1 Funding Category'!$D92</f>
        <v>113459114.5787911</v>
      </c>
      <c r="G18" s="693">
        <f>'3.1 Funding Category'!$D93</f>
        <v>118298230.39780013</v>
      </c>
      <c r="H18" s="693">
        <f>'3.1 Funding Category'!$D94</f>
        <v>119689231.39780013</v>
      </c>
      <c r="I18" s="693">
        <f>'3.1 Funding Category'!$D95</f>
        <v>121121962.39780013</v>
      </c>
      <c r="J18" s="693">
        <f>'3.1 Funding Category'!$D96</f>
        <v>122597674.39780013</v>
      </c>
      <c r="K18" s="696">
        <f>'3.1 Funding Category'!$D97</f>
        <v>124117659.39780013</v>
      </c>
      <c r="L18" s="669"/>
      <c r="M18" s="669"/>
      <c r="N18" s="669"/>
      <c r="O18" s="669"/>
      <c r="P18" s="669"/>
      <c r="Q18" s="669"/>
      <c r="R18" s="669"/>
      <c r="S18" s="669"/>
      <c r="T18" s="669"/>
      <c r="U18" s="669"/>
      <c r="V18" s="669"/>
      <c r="W18" s="669"/>
      <c r="X18" s="669"/>
      <c r="Y18" s="669"/>
      <c r="Z18" s="669"/>
      <c r="AA18" s="669"/>
      <c r="AB18" s="669"/>
      <c r="AC18" s="669"/>
      <c r="AD18" s="669"/>
      <c r="AE18" s="669"/>
      <c r="AF18" s="669"/>
      <c r="AG18" s="669"/>
      <c r="AH18" s="669"/>
      <c r="AI18" s="669"/>
      <c r="AJ18" s="669"/>
    </row>
    <row r="19" spans="3:36" ht="15.75" thickBot="1">
      <c r="C19" s="669"/>
      <c r="D19" s="686"/>
      <c r="E19" s="686"/>
      <c r="F19" s="669"/>
      <c r="G19" s="669"/>
      <c r="H19" s="669"/>
      <c r="I19" s="669"/>
      <c r="J19" s="669"/>
      <c r="K19" s="669"/>
      <c r="L19" s="669"/>
      <c r="M19" s="669"/>
      <c r="N19" s="669"/>
      <c r="O19" s="669"/>
      <c r="P19" s="669"/>
      <c r="Q19" s="669"/>
      <c r="R19" s="669"/>
      <c r="S19" s="669"/>
      <c r="T19" s="669"/>
      <c r="U19" s="669"/>
      <c r="V19" s="669"/>
      <c r="W19" s="669"/>
      <c r="X19" s="669"/>
      <c r="Y19" s="669"/>
      <c r="Z19" s="669"/>
      <c r="AA19" s="669"/>
      <c r="AB19" s="669"/>
      <c r="AC19" s="669"/>
      <c r="AD19" s="669"/>
      <c r="AE19" s="669"/>
      <c r="AF19" s="669"/>
      <c r="AG19" s="669"/>
      <c r="AH19" s="669"/>
      <c r="AI19" s="669"/>
      <c r="AJ19" s="669"/>
    </row>
    <row r="20" spans="3:36">
      <c r="C20" s="669"/>
      <c r="D20" s="867">
        <v>2028</v>
      </c>
      <c r="E20" s="865"/>
      <c r="F20" s="865"/>
      <c r="G20" s="865"/>
      <c r="H20" s="865">
        <f>+D20+1</f>
        <v>2029</v>
      </c>
      <c r="I20" s="865"/>
      <c r="J20" s="865"/>
      <c r="K20" s="865"/>
      <c r="L20" s="865">
        <f>+H20+1</f>
        <v>2030</v>
      </c>
      <c r="M20" s="865"/>
      <c r="N20" s="865"/>
      <c r="O20" s="865"/>
      <c r="P20" s="865">
        <f>+L20+1</f>
        <v>2031</v>
      </c>
      <c r="Q20" s="865"/>
      <c r="R20" s="865"/>
      <c r="S20" s="865"/>
      <c r="T20" s="865">
        <f>+P20+1</f>
        <v>2032</v>
      </c>
      <c r="U20" s="865"/>
      <c r="V20" s="865"/>
      <c r="W20" s="865"/>
      <c r="X20" s="865">
        <f>+T20+1</f>
        <v>2033</v>
      </c>
      <c r="Y20" s="865"/>
      <c r="Z20" s="865"/>
      <c r="AA20" s="865"/>
      <c r="AB20" s="865">
        <f>+X20+1</f>
        <v>2034</v>
      </c>
      <c r="AC20" s="865"/>
      <c r="AD20" s="865"/>
      <c r="AE20" s="865"/>
      <c r="AF20" s="865">
        <f>+AB20+1</f>
        <v>2035</v>
      </c>
      <c r="AG20" s="865"/>
      <c r="AH20" s="865"/>
      <c r="AI20" s="866"/>
      <c r="AJ20" s="669"/>
    </row>
    <row r="21" spans="3:36">
      <c r="C21" s="64" t="s">
        <v>174</v>
      </c>
      <c r="D21" s="430" t="s">
        <v>175</v>
      </c>
      <c r="E21" s="431" t="s">
        <v>176</v>
      </c>
      <c r="F21" s="432" t="s">
        <v>177</v>
      </c>
      <c r="G21" s="432" t="s">
        <v>178</v>
      </c>
      <c r="H21" s="431" t="s">
        <v>175</v>
      </c>
      <c r="I21" s="431" t="s">
        <v>176</v>
      </c>
      <c r="J21" s="432" t="s">
        <v>177</v>
      </c>
      <c r="K21" s="432" t="s">
        <v>178</v>
      </c>
      <c r="L21" s="431" t="s">
        <v>175</v>
      </c>
      <c r="M21" s="431" t="s">
        <v>176</v>
      </c>
      <c r="N21" s="432" t="s">
        <v>177</v>
      </c>
      <c r="O21" s="432" t="s">
        <v>178</v>
      </c>
      <c r="P21" s="431" t="s">
        <v>175</v>
      </c>
      <c r="Q21" s="431" t="s">
        <v>176</v>
      </c>
      <c r="R21" s="432" t="s">
        <v>177</v>
      </c>
      <c r="S21" s="432" t="s">
        <v>178</v>
      </c>
      <c r="T21" s="431" t="s">
        <v>175</v>
      </c>
      <c r="U21" s="431" t="s">
        <v>176</v>
      </c>
      <c r="V21" s="432" t="s">
        <v>177</v>
      </c>
      <c r="W21" s="432" t="s">
        <v>178</v>
      </c>
      <c r="X21" s="431" t="s">
        <v>175</v>
      </c>
      <c r="Y21" s="431" t="s">
        <v>176</v>
      </c>
      <c r="Z21" s="432" t="s">
        <v>177</v>
      </c>
      <c r="AA21" s="432" t="s">
        <v>178</v>
      </c>
      <c r="AB21" s="431" t="s">
        <v>175</v>
      </c>
      <c r="AC21" s="431" t="s">
        <v>176</v>
      </c>
      <c r="AD21" s="432" t="s">
        <v>177</v>
      </c>
      <c r="AE21" s="432" t="s">
        <v>178</v>
      </c>
      <c r="AF21" s="431" t="s">
        <v>175</v>
      </c>
      <c r="AG21" s="431" t="s">
        <v>176</v>
      </c>
      <c r="AH21" s="432" t="s">
        <v>177</v>
      </c>
      <c r="AI21" s="433" t="s">
        <v>178</v>
      </c>
      <c r="AJ21" s="669"/>
    </row>
    <row r="22" spans="3:36">
      <c r="C22" s="669" t="s">
        <v>179</v>
      </c>
      <c r="D22" s="687">
        <f>SUMIFS('4.1 Program Budget 2028-2031'!O$16:O$303, '4.1 Program Budget 2028-2031'!$M$16:$M$303, $D$20)</f>
        <v>11531866.218999999</v>
      </c>
      <c r="E22" s="688">
        <f>SUMIFS('4.1 Program Budget 2028-2031'!P$16:P$303, '4.1 Program Budget 2028-2031'!$M$16:$M$303, $D$20)</f>
        <v>2157335.0257999995</v>
      </c>
      <c r="F22" s="688">
        <f>SUMIFS('4.1 Program Budget 2028-2031'!Q$16:Q$303, '4.1 Program Budget 2028-2031'!$M$16:$M$303, $D$20)</f>
        <v>26743137.908000004</v>
      </c>
      <c r="G22" s="688">
        <f>SUMIFS('4.1 Program Budget 2028-2031'!R$16:R$303, '4.1 Program Budget 2028-2031'!$M$16:$M$303, $D$20)</f>
        <v>27995758.741883669</v>
      </c>
      <c r="H22" s="688">
        <f>SUMIFS('4.1 Program Budget 2028-2031'!O$16:O$303, '4.1 Program Budget 2028-2031'!$M$16:$M$303, $H$20)</f>
        <v>10787900.973100001</v>
      </c>
      <c r="I22" s="688">
        <f>SUMIFS('4.1 Program Budget 2028-2031'!P$16:P$303, '4.1 Program Budget 2028-2031'!$M$16:$M$303, $H$20)</f>
        <v>2206680.91</v>
      </c>
      <c r="J22" s="688">
        <f>SUMIFS('4.1 Program Budget 2028-2031'!Q$16:Q$303, '4.1 Program Budget 2028-2031'!$M$16:$M$303, $H$20)</f>
        <v>27246347.249299996</v>
      </c>
      <c r="K22" s="688">
        <f>SUMIFS('4.1 Program Budget 2028-2031'!R$16:R$303, '4.1 Program Budget 2028-2031'!$M$16:$M$303, $H$20)</f>
        <v>27519673.330821127</v>
      </c>
      <c r="L22" s="688">
        <f>SUMIFS('4.1 Program Budget 2028-2031'!O$16:O$303, '4.1 Program Budget 2028-2031'!$M$16:$M$303, $L$20)</f>
        <v>11047131.089300003</v>
      </c>
      <c r="M22" s="688">
        <f>SUMIFS('4.1 Program Budget 2028-2031'!P$16:P$303, '4.1 Program Budget 2028-2031'!$M$16:$M$303, $L$20)</f>
        <v>2200556.1460999995</v>
      </c>
      <c r="N22" s="688">
        <f>SUMIFS('4.1 Program Budget 2028-2031'!Q$16:Q$303, '4.1 Program Budget 2028-2031'!$M$16:$M$303, $L$20)</f>
        <v>28027410.424899999</v>
      </c>
      <c r="O22" s="688">
        <f>SUMIFS('4.1 Program Budget 2028-2031'!R$16:R$303, '4.1 Program Budget 2028-2031'!$M$16:$M$303, $L$20)</f>
        <v>27501461.918491077</v>
      </c>
      <c r="P22" s="688">
        <f>SUMIFS('4.1 Program Budget 2028-2031'!O$16:O$303, '4.1 Program Budget 2028-2031'!$M$16:$M$303, $P$20)</f>
        <v>11420888.068500003</v>
      </c>
      <c r="Q22" s="688">
        <f>SUMIFS('4.1 Program Budget 2028-2031'!P$16:P$303, '4.1 Program Budget 2028-2031'!$M$16:$M$303, $P$20)</f>
        <v>2172279.4789</v>
      </c>
      <c r="R22" s="688">
        <f>SUMIFS('4.1 Program Budget 2028-2031'!Q$16:Q$303, '4.1 Program Budget 2028-2031'!$M$16:$M$303, $P$20)</f>
        <v>28369292.812899996</v>
      </c>
      <c r="S22" s="688">
        <f>SUMIFS('4.1 Program Budget 2028-2031'!R$16:R$303, '4.1 Program Budget 2028-2031'!$M$16:$M$303, $P$20)</f>
        <v>29869877.037500132</v>
      </c>
      <c r="T22" s="690"/>
      <c r="U22" s="690"/>
      <c r="V22" s="690"/>
      <c r="W22" s="690"/>
      <c r="X22" s="690"/>
      <c r="Y22" s="690"/>
      <c r="Z22" s="690"/>
      <c r="AA22" s="690"/>
      <c r="AB22" s="690"/>
      <c r="AC22" s="690"/>
      <c r="AD22" s="690"/>
      <c r="AE22" s="690"/>
      <c r="AF22" s="690"/>
      <c r="AG22" s="690"/>
      <c r="AH22" s="690"/>
      <c r="AI22" s="691"/>
      <c r="AJ22" s="669"/>
    </row>
    <row r="23" spans="3:36" ht="15.75" thickBot="1">
      <c r="C23" s="669" t="s">
        <v>180</v>
      </c>
      <c r="D23" s="692">
        <f>SUMIFS('8 Cap &amp; Target '!$G$12:$G$111,'8 Cap &amp; Target '!$D$12:$D$111,'8 Cap &amp; Target '!$D$13,'8 Cap &amp; Target '!$B$12:$B$111,D20)+
SUMIFS('8 Cap &amp; Target '!$G$12:$G$111,'8 Cap &amp; Target '!$D$12:$D$111,'8 Cap &amp; Target '!$D$14,'8 Cap &amp; Target '!$B$12:$B$111,D20)+
SUMIFS('8 Cap &amp; Target '!$G$12:$G$111,'8 Cap &amp; Target '!$D$12:$D$111,'8 Cap &amp; Target '!$D$15,'8 Cap &amp; Target '!$B$12:$B$111,D20)+
SUMIFS('8 Cap &amp; Target '!$G$12:$G$111,'8 Cap &amp; Target '!$D$12:$D$111,'8 Cap &amp; Target '!$D$21,'8 Cap &amp; Target '!$B$12:$B$111,D20)</f>
        <v>11531866.219000001</v>
      </c>
      <c r="E23" s="693">
        <f>SUMIFS('8 Cap &amp; Target '!$G$12:$G$111,'8 Cap &amp; Target '!$D$12:$D$111, '8 Cap &amp; Target '!$D$16,'8 Cap &amp; Target '!$B$12:$B$111, D20)</f>
        <v>2157335.0257999999</v>
      </c>
      <c r="F23" s="693">
        <f>SUMIFS('8 Cap &amp; Target '!$G$12:$G$111,'8 Cap &amp; Target '!$D$12:$D$111,'8 Cap &amp; Target '!$D$19,'8 Cap &amp; Target '!$B$12:$B$111,D20)+
SUMIFS('8 Cap &amp; Target '!$G$12:$G$111,'8 Cap &amp; Target '!$D$12:$D$111,'8 Cap &amp; Target '!$D$20,'8 Cap &amp; Target '!$B$12:$B$111,D20)</f>
        <v>26743137.908</v>
      </c>
      <c r="G23" s="693">
        <f>SUMIFS('8 Cap &amp; Target '!$G$12:$G$111,'8 Cap &amp; Target '!$D$12:$D$111, '8 Cap &amp; Target '!$D$18,'8 Cap &amp; Target '!$B$12:$B$111, D20)</f>
        <v>27995758.741883669</v>
      </c>
      <c r="H23" s="693">
        <f>SUMIFS('8 Cap &amp; Target '!$G$12:$G$111,'8 Cap &amp; Target '!$D$12:$D$111,'8 Cap &amp; Target '!$D$13,'8 Cap &amp; Target '!$B$12:$B$111, H20)+
SUMIFS('8 Cap &amp; Target '!$G$12:$G$111,'8 Cap &amp; Target '!$D$12:$D$111,'8 Cap &amp; Target '!$D$14,'8 Cap &amp; Target '!$B$12:$B$111, H20)+
SUMIFS('8 Cap &amp; Target '!$G$12:$G$111,'8 Cap &amp; Target '!$D$12:$D$111,'8 Cap &amp; Target '!$D$15,'8 Cap &amp; Target '!$B$12:$B$111, H20)+
SUMIFS('8 Cap &amp; Target '!$G$12:$G$111,'8 Cap &amp; Target '!$D$12:$D$111,'8 Cap &amp; Target '!$D$21,'8 Cap &amp; Target '!$B$12:$B$111,H20)</f>
        <v>10787900.973099999</v>
      </c>
      <c r="I23" s="693">
        <f>SUMIFS('8 Cap &amp; Target '!$G$12:$G$111,'8 Cap &amp; Target '!$D$12:$D$111, '8 Cap &amp; Target '!$D$16,'8 Cap &amp; Target '!$B$12:$B$111, H20)</f>
        <v>2206680.9099999997</v>
      </c>
      <c r="J23" s="693">
        <f>SUMIFS('8 Cap &amp; Target '!$G$12:$G$111,'8 Cap &amp; Target '!$D$12:$D$111, '8 Cap &amp; Target '!$D$19,'8 Cap &amp; Target '!$B$12:$B$111, H20)+
SUMIFS('8 Cap &amp; Target '!$G$12:$G$111,'8 Cap &amp; Target '!$D$12:$D$111,'8 Cap &amp; Target '!$D$20,'8 Cap &amp; Target '!$B$12:$B$111,H20)</f>
        <v>27246347.249300003</v>
      </c>
      <c r="K23" s="693">
        <f>SUMIFS('8 Cap &amp; Target '!$G$12:$G$111,'8 Cap &amp; Target '!$D$12:$D$111, '8 Cap &amp; Target '!$D$18,'8 Cap &amp; Target '!$B$12:$B$111, H20)</f>
        <v>27519673.330821127</v>
      </c>
      <c r="L23" s="693">
        <f>SUMIFS('8 Cap &amp; Target '!$G$12:$G$111,'8 Cap &amp; Target '!$D$12:$D$111,'8 Cap &amp; Target '!$D$13,'8 Cap &amp; Target '!$B$12:$B$111, L20)+
SUMIFS('8 Cap &amp; Target '!$G$12:$G$111,'8 Cap &amp; Target '!$D$12:$D$111,'8 Cap &amp; Target '!$D$14,'8 Cap &amp; Target '!$B$12:$B$111, L20)+
SUMIFS('8 Cap &amp; Target '!$G$12:$G$111,'8 Cap &amp; Target '!$D$12:$D$111,'8 Cap &amp; Target '!$D$15,'8 Cap &amp; Target '!$B$12:$B$111, L20)+
SUMIFS('8 Cap &amp; Target '!$G$12:$G$111,'8 Cap &amp; Target '!$D$12:$D$111,'8 Cap &amp; Target '!$D$21,'8 Cap &amp; Target '!$B$12:$B$111,L20)</f>
        <v>11047131.089299999</v>
      </c>
      <c r="M23" s="693">
        <f>SUMIFS('8 Cap &amp; Target '!$G$12:$G$111,'8 Cap &amp; Target '!$D$12:$D$111, '8 Cap &amp; Target '!$D$16,'8 Cap &amp; Target '!$B$12:$B$111, L20)</f>
        <v>2200556.1460999995</v>
      </c>
      <c r="N23" s="693">
        <f>SUMIFS('8 Cap &amp; Target '!$G$12:$G$111,'8 Cap &amp; Target '!$D$12:$D$111, '8 Cap &amp; Target '!$D$19,'8 Cap &amp; Target '!$B$12:$B$111, L20)+
SUMIFS('8 Cap &amp; Target '!$G$12:$G$111,'8 Cap &amp; Target '!$D$12:$D$111,'8 Cap &amp; Target '!$D$20,'8 Cap &amp; Target '!$B$12:$B$111,L20)</f>
        <v>28027410.424900007</v>
      </c>
      <c r="O23" s="693">
        <f>SUMIFS('8 Cap &amp; Target '!$G$12:$G$111,'8 Cap &amp; Target '!$D$12:$D$111, '8 Cap &amp; Target '!$D$18,'8 Cap &amp; Target '!$B$12:$B$111, L20)</f>
        <v>27501461.918491077</v>
      </c>
      <c r="P23" s="693">
        <f>SUMIFS('8 Cap &amp; Target '!$G$12:$G$111,'8 Cap &amp; Target '!$D$12:$D$111,'8 Cap &amp; Target '!$D$13,'8 Cap &amp; Target '!$B$12:$B$111, P20)+
SUMIFS('8 Cap &amp; Target '!$G$12:$G$111,'8 Cap &amp; Target '!$D$12:$D$111,'8 Cap &amp; Target '!$D$14,'8 Cap &amp; Target '!$B$12:$B$111, P20)+
SUMIFS('8 Cap &amp; Target '!$G$12:$G$111,'8 Cap &amp; Target '!$D$12:$D$111,'8 Cap &amp; Target '!$D$15,'8 Cap &amp; Target '!$B$12:$B$111, P20)+
SUMIFS('8 Cap &amp; Target '!$G$12:$G$111,'8 Cap &amp; Target '!$D$12:$D$111,'8 Cap &amp; Target '!$D$21,'8 Cap &amp; Target '!$B$12:$B$111,P20)</f>
        <v>11420888.068499999</v>
      </c>
      <c r="Q23" s="693">
        <f>SUMIFS('8 Cap &amp; Target '!$G$12:$G$111,'8 Cap &amp; Target '!$D$12:$D$111, '8 Cap &amp; Target '!$D$16,'8 Cap &amp; Target '!$B$12:$B$111, P20)</f>
        <v>2172279.4789</v>
      </c>
      <c r="R23" s="693">
        <f>SUMIFS('8 Cap &amp; Target '!$G$12:$G$111,'8 Cap &amp; Target '!$D$12:$D$111, '8 Cap &amp; Target '!$D$19,'8 Cap &amp; Target '!$B$12:$B$111, P20)+
SUMIFS('8 Cap &amp; Target '!$G$12:$G$111,'8 Cap &amp; Target '!$D$12:$D$111,'8 Cap &amp; Target '!$D$20,'8 Cap &amp; Target '!$B$12:$B$111,P20)</f>
        <v>28369292.812899999</v>
      </c>
      <c r="S23" s="693">
        <f>SUMIFS('8 Cap &amp; Target '!$G$12:$G$111,'8 Cap &amp; Target '!$D$12:$D$111, '8 Cap &amp; Target '!$D$18,'8 Cap &amp; Target '!$B$12:$B$111, P20)</f>
        <v>29869877.037500132</v>
      </c>
      <c r="T23" s="694"/>
      <c r="U23" s="694"/>
      <c r="V23" s="694"/>
      <c r="W23" s="694"/>
      <c r="X23" s="694"/>
      <c r="Y23" s="694"/>
      <c r="Z23" s="694"/>
      <c r="AA23" s="694"/>
      <c r="AB23" s="694"/>
      <c r="AC23" s="694"/>
      <c r="AD23" s="694"/>
      <c r="AE23" s="694"/>
      <c r="AF23" s="694"/>
      <c r="AG23" s="694"/>
      <c r="AH23" s="694"/>
      <c r="AI23" s="695"/>
      <c r="AJ23" s="669"/>
    </row>
    <row r="24" spans="3:36">
      <c r="C24" s="65" t="s">
        <v>171</v>
      </c>
      <c r="D24" s="67">
        <f>+D22-D23</f>
        <v>0</v>
      </c>
      <c r="E24" s="67">
        <f t="shared" ref="E24:K24" si="3">+E22-E23</f>
        <v>0</v>
      </c>
      <c r="F24" s="67">
        <f t="shared" si="3"/>
        <v>0</v>
      </c>
      <c r="G24" s="67">
        <f>+G22-G23</f>
        <v>0</v>
      </c>
      <c r="H24" s="67">
        <f t="shared" si="3"/>
        <v>0</v>
      </c>
      <c r="I24" s="67">
        <f t="shared" si="3"/>
        <v>0</v>
      </c>
      <c r="J24" s="67">
        <f t="shared" si="3"/>
        <v>0</v>
      </c>
      <c r="K24" s="67">
        <f t="shared" si="3"/>
        <v>0</v>
      </c>
      <c r="L24" s="67">
        <f>+L22-L23</f>
        <v>0</v>
      </c>
      <c r="M24" s="67">
        <f t="shared" ref="M24:O24" si="4">+M22-M23</f>
        <v>0</v>
      </c>
      <c r="N24" s="67">
        <f t="shared" si="4"/>
        <v>0</v>
      </c>
      <c r="O24" s="67">
        <f t="shared" si="4"/>
        <v>0</v>
      </c>
      <c r="P24" s="67">
        <f>+P22-P23</f>
        <v>0</v>
      </c>
      <c r="Q24" s="67">
        <f t="shared" ref="Q24:S24" si="5">+Q22-Q23</f>
        <v>0</v>
      </c>
      <c r="R24" s="67">
        <f t="shared" si="5"/>
        <v>0</v>
      </c>
      <c r="S24" s="67">
        <f t="shared" si="5"/>
        <v>0</v>
      </c>
      <c r="T24" s="67">
        <f>+T22-T23</f>
        <v>0</v>
      </c>
      <c r="U24" s="67">
        <f t="shared" ref="U24:W24" si="6">+U22-U23</f>
        <v>0</v>
      </c>
      <c r="V24" s="67">
        <f t="shared" si="6"/>
        <v>0</v>
      </c>
      <c r="W24" s="67">
        <f t="shared" si="6"/>
        <v>0</v>
      </c>
      <c r="X24" s="67">
        <f>+X22-X23</f>
        <v>0</v>
      </c>
      <c r="Y24" s="67">
        <f t="shared" ref="Y24:AA24" si="7">+Y22-Y23</f>
        <v>0</v>
      </c>
      <c r="Z24" s="67">
        <f t="shared" si="7"/>
        <v>0</v>
      </c>
      <c r="AA24" s="67">
        <f t="shared" si="7"/>
        <v>0</v>
      </c>
      <c r="AB24" s="67">
        <f>+AB22-AB23</f>
        <v>0</v>
      </c>
      <c r="AC24" s="67">
        <f t="shared" ref="AC24:AE24" si="8">+AC22-AC23</f>
        <v>0</v>
      </c>
      <c r="AD24" s="67">
        <f t="shared" si="8"/>
        <v>0</v>
      </c>
      <c r="AE24" s="67">
        <f t="shared" si="8"/>
        <v>0</v>
      </c>
      <c r="AF24" s="67">
        <f>+AF22-AF23</f>
        <v>0</v>
      </c>
      <c r="AG24" s="67">
        <f t="shared" ref="AG24:AI24" si="9">+AG22-AG23</f>
        <v>0</v>
      </c>
      <c r="AH24" s="67">
        <f t="shared" si="9"/>
        <v>0</v>
      </c>
      <c r="AI24" s="67">
        <f t="shared" si="9"/>
        <v>0</v>
      </c>
      <c r="AJ24" s="669"/>
    </row>
    <row r="25" spans="3:36">
      <c r="C25" s="669" t="s">
        <v>181</v>
      </c>
      <c r="D25" s="690"/>
      <c r="E25" s="690"/>
      <c r="F25" s="697"/>
      <c r="G25" s="698">
        <f>SUM('9 Portfolio FTE and Budget'!E49:E50)</f>
        <v>27995758.741883669</v>
      </c>
      <c r="H25" s="697"/>
      <c r="I25" s="697"/>
      <c r="J25" s="697"/>
      <c r="K25" s="698">
        <f>SUM('9 Portfolio FTE and Budget'!F49:F50)</f>
        <v>27519673.33082113</v>
      </c>
      <c r="L25" s="690"/>
      <c r="M25" s="690"/>
      <c r="N25" s="697"/>
      <c r="O25" s="698">
        <f>SUM('9 Portfolio FTE and Budget'!G49:G50)</f>
        <v>27501461.918491077</v>
      </c>
      <c r="P25" s="690"/>
      <c r="Q25" s="690"/>
      <c r="R25" s="697"/>
      <c r="S25" s="698">
        <f>SUM('9 Portfolio FTE and Budget'!H49:H50)</f>
        <v>29869877.037500136</v>
      </c>
      <c r="T25" s="690"/>
      <c r="U25" s="690"/>
      <c r="V25" s="697"/>
      <c r="W25" s="699"/>
      <c r="X25" s="690"/>
      <c r="Y25" s="690"/>
      <c r="Z25" s="697"/>
      <c r="AA25" s="699"/>
      <c r="AB25" s="690"/>
      <c r="AC25" s="690"/>
      <c r="AD25" s="697"/>
      <c r="AE25" s="699"/>
      <c r="AF25" s="690"/>
      <c r="AG25" s="690"/>
      <c r="AH25" s="697"/>
      <c r="AI25" s="699"/>
      <c r="AJ25" s="669"/>
    </row>
    <row r="26" spans="3:36">
      <c r="C26" s="65" t="s">
        <v>171</v>
      </c>
      <c r="D26" s="686"/>
      <c r="E26" s="686"/>
      <c r="F26" s="669"/>
      <c r="G26" s="67">
        <f>+G22-G25</f>
        <v>0</v>
      </c>
      <c r="H26" s="669"/>
      <c r="I26" s="669"/>
      <c r="J26" s="669"/>
      <c r="K26" s="67">
        <f>+K22-K25</f>
        <v>0</v>
      </c>
      <c r="L26" s="686"/>
      <c r="M26" s="686"/>
      <c r="N26" s="669"/>
      <c r="O26" s="67">
        <f>+O22-O25</f>
        <v>0</v>
      </c>
      <c r="P26" s="686"/>
      <c r="Q26" s="686"/>
      <c r="R26" s="669"/>
      <c r="S26" s="67">
        <f>+S22-S25</f>
        <v>0</v>
      </c>
      <c r="T26" s="686"/>
      <c r="U26" s="686"/>
      <c r="V26" s="669"/>
      <c r="W26" s="67">
        <f>+W22-W25</f>
        <v>0</v>
      </c>
      <c r="X26" s="686"/>
      <c r="Y26" s="686"/>
      <c r="Z26" s="669"/>
      <c r="AA26" s="67">
        <f>+AA22-AA25</f>
        <v>0</v>
      </c>
      <c r="AB26" s="686"/>
      <c r="AC26" s="686"/>
      <c r="AD26" s="669"/>
      <c r="AE26" s="67">
        <f>+AE22-AE25</f>
        <v>0</v>
      </c>
      <c r="AF26" s="686"/>
      <c r="AG26" s="686"/>
      <c r="AH26" s="669"/>
      <c r="AI26" s="67">
        <f>+AI22-AI25</f>
        <v>0</v>
      </c>
      <c r="AJ26" s="669"/>
    </row>
    <row r="27" spans="3:36">
      <c r="C27" s="65"/>
      <c r="D27" s="686"/>
      <c r="E27" s="686"/>
      <c r="F27" s="669"/>
      <c r="G27" s="67"/>
      <c r="H27" s="669"/>
      <c r="I27" s="669"/>
      <c r="J27" s="669"/>
      <c r="K27" s="67"/>
      <c r="L27" s="686"/>
      <c r="M27" s="686"/>
      <c r="N27" s="669"/>
      <c r="O27" s="67"/>
      <c r="P27" s="686"/>
      <c r="Q27" s="686"/>
      <c r="R27" s="669"/>
      <c r="S27" s="67"/>
      <c r="T27" s="686"/>
      <c r="U27" s="686"/>
      <c r="V27" s="669"/>
      <c r="W27" s="67"/>
      <c r="X27" s="686"/>
      <c r="Y27" s="686"/>
      <c r="Z27" s="669"/>
      <c r="AA27" s="67"/>
      <c r="AB27" s="686"/>
      <c r="AC27" s="686"/>
      <c r="AD27" s="669"/>
      <c r="AE27" s="67"/>
      <c r="AF27" s="686"/>
      <c r="AG27" s="686"/>
      <c r="AH27" s="669"/>
      <c r="AI27" s="67"/>
      <c r="AJ27" s="669"/>
    </row>
    <row r="28" spans="3:36" ht="15.75" thickBot="1">
      <c r="C28" s="64" t="s">
        <v>182</v>
      </c>
      <c r="D28" s="686"/>
      <c r="E28" s="686"/>
      <c r="F28" s="669"/>
      <c r="G28" s="67"/>
      <c r="H28" s="669"/>
      <c r="I28" s="669"/>
      <c r="J28" s="668" t="s">
        <v>183</v>
      </c>
      <c r="K28" s="668" t="s">
        <v>183</v>
      </c>
      <c r="L28" s="668" t="s">
        <v>183</v>
      </c>
      <c r="M28" s="668" t="s">
        <v>183</v>
      </c>
      <c r="N28" s="669"/>
      <c r="O28" s="668" t="s">
        <v>184</v>
      </c>
      <c r="P28" s="686"/>
      <c r="Q28" s="686"/>
      <c r="R28" s="669"/>
      <c r="S28" s="67"/>
      <c r="T28" s="686"/>
      <c r="U28" s="686"/>
      <c r="V28" s="669"/>
      <c r="W28" s="67"/>
      <c r="X28" s="686"/>
      <c r="Y28" s="686"/>
      <c r="Z28" s="669"/>
      <c r="AA28" s="67"/>
      <c r="AB28" s="686"/>
      <c r="AC28" s="686"/>
      <c r="AD28" s="669"/>
      <c r="AE28" s="67"/>
      <c r="AF28" s="686"/>
      <c r="AG28" s="686"/>
      <c r="AH28" s="669"/>
      <c r="AI28" s="67"/>
      <c r="AJ28" s="669"/>
    </row>
    <row r="29" spans="3:36" ht="26.65" customHeight="1">
      <c r="C29" s="669" t="s">
        <v>185</v>
      </c>
      <c r="D29" s="174" t="s">
        <v>186</v>
      </c>
      <c r="E29" s="175" t="s">
        <v>18</v>
      </c>
      <c r="F29" s="175" t="s">
        <v>27</v>
      </c>
      <c r="G29" s="175" t="s">
        <v>34</v>
      </c>
      <c r="H29" s="175" t="s">
        <v>39</v>
      </c>
      <c r="I29" s="175" t="s">
        <v>45</v>
      </c>
      <c r="J29" s="175" t="s">
        <v>19</v>
      </c>
      <c r="K29" s="175" t="s">
        <v>41</v>
      </c>
      <c r="L29" s="175" t="s">
        <v>28</v>
      </c>
      <c r="M29" s="175" t="s">
        <v>187</v>
      </c>
      <c r="N29" s="175" t="s">
        <v>50</v>
      </c>
      <c r="O29" s="229" t="s">
        <v>54</v>
      </c>
      <c r="P29" s="176" t="s">
        <v>188</v>
      </c>
      <c r="Q29" s="686"/>
      <c r="R29" s="686"/>
      <c r="S29" s="669"/>
      <c r="T29" s="67"/>
      <c r="U29" s="686"/>
      <c r="V29" s="686"/>
      <c r="W29" s="669"/>
      <c r="X29" s="67"/>
      <c r="Y29" s="686"/>
      <c r="Z29" s="686"/>
      <c r="AA29" s="669"/>
      <c r="AB29" s="67"/>
      <c r="AC29" s="686"/>
      <c r="AD29" s="686"/>
      <c r="AE29" s="669"/>
      <c r="AF29" s="67"/>
      <c r="AG29" s="686"/>
      <c r="AH29" s="686"/>
      <c r="AI29" s="669"/>
      <c r="AJ29" s="67"/>
    </row>
    <row r="30" spans="3:36">
      <c r="C30" s="669"/>
      <c r="D30" s="434">
        <v>2028</v>
      </c>
      <c r="E30" s="688">
        <f>SUMIFS('4.1 Program Budget 2028-2031'!$N$16:$N$303, '4.1 Program Budget 2028-2031'!$J$16:$J$303, '0 Validations'!E$29, '4.1 Program Budget 2028-2031'!$M$16:$M$303, '0 Validations'!$D30)</f>
        <v>23563520.26001063</v>
      </c>
      <c r="F30" s="688">
        <f>SUMIFS('4.1 Program Budget 2028-2031'!$N$16:$N$303, '4.1 Program Budget 2028-2031'!$J$16:$J$303, '0 Validations'!F$29, '4.1 Program Budget 2028-2031'!$M$16:$M$303, '0 Validations'!$D30)</f>
        <v>20238030.328929823</v>
      </c>
      <c r="G30" s="688">
        <f>SUMIFS('4.1 Program Budget 2028-2031'!$N$16:$N$303, '4.1 Program Budget 2028-2031'!$J$16:$J$303, '0 Validations'!G$29, '4.1 Program Budget 2028-2031'!$M$16:$M$303, '0 Validations'!$D30)</f>
        <v>9815553.6037599985</v>
      </c>
      <c r="H30" s="688">
        <f>SUMIFS('4.1 Program Budget 2028-2031'!$N$16:$N$303, '4.1 Program Budget 2028-2031'!$J$16:$J$303, '0 Validations'!H$29, '4.1 Program Budget 2028-2031'!$M$16:$M$303, '0 Validations'!$D30)</f>
        <v>106317.37867012</v>
      </c>
      <c r="I30" s="688">
        <f>SUMIFS('4.1 Program Budget 2028-2031'!$N$16:$N$303, '4.1 Program Budget 2028-2031'!$J$16:$J$303, '0 Validations'!I$29, '4.1 Program Budget 2028-2031'!$M$16:$M$303, '0 Validations'!$D30)</f>
        <v>1110310.5123131</v>
      </c>
      <c r="J30" s="688">
        <f>SUMIFS('4.1 Program Budget 2028-2031'!$N$16:$N$303, '4.1 Program Budget 2028-2031'!$J$16:$J$303, '0 Validations'!J$29, '4.1 Program Budget 2028-2031'!$M$16:$M$303, '0 Validations'!$D30)</f>
        <v>0</v>
      </c>
      <c r="K30" s="688">
        <f>SUMIFS('4.1 Program Budget 2028-2031'!$N$16:$N$303, '4.1 Program Budget 2028-2031'!$J$16:$J$303, '0 Validations'!K$29, '4.1 Program Budget 2028-2031'!$M$16:$M$303, '0 Validations'!$D30)</f>
        <v>0</v>
      </c>
      <c r="L30" s="688">
        <f>SUMIFS('4.1 Program Budget 2028-2031'!$N$16:$N$303, '4.1 Program Budget 2028-2031'!$J$16:$J$303, '0 Validations'!L$29, '4.1 Program Budget 2028-2031'!$M$16:$M$303, '0 Validations'!$D30)</f>
        <v>0</v>
      </c>
      <c r="M30" s="688">
        <f>SUMIFS('4.1 Program Budget 2028-2031'!$N$16:$N$303, '4.1 Program Budget 2028-2031'!$J$16:$J$303, '0 Validations'!M$29, '4.1 Program Budget 2028-2031'!$M$16:$M$303, '0 Validations'!$D30)</f>
        <v>0</v>
      </c>
      <c r="N30" s="688">
        <f>SUMIFS('4.1 Program Budget 2028-2031'!$N$16:$N$303, '4.1 Program Budget 2028-2031'!$J$16:$J$303, '0 Validations'!N$29, '4.1 Program Budget 2028-2031'!$M$16:$M$303, '0 Validations'!$D30)</f>
        <v>10092165.5382</v>
      </c>
      <c r="O30" s="688">
        <f>SUMIFS('4.1 Program Budget 2028-2031'!$N$16:$N$303, '4.1 Program Budget 2028-2031'!$J$16:$J$303, '0 Validations'!O$29, '4.1 Program Budget 2028-2031'!$M$16:$M$303, '0 Validations'!$D30)</f>
        <v>3502200.2727999999</v>
      </c>
      <c r="P30" s="689">
        <f>SUMIFS('4.1 Program Budget 2028-2031'!$N$16:$N$303, '4.1 Program Budget 2028-2031'!$J$16:$J$303, '0 Validations'!P$29, '4.1 Program Budget 2028-2031'!$M$16:$M$303, '0 Validations'!$D30)</f>
        <v>0</v>
      </c>
      <c r="Q30" s="66">
        <f>IF(AND(SUM(E30:O30)=D10,SUM(E30:O30)=D11,SUM(E30:O30)=D12,SUM(E30:O30)=D13,SUM(E30:O30)=D14)=TRUE,0,"ERROR")</f>
        <v>0</v>
      </c>
      <c r="R30" s="686"/>
      <c r="S30" s="669"/>
      <c r="T30" s="67"/>
      <c r="U30" s="686"/>
      <c r="V30" s="686"/>
      <c r="W30" s="669"/>
      <c r="X30" s="67"/>
      <c r="Y30" s="686"/>
      <c r="Z30" s="686"/>
      <c r="AA30" s="669"/>
      <c r="AB30" s="67"/>
      <c r="AC30" s="686"/>
      <c r="AD30" s="686"/>
      <c r="AE30" s="669"/>
      <c r="AF30" s="67"/>
      <c r="AG30" s="686"/>
      <c r="AH30" s="686"/>
      <c r="AI30" s="669"/>
      <c r="AJ30" s="67"/>
    </row>
    <row r="31" spans="3:36">
      <c r="C31" s="669"/>
      <c r="D31" s="434">
        <v>2029</v>
      </c>
      <c r="E31" s="688">
        <f>SUMIFS('4.1 Program Budget 2028-2031'!$N$16:$N$303, '4.1 Program Budget 2028-2031'!$J$16:$J$303, '0 Validations'!E$29, '4.1 Program Budget 2028-2031'!$M$16:$M$303, '0 Validations'!$D31)</f>
        <v>23965558.400915883</v>
      </c>
      <c r="F31" s="688">
        <f>SUMIFS('4.1 Program Budget 2028-2031'!$N$16:$N$303, '4.1 Program Budget 2028-2031'!$J$16:$J$303, '0 Validations'!F$29, '4.1 Program Budget 2028-2031'!$M$16:$M$303, '0 Validations'!$D31)</f>
        <v>20057915.073038626</v>
      </c>
      <c r="G31" s="688">
        <f>SUMIFS('4.1 Program Budget 2028-2031'!$N$16:$N$303, '4.1 Program Budget 2028-2031'!$J$16:$J$303, '0 Validations'!G$29, '4.1 Program Budget 2028-2031'!$M$16:$M$303, '0 Validations'!$D31)</f>
        <v>9633096.8998599984</v>
      </c>
      <c r="H31" s="688">
        <f>SUMIFS('4.1 Program Budget 2028-2031'!$N$16:$N$303, '4.1 Program Budget 2028-2031'!$J$16:$J$303, '0 Validations'!H$29, '4.1 Program Budget 2028-2031'!$M$16:$M$303, '0 Validations'!$D31)</f>
        <v>105989.16617011999</v>
      </c>
      <c r="I31" s="688">
        <f>SUMIFS('4.1 Program Budget 2028-2031'!$N$16:$N$303, '4.1 Program Budget 2028-2031'!$J$16:$J$303, '0 Validations'!I$29, '4.1 Program Budget 2028-2031'!$M$16:$M$303, '0 Validations'!$D31)</f>
        <v>1178300.4877364999</v>
      </c>
      <c r="J31" s="688">
        <f>SUMIFS('4.1 Program Budget 2028-2031'!$N$16:$N$303, '4.1 Program Budget 2028-2031'!$J$16:$J$303, '0 Validations'!J$29, '4.1 Program Budget 2028-2031'!$M$16:$M$303, '0 Validations'!$D31)</f>
        <v>0</v>
      </c>
      <c r="K31" s="688">
        <f>SUMIFS('4.1 Program Budget 2028-2031'!$N$16:$N$303, '4.1 Program Budget 2028-2031'!$J$16:$J$303, '0 Validations'!K$29, '4.1 Program Budget 2028-2031'!$M$16:$M$303, '0 Validations'!$D31)</f>
        <v>0</v>
      </c>
      <c r="L31" s="688">
        <f>SUMIFS('4.1 Program Budget 2028-2031'!$N$16:$N$303, '4.1 Program Budget 2028-2031'!$J$16:$J$303, '0 Validations'!L$29, '4.1 Program Budget 2028-2031'!$M$16:$M$303, '0 Validations'!$D31)</f>
        <v>0</v>
      </c>
      <c r="M31" s="688">
        <f>SUMIFS('4.1 Program Budget 2028-2031'!$N$16:$N$303, '4.1 Program Budget 2028-2031'!$J$16:$J$303, '0 Validations'!M$29, '4.1 Program Budget 2028-2031'!$M$16:$M$303, '0 Validations'!$D31)</f>
        <v>0</v>
      </c>
      <c r="N31" s="688">
        <f>SUMIFS('4.1 Program Budget 2028-2031'!$N$16:$N$303, '4.1 Program Budget 2028-2031'!$J$16:$J$303, '0 Validations'!N$29, '4.1 Program Budget 2028-2031'!$M$16:$M$303, '0 Validations'!$D31)</f>
        <v>10168905.1249</v>
      </c>
      <c r="O31" s="688">
        <f>SUMIFS('4.1 Program Budget 2028-2031'!$N$16:$N$303, '4.1 Program Budget 2028-2031'!$J$16:$J$303, '0 Validations'!O$29, '4.1 Program Budget 2028-2031'!$M$16:$M$303, '0 Validations'!$D31)</f>
        <v>2650837.3106</v>
      </c>
      <c r="P31" s="689">
        <f>SUMIFS('4.1 Program Budget 2028-2031'!$N$16:$N$303, '4.1 Program Budget 2028-2031'!$J$16:$J$303, '0 Validations'!P$29, '4.1 Program Budget 2028-2031'!$M$16:$M$303, '0 Validations'!$D31)</f>
        <v>0</v>
      </c>
      <c r="Q31" s="66">
        <f>IF(AND(SUM(E31:O31)=E10,SUM(E31:O31)=E11,SUM(E31:O31)=E12,SUM(E31:O31)=E13,SUM(E31:O31)=E14)=TRUE,0,"ERROR")</f>
        <v>0</v>
      </c>
      <c r="R31" s="686"/>
      <c r="S31" s="669"/>
      <c r="T31" s="67"/>
      <c r="U31" s="686"/>
      <c r="V31" s="686"/>
      <c r="W31" s="669"/>
      <c r="X31" s="67"/>
      <c r="Y31" s="686"/>
      <c r="Z31" s="686"/>
      <c r="AA31" s="669"/>
      <c r="AB31" s="67"/>
      <c r="AC31" s="686"/>
      <c r="AD31" s="686"/>
      <c r="AE31" s="669"/>
      <c r="AF31" s="67"/>
      <c r="AG31" s="686"/>
      <c r="AH31" s="686"/>
      <c r="AI31" s="669"/>
      <c r="AJ31" s="67"/>
    </row>
    <row r="32" spans="3:36">
      <c r="C32" s="669"/>
      <c r="D32" s="434">
        <v>2030</v>
      </c>
      <c r="E32" s="688">
        <f>SUMIFS('4.1 Program Budget 2028-2031'!$N$16:$N$303, '4.1 Program Budget 2028-2031'!$J$16:$J$303, '0 Validations'!E$29, '4.1 Program Budget 2028-2031'!$M$16:$M$303, '0 Validations'!$D32)</f>
        <v>24986710.410867125</v>
      </c>
      <c r="F32" s="688">
        <f>SUMIFS('4.1 Program Budget 2028-2031'!$N$16:$N$303, '4.1 Program Budget 2028-2031'!$J$16:$J$303, '0 Validations'!F$29, '4.1 Program Budget 2028-2031'!$M$16:$M$303, '0 Validations'!$D32)</f>
        <v>20079660.645696625</v>
      </c>
      <c r="G32" s="688">
        <f>SUMIFS('4.1 Program Budget 2028-2031'!$N$16:$N$303, '4.1 Program Budget 2028-2031'!$J$16:$J$303, '0 Validations'!G$29, '4.1 Program Budget 2028-2031'!$M$16:$M$303, '0 Validations'!$D32)</f>
        <v>9398528.4539060015</v>
      </c>
      <c r="H32" s="688">
        <f>SUMIFS('4.1 Program Budget 2028-2031'!$N$16:$N$303, '4.1 Program Budget 2028-2031'!$J$16:$J$303, '0 Validations'!H$29, '4.1 Program Budget 2028-2031'!$M$16:$M$303, '0 Validations'!$D32)</f>
        <v>67462.972516119989</v>
      </c>
      <c r="I32" s="688">
        <f>SUMIFS('4.1 Program Budget 2028-2031'!$N$16:$N$303, '4.1 Program Budget 2028-2031'!$J$16:$J$303, '0 Validations'!I$29, '4.1 Program Budget 2028-2031'!$M$16:$M$303, '0 Validations'!$D32)</f>
        <v>1209222.8879052002</v>
      </c>
      <c r="J32" s="688">
        <f>SUMIFS('4.1 Program Budget 2028-2031'!$N$16:$N$303, '4.1 Program Budget 2028-2031'!$J$16:$J$303, '0 Validations'!J$29, '4.1 Program Budget 2028-2031'!$M$16:$M$303, '0 Validations'!$D32)</f>
        <v>0</v>
      </c>
      <c r="K32" s="688">
        <f>SUMIFS('4.1 Program Budget 2028-2031'!$N$16:$N$303, '4.1 Program Budget 2028-2031'!$J$16:$J$303, '0 Validations'!K$29, '4.1 Program Budget 2028-2031'!$M$16:$M$303, '0 Validations'!$D32)</f>
        <v>0</v>
      </c>
      <c r="L32" s="688">
        <f>SUMIFS('4.1 Program Budget 2028-2031'!$N$16:$N$303, '4.1 Program Budget 2028-2031'!$J$16:$J$303, '0 Validations'!L$29, '4.1 Program Budget 2028-2031'!$M$16:$M$303, '0 Validations'!$D32)</f>
        <v>0</v>
      </c>
      <c r="M32" s="688">
        <f>SUMIFS('4.1 Program Budget 2028-2031'!$N$16:$N$303, '4.1 Program Budget 2028-2031'!$J$16:$J$303, '0 Validations'!M$29, '4.1 Program Budget 2028-2031'!$M$16:$M$303, '0 Validations'!$D32)</f>
        <v>0</v>
      </c>
      <c r="N32" s="688">
        <f>SUMIFS('4.1 Program Budget 2028-2031'!$N$16:$N$303, '4.1 Program Budget 2028-2031'!$J$16:$J$303, '0 Validations'!N$29, '4.1 Program Budget 2028-2031'!$M$16:$M$303, '0 Validations'!$D32)</f>
        <v>10311409.409599999</v>
      </c>
      <c r="O32" s="688">
        <f>SUMIFS('4.1 Program Budget 2028-2031'!$N$16:$N$303, '4.1 Program Budget 2028-2031'!$J$16:$J$303, '0 Validations'!O$29, '4.1 Program Budget 2028-2031'!$M$16:$M$303, '0 Validations'!$D32)</f>
        <v>2723564.7983000004</v>
      </c>
      <c r="P32" s="689">
        <f>SUMIFS('4.1 Program Budget 2028-2031'!$N$16:$N$303, '4.1 Program Budget 2028-2031'!$J$16:$J$303, '0 Validations'!P$29, '4.1 Program Budget 2028-2031'!$M$16:$M$303, '0 Validations'!$D32)</f>
        <v>0</v>
      </c>
      <c r="Q32" s="66">
        <f>IF(AND(SUM(E32:O32)=F10,SUM(E32:O32)=F11,SUM(E32:O32)=F12,SUM(E32:O32)=F13,SUM(E32:O32)=F14)=TRUE,0,"ERROR")</f>
        <v>0</v>
      </c>
      <c r="R32" s="686"/>
      <c r="S32" s="669"/>
      <c r="T32" s="67"/>
      <c r="U32" s="686"/>
      <c r="V32" s="686"/>
      <c r="W32" s="669"/>
      <c r="X32" s="67"/>
      <c r="Y32" s="686"/>
      <c r="Z32" s="686"/>
      <c r="AA32" s="669"/>
      <c r="AB32" s="67"/>
      <c r="AC32" s="686"/>
      <c r="AD32" s="686"/>
      <c r="AE32" s="669"/>
      <c r="AF32" s="67"/>
      <c r="AG32" s="686"/>
      <c r="AH32" s="686"/>
      <c r="AI32" s="669"/>
      <c r="AJ32" s="67"/>
    </row>
    <row r="33" spans="3:36">
      <c r="C33" s="669"/>
      <c r="D33" s="434">
        <v>2031</v>
      </c>
      <c r="E33" s="688">
        <f>SUMIFS('4.1 Program Budget 2028-2031'!$N$16:$N$303, '4.1 Program Budget 2028-2031'!$J$16:$J$303, '0 Validations'!E$29, '4.1 Program Budget 2028-2031'!$M$16:$M$303, '0 Validations'!$D33)</f>
        <v>28883026.811924193</v>
      </c>
      <c r="F33" s="688">
        <f>SUMIFS('4.1 Program Budget 2028-2031'!$N$16:$N$303, '4.1 Program Budget 2028-2031'!$J$16:$J$303, '0 Validations'!F$29, '4.1 Program Budget 2028-2031'!$M$16:$M$303, '0 Validations'!$D33)</f>
        <v>19950649.008006822</v>
      </c>
      <c r="G33" s="688">
        <f>SUMIFS('4.1 Program Budget 2028-2031'!$N$16:$N$303, '4.1 Program Budget 2028-2031'!$J$16:$J$303, '0 Validations'!G$29, '4.1 Program Budget 2028-2031'!$M$16:$M$303, '0 Validations'!$D33)</f>
        <v>9368052.2658999991</v>
      </c>
      <c r="H33" s="688">
        <f>SUMIFS('4.1 Program Budget 2028-2031'!$N$16:$N$303, '4.1 Program Budget 2028-2031'!$J$16:$J$303, '0 Validations'!H$29, '4.1 Program Budget 2028-2031'!$M$16:$M$303, '0 Validations'!$D33)</f>
        <v>69828.336810120003</v>
      </c>
      <c r="I33" s="688">
        <f>SUMIFS('4.1 Program Budget 2028-2031'!$N$16:$N$303, '4.1 Program Budget 2028-2031'!$J$16:$J$303, '0 Validations'!I$29, '4.1 Program Budget 2028-2031'!$M$16:$M$303, '0 Validations'!$D33)</f>
        <v>1222318.061059</v>
      </c>
      <c r="J33" s="688">
        <f>SUMIFS('4.1 Program Budget 2028-2031'!$N$16:$N$303, '4.1 Program Budget 2028-2031'!$J$16:$J$303, '0 Validations'!J$29, '4.1 Program Budget 2028-2031'!$M$16:$M$303, '0 Validations'!$D33)</f>
        <v>0</v>
      </c>
      <c r="K33" s="688">
        <f>SUMIFS('4.1 Program Budget 2028-2031'!$N$16:$N$303, '4.1 Program Budget 2028-2031'!$J$16:$J$303, '0 Validations'!K$29, '4.1 Program Budget 2028-2031'!$M$16:$M$303, '0 Validations'!$D33)</f>
        <v>0</v>
      </c>
      <c r="L33" s="688">
        <f>SUMIFS('4.1 Program Budget 2028-2031'!$N$16:$N$303, '4.1 Program Budget 2028-2031'!$J$16:$J$303, '0 Validations'!L$29, '4.1 Program Budget 2028-2031'!$M$16:$M$303, '0 Validations'!$D33)</f>
        <v>0</v>
      </c>
      <c r="M33" s="688">
        <f>SUMIFS('4.1 Program Budget 2028-2031'!$N$16:$N$303, '4.1 Program Budget 2028-2031'!$J$16:$J$303, '0 Validations'!M$29, '4.1 Program Budget 2028-2031'!$M$16:$M$303, '0 Validations'!$D33)</f>
        <v>0</v>
      </c>
      <c r="N33" s="688">
        <f>SUMIFS('4.1 Program Budget 2028-2031'!$N$16:$N$303, '4.1 Program Budget 2028-2031'!$J$16:$J$303, '0 Validations'!N$29, '4.1 Program Budget 2028-2031'!$M$16:$M$303, '0 Validations'!$D33)</f>
        <v>9539964.9478000011</v>
      </c>
      <c r="O33" s="688">
        <f>SUMIFS('4.1 Program Budget 2028-2031'!$N$16:$N$303, '4.1 Program Budget 2028-2031'!$J$16:$J$303, '0 Validations'!O$29, '4.1 Program Budget 2028-2031'!$M$16:$M$303, '0 Validations'!$D33)</f>
        <v>2798497.9663</v>
      </c>
      <c r="P33" s="689">
        <f>SUMIFS('4.1 Program Budget 2028-2031'!$N$16:$N$303, '4.1 Program Budget 2028-2031'!$J$16:$J$303, '0 Validations'!P$29, '4.1 Program Budget 2028-2031'!$M$16:$M$303, '0 Validations'!$D33)</f>
        <v>0</v>
      </c>
      <c r="Q33" s="66">
        <f>IF(AND(SUM(E33:O33)=G10,SUM(E33:O33)=G11,SUM(E33:O33)=G12,SUM(E33:O33)=G13,SUM(E33:O33)=G14)=TRUE,0,"ERROR")</f>
        <v>0</v>
      </c>
      <c r="R33" s="686"/>
      <c r="S33" s="669"/>
      <c r="T33" s="67"/>
      <c r="U33" s="686"/>
      <c r="V33" s="686"/>
      <c r="W33" s="669"/>
      <c r="X33" s="67"/>
      <c r="Y33" s="686"/>
      <c r="Z33" s="686"/>
      <c r="AA33" s="669"/>
      <c r="AB33" s="67"/>
      <c r="AC33" s="686"/>
      <c r="AD33" s="686"/>
      <c r="AE33" s="669"/>
      <c r="AF33" s="67"/>
      <c r="AG33" s="686"/>
      <c r="AH33" s="686"/>
      <c r="AI33" s="669"/>
      <c r="AJ33" s="67"/>
    </row>
    <row r="34" spans="3:36">
      <c r="C34" s="669"/>
      <c r="D34" s="434">
        <v>2032</v>
      </c>
      <c r="E34" s="688">
        <f>SUMIFS('4.2 Sector Seg Budget 2032-2035'!$F$13:$F$107, '4.2 Sector Seg Budget 2032-2035'!$C$13:$C$107, '0 Validations'!E$29, '4.2 Sector Seg Budget 2032-2035'!$E$13:$E$107, '0 Validations'!$D34)</f>
        <v>28883026.811924189</v>
      </c>
      <c r="F34" s="688">
        <f>SUMIFS('4.2 Sector Seg Budget 2032-2035'!$F$13:$F$107, '4.2 Sector Seg Budget 2032-2035'!$C$13:$C$107, '0 Validations'!F$29, '4.2 Sector Seg Budget 2032-2035'!$E$13:$E$107, '0 Validations'!$D34)</f>
        <v>19950649.008006826</v>
      </c>
      <c r="G34" s="688">
        <f>SUMIFS('4.2 Sector Seg Budget 2032-2035'!$F$13:$F$107, '4.2 Sector Seg Budget 2032-2035'!$C$13:$C$107, '0 Validations'!G$29, '4.2 Sector Seg Budget 2032-2035'!$E$13:$E$107, '0 Validations'!$D34)</f>
        <v>9368052.2658999991</v>
      </c>
      <c r="H34" s="688">
        <f>SUMIFS('4.2 Sector Seg Budget 2032-2035'!$F$13:$F$107, '4.2 Sector Seg Budget 2032-2035'!$C$13:$C$107, '0 Validations'!H$29, '4.2 Sector Seg Budget 2032-2035'!$E$13:$E$107, '0 Validations'!$D34)</f>
        <v>69828.336810120003</v>
      </c>
      <c r="I34" s="688">
        <f>SUMIFS('4.2 Sector Seg Budget 2032-2035'!$F$13:$F$107, '4.2 Sector Seg Budget 2032-2035'!$C$13:$C$107, '0 Validations'!I$29, '4.2 Sector Seg Budget 2032-2035'!$E$13:$E$107, '0 Validations'!$D34)</f>
        <v>1222318.061059</v>
      </c>
      <c r="J34" s="688">
        <f>SUMIFS('4.2 Sector Seg Budget 2032-2035'!$F$13:$F$107, '4.2 Sector Seg Budget 2032-2035'!$C$13:$C$107, '0 Validations'!J$29, '4.2 Sector Seg Budget 2032-2035'!$E$13:$E$107, '0 Validations'!$D34)</f>
        <v>0</v>
      </c>
      <c r="K34" s="688">
        <f>SUMIFS('4.2 Sector Seg Budget 2032-2035'!$F$13:$F$107, '4.2 Sector Seg Budget 2032-2035'!$C$13:$C$107, '0 Validations'!K$29, '4.2 Sector Seg Budget 2032-2035'!$E$13:$E$107, '0 Validations'!$D34)</f>
        <v>0</v>
      </c>
      <c r="L34" s="688">
        <f>SUMIFS('4.2 Sector Seg Budget 2032-2035'!$F$13:$F$107, '4.2 Sector Seg Budget 2032-2035'!$C$13:$C$107, '0 Validations'!L$29, '4.2 Sector Seg Budget 2032-2035'!$E$13:$E$107, '0 Validations'!$D34)</f>
        <v>0</v>
      </c>
      <c r="M34" s="688">
        <f>SUMIFS('4.2 Sector Seg Budget 2032-2035'!$F$13:$F$107, '4.2 Sector Seg Budget 2032-2035'!$C$13:$C$107, '0 Validations'!M$29, '4.2 Sector Seg Budget 2032-2035'!$E$13:$E$107, '0 Validations'!$D34)</f>
        <v>0</v>
      </c>
      <c r="N34" s="688">
        <f>SUMIFS('4.2 Sector Seg Budget 2032-2035'!$F$13:$F$107, '4.2 Sector Seg Budget 2032-2035'!$C$13:$C$107, '0 Validations'!N$29, '4.2 Sector Seg Budget 2032-2035'!$E$13:$E$107, '0 Validations'!$D34)</f>
        <v>9539964.9477999993</v>
      </c>
      <c r="O34" s="688">
        <f>SUMIFS('4.2 Sector Seg Budget 2032-2035'!$F$13:$F$108, '4.2 Sector Seg Budget 2032-2035'!$C$13:$C$108, '0 Validations'!O$29, '4.2 Sector Seg Budget 2032-2035'!$E$13:$E$108, '0 Validations'!$D34)</f>
        <v>2798497.9663</v>
      </c>
      <c r="P34" s="689">
        <f>SUMIFS('4.2 Sector Seg Budget 2032-2035'!$F$13:$F$107, '4.2 Sector Seg Budget 2032-2035'!$C$13:$C$107, '0 Validations'!P$29, '4.2 Sector Seg Budget 2032-2035'!$E$13:$E$107, '0 Validations'!$D34)</f>
        <v>0</v>
      </c>
      <c r="Q34" s="66">
        <f>IF(AND(SUM(E34:O34)=H10,SUM(E34:O34)=H11)=TRUE,0,"ERROR")</f>
        <v>0</v>
      </c>
      <c r="R34" s="686"/>
      <c r="S34" s="669"/>
      <c r="T34" s="67"/>
      <c r="U34" s="686"/>
      <c r="V34" s="686"/>
      <c r="W34" s="669"/>
      <c r="X34" s="67"/>
      <c r="Y34" s="686"/>
      <c r="Z34" s="686"/>
      <c r="AA34" s="669"/>
      <c r="AB34" s="67"/>
      <c r="AC34" s="686"/>
      <c r="AD34" s="686"/>
      <c r="AE34" s="669"/>
      <c r="AF34" s="67"/>
      <c r="AG34" s="686"/>
      <c r="AH34" s="686"/>
      <c r="AI34" s="669"/>
      <c r="AJ34" s="67"/>
    </row>
    <row r="35" spans="3:36">
      <c r="C35" s="669"/>
      <c r="D35" s="434">
        <v>2033</v>
      </c>
      <c r="E35" s="688">
        <f>SUMIFS('4.2 Sector Seg Budget 2032-2035'!$F$13:$F$107, '4.2 Sector Seg Budget 2032-2035'!$C$13:$C$107, '0 Validations'!E$29, '4.2 Sector Seg Budget 2032-2035'!$E$13:$E$107, '0 Validations'!$D35)</f>
        <v>28883026.811924189</v>
      </c>
      <c r="F35" s="688">
        <f>SUMIFS('4.2 Sector Seg Budget 2032-2035'!$F$13:$F$107, '4.2 Sector Seg Budget 2032-2035'!$C$13:$C$107, '0 Validations'!F$29, '4.2 Sector Seg Budget 2032-2035'!$E$13:$E$107, '0 Validations'!$D35)</f>
        <v>19950649.008006826</v>
      </c>
      <c r="G35" s="688">
        <f>SUMIFS('4.2 Sector Seg Budget 2032-2035'!$F$13:$F$107, '4.2 Sector Seg Budget 2032-2035'!$C$13:$C$107, '0 Validations'!G$29, '4.2 Sector Seg Budget 2032-2035'!$E$13:$E$107, '0 Validations'!$D35)</f>
        <v>9368052.2658999991</v>
      </c>
      <c r="H35" s="688">
        <f>SUMIFS('4.2 Sector Seg Budget 2032-2035'!$F$13:$F$107, '4.2 Sector Seg Budget 2032-2035'!$C$13:$C$107, '0 Validations'!H$29, '4.2 Sector Seg Budget 2032-2035'!$E$13:$E$107, '0 Validations'!$D35)</f>
        <v>69828.336810120003</v>
      </c>
      <c r="I35" s="688">
        <f>SUMIFS('4.2 Sector Seg Budget 2032-2035'!$F$13:$F$107, '4.2 Sector Seg Budget 2032-2035'!$C$13:$C$107, '0 Validations'!I$29, '4.2 Sector Seg Budget 2032-2035'!$E$13:$E$107, '0 Validations'!$D35)</f>
        <v>1222318.061059</v>
      </c>
      <c r="J35" s="688">
        <f>SUMIFS('4.2 Sector Seg Budget 2032-2035'!$F$13:$F$107, '4.2 Sector Seg Budget 2032-2035'!$C$13:$C$107, '0 Validations'!J$29, '4.2 Sector Seg Budget 2032-2035'!$E$13:$E$107, '0 Validations'!$D35)</f>
        <v>0</v>
      </c>
      <c r="K35" s="688">
        <f>SUMIFS('4.2 Sector Seg Budget 2032-2035'!$F$13:$F$107, '4.2 Sector Seg Budget 2032-2035'!$C$13:$C$107, '0 Validations'!K$29, '4.2 Sector Seg Budget 2032-2035'!$E$13:$E$107, '0 Validations'!$D35)</f>
        <v>0</v>
      </c>
      <c r="L35" s="688">
        <f>SUMIFS('4.2 Sector Seg Budget 2032-2035'!$F$13:$F$107, '4.2 Sector Seg Budget 2032-2035'!$C$13:$C$107, '0 Validations'!L$29, '4.2 Sector Seg Budget 2032-2035'!$E$13:$E$107, '0 Validations'!$D35)</f>
        <v>0</v>
      </c>
      <c r="M35" s="688">
        <f>SUMIFS('4.2 Sector Seg Budget 2032-2035'!$F$13:$F$107, '4.2 Sector Seg Budget 2032-2035'!$C$13:$C$107, '0 Validations'!M$29, '4.2 Sector Seg Budget 2032-2035'!$E$13:$E$107, '0 Validations'!$D35)</f>
        <v>0</v>
      </c>
      <c r="N35" s="688">
        <f>SUMIFS('4.2 Sector Seg Budget 2032-2035'!$F$13:$F$107, '4.2 Sector Seg Budget 2032-2035'!$C$13:$C$107, '0 Validations'!N$29, '4.2 Sector Seg Budget 2032-2035'!$E$13:$E$107, '0 Validations'!$D35)</f>
        <v>9539964.9477999993</v>
      </c>
      <c r="O35" s="688">
        <f>SUMIFS('4.2 Sector Seg Budget 2032-2035'!$F$13:$F$108, '4.2 Sector Seg Budget 2032-2035'!$C$13:$C$108, '0 Validations'!O$29, '4.2 Sector Seg Budget 2032-2035'!$E$13:$E$108, '0 Validations'!$D35)</f>
        <v>2798497.9663</v>
      </c>
      <c r="P35" s="689">
        <f>SUMIFS('4.2 Sector Seg Budget 2032-2035'!$F$13:$F$107, '4.2 Sector Seg Budget 2032-2035'!$C$13:$C$107, '0 Validations'!P$29, '4.2 Sector Seg Budget 2032-2035'!$E$13:$E$107, '0 Validations'!$D35)</f>
        <v>0</v>
      </c>
      <c r="Q35" s="66">
        <f>IF(AND(SUM(E35:O35)=I10,SUM(E35:O35)=I11)=TRUE,0,"ERROR")</f>
        <v>0</v>
      </c>
      <c r="R35" s="686"/>
      <c r="S35" s="669"/>
      <c r="T35" s="67"/>
      <c r="U35" s="686"/>
      <c r="V35" s="686"/>
      <c r="W35" s="669"/>
      <c r="X35" s="67"/>
      <c r="Y35" s="686"/>
      <c r="Z35" s="686"/>
      <c r="AA35" s="669"/>
      <c r="AB35" s="67"/>
      <c r="AC35" s="686"/>
      <c r="AD35" s="686"/>
      <c r="AE35" s="669"/>
      <c r="AF35" s="67"/>
      <c r="AG35" s="686"/>
      <c r="AH35" s="686"/>
      <c r="AI35" s="669"/>
      <c r="AJ35" s="67"/>
    </row>
    <row r="36" spans="3:36">
      <c r="C36" s="669"/>
      <c r="D36" s="434">
        <v>2034</v>
      </c>
      <c r="E36" s="688">
        <f>SUMIFS('4.2 Sector Seg Budget 2032-2035'!$F$13:$F$107, '4.2 Sector Seg Budget 2032-2035'!$C$13:$C$107, '0 Validations'!E$29, '4.2 Sector Seg Budget 2032-2035'!$E$13:$E$107, '0 Validations'!$D36)</f>
        <v>28883026.811924189</v>
      </c>
      <c r="F36" s="688">
        <f>SUMIFS('4.2 Sector Seg Budget 2032-2035'!$F$13:$F$107, '4.2 Sector Seg Budget 2032-2035'!$C$13:$C$107, '0 Validations'!F$29, '4.2 Sector Seg Budget 2032-2035'!$E$13:$E$107, '0 Validations'!$D36)</f>
        <v>19950649.008006826</v>
      </c>
      <c r="G36" s="688">
        <f>SUMIFS('4.2 Sector Seg Budget 2032-2035'!$F$13:$F$107, '4.2 Sector Seg Budget 2032-2035'!$C$13:$C$107, '0 Validations'!G$29, '4.2 Sector Seg Budget 2032-2035'!$E$13:$E$107, '0 Validations'!$D36)</f>
        <v>9368052.2658999991</v>
      </c>
      <c r="H36" s="688">
        <f>SUMIFS('4.2 Sector Seg Budget 2032-2035'!$F$13:$F$107, '4.2 Sector Seg Budget 2032-2035'!$C$13:$C$107, '0 Validations'!H$29, '4.2 Sector Seg Budget 2032-2035'!$E$13:$E$107, '0 Validations'!$D36)</f>
        <v>69828.336810120003</v>
      </c>
      <c r="I36" s="688">
        <f>SUMIFS('4.2 Sector Seg Budget 2032-2035'!$F$13:$F$107, '4.2 Sector Seg Budget 2032-2035'!$C$13:$C$107, '0 Validations'!I$29, '4.2 Sector Seg Budget 2032-2035'!$E$13:$E$107, '0 Validations'!$D36)</f>
        <v>1222318.061059</v>
      </c>
      <c r="J36" s="688">
        <f>SUMIFS('4.2 Sector Seg Budget 2032-2035'!$F$13:$F$107, '4.2 Sector Seg Budget 2032-2035'!$C$13:$C$107, '0 Validations'!J$29, '4.2 Sector Seg Budget 2032-2035'!$E$13:$E$107, '0 Validations'!$D36)</f>
        <v>0</v>
      </c>
      <c r="K36" s="688">
        <f>SUMIFS('4.2 Sector Seg Budget 2032-2035'!$F$13:$F$107, '4.2 Sector Seg Budget 2032-2035'!$C$13:$C$107, '0 Validations'!K$29, '4.2 Sector Seg Budget 2032-2035'!$E$13:$E$107, '0 Validations'!$D36)</f>
        <v>0</v>
      </c>
      <c r="L36" s="688">
        <f>SUMIFS('4.2 Sector Seg Budget 2032-2035'!$F$13:$F$107, '4.2 Sector Seg Budget 2032-2035'!$C$13:$C$107, '0 Validations'!L$29, '4.2 Sector Seg Budget 2032-2035'!$E$13:$E$107, '0 Validations'!$D36)</f>
        <v>0</v>
      </c>
      <c r="M36" s="688">
        <f>SUMIFS('4.2 Sector Seg Budget 2032-2035'!$F$13:$F$107, '4.2 Sector Seg Budget 2032-2035'!$C$13:$C$107, '0 Validations'!M$29, '4.2 Sector Seg Budget 2032-2035'!$E$13:$E$107, '0 Validations'!$D36)</f>
        <v>0</v>
      </c>
      <c r="N36" s="688">
        <f>SUMIFS('4.2 Sector Seg Budget 2032-2035'!$F$13:$F$107, '4.2 Sector Seg Budget 2032-2035'!$C$13:$C$107, '0 Validations'!N$29, '4.2 Sector Seg Budget 2032-2035'!$E$13:$E$107, '0 Validations'!$D36)</f>
        <v>9539964.9477999993</v>
      </c>
      <c r="O36" s="688">
        <f>SUMIFS('4.2 Sector Seg Budget 2032-2035'!$F$13:$F$108, '4.2 Sector Seg Budget 2032-2035'!$C$13:$C$108, '0 Validations'!O$29, '4.2 Sector Seg Budget 2032-2035'!$E$13:$E$108, '0 Validations'!$D36)</f>
        <v>2798497.9663</v>
      </c>
      <c r="P36" s="689">
        <f>SUMIFS('4.2 Sector Seg Budget 2032-2035'!$F$13:$F$107, '4.2 Sector Seg Budget 2032-2035'!$C$13:$C$107, '0 Validations'!P$29, '4.2 Sector Seg Budget 2032-2035'!$E$13:$E$107, '0 Validations'!$D36)</f>
        <v>0</v>
      </c>
      <c r="Q36" s="66">
        <f>IF(AND(SUM(E36:O36)=J10,SUM(E36:O36)=J11)=TRUE,0,"ERROR")</f>
        <v>0</v>
      </c>
      <c r="R36" s="686"/>
      <c r="S36" s="669"/>
      <c r="T36" s="67"/>
      <c r="U36" s="686"/>
      <c r="V36" s="686"/>
      <c r="W36" s="669"/>
      <c r="X36" s="67"/>
      <c r="Y36" s="686"/>
      <c r="Z36" s="686"/>
      <c r="AA36" s="669"/>
      <c r="AB36" s="67"/>
      <c r="AC36" s="686"/>
      <c r="AD36" s="686"/>
      <c r="AE36" s="669"/>
      <c r="AF36" s="67"/>
      <c r="AG36" s="686"/>
      <c r="AH36" s="686"/>
      <c r="AI36" s="669"/>
      <c r="AJ36" s="67"/>
    </row>
    <row r="37" spans="3:36" ht="15.75" thickBot="1">
      <c r="C37" s="669"/>
      <c r="D37" s="435">
        <v>2035</v>
      </c>
      <c r="E37" s="693">
        <f>SUMIFS('4.2 Sector Seg Budget 2032-2035'!$F$13:$F$107, '4.2 Sector Seg Budget 2032-2035'!$C$13:$C$107, '0 Validations'!E$29, '4.2 Sector Seg Budget 2032-2035'!$E$13:$E$107, '0 Validations'!$D37)</f>
        <v>28883026.811924189</v>
      </c>
      <c r="F37" s="693">
        <f>SUMIFS('4.2 Sector Seg Budget 2032-2035'!$F$13:$F$107, '4.2 Sector Seg Budget 2032-2035'!$C$13:$C$107, '0 Validations'!F$29, '4.2 Sector Seg Budget 2032-2035'!$E$13:$E$107, '0 Validations'!$D37)</f>
        <v>19950649.008006826</v>
      </c>
      <c r="G37" s="693">
        <f>SUMIFS('4.2 Sector Seg Budget 2032-2035'!$F$13:$F$107, '4.2 Sector Seg Budget 2032-2035'!$C$13:$C$107, '0 Validations'!G$29, '4.2 Sector Seg Budget 2032-2035'!$E$13:$E$107, '0 Validations'!$D37)</f>
        <v>9368052.2658999991</v>
      </c>
      <c r="H37" s="693">
        <f>SUMIFS('4.2 Sector Seg Budget 2032-2035'!$F$13:$F$107, '4.2 Sector Seg Budget 2032-2035'!$C$13:$C$107, '0 Validations'!H$29, '4.2 Sector Seg Budget 2032-2035'!$E$13:$E$107, '0 Validations'!$D37)</f>
        <v>69828.336810120003</v>
      </c>
      <c r="I37" s="693">
        <f>SUMIFS('4.2 Sector Seg Budget 2032-2035'!$F$13:$F$107, '4.2 Sector Seg Budget 2032-2035'!$C$13:$C$107, '0 Validations'!I$29, '4.2 Sector Seg Budget 2032-2035'!$E$13:$E$107, '0 Validations'!$D37)</f>
        <v>1222318.061059</v>
      </c>
      <c r="J37" s="693">
        <f>SUMIFS('4.2 Sector Seg Budget 2032-2035'!$F$13:$F$107, '4.2 Sector Seg Budget 2032-2035'!$C$13:$C$107, '0 Validations'!J$29, '4.2 Sector Seg Budget 2032-2035'!$E$13:$E$107, '0 Validations'!$D37)</f>
        <v>0</v>
      </c>
      <c r="K37" s="693">
        <f>SUMIFS('4.2 Sector Seg Budget 2032-2035'!$F$13:$F$107, '4.2 Sector Seg Budget 2032-2035'!$C$13:$C$107, '0 Validations'!K$29, '4.2 Sector Seg Budget 2032-2035'!$E$13:$E$107, '0 Validations'!$D37)</f>
        <v>0</v>
      </c>
      <c r="L37" s="693">
        <f>SUMIFS('4.2 Sector Seg Budget 2032-2035'!$F$13:$F$107, '4.2 Sector Seg Budget 2032-2035'!$C$13:$C$107, '0 Validations'!L$29, '4.2 Sector Seg Budget 2032-2035'!$E$13:$E$107, '0 Validations'!$D37)</f>
        <v>0</v>
      </c>
      <c r="M37" s="693">
        <f>SUMIFS('4.2 Sector Seg Budget 2032-2035'!$F$13:$F$107, '4.2 Sector Seg Budget 2032-2035'!$C$13:$C$107, '0 Validations'!M$29, '4.2 Sector Seg Budget 2032-2035'!$E$13:$E$107, '0 Validations'!$D37)</f>
        <v>0</v>
      </c>
      <c r="N37" s="693">
        <f>SUMIFS('4.2 Sector Seg Budget 2032-2035'!$F$13:$F$107, '4.2 Sector Seg Budget 2032-2035'!$C$13:$C$107, '0 Validations'!N$29, '4.2 Sector Seg Budget 2032-2035'!$E$13:$E$107, '0 Validations'!$D37)</f>
        <v>9539964.9477999993</v>
      </c>
      <c r="O37" s="693">
        <f>SUMIFS('4.2 Sector Seg Budget 2032-2035'!$F$13:$F$108, '4.2 Sector Seg Budget 2032-2035'!$C$13:$C$108, '0 Validations'!O$29, '4.2 Sector Seg Budget 2032-2035'!$E$13:$E$108, '0 Validations'!$D37)</f>
        <v>2798497.9663</v>
      </c>
      <c r="P37" s="696">
        <f>SUMIFS('4.2 Sector Seg Budget 2032-2035'!$F$13:$F$107, '4.2 Sector Seg Budget 2032-2035'!$C$13:$C$107, '0 Validations'!P$29, '4.2 Sector Seg Budget 2032-2035'!$E$13:$E$107, '0 Validations'!$D37)</f>
        <v>0</v>
      </c>
      <c r="Q37" s="66">
        <f>IF(AND(SUM(E37:O37)=K10,SUM(E37:O37)=K11)=TRUE,0,"ERROR")</f>
        <v>0</v>
      </c>
      <c r="R37" s="686"/>
      <c r="S37" s="669"/>
      <c r="T37" s="67"/>
      <c r="U37" s="686"/>
      <c r="V37" s="686"/>
      <c r="W37" s="669"/>
      <c r="X37" s="67"/>
      <c r="Y37" s="686"/>
      <c r="Z37" s="686"/>
      <c r="AA37" s="669"/>
      <c r="AB37" s="67"/>
      <c r="AC37" s="686"/>
      <c r="AD37" s="686"/>
      <c r="AE37" s="669"/>
      <c r="AF37" s="67"/>
      <c r="AG37" s="686"/>
      <c r="AH37" s="686"/>
      <c r="AI37" s="669"/>
      <c r="AJ37" s="67"/>
    </row>
    <row r="38" spans="3:36" ht="15.75">
      <c r="C38" s="233"/>
      <c r="D38" s="700" t="s">
        <v>189</v>
      </c>
      <c r="E38" s="669"/>
      <c r="F38" s="669"/>
      <c r="G38" s="669"/>
      <c r="H38" s="669"/>
      <c r="I38" s="669"/>
      <c r="J38" s="669"/>
      <c r="K38" s="669"/>
      <c r="L38" s="669"/>
      <c r="M38" s="669"/>
      <c r="N38" s="669"/>
      <c r="O38" s="669"/>
      <c r="P38"/>
      <c r="Q38" s="669"/>
      <c r="R38" s="669"/>
      <c r="S38" s="669"/>
      <c r="T38" s="669"/>
      <c r="U38" s="669"/>
      <c r="V38" s="669"/>
      <c r="W38" s="669"/>
      <c r="X38" s="669"/>
      <c r="Y38" s="669"/>
      <c r="Z38" s="669"/>
      <c r="AA38" s="669"/>
      <c r="AB38" s="669"/>
      <c r="AC38" s="669"/>
      <c r="AD38" s="669"/>
      <c r="AE38" s="669"/>
      <c r="AF38" s="669"/>
      <c r="AG38" s="669"/>
      <c r="AH38" s="669"/>
      <c r="AI38" s="669"/>
      <c r="AJ38" s="669"/>
    </row>
    <row r="39" spans="3:36" ht="15.75">
      <c r="C39"/>
      <c r="D39" s="700" t="s">
        <v>190</v>
      </c>
      <c r="E39"/>
      <c r="F39"/>
      <c r="G39"/>
      <c r="H39"/>
      <c r="I39"/>
      <c r="J39"/>
      <c r="K39"/>
      <c r="L39"/>
      <c r="M39"/>
      <c r="N39"/>
      <c r="O39"/>
      <c r="P39"/>
      <c r="Q39" s="669"/>
      <c r="R39" s="669"/>
      <c r="S39" s="669"/>
      <c r="T39" s="669"/>
      <c r="U39" s="669"/>
      <c r="V39" s="669"/>
      <c r="W39" s="669"/>
      <c r="X39" s="669"/>
      <c r="Y39" s="669"/>
      <c r="Z39" s="669"/>
      <c r="AA39" s="669"/>
      <c r="AB39" s="669"/>
      <c r="AC39" s="669"/>
      <c r="AD39" s="669"/>
      <c r="AE39" s="669"/>
      <c r="AF39" s="669"/>
      <c r="AG39" s="669"/>
      <c r="AH39" s="669"/>
      <c r="AI39" s="669"/>
      <c r="AJ39" s="669"/>
    </row>
    <row r="40" spans="3:36" ht="15.75">
      <c r="C40"/>
      <c r="D40" s="700" t="s">
        <v>191</v>
      </c>
      <c r="E40"/>
      <c r="F40"/>
      <c r="G40"/>
      <c r="H40"/>
      <c r="I40"/>
      <c r="J40"/>
      <c r="K40"/>
      <c r="L40"/>
      <c r="M40"/>
      <c r="N40"/>
      <c r="O40"/>
      <c r="P40"/>
      <c r="Q40" s="669"/>
      <c r="R40" s="669"/>
      <c r="S40" s="669"/>
      <c r="T40" s="669"/>
      <c r="U40" s="669"/>
      <c r="V40" s="669"/>
      <c r="W40" s="669"/>
      <c r="X40" s="669"/>
      <c r="Y40" s="669"/>
      <c r="Z40" s="669"/>
      <c r="AA40" s="669"/>
      <c r="AB40" s="669"/>
      <c r="AC40" s="669"/>
      <c r="AD40" s="669"/>
      <c r="AE40" s="669"/>
      <c r="AF40" s="669"/>
      <c r="AG40" s="669"/>
      <c r="AH40" s="669"/>
      <c r="AI40" s="669"/>
      <c r="AJ40" s="669"/>
    </row>
  </sheetData>
  <mergeCells count="11">
    <mergeCell ref="AF20:AI20"/>
    <mergeCell ref="D20:G20"/>
    <mergeCell ref="H20:K20"/>
    <mergeCell ref="L20:O20"/>
    <mergeCell ref="P20:S20"/>
    <mergeCell ref="T20:W20"/>
    <mergeCell ref="B2:B3"/>
    <mergeCell ref="C2:G3"/>
    <mergeCell ref="C4:G4"/>
    <mergeCell ref="X20:AA20"/>
    <mergeCell ref="AB20:AE20"/>
  </mergeCells>
  <pageMargins left="0.25" right="0.25" top="0.75" bottom="0.75" header="0.3" footer="0.3"/>
  <pageSetup paperSize="17" scale="44" orientation="landscape"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4B661-16D7-4BCA-8C13-0621C08201C8}">
  <sheetPr codeName="Sheet3">
    <tabColor theme="4"/>
  </sheetPr>
  <dimension ref="B1:J57"/>
  <sheetViews>
    <sheetView showGridLines="0" zoomScaleNormal="100" workbookViewId="0">
      <pane ySplit="11" topLeftCell="A12" activePane="bottomLeft" state="frozen"/>
      <selection pane="bottomLeft" activeCell="D18" sqref="D18"/>
    </sheetView>
  </sheetViews>
  <sheetFormatPr defaultColWidth="9" defaultRowHeight="15"/>
  <cols>
    <col min="1" max="1" width="10.75" style="144" customWidth="1"/>
    <col min="2" max="2" width="19.75" style="144" customWidth="1"/>
    <col min="3" max="3" width="15.25" style="144" customWidth="1"/>
    <col min="4" max="10" width="15.625" style="144" customWidth="1"/>
    <col min="11" max="11" width="17.5" style="144" customWidth="1"/>
    <col min="12" max="12" width="14.25" style="144" customWidth="1"/>
    <col min="13" max="13" width="15.75" style="144" customWidth="1"/>
    <col min="14" max="14" width="11.125" style="144" customWidth="1"/>
    <col min="15" max="15" width="15.75" style="144" customWidth="1"/>
    <col min="16" max="16" width="13.75" style="144" customWidth="1"/>
    <col min="17" max="17" width="8.75" style="144" customWidth="1"/>
    <col min="18" max="16384" width="9" style="144"/>
  </cols>
  <sheetData>
    <row r="1" spans="2:10" s="155" customFormat="1" ht="15.75" thickBot="1">
      <c r="B1" s="701"/>
      <c r="C1" s="701"/>
      <c r="D1" s="701"/>
      <c r="E1" s="701"/>
      <c r="F1" s="701"/>
      <c r="G1" s="701"/>
      <c r="H1" s="701"/>
      <c r="I1" s="701"/>
      <c r="J1" s="701"/>
    </row>
    <row r="2" spans="2:10" s="155" customFormat="1" ht="33" customHeight="1">
      <c r="B2" s="224" t="s">
        <v>58</v>
      </c>
      <c r="C2" s="868" t="s">
        <v>192</v>
      </c>
      <c r="D2" s="869"/>
      <c r="E2" s="869"/>
      <c r="F2" s="869"/>
      <c r="G2" s="870"/>
      <c r="H2" s="701"/>
      <c r="I2" s="701"/>
      <c r="J2" s="701"/>
    </row>
    <row r="3" spans="2:10" s="155" customFormat="1" ht="33" customHeight="1" thickBot="1">
      <c r="B3" s="436" t="s">
        <v>102</v>
      </c>
      <c r="C3" s="871" t="s">
        <v>193</v>
      </c>
      <c r="D3" s="872"/>
      <c r="E3" s="872"/>
      <c r="F3" s="872"/>
      <c r="G3" s="873"/>
      <c r="H3" s="701"/>
      <c r="I3" s="701"/>
      <c r="J3" s="701"/>
    </row>
    <row r="4" spans="2:10" s="155" customFormat="1" ht="15.75" thickBot="1">
      <c r="B4" s="69"/>
      <c r="C4" s="701"/>
      <c r="D4" s="701"/>
      <c r="E4" s="701"/>
      <c r="F4" s="701"/>
      <c r="G4" s="701"/>
      <c r="H4" s="701"/>
      <c r="I4" s="701"/>
      <c r="J4" s="701"/>
    </row>
    <row r="5" spans="2:10">
      <c r="B5" s="177" t="s">
        <v>104</v>
      </c>
      <c r="C5" s="178" t="str">
        <f>'Read Me'!B10</f>
        <v>SDG&amp;E</v>
      </c>
      <c r="D5" s="701"/>
      <c r="E5" s="70"/>
      <c r="F5" s="70"/>
      <c r="G5" s="70"/>
      <c r="H5" s="70"/>
      <c r="I5" s="70"/>
      <c r="J5" s="70"/>
    </row>
    <row r="6" spans="2:10" ht="15.75" thickBot="1">
      <c r="B6" s="437" t="s">
        <v>105</v>
      </c>
      <c r="C6" s="438" t="str">
        <f>'Read Me'!B11</f>
        <v>2028-2035</v>
      </c>
      <c r="D6" s="701"/>
      <c r="E6" s="70"/>
      <c r="F6" s="70"/>
      <c r="G6" s="70"/>
      <c r="H6" s="70"/>
      <c r="I6" s="70"/>
      <c r="J6" s="70"/>
    </row>
    <row r="7" spans="2:10">
      <c r="B7" s="5"/>
      <c r="C7" s="5"/>
      <c r="D7" s="5"/>
      <c r="E7" s="5"/>
      <c r="F7" s="70"/>
      <c r="G7" s="70"/>
      <c r="H7" s="70"/>
      <c r="I7" s="70"/>
      <c r="J7" s="70"/>
    </row>
    <row r="8" spans="2:10">
      <c r="B8" s="71"/>
      <c r="C8" s="71"/>
      <c r="D8" s="71"/>
      <c r="E8" s="71"/>
      <c r="F8" s="71"/>
      <c r="G8" s="71"/>
      <c r="H8" s="71"/>
      <c r="I8" s="70"/>
      <c r="J8" s="70"/>
    </row>
    <row r="9" spans="2:10">
      <c r="B9" s="405" t="s">
        <v>194</v>
      </c>
      <c r="C9" s="669"/>
      <c r="D9" s="669"/>
      <c r="E9" s="669"/>
      <c r="F9" s="669"/>
      <c r="G9" s="669"/>
      <c r="H9" s="669"/>
      <c r="I9" s="669"/>
      <c r="J9" s="669"/>
    </row>
    <row r="10" spans="2:10" ht="15.75" thickBot="1">
      <c r="B10" s="669"/>
      <c r="C10" s="669"/>
      <c r="D10" s="669"/>
      <c r="E10" s="669"/>
      <c r="F10" s="702"/>
      <c r="G10" s="702"/>
      <c r="H10" s="669"/>
      <c r="I10" s="669"/>
      <c r="J10" s="669"/>
    </row>
    <row r="11" spans="2:10" ht="48" thickBot="1">
      <c r="B11" s="161" t="s">
        <v>195</v>
      </c>
      <c r="C11" s="162" t="s">
        <v>9</v>
      </c>
      <c r="D11" s="228" t="s">
        <v>196</v>
      </c>
      <c r="E11" s="228" t="s">
        <v>197</v>
      </c>
      <c r="F11" s="165" t="s">
        <v>198</v>
      </c>
      <c r="G11" s="165" t="s">
        <v>199</v>
      </c>
      <c r="H11" s="163" t="s">
        <v>200</v>
      </c>
      <c r="I11" s="228" t="s">
        <v>201</v>
      </c>
      <c r="J11" s="164" t="s">
        <v>202</v>
      </c>
    </row>
    <row r="12" spans="2:10">
      <c r="B12" s="159" t="s">
        <v>203</v>
      </c>
      <c r="C12" s="160" t="s">
        <v>204</v>
      </c>
      <c r="D12" s="324">
        <f t="shared" ref="D12:H16" si="0">D17+D22+D27+D32+D37+D42+D47</f>
        <v>278584684.25411326</v>
      </c>
      <c r="E12" s="324">
        <f t="shared" si="0"/>
        <v>7055971.3582747728</v>
      </c>
      <c r="F12" s="325">
        <f>F17+F22+F27+F32+F37+F42+F47</f>
        <v>91926612.109906495</v>
      </c>
      <c r="G12" s="326">
        <f t="shared" si="0"/>
        <v>3619332.4916313076</v>
      </c>
      <c r="H12" s="327">
        <f t="shared" si="0"/>
        <v>95545944.601537809</v>
      </c>
      <c r="I12" s="328">
        <f>F12/D12</f>
        <v>0.32997726474458622</v>
      </c>
      <c r="J12" s="329">
        <f>G12/E12</f>
        <v>0.51294602937791067</v>
      </c>
    </row>
    <row r="13" spans="2:10">
      <c r="B13" s="439">
        <v>2028</v>
      </c>
      <c r="C13" s="440" t="s">
        <v>204</v>
      </c>
      <c r="D13" s="703">
        <f t="shared" si="0"/>
        <v>223555874.8451058</v>
      </c>
      <c r="E13" s="703">
        <f t="shared" si="0"/>
        <v>4296382.5630844636</v>
      </c>
      <c r="F13" s="704">
        <f>F18+F23+F28+F33+F38+F43+F48</f>
        <v>51643294.431184217</v>
      </c>
      <c r="G13" s="704">
        <f>G18+G23+G28+G33+G38+G43+G48</f>
        <v>8747178.7568050884</v>
      </c>
      <c r="H13" s="704">
        <f t="shared" si="0"/>
        <v>60390473.187989309</v>
      </c>
      <c r="I13" s="705">
        <f>F13/D13</f>
        <v>0.23100844237247661</v>
      </c>
      <c r="J13" s="706">
        <f>G13/E13</f>
        <v>2.0359403820234538</v>
      </c>
    </row>
    <row r="14" spans="2:10">
      <c r="B14" s="439">
        <v>2029</v>
      </c>
      <c r="C14" s="440" t="s">
        <v>204</v>
      </c>
      <c r="D14" s="703">
        <f t="shared" si="0"/>
        <v>202243534.53079778</v>
      </c>
      <c r="E14" s="703">
        <f t="shared" si="0"/>
        <v>4034140.247466228</v>
      </c>
      <c r="F14" s="704">
        <f t="shared" si="0"/>
        <v>50877800.288788185</v>
      </c>
      <c r="G14" s="704">
        <f t="shared" si="0"/>
        <v>8110702.4980969215</v>
      </c>
      <c r="H14" s="704">
        <f t="shared" si="0"/>
        <v>58988502.786885105</v>
      </c>
      <c r="I14" s="705">
        <f t="shared" ref="I14:I17" si="1">F14/D14</f>
        <v>0.25156700512984992</v>
      </c>
      <c r="J14" s="706">
        <f t="shared" ref="J14:J18" si="2">G14/E14</f>
        <v>2.0105157482294054</v>
      </c>
    </row>
    <row r="15" spans="2:10">
      <c r="B15" s="439">
        <v>2030</v>
      </c>
      <c r="C15" s="440" t="s">
        <v>204</v>
      </c>
      <c r="D15" s="703">
        <f t="shared" si="0"/>
        <v>211671831.70455411</v>
      </c>
      <c r="E15" s="703">
        <f t="shared" si="0"/>
        <v>3911260.135659927</v>
      </c>
      <c r="F15" s="704">
        <f t="shared" si="0"/>
        <v>58339959.430978738</v>
      </c>
      <c r="G15" s="704">
        <f t="shared" si="0"/>
        <v>7987586.4274469512</v>
      </c>
      <c r="H15" s="704">
        <f t="shared" si="0"/>
        <v>66327545.858425692</v>
      </c>
      <c r="I15" s="705">
        <f t="shared" si="1"/>
        <v>0.27561513008687949</v>
      </c>
      <c r="J15" s="706">
        <f t="shared" si="2"/>
        <v>2.0422028068708977</v>
      </c>
    </row>
    <row r="16" spans="2:10" ht="15.75" thickBot="1">
      <c r="B16" s="439">
        <v>2031</v>
      </c>
      <c r="C16" s="440" t="s">
        <v>204</v>
      </c>
      <c r="D16" s="703">
        <f t="shared" si="0"/>
        <v>241873675.19908094</v>
      </c>
      <c r="E16" s="703">
        <f t="shared" si="0"/>
        <v>3883165.2543110242</v>
      </c>
      <c r="F16" s="704">
        <f t="shared" si="0"/>
        <v>74224161.283463717</v>
      </c>
      <c r="G16" s="704">
        <f t="shared" si="0"/>
        <v>8036160.9149345178</v>
      </c>
      <c r="H16" s="704">
        <f t="shared" si="0"/>
        <v>82260322.198398232</v>
      </c>
      <c r="I16" s="705">
        <f t="shared" si="1"/>
        <v>0.30687159825215138</v>
      </c>
      <c r="J16" s="706">
        <f t="shared" si="2"/>
        <v>2.0694872323584241</v>
      </c>
    </row>
    <row r="17" spans="2:10">
      <c r="B17" s="179" t="s">
        <v>203</v>
      </c>
      <c r="C17" s="180" t="s">
        <v>18</v>
      </c>
      <c r="D17" s="324">
        <v>27567859.664139055</v>
      </c>
      <c r="E17" s="324">
        <v>2378420.0482691936</v>
      </c>
      <c r="F17" s="325">
        <v>9478749.0811852533</v>
      </c>
      <c r="G17" s="326">
        <v>1340451.3012841777</v>
      </c>
      <c r="H17" s="327">
        <f>F17+G17</f>
        <v>10819200.382469431</v>
      </c>
      <c r="I17" s="328">
        <f t="shared" si="1"/>
        <v>0.34383333333328892</v>
      </c>
      <c r="J17" s="329">
        <f t="shared" si="2"/>
        <v>0.56358896834040773</v>
      </c>
    </row>
    <row r="18" spans="2:10">
      <c r="B18" s="439">
        <v>2028</v>
      </c>
      <c r="C18" s="440" t="s">
        <v>18</v>
      </c>
      <c r="D18" s="703">
        <f>SUMIFS('Budget Filing Data'!$Q$10:$Q$297,'Budget Filing Data'!$G$10:$G$297,'1 Participant Bill Impacts'!$C18,'Budget Filing Data'!$B$10:$B$297,'1 Participant Bill Impacts'!$B18)</f>
        <v>41471057.735521384</v>
      </c>
      <c r="E18" s="703">
        <f>SUMIFS('Budget Filing Data'!$S$10:$S$297,'Budget Filing Data'!$G$10:$G$297,'1 Participant Bill Impacts'!$C18,'Budget Filing Data'!$B$10:$B$297,'1 Participant Bill Impacts'!$B18)</f>
        <v>1146201.3478977596</v>
      </c>
      <c r="F18" s="704">
        <f>SUMIFS('Budget Filing Data'!BA$10:BA$297,'Budget Filing Data'!$G$10:$G$297,'1 Participant Bill Impacts'!$C18,'Budget Filing Data'!$B$10:$B$297,'1 Participant Bill Impacts'!$B18)</f>
        <v>15751983.83958867</v>
      </c>
      <c r="G18" s="704">
        <f>SUMIFS('Budget Filing Data'!BB$10:BB$297,'Budget Filing Data'!$G$10:$G$297,'1 Participant Bill Impacts'!$C18,'Budget Filing Data'!$B$10:$B$297,'1 Participant Bill Impacts'!$B18)</f>
        <v>2513466.3442499638</v>
      </c>
      <c r="H18" s="704">
        <f>F18+G18</f>
        <v>18265450.183838636</v>
      </c>
      <c r="I18" s="705">
        <f>F18/D18</f>
        <v>0.37983077113792918</v>
      </c>
      <c r="J18" s="706">
        <f t="shared" si="2"/>
        <v>2.1928663309111402</v>
      </c>
    </row>
    <row r="19" spans="2:10">
      <c r="B19" s="439">
        <v>2029</v>
      </c>
      <c r="C19" s="440" t="s">
        <v>18</v>
      </c>
      <c r="D19" s="703">
        <f>SUMIFS('Budget Filing Data'!$Q$10:$Q$297,'Budget Filing Data'!$G$10:$G$297,'1 Participant Bill Impacts'!$C19,'Budget Filing Data'!$B$10:$B$297,'1 Participant Bill Impacts'!$B19)</f>
        <v>50729761.58127629</v>
      </c>
      <c r="E19" s="703">
        <f>SUMIFS('Budget Filing Data'!$S$10:$S$297,'Budget Filing Data'!$G$10:$G$297,'1 Participant Bill Impacts'!$C19,'Budget Filing Data'!$B$10:$B$297,'1 Participant Bill Impacts'!$B19)</f>
        <v>1086917.1802010026</v>
      </c>
      <c r="F19" s="704">
        <f>SUMIFS('Budget Filing Data'!BA$10:BA$297,'Budget Filing Data'!$G$10:$G$297,'1 Participant Bill Impacts'!$C19,'Budget Filing Data'!$B$10:$B$297,'1 Participant Bill Impacts'!$B19)</f>
        <v>19916113.182543866</v>
      </c>
      <c r="G19" s="704">
        <f>SUMIFS('Budget Filing Data'!BB$10:BB$297,'Budget Filing Data'!$G$10:$G$297,'1 Participant Bill Impacts'!$C19,'Budget Filing Data'!$B$10:$B$297,'1 Participant Bill Impacts'!$B19)</f>
        <v>2420594.4124608487</v>
      </c>
      <c r="H19" s="704">
        <f t="shared" ref="H19:H36" si="3">F19+G19</f>
        <v>22336707.595004715</v>
      </c>
      <c r="I19" s="705">
        <f t="shared" ref="I19:J26" si="4">F19/D19</f>
        <v>0.39259228826919323</v>
      </c>
      <c r="J19" s="706">
        <f t="shared" si="4"/>
        <v>2.2270274649750319</v>
      </c>
    </row>
    <row r="20" spans="2:10">
      <c r="B20" s="439">
        <v>2030</v>
      </c>
      <c r="C20" s="440" t="s">
        <v>18</v>
      </c>
      <c r="D20" s="703">
        <f>SUMIFS('Budget Filing Data'!$Q$10:$Q$297,'Budget Filing Data'!$G$10:$G$297,'1 Participant Bill Impacts'!$C20,'Budget Filing Data'!$B$10:$B$297,'1 Participant Bill Impacts'!$B20)</f>
        <v>69433313.850821882</v>
      </c>
      <c r="E20" s="703">
        <f>SUMIFS('Budget Filing Data'!$S$10:$S$297,'Budget Filing Data'!$G$10:$G$297,'1 Participant Bill Impacts'!$C20,'Budget Filing Data'!$B$10:$B$297,'1 Participant Bill Impacts'!$B20)</f>
        <v>1007663.4869767656</v>
      </c>
      <c r="F20" s="704">
        <f>SUMIFS('Budget Filing Data'!BA$10:BA$297,'Budget Filing Data'!$G$10:$G$297,'1 Participant Bill Impacts'!$C20,'Budget Filing Data'!$B$10:$B$297,'1 Participant Bill Impacts'!$B20)</f>
        <v>28181792.231321312</v>
      </c>
      <c r="G20" s="704">
        <f>SUMIFS('Budget Filing Data'!BB$10:BB$297,'Budget Filing Data'!$G$10:$G$297,'1 Participant Bill Impacts'!$C20,'Budget Filing Data'!$B$10:$B$297,'1 Participant Bill Impacts'!$B20)</f>
        <v>2292337.0918594301</v>
      </c>
      <c r="H20" s="704">
        <f t="shared" si="3"/>
        <v>30474129.323180743</v>
      </c>
      <c r="I20" s="705">
        <f t="shared" si="4"/>
        <v>0.40588286325884076</v>
      </c>
      <c r="J20" s="706">
        <f t="shared" si="4"/>
        <v>2.2749033992856051</v>
      </c>
    </row>
    <row r="21" spans="2:10" ht="15.75" thickBot="1">
      <c r="B21" s="439">
        <v>2031</v>
      </c>
      <c r="C21" s="440" t="s">
        <v>18</v>
      </c>
      <c r="D21" s="703">
        <f>SUMIFS('Budget Filing Data'!$Q$10:$Q$297,'Budget Filing Data'!$G$10:$G$297,'1 Participant Bill Impacts'!$C21,'Budget Filing Data'!$B$10:$B$297,'1 Participant Bill Impacts'!$B21)</f>
        <v>105951965.36475335</v>
      </c>
      <c r="E21" s="703">
        <f>SUMIFS('Budget Filing Data'!$S$10:$S$297,'Budget Filing Data'!$G$10:$G$297,'1 Participant Bill Impacts'!$C21,'Budget Filing Data'!$B$10:$B$297,'1 Participant Bill Impacts'!$B21)</f>
        <v>1026241.2980474968</v>
      </c>
      <c r="F21" s="704">
        <f>SUMIFS('Budget Filing Data'!BA$10:BA$297,'Budget Filing Data'!$G$10:$G$297,'1 Participant Bill Impacts'!$C21,'Budget Filing Data'!$B$10:$B$297,'1 Participant Bill Impacts'!$B21)</f>
        <v>44434569.266553365</v>
      </c>
      <c r="G21" s="704">
        <f>SUMIFS('Budget Filing Data'!BB$10:BB$297,'Budget Filing Data'!$G$10:$G$297,'1 Participant Bill Impacts'!$C21,'Budget Filing Data'!$B$10:$B$297,'1 Participant Bill Impacts'!$B21)</f>
        <v>2365727.593758672</v>
      </c>
      <c r="H21" s="704">
        <f t="shared" si="3"/>
        <v>46800296.860312037</v>
      </c>
      <c r="I21" s="705">
        <f t="shared" si="4"/>
        <v>0.41938409649676256</v>
      </c>
      <c r="J21" s="706">
        <f t="shared" si="4"/>
        <v>2.3052352290437454</v>
      </c>
    </row>
    <row r="22" spans="2:10">
      <c r="B22" s="179" t="s">
        <v>203</v>
      </c>
      <c r="C22" s="180" t="s">
        <v>27</v>
      </c>
      <c r="D22" s="324">
        <v>-4250448.467838712</v>
      </c>
      <c r="E22" s="324">
        <v>1590930.1858495299</v>
      </c>
      <c r="F22" s="325">
        <v>-1466546.4030199114</v>
      </c>
      <c r="G22" s="326">
        <v>1122502.3435387607</v>
      </c>
      <c r="H22" s="327">
        <f t="shared" si="3"/>
        <v>-344044.0594811507</v>
      </c>
      <c r="I22" s="328">
        <f t="shared" si="4"/>
        <v>0.3450333333333242</v>
      </c>
      <c r="J22" s="329">
        <f t="shared" si="4"/>
        <v>0.70556354610831862</v>
      </c>
    </row>
    <row r="23" spans="2:10">
      <c r="B23" s="439">
        <v>2028</v>
      </c>
      <c r="C23" s="440" t="s">
        <v>27</v>
      </c>
      <c r="D23" s="703">
        <f>SUMIFS('Budget Filing Data'!$Q$10:$Q$297,'Budget Filing Data'!$G$10:$G$297,'1 Participant Bill Impacts'!$C23,'Budget Filing Data'!$B$10:$B$297,'1 Participant Bill Impacts'!$B23)</f>
        <v>20748702.587376278</v>
      </c>
      <c r="E23" s="703">
        <f>SUMIFS('Budget Filing Data'!$S$10:$S$297,'Budget Filing Data'!$G$10:$G$297,'1 Participant Bill Impacts'!$C23,'Budget Filing Data'!$B$10:$B$297,'1 Participant Bill Impacts'!$B23)</f>
        <v>1241617.3011972876</v>
      </c>
      <c r="F23" s="704">
        <f>SUMIFS('Budget Filing Data'!BA$10:BA$297,'Budget Filing Data'!$G$10:$G$297,'1 Participant Bill Impacts'!$C23,'Budget Filing Data'!$B$10:$B$297,'1 Participant Bill Impacts'!$B23)</f>
        <v>6253012.7770648981</v>
      </c>
      <c r="G23" s="704">
        <f>SUMIFS('Budget Filing Data'!BB$10:BB$297,'Budget Filing Data'!$G$10:$G$297,'1 Participant Bill Impacts'!$C23,'Budget Filing Data'!$B$10:$B$297,'1 Participant Bill Impacts'!$B23)</f>
        <v>1353887.2187454421</v>
      </c>
      <c r="H23" s="704">
        <f t="shared" si="3"/>
        <v>7606899.9958103402</v>
      </c>
      <c r="I23" s="705">
        <f t="shared" si="4"/>
        <v>0.30136885671440944</v>
      </c>
      <c r="J23" s="706">
        <f t="shared" si="4"/>
        <v>1.0904223205007637</v>
      </c>
    </row>
    <row r="24" spans="2:10">
      <c r="B24" s="439">
        <v>2029</v>
      </c>
      <c r="C24" s="440" t="s">
        <v>27</v>
      </c>
      <c r="D24" s="703">
        <f>SUMIFS('Budget Filing Data'!$Q$10:$Q$297,'Budget Filing Data'!$G$10:$G$297,'1 Participant Bill Impacts'!$C24,'Budget Filing Data'!$B$10:$B$297,'1 Participant Bill Impacts'!$B24)</f>
        <v>15824021.54343887</v>
      </c>
      <c r="E24" s="703">
        <f>SUMIFS('Budget Filing Data'!$S$10:$S$297,'Budget Filing Data'!$G$10:$G$297,'1 Participant Bill Impacts'!$C24,'Budget Filing Data'!$B$10:$B$297,'1 Participant Bill Impacts'!$B24)</f>
        <v>1189255.3915372181</v>
      </c>
      <c r="F24" s="704">
        <f>SUMIFS('Budget Filing Data'!BA$10:BA$297,'Budget Filing Data'!$G$10:$G$297,'1 Participant Bill Impacts'!$C24,'Budget Filing Data'!$B$10:$B$297,'1 Participant Bill Impacts'!$B24)</f>
        <v>5103690.9106664509</v>
      </c>
      <c r="G24" s="704">
        <f>SUMIFS('Budget Filing Data'!BB$10:BB$297,'Budget Filing Data'!$G$10:$G$297,'1 Participant Bill Impacts'!$C24,'Budget Filing Data'!$B$10:$B$297,'1 Participant Bill Impacts'!$B24)</f>
        <v>1305737.2662124608</v>
      </c>
      <c r="H24" s="704">
        <f t="shared" si="3"/>
        <v>6409428.1768789114</v>
      </c>
      <c r="I24" s="705">
        <f t="shared" si="4"/>
        <v>0.32252805626282777</v>
      </c>
      <c r="J24" s="706">
        <f t="shared" si="4"/>
        <v>1.0979452147151332</v>
      </c>
    </row>
    <row r="25" spans="2:10">
      <c r="B25" s="439">
        <v>2030</v>
      </c>
      <c r="C25" s="440" t="s">
        <v>27</v>
      </c>
      <c r="D25" s="703">
        <f>SUMIFS('Budget Filing Data'!$Q$10:$Q$297,'Budget Filing Data'!$G$10:$G$297,'1 Participant Bill Impacts'!$C25,'Budget Filing Data'!$B$10:$B$297,'1 Participant Bill Impacts'!$B25)</f>
        <v>15780868.288036902</v>
      </c>
      <c r="E25" s="703">
        <f>SUMIFS('Budget Filing Data'!$S$10:$S$297,'Budget Filing Data'!$G$10:$G$297,'1 Participant Bill Impacts'!$C25,'Budget Filing Data'!$B$10:$B$297,'1 Participant Bill Impacts'!$B25)</f>
        <v>1186309.2456534151</v>
      </c>
      <c r="F25" s="704">
        <f>SUMIFS('Budget Filing Data'!BA$10:BA$297,'Budget Filing Data'!$G$10:$G$297,'1 Participant Bill Impacts'!$C25,'Budget Filing Data'!$B$10:$B$297,'1 Participant Bill Impacts'!$B25)</f>
        <v>5232092.1102896025</v>
      </c>
      <c r="G25" s="704">
        <f>SUMIFS('Budget Filing Data'!BB$10:BB$297,'Budget Filing Data'!$G$10:$G$297,'1 Participant Bill Impacts'!$C25,'Budget Filing Data'!$B$10:$B$297,'1 Participant Bill Impacts'!$B25)</f>
        <v>1327006.0653289575</v>
      </c>
      <c r="H25" s="704">
        <f t="shared" si="3"/>
        <v>6559098.1756185601</v>
      </c>
      <c r="I25" s="705">
        <f t="shared" si="4"/>
        <v>0.33154652930320233</v>
      </c>
      <c r="J25" s="706">
        <f t="shared" si="4"/>
        <v>1.1186004578410305</v>
      </c>
    </row>
    <row r="26" spans="2:10" ht="15.75" thickBot="1">
      <c r="B26" s="439">
        <v>2031</v>
      </c>
      <c r="C26" s="440" t="s">
        <v>27</v>
      </c>
      <c r="D26" s="703">
        <f>SUMIFS('Budget Filing Data'!$Q$10:$Q$297,'Budget Filing Data'!$G$10:$G$297,'1 Participant Bill Impacts'!$C26,'Budget Filing Data'!$B$10:$B$297,'1 Participant Bill Impacts'!$B26)</f>
        <v>15764668.334878892</v>
      </c>
      <c r="E26" s="703">
        <f>SUMIFS('Budget Filing Data'!$S$10:$S$297,'Budget Filing Data'!$G$10:$G$297,'1 Participant Bill Impacts'!$C26,'Budget Filing Data'!$B$10:$B$297,'1 Participant Bill Impacts'!$B26)</f>
        <v>1170559.7698686386</v>
      </c>
      <c r="F26" s="704">
        <f>SUMIFS('Budget Filing Data'!BA$10:BA$297,'Budget Filing Data'!$G$10:$G$297,'1 Participant Bill Impacts'!$C26,'Budget Filing Data'!$B$10:$B$297,'1 Participant Bill Impacts'!$B26)</f>
        <v>5371986.1924669947</v>
      </c>
      <c r="G26" s="704">
        <f>SUMIFS('Budget Filing Data'!BB$10:BB$297,'Budget Filing Data'!$G$10:$G$297,'1 Participant Bill Impacts'!$C26,'Budget Filing Data'!$B$10:$B$297,'1 Participant Bill Impacts'!$B26)</f>
        <v>1335220.2508186682</v>
      </c>
      <c r="H26" s="704">
        <f t="shared" si="3"/>
        <v>6707206.4432856627</v>
      </c>
      <c r="I26" s="705">
        <f>F26/D26</f>
        <v>0.34076112978422923</v>
      </c>
      <c r="J26" s="706">
        <f t="shared" si="4"/>
        <v>1.1406681531251566</v>
      </c>
    </row>
    <row r="27" spans="2:10">
      <c r="B27" s="179" t="s">
        <v>203</v>
      </c>
      <c r="C27" s="180" t="s">
        <v>34</v>
      </c>
      <c r="D27" s="324">
        <v>4173304.7000000007</v>
      </c>
      <c r="E27" s="324">
        <v>378283.08555000002</v>
      </c>
      <c r="F27" s="325">
        <v>1336257.3874008337</v>
      </c>
      <c r="G27" s="326">
        <v>22450.285192272764</v>
      </c>
      <c r="H27" s="327">
        <f t="shared" si="3"/>
        <v>1358707.6725931065</v>
      </c>
      <c r="I27" s="328">
        <f>F27/D27</f>
        <v>0.32019166666666671</v>
      </c>
      <c r="J27" s="329">
        <f>G27/E27</f>
        <v>5.9347843056824626E-2</v>
      </c>
    </row>
    <row r="28" spans="2:10">
      <c r="B28" s="439">
        <v>2028</v>
      </c>
      <c r="C28" s="440" t="s">
        <v>34</v>
      </c>
      <c r="D28" s="703">
        <f>SUMIFS('Budget Filing Data'!$Q$10:$Q$297,'Budget Filing Data'!$G$10:$G$297,'1 Participant Bill Impacts'!$C28,'Budget Filing Data'!$B$10:$B$297,'1 Participant Bill Impacts'!$B28)</f>
        <v>19396362.816</v>
      </c>
      <c r="E28" s="703">
        <f>SUMIFS('Budget Filing Data'!$S$10:$S$297,'Budget Filing Data'!$G$10:$G$297,'1 Participant Bill Impacts'!$C28,'Budget Filing Data'!$B$10:$B$297,'1 Participant Bill Impacts'!$B28)</f>
        <v>219159.82980000001</v>
      </c>
      <c r="F28" s="704">
        <f>SUMIFS('Budget Filing Data'!BA$10:BA$297,'Budget Filing Data'!$G$10:$G$297,'1 Participant Bill Impacts'!$C28,'Budget Filing Data'!$B$10:$B$297,'1 Participant Bill Impacts'!$B28)</f>
        <v>6608357.4865947887</v>
      </c>
      <c r="G28" s="704">
        <f>SUMIFS('Budget Filing Data'!BB$10:BB$297,'Budget Filing Data'!$G$10:$G$297,'1 Participant Bill Impacts'!$C28,'Budget Filing Data'!$B$10:$B$297,'1 Participant Bill Impacts'!$B28)</f>
        <v>272455.52101362235</v>
      </c>
      <c r="H28" s="704">
        <f t="shared" si="3"/>
        <v>6880813.0076084109</v>
      </c>
      <c r="I28" s="705">
        <f>F28/D28</f>
        <v>0.34070085970672681</v>
      </c>
      <c r="J28" s="706">
        <f t="shared" ref="J28:J41" si="5">G28/E28</f>
        <v>1.2431818425039785</v>
      </c>
    </row>
    <row r="29" spans="2:10">
      <c r="B29" s="439">
        <v>2029</v>
      </c>
      <c r="C29" s="440" t="s">
        <v>34</v>
      </c>
      <c r="D29" s="703">
        <f>SUMIFS('Budget Filing Data'!$Q$10:$Q$297,'Budget Filing Data'!$G$10:$G$297,'1 Participant Bill Impacts'!$C29,'Budget Filing Data'!$B$10:$B$297,'1 Participant Bill Impacts'!$B29)</f>
        <v>18676362.816</v>
      </c>
      <c r="E29" s="703">
        <f>SUMIFS('Budget Filing Data'!$S$10:$S$297,'Budget Filing Data'!$G$10:$G$297,'1 Participant Bill Impacts'!$C29,'Budget Filing Data'!$B$10:$B$297,'1 Participant Bill Impacts'!$B29)</f>
        <v>196659.82980000001</v>
      </c>
      <c r="F29" s="704">
        <f>SUMIFS('Budget Filing Data'!BA$10:BA$297,'Budget Filing Data'!$G$10:$G$297,'1 Participant Bill Impacts'!$C29,'Budget Filing Data'!$B$10:$B$297,'1 Participant Bill Impacts'!$B29)</f>
        <v>6565017.9510672595</v>
      </c>
      <c r="G29" s="704">
        <f>SUMIFS('Budget Filing Data'!BB$10:BB$297,'Budget Filing Data'!$G$10:$G$297,'1 Participant Bill Impacts'!$C29,'Budget Filing Data'!$B$10:$B$297,'1 Participant Bill Impacts'!$B29)</f>
        <v>251777.37375167754</v>
      </c>
      <c r="H29" s="704">
        <f t="shared" si="3"/>
        <v>6816795.3248189371</v>
      </c>
      <c r="I29" s="705">
        <f t="shared" ref="I29:I41" si="6">F29/D29</f>
        <v>0.35151480059291967</v>
      </c>
      <c r="J29" s="706">
        <f t="shared" si="5"/>
        <v>1.2802684412354635</v>
      </c>
    </row>
    <row r="30" spans="2:10">
      <c r="B30" s="439">
        <v>2030</v>
      </c>
      <c r="C30" s="440" t="s">
        <v>34</v>
      </c>
      <c r="D30" s="703">
        <f>SUMIFS('Budget Filing Data'!$Q$10:$Q$297,'Budget Filing Data'!$G$10:$G$297,'1 Participant Bill Impacts'!$C30,'Budget Filing Data'!$B$10:$B$297,'1 Participant Bill Impacts'!$B30)</f>
        <v>18001362.816</v>
      </c>
      <c r="E30" s="703">
        <f>SUMIFS('Budget Filing Data'!$S$10:$S$297,'Budget Filing Data'!$G$10:$G$297,'1 Participant Bill Impacts'!$C30,'Budget Filing Data'!$B$10:$B$297,'1 Participant Bill Impacts'!$B30)</f>
        <v>174159.82980000001</v>
      </c>
      <c r="F30" s="704">
        <f>SUMIFS('Budget Filing Data'!BA$10:BA$297,'Budget Filing Data'!$G$10:$G$297,'1 Participant Bill Impacts'!$C30,'Budget Filing Data'!$B$10:$B$297,'1 Participant Bill Impacts'!$B30)</f>
        <v>6530123.7598332036</v>
      </c>
      <c r="G30" s="704">
        <f>SUMIFS('Budget Filing Data'!BB$10:BB$297,'Budget Filing Data'!$G$10:$G$297,'1 Participant Bill Impacts'!$C30,'Budget Filing Data'!$B$10:$B$297,'1 Participant Bill Impacts'!$B30)</f>
        <v>229615.02698726268</v>
      </c>
      <c r="H30" s="704">
        <f t="shared" si="3"/>
        <v>6759738.7868204666</v>
      </c>
      <c r="I30" s="705">
        <f t="shared" si="6"/>
        <v>0.36275718825182995</v>
      </c>
      <c r="J30" s="706">
        <f t="shared" si="5"/>
        <v>1.3184155453697088</v>
      </c>
    </row>
    <row r="31" spans="2:10" ht="15.75" thickBot="1">
      <c r="B31" s="439">
        <v>2031</v>
      </c>
      <c r="C31" s="440" t="s">
        <v>34</v>
      </c>
      <c r="D31" s="703">
        <f>SUMIFS('Budget Filing Data'!$Q$10:$Q$297,'Budget Filing Data'!$G$10:$G$297,'1 Participant Bill Impacts'!$C31,'Budget Filing Data'!$B$10:$B$297,'1 Participant Bill Impacts'!$B31)</f>
        <v>17326362.816</v>
      </c>
      <c r="E31" s="703">
        <f>SUMIFS('Budget Filing Data'!$S$10:$S$297,'Budget Filing Data'!$G$10:$G$297,'1 Participant Bill Impacts'!$C31,'Budget Filing Data'!$B$10:$B$297,'1 Participant Bill Impacts'!$B31)</f>
        <v>174159.82980000001</v>
      </c>
      <c r="F31" s="704">
        <f>SUMIFS('Budget Filing Data'!BA$10:BA$297,'Budget Filing Data'!$G$10:$G$297,'1 Participant Bill Impacts'!$C31,'Budget Filing Data'!$B$10:$B$297,'1 Participant Bill Impacts'!$B31)</f>
        <v>6487285.7360743722</v>
      </c>
      <c r="G31" s="704">
        <f>SUMIFS('Budget Filing Data'!BB$10:BB$297,'Budget Filing Data'!$G$10:$G$297,'1 Participant Bill Impacts'!$C31,'Budget Filing Data'!$B$10:$B$297,'1 Participant Bill Impacts'!$B31)</f>
        <v>236502.31838493439</v>
      </c>
      <c r="H31" s="704">
        <f t="shared" si="3"/>
        <v>6723788.0544593064</v>
      </c>
      <c r="I31" s="705">
        <f t="shared" si="6"/>
        <v>0.37441705480643056</v>
      </c>
      <c r="J31" s="706">
        <f t="shared" si="5"/>
        <v>1.357961354558779</v>
      </c>
    </row>
    <row r="32" spans="2:10">
      <c r="B32" s="179" t="s">
        <v>203</v>
      </c>
      <c r="C32" s="180" t="s">
        <v>39</v>
      </c>
      <c r="D32" s="324">
        <v>1977.3000000000002</v>
      </c>
      <c r="E32" s="324">
        <v>94108.795704000004</v>
      </c>
      <c r="F32" s="325">
        <v>493.39896450000003</v>
      </c>
      <c r="G32" s="326">
        <v>5585.1540377077636</v>
      </c>
      <c r="H32" s="327">
        <f t="shared" si="3"/>
        <v>6078.5530022077637</v>
      </c>
      <c r="I32" s="328">
        <f>F32/D32</f>
        <v>0.24953166666666665</v>
      </c>
      <c r="J32" s="329">
        <f t="shared" si="5"/>
        <v>5.9347843056824626E-2</v>
      </c>
    </row>
    <row r="33" spans="2:10">
      <c r="B33" s="439">
        <v>2028</v>
      </c>
      <c r="C33" s="440" t="s">
        <v>39</v>
      </c>
      <c r="D33" s="703">
        <f>SUMIFS('Budget Filing Data'!$Q$10:$Q$297,'Budget Filing Data'!$G$10:$G$297,'1 Participant Bill Impacts'!$C33,'Budget Filing Data'!$B$10:$B$297,'1 Participant Bill Impacts'!$B33)</f>
        <v>17445.240175999981</v>
      </c>
      <c r="E33" s="703">
        <f>SUMIFS('Budget Filing Data'!$S$10:$S$297,'Budget Filing Data'!$G$10:$G$297,'1 Participant Bill Impacts'!$C33,'Budget Filing Data'!$B$10:$B$297,'1 Participant Bill Impacts'!$B33)</f>
        <v>0</v>
      </c>
      <c r="F33" s="704">
        <f>SUMIFS('Budget Filing Data'!BA$10:BA$297,'Budget Filing Data'!$G$10:$G$297,'1 Participant Bill Impacts'!$C33,'Budget Filing Data'!$B$10:$B$297,'1 Participant Bill Impacts'!$B33)</f>
        <v>4217.6486672945493</v>
      </c>
      <c r="G33" s="704">
        <f>SUMIFS('Budget Filing Data'!BB$10:BB$297,'Budget Filing Data'!$G$10:$G$297,'1 Participant Bill Impacts'!$C33,'Budget Filing Data'!$B$10:$B$297,'1 Participant Bill Impacts'!$B33)</f>
        <v>0</v>
      </c>
      <c r="H33" s="704">
        <f t="shared" si="3"/>
        <v>4217.6486672945493</v>
      </c>
      <c r="I33" s="705">
        <f t="shared" si="6"/>
        <v>0.24176501009696125</v>
      </c>
      <c r="J33" s="707" t="str">
        <f>IFERROR(G33/E33,("0"))</f>
        <v>0</v>
      </c>
    </row>
    <row r="34" spans="2:10">
      <c r="B34" s="439">
        <v>2029</v>
      </c>
      <c r="C34" s="440" t="s">
        <v>39</v>
      </c>
      <c r="D34" s="703">
        <f>SUMIFS('Budget Filing Data'!$Q$10:$Q$297,'Budget Filing Data'!$G$10:$G$297,'1 Participant Bill Impacts'!$C34,'Budget Filing Data'!$B$10:$B$297,'1 Participant Bill Impacts'!$B34)</f>
        <v>17445.240175999985</v>
      </c>
      <c r="E34" s="703">
        <f>SUMIFS('Budget Filing Data'!$S$10:$S$297,'Budget Filing Data'!$G$10:$G$297,'1 Participant Bill Impacts'!$C34,'Budget Filing Data'!$B$10:$B$297,'1 Participant Bill Impacts'!$B34)</f>
        <v>0</v>
      </c>
      <c r="F34" s="704">
        <f>SUMIFS('Budget Filing Data'!BA$10:BA$297,'Budget Filing Data'!$G$10:$G$297,'1 Participant Bill Impacts'!$C34,'Budget Filing Data'!$B$10:$B$297,'1 Participant Bill Impacts'!$B34)</f>
        <v>4333.216775036095</v>
      </c>
      <c r="G34" s="704">
        <f>SUMIFS('Budget Filing Data'!BB$10:BB$297,'Budget Filing Data'!$G$10:$G$297,'1 Participant Bill Impacts'!$C34,'Budget Filing Data'!$B$10:$B$297,'1 Participant Bill Impacts'!$B34)</f>
        <v>0</v>
      </c>
      <c r="H34" s="704">
        <f t="shared" si="3"/>
        <v>4333.216775036095</v>
      </c>
      <c r="I34" s="705">
        <f t="shared" si="6"/>
        <v>0.24838963128736111</v>
      </c>
      <c r="J34" s="707" t="str">
        <f t="shared" ref="J34:J36" si="7">IFERROR(G34/E34,("0"))</f>
        <v>0</v>
      </c>
    </row>
    <row r="35" spans="2:10">
      <c r="B35" s="439">
        <v>2030</v>
      </c>
      <c r="C35" s="440" t="s">
        <v>39</v>
      </c>
      <c r="D35" s="703">
        <f>SUMIFS('Budget Filing Data'!$Q$10:$Q$297,'Budget Filing Data'!$G$10:$G$297,'1 Participant Bill Impacts'!$C35,'Budget Filing Data'!$B$10:$B$297,'1 Participant Bill Impacts'!$B35)</f>
        <v>17445.240175999985</v>
      </c>
      <c r="E35" s="703">
        <f>SUMIFS('Budget Filing Data'!$S$10:$S$297,'Budget Filing Data'!$G$10:$G$297,'1 Participant Bill Impacts'!$C35,'Budget Filing Data'!$B$10:$B$297,'1 Participant Bill Impacts'!$B35)</f>
        <v>0</v>
      </c>
      <c r="F35" s="704">
        <f>SUMIFS('Budget Filing Data'!BA$10:BA$297,'Budget Filing Data'!$G$10:$G$297,'1 Participant Bill Impacts'!$C35,'Budget Filing Data'!$B$10:$B$297,'1 Participant Bill Impacts'!$B35)</f>
        <v>4451.9669302221355</v>
      </c>
      <c r="G35" s="704">
        <f>SUMIFS('Budget Filing Data'!BB$10:BB$297,'Budget Filing Data'!$G$10:$G$297,'1 Participant Bill Impacts'!$C35,'Budget Filing Data'!$B$10:$B$297,'1 Participant Bill Impacts'!$B35)</f>
        <v>0</v>
      </c>
      <c r="H35" s="704">
        <f t="shared" si="3"/>
        <v>4451.9669302221355</v>
      </c>
      <c r="I35" s="705">
        <f t="shared" si="6"/>
        <v>0.25519665452051837</v>
      </c>
      <c r="J35" s="707" t="str">
        <f t="shared" si="7"/>
        <v>0</v>
      </c>
    </row>
    <row r="36" spans="2:10" ht="15.75" thickBot="1">
      <c r="B36" s="439">
        <v>2031</v>
      </c>
      <c r="C36" s="440" t="s">
        <v>39</v>
      </c>
      <c r="D36" s="703">
        <f>SUMIFS('Budget Filing Data'!$Q$10:$Q$297,'Budget Filing Data'!$G$10:$G$297,'1 Participant Bill Impacts'!$C36,'Budget Filing Data'!$B$10:$B$297,'1 Participant Bill Impacts'!$B36)</f>
        <v>17445.240175999985</v>
      </c>
      <c r="E36" s="703">
        <f>SUMIFS('Budget Filing Data'!$S$10:$S$297,'Budget Filing Data'!$G$10:$G$297,'1 Participant Bill Impacts'!$C36,'Budget Filing Data'!$B$10:$B$297,'1 Participant Bill Impacts'!$B36)</f>
        <v>0</v>
      </c>
      <c r="F36" s="704">
        <f>SUMIFS('Budget Filing Data'!BA$10:BA$297,'Budget Filing Data'!$G$10:$G$297,'1 Participant Bill Impacts'!$C36,'Budget Filing Data'!$B$10:$B$297,'1 Participant Bill Impacts'!$B36)</f>
        <v>4573.9871855149813</v>
      </c>
      <c r="G36" s="704">
        <f>SUMIFS('Budget Filing Data'!BB$10:BB$297,'Budget Filing Data'!$G$10:$G$297,'1 Participant Bill Impacts'!$C36,'Budget Filing Data'!$B$10:$B$297,'1 Participant Bill Impacts'!$B36)</f>
        <v>0</v>
      </c>
      <c r="H36" s="704">
        <f t="shared" si="3"/>
        <v>4573.9871855149813</v>
      </c>
      <c r="I36" s="705">
        <f t="shared" si="6"/>
        <v>0.26219112717104187</v>
      </c>
      <c r="J36" s="707" t="str">
        <f t="shared" si="7"/>
        <v>0</v>
      </c>
    </row>
    <row r="37" spans="2:10">
      <c r="B37" s="179" t="s">
        <v>203</v>
      </c>
      <c r="C37" s="180" t="s">
        <v>45</v>
      </c>
      <c r="D37" s="324">
        <v>458282.46348540293</v>
      </c>
      <c r="E37" s="324">
        <v>76468.980751358496</v>
      </c>
      <c r="F37" s="325">
        <v>146738.22578749698</v>
      </c>
      <c r="G37" s="326">
        <v>4538.26906834697</v>
      </c>
      <c r="H37" s="327">
        <f t="shared" ref="H37:H51" si="8">F37+G37</f>
        <v>151276.49485584395</v>
      </c>
      <c r="I37" s="328">
        <f t="shared" si="6"/>
        <v>0.32019166666666671</v>
      </c>
      <c r="J37" s="329">
        <f t="shared" si="5"/>
        <v>5.934784305682466E-2</v>
      </c>
    </row>
    <row r="38" spans="2:10">
      <c r="B38" s="439">
        <v>2028</v>
      </c>
      <c r="C38" s="440" t="s">
        <v>45</v>
      </c>
      <c r="D38" s="703">
        <f>SUMIFS('Budget Filing Data'!$Q$10:$Q$297,'Budget Filing Data'!$G$10:$G$297,'1 Participant Bill Impacts'!$C38,'Budget Filing Data'!$B$10:$B$297,'1 Participant Bill Impacts'!$B38)</f>
        <v>998676.39275639306</v>
      </c>
      <c r="E38" s="703">
        <f>SUMIFS('Budget Filing Data'!$S$10:$S$297,'Budget Filing Data'!$G$10:$G$297,'1 Participant Bill Impacts'!$C38,'Budget Filing Data'!$B$10:$B$297,'1 Participant Bill Impacts'!$B38)</f>
        <v>6020.7314975604004</v>
      </c>
      <c r="F38" s="704">
        <f>SUMIFS('Budget Filing Data'!BA$10:BA$297,'Budget Filing Data'!$G$10:$G$297,'1 Participant Bill Impacts'!$C38,'Budget Filing Data'!$B$10:$B$297,'1 Participant Bill Impacts'!$B38)</f>
        <v>213078.35622862156</v>
      </c>
      <c r="G38" s="704">
        <f>SUMIFS('Budget Filing Data'!BB$10:BB$297,'Budget Filing Data'!$G$10:$G$297,'1 Participant Bill Impacts'!$C38,'Budget Filing Data'!$B$10:$B$297,'1 Participant Bill Impacts'!$B38)</f>
        <v>8346.2724166531752</v>
      </c>
      <c r="H38" s="704">
        <f t="shared" si="8"/>
        <v>221424.62864527473</v>
      </c>
      <c r="I38" s="705">
        <f>F38/D38</f>
        <v>0.21336076207881058</v>
      </c>
      <c r="J38" s="706">
        <f t="shared" si="5"/>
        <v>1.3862555438712196</v>
      </c>
    </row>
    <row r="39" spans="2:10">
      <c r="B39" s="439">
        <v>2029</v>
      </c>
      <c r="C39" s="440" t="s">
        <v>45</v>
      </c>
      <c r="D39" s="703">
        <f>SUMIFS('Budget Filing Data'!$Q$10:$Q$297,'Budget Filing Data'!$G$10:$G$297,'1 Participant Bill Impacts'!$C39,'Budget Filing Data'!$B$10:$B$297,'1 Participant Bill Impacts'!$B39)</f>
        <v>1152914.8429453941</v>
      </c>
      <c r="E39" s="703">
        <f>SUMIFS('Budget Filing Data'!$S$10:$S$297,'Budget Filing Data'!$G$10:$G$297,'1 Participant Bill Impacts'!$C39,'Budget Filing Data'!$B$10:$B$297,'1 Participant Bill Impacts'!$B39)</f>
        <v>11524.2866980092</v>
      </c>
      <c r="F39" s="704">
        <f>SUMIFS('Budget Filing Data'!BA$10:BA$297,'Budget Filing Data'!$G$10:$G$297,'1 Participant Bill Impacts'!$C39,'Budget Filing Data'!$B$10:$B$297,'1 Participant Bill Impacts'!$B39)</f>
        <v>260552.91704409971</v>
      </c>
      <c r="G39" s="704">
        <f>SUMIFS('Budget Filing Data'!BB$10:BB$297,'Budget Filing Data'!$G$10:$G$297,'1 Participant Bill Impacts'!$C39,'Budget Filing Data'!$B$10:$B$297,'1 Participant Bill Impacts'!$B39)</f>
        <v>13013.550202898761</v>
      </c>
      <c r="H39" s="704">
        <f t="shared" si="8"/>
        <v>273566.46724699845</v>
      </c>
      <c r="I39" s="705">
        <f t="shared" si="6"/>
        <v>0.22599493677994079</v>
      </c>
      <c r="J39" s="706">
        <f t="shared" si="5"/>
        <v>1.1292282588862379</v>
      </c>
    </row>
    <row r="40" spans="2:10">
      <c r="B40" s="439">
        <v>2030</v>
      </c>
      <c r="C40" s="440" t="s">
        <v>45</v>
      </c>
      <c r="D40" s="703">
        <f>SUMIFS('Budget Filing Data'!$Q$10:$Q$297,'Budget Filing Data'!$G$10:$G$297,'1 Participant Bill Impacts'!$C40,'Budget Filing Data'!$B$10:$B$297,'1 Participant Bill Impacts'!$B40)</f>
        <v>1376906.7929449005</v>
      </c>
      <c r="E40" s="703">
        <f>SUMIFS('Budget Filing Data'!$S$10:$S$297,'Budget Filing Data'!$G$10:$G$297,'1 Participant Bill Impacts'!$C40,'Budget Filing Data'!$B$10:$B$297,'1 Participant Bill Impacts'!$B40)</f>
        <v>8677.2776980395774</v>
      </c>
      <c r="F40" s="704">
        <f>SUMIFS('Budget Filing Data'!BA$10:BA$297,'Budget Filing Data'!$G$10:$G$297,'1 Participant Bill Impacts'!$C40,'Budget Filing Data'!$B$10:$B$297,'1 Participant Bill Impacts'!$B40)</f>
        <v>298866.13050279283</v>
      </c>
      <c r="G40" s="704">
        <f>SUMIFS('Budget Filing Data'!BB$10:BB$297,'Budget Filing Data'!$G$10:$G$297,'1 Participant Bill Impacts'!$C40,'Budget Filing Data'!$B$10:$B$297,'1 Participant Bill Impacts'!$B40)</f>
        <v>12080.298365668667</v>
      </c>
      <c r="H40" s="704">
        <f t="shared" si="8"/>
        <v>310946.42886846152</v>
      </c>
      <c r="I40" s="705">
        <f t="shared" si="6"/>
        <v>0.21705618131462914</v>
      </c>
      <c r="J40" s="706">
        <f t="shared" si="5"/>
        <v>1.3921760701974446</v>
      </c>
    </row>
    <row r="41" spans="2:10" ht="15.75" thickBot="1">
      <c r="B41" s="439">
        <v>2031</v>
      </c>
      <c r="C41" s="440" t="s">
        <v>45</v>
      </c>
      <c r="D41" s="703">
        <f>SUMIFS('Budget Filing Data'!$Q$10:$Q$297,'Budget Filing Data'!$G$10:$G$297,'1 Participant Bill Impacts'!$C41,'Budget Filing Data'!$B$10:$B$297,'1 Participant Bill Impacts'!$B41)</f>
        <v>1218532.4389973851</v>
      </c>
      <c r="E41" s="703">
        <f>SUMIFS('Budget Filing Data'!$S$10:$S$297,'Budget Filing Data'!$G$10:$G$297,'1 Participant Bill Impacts'!$C41,'Budget Filing Data'!$B$10:$B$297,'1 Participant Bill Impacts'!$B41)</f>
        <v>5546.7908976197996</v>
      </c>
      <c r="F41" s="704">
        <f>SUMIFS('Budget Filing Data'!BA$10:BA$297,'Budget Filing Data'!$G$10:$G$297,'1 Participant Bill Impacts'!$C41,'Budget Filing Data'!$B$10:$B$297,'1 Participant Bill Impacts'!$B41)</f>
        <v>286643.56736634526</v>
      </c>
      <c r="G41" s="704">
        <f>SUMIFS('Budget Filing Data'!BB$10:BB$297,'Budget Filing Data'!$G$10:$G$297,'1 Participant Bill Impacts'!$C41,'Budget Filing Data'!$B$10:$B$297,'1 Participant Bill Impacts'!$B41)</f>
        <v>8004.8469994533416</v>
      </c>
      <c r="H41" s="704">
        <f t="shared" si="8"/>
        <v>294648.41436579858</v>
      </c>
      <c r="I41" s="705">
        <f t="shared" si="6"/>
        <v>0.23523671442197885</v>
      </c>
      <c r="J41" s="706">
        <f t="shared" si="5"/>
        <v>1.4431492275810012</v>
      </c>
    </row>
    <row r="42" spans="2:10">
      <c r="B42" s="179" t="s">
        <v>203</v>
      </c>
      <c r="C42" s="180" t="s">
        <v>50</v>
      </c>
      <c r="D42" s="324">
        <v>250633708.59432751</v>
      </c>
      <c r="E42" s="324">
        <v>2537760.2621506914</v>
      </c>
      <c r="F42" s="325">
        <v>82430920.419588327</v>
      </c>
      <c r="G42" s="326">
        <v>1123805.1385100419</v>
      </c>
      <c r="H42" s="327">
        <f t="shared" si="8"/>
        <v>83554725.558098376</v>
      </c>
      <c r="I42" s="328">
        <f>F42/D42</f>
        <v>0.32888999999999979</v>
      </c>
      <c r="J42" s="329">
        <f>G42/E42</f>
        <v>0.4428334525017914</v>
      </c>
    </row>
    <row r="43" spans="2:10">
      <c r="B43" s="439">
        <v>2028</v>
      </c>
      <c r="C43" s="440" t="s">
        <v>50</v>
      </c>
      <c r="D43" s="703">
        <f>SUMIFS('Budget Filing Data'!$Q$10:$Q$297,'Budget Filing Data'!$G$10:$G$297,'1 Participant Bill Impacts'!$C43,'Budget Filing Data'!$B$10:$B$297,'1 Participant Bill Impacts'!$B43)</f>
        <v>140923630.07327574</v>
      </c>
      <c r="E43" s="703">
        <f>SUMIFS('Budget Filing Data'!$S$10:$S$297,'Budget Filing Data'!$G$10:$G$297,'1 Participant Bill Impacts'!$C43,'Budget Filing Data'!$B$10:$B$297,'1 Participant Bill Impacts'!$B43)</f>
        <v>1683383.3526918555</v>
      </c>
      <c r="F43" s="704">
        <f>SUMIFS('Budget Filing Data'!BA$10:BA$297,'Budget Filing Data'!$G$10:$G$297,'1 Participant Bill Impacts'!$C43,'Budget Filing Data'!$B$10:$B$297,'1 Participant Bill Impacts'!$B43)</f>
        <v>22812644.323039941</v>
      </c>
      <c r="G43" s="704">
        <f>SUMIFS('Budget Filing Data'!BB$10:BB$297,'Budget Filing Data'!$G$10:$G$297,'1 Participant Bill Impacts'!$C43,'Budget Filing Data'!$B$10:$B$297,'1 Participant Bill Impacts'!$B43)</f>
        <v>4599023.4003794082</v>
      </c>
      <c r="H43" s="704">
        <f t="shared" si="8"/>
        <v>27411667.72341935</v>
      </c>
      <c r="I43" s="705">
        <f t="shared" ref="I43:I46" si="9">F43/D43</f>
        <v>0.16187948260471363</v>
      </c>
      <c r="J43" s="706">
        <f t="shared" ref="J43:J46" si="10">G43/E43</f>
        <v>2.7320119288486646</v>
      </c>
    </row>
    <row r="44" spans="2:10">
      <c r="B44" s="439">
        <v>2029</v>
      </c>
      <c r="C44" s="440" t="s">
        <v>50</v>
      </c>
      <c r="D44" s="703">
        <f>SUMIFS('Budget Filing Data'!$Q$10:$Q$297,'Budget Filing Data'!$G$10:$G$297,'1 Participant Bill Impacts'!$C44,'Budget Filing Data'!$B$10:$B$297,'1 Participant Bill Impacts'!$B44)</f>
        <v>115843028.5069612</v>
      </c>
      <c r="E44" s="703">
        <f>SUMIFS('Budget Filing Data'!$S$10:$S$297,'Budget Filing Data'!$G$10:$G$297,'1 Participant Bill Impacts'!$C44,'Budget Filing Data'!$B$10:$B$297,'1 Participant Bill Impacts'!$B44)</f>
        <v>1549783.5592299977</v>
      </c>
      <c r="F44" s="704">
        <f>SUMIFS('Budget Filing Data'!BA$10:BA$297,'Budget Filing Data'!$G$10:$G$297,'1 Participant Bill Impacts'!$C44,'Budget Filing Data'!$B$10:$B$297,'1 Participant Bill Impacts'!$B44)</f>
        <v>19028092.110691469</v>
      </c>
      <c r="G44" s="704">
        <f>SUMIFS('Budget Filing Data'!BB$10:BB$297,'Budget Filing Data'!$G$10:$G$297,'1 Participant Bill Impacts'!$C44,'Budget Filing Data'!$B$10:$B$297,'1 Participant Bill Impacts'!$B44)</f>
        <v>4119579.895469036</v>
      </c>
      <c r="H44" s="704">
        <f t="shared" si="8"/>
        <v>23147672.006160505</v>
      </c>
      <c r="I44" s="705">
        <f t="shared" si="9"/>
        <v>0.16425755054865507</v>
      </c>
      <c r="J44" s="706">
        <f t="shared" si="10"/>
        <v>2.6581646649522006</v>
      </c>
    </row>
    <row r="45" spans="2:10">
      <c r="B45" s="439">
        <v>2030</v>
      </c>
      <c r="C45" s="440" t="s">
        <v>50</v>
      </c>
      <c r="D45" s="703">
        <f>SUMIFS('Budget Filing Data'!$Q$10:$Q$297,'Budget Filing Data'!$G$10:$G$297,'1 Participant Bill Impacts'!$C45,'Budget Filing Data'!$B$10:$B$297,'1 Participant Bill Impacts'!$B45)</f>
        <v>107061934.71657443</v>
      </c>
      <c r="E45" s="703">
        <f>SUMIFS('Budget Filing Data'!$S$10:$S$297,'Budget Filing Data'!$G$10:$G$297,'1 Participant Bill Impacts'!$C45,'Budget Filing Data'!$B$10:$B$297,'1 Participant Bill Impacts'!$B45)</f>
        <v>1534450.2955317069</v>
      </c>
      <c r="F45" s="704">
        <f>SUMIFS('Budget Filing Data'!BA$10:BA$297,'Budget Filing Data'!$G$10:$G$297,'1 Participant Bill Impacts'!$C45,'Budget Filing Data'!$B$10:$B$297,'1 Participant Bill Impacts'!$B45)</f>
        <v>18092633.232101604</v>
      </c>
      <c r="G45" s="704">
        <f>SUMIFS('Budget Filing Data'!BB$10:BB$297,'Budget Filing Data'!$G$10:$G$297,'1 Participant Bill Impacts'!$C45,'Budget Filing Data'!$B$10:$B$297,'1 Participant Bill Impacts'!$B45)</f>
        <v>4126547.9449056322</v>
      </c>
      <c r="H45" s="704">
        <f t="shared" si="8"/>
        <v>22219181.177007236</v>
      </c>
      <c r="I45" s="705">
        <f t="shared" si="9"/>
        <v>0.16899221259169581</v>
      </c>
      <c r="J45" s="706">
        <f t="shared" si="10"/>
        <v>2.689267913677015</v>
      </c>
    </row>
    <row r="46" spans="2:10" ht="15.75" thickBot="1">
      <c r="B46" s="439">
        <v>2031</v>
      </c>
      <c r="C46" s="440" t="s">
        <v>50</v>
      </c>
      <c r="D46" s="703">
        <f>SUMIFS('Budget Filing Data'!$Q$10:$Q$297,'Budget Filing Data'!$G$10:$G$297,'1 Participant Bill Impacts'!$C46,'Budget Filing Data'!$B$10:$B$297,'1 Participant Bill Impacts'!$B46)</f>
        <v>101594701.00427532</v>
      </c>
      <c r="E46" s="703">
        <f>SUMIFS('Budget Filing Data'!$S$10:$S$297,'Budget Filing Data'!$G$10:$G$297,'1 Participant Bill Impacts'!$C46,'Budget Filing Data'!$B$10:$B$297,'1 Participant Bill Impacts'!$B46)</f>
        <v>1506657.565697269</v>
      </c>
      <c r="F46" s="704">
        <f>SUMIFS('Budget Filing Data'!BA$10:BA$297,'Budget Filing Data'!$G$10:$G$297,'1 Participant Bill Impacts'!$C46,'Budget Filing Data'!$B$10:$B$297,'1 Participant Bill Impacts'!$B46)</f>
        <v>17639102.533817127</v>
      </c>
      <c r="G46" s="704">
        <f>SUMIFS('Budget Filing Data'!BB$10:BB$297,'Budget Filing Data'!$G$10:$G$297,'1 Participant Bill Impacts'!$C46,'Budget Filing Data'!$B$10:$B$297,'1 Participant Bill Impacts'!$B46)</f>
        <v>4090705.9049727903</v>
      </c>
      <c r="H46" s="704">
        <f t="shared" si="8"/>
        <v>21729808.438789919</v>
      </c>
      <c r="I46" s="705">
        <f t="shared" si="9"/>
        <v>0.17362226926653229</v>
      </c>
      <c r="J46" s="706">
        <f t="shared" si="10"/>
        <v>2.7150866913011149</v>
      </c>
    </row>
    <row r="47" spans="2:10">
      <c r="B47" s="179" t="s">
        <v>203</v>
      </c>
      <c r="C47" s="180" t="s">
        <v>54</v>
      </c>
      <c r="D47" s="324">
        <v>0</v>
      </c>
      <c r="E47" s="324">
        <v>0</v>
      </c>
      <c r="F47" s="325">
        <v>0</v>
      </c>
      <c r="G47" s="326">
        <v>0</v>
      </c>
      <c r="H47" s="330">
        <f t="shared" si="8"/>
        <v>0</v>
      </c>
      <c r="I47" s="306" t="str">
        <f>IFERROR(F47/D47,"N/A")</f>
        <v>N/A</v>
      </c>
      <c r="J47" s="307" t="str">
        <f>IFERROR(G47/E47,("N/A"))</f>
        <v>N/A</v>
      </c>
    </row>
    <row r="48" spans="2:10">
      <c r="B48" s="439">
        <v>2028</v>
      </c>
      <c r="C48" s="440" t="s">
        <v>54</v>
      </c>
      <c r="D48" s="703">
        <f>SUMIFS('Budget Filing Data'!$Q$10:$Q$297,'Budget Filing Data'!$G$10:$G$297,'1 Participant Bill Impacts'!$C48,'Budget Filing Data'!$B$10:$B$297,'1 Participant Bill Impacts'!$B48)</f>
        <v>0</v>
      </c>
      <c r="E48" s="703">
        <f>SUMIFS('Budget Filing Data'!$S$10:$S$297,'Budget Filing Data'!$G$10:$G$297,'1 Participant Bill Impacts'!$C48,'Budget Filing Data'!$B$10:$B$297,'1 Participant Bill Impacts'!$B48)</f>
        <v>0</v>
      </c>
      <c r="F48" s="704">
        <f>SUMIFS('Budget Filing Data'!BA$10:BA$297,'Budget Filing Data'!$G$10:$G$297,'1 Participant Bill Impacts'!$C48,'Budget Filing Data'!$B$10:$B$297,'1 Participant Bill Impacts'!$B48)</f>
        <v>0</v>
      </c>
      <c r="G48" s="704">
        <f>SUMIFS('Budget Filing Data'!BB$10:BB$297,'Budget Filing Data'!$G$10:$G$297,'1 Participant Bill Impacts'!$C48,'Budget Filing Data'!$B$10:$B$297,'1 Participant Bill Impacts'!$B48)</f>
        <v>0</v>
      </c>
      <c r="H48" s="704">
        <f t="shared" si="8"/>
        <v>0</v>
      </c>
      <c r="I48" s="708" t="str">
        <f>IFERROR(F48/D48,"0")</f>
        <v>0</v>
      </c>
      <c r="J48" s="707" t="str">
        <f>IFERROR(G48/E48,("0"))</f>
        <v>0</v>
      </c>
    </row>
    <row r="49" spans="2:10">
      <c r="B49" s="439">
        <v>2029</v>
      </c>
      <c r="C49" s="440" t="s">
        <v>54</v>
      </c>
      <c r="D49" s="703">
        <f>SUMIFS('Budget Filing Data'!$Q$10:$Q$297,'Budget Filing Data'!$G$10:$G$297,'1 Participant Bill Impacts'!$C49,'Budget Filing Data'!$B$10:$B$297,'1 Participant Bill Impacts'!$B49)</f>
        <v>0</v>
      </c>
      <c r="E49" s="703">
        <f>SUMIFS('Budget Filing Data'!$S$10:$S$297,'Budget Filing Data'!$G$10:$G$297,'1 Participant Bill Impacts'!$C49,'Budget Filing Data'!$B$10:$B$297,'1 Participant Bill Impacts'!$B49)</f>
        <v>0</v>
      </c>
      <c r="F49" s="704">
        <f>SUMIFS('Budget Filing Data'!BA$10:BA$297,'Budget Filing Data'!$G$10:$G$297,'1 Participant Bill Impacts'!$C49,'Budget Filing Data'!$B$10:$B$297,'1 Participant Bill Impacts'!$B49)</f>
        <v>0</v>
      </c>
      <c r="G49" s="704">
        <f>SUMIFS('Budget Filing Data'!BB$10:BB$297,'Budget Filing Data'!$G$10:$G$297,'1 Participant Bill Impacts'!$C49,'Budget Filing Data'!$B$10:$B$297,'1 Participant Bill Impacts'!$B49)</f>
        <v>0</v>
      </c>
      <c r="H49" s="704">
        <f t="shared" si="8"/>
        <v>0</v>
      </c>
      <c r="I49" s="708" t="str">
        <f t="shared" ref="I49:I51" si="11">IFERROR(F49/D49,"0")</f>
        <v>0</v>
      </c>
      <c r="J49" s="707" t="str">
        <f t="shared" ref="J49:J51" si="12">IFERROR(G49/E49,("0"))</f>
        <v>0</v>
      </c>
    </row>
    <row r="50" spans="2:10">
      <c r="B50" s="439">
        <v>2030</v>
      </c>
      <c r="C50" s="440" t="s">
        <v>54</v>
      </c>
      <c r="D50" s="703">
        <f>SUMIFS('Budget Filing Data'!$Q$10:$Q$297,'Budget Filing Data'!$G$10:$G$297,'1 Participant Bill Impacts'!$C50,'Budget Filing Data'!$B$10:$B$297,'1 Participant Bill Impacts'!$B50)</f>
        <v>0</v>
      </c>
      <c r="E50" s="703">
        <f>SUMIFS('Budget Filing Data'!$S$10:$S$297,'Budget Filing Data'!$G$10:$G$297,'1 Participant Bill Impacts'!$C50,'Budget Filing Data'!$B$10:$B$297,'1 Participant Bill Impacts'!$B50)</f>
        <v>0</v>
      </c>
      <c r="F50" s="704">
        <f>SUMIFS('Budget Filing Data'!BA$10:BA$297,'Budget Filing Data'!$G$10:$G$297,'1 Participant Bill Impacts'!$C50,'Budget Filing Data'!$B$10:$B$297,'1 Participant Bill Impacts'!$B50)</f>
        <v>0</v>
      </c>
      <c r="G50" s="704">
        <f>SUMIFS('Budget Filing Data'!BB$10:BB$297,'Budget Filing Data'!$G$10:$G$297,'1 Participant Bill Impacts'!$C50,'Budget Filing Data'!$B$10:$B$297,'1 Participant Bill Impacts'!$B50)</f>
        <v>0</v>
      </c>
      <c r="H50" s="704">
        <f t="shared" si="8"/>
        <v>0</v>
      </c>
      <c r="I50" s="708" t="str">
        <f t="shared" si="11"/>
        <v>0</v>
      </c>
      <c r="J50" s="707" t="str">
        <f t="shared" si="12"/>
        <v>0</v>
      </c>
    </row>
    <row r="51" spans="2:10">
      <c r="B51" s="439">
        <v>2031</v>
      </c>
      <c r="C51" s="440" t="s">
        <v>54</v>
      </c>
      <c r="D51" s="703">
        <f>SUMIFS('Budget Filing Data'!$Q$10:$Q$297,'Budget Filing Data'!$G$10:$G$297,'1 Participant Bill Impacts'!$C51,'Budget Filing Data'!$B$10:$B$297,'1 Participant Bill Impacts'!$B51)</f>
        <v>0</v>
      </c>
      <c r="E51" s="703">
        <f>SUMIFS('Budget Filing Data'!$S$10:$S$297,'Budget Filing Data'!$G$10:$G$297,'1 Participant Bill Impacts'!$C51,'Budget Filing Data'!$B$10:$B$297,'1 Participant Bill Impacts'!$B51)</f>
        <v>0</v>
      </c>
      <c r="F51" s="704">
        <f>SUMIFS('Budget Filing Data'!BA$10:BA$297,'Budget Filing Data'!$G$10:$G$297,'1 Participant Bill Impacts'!$C51,'Budget Filing Data'!$B$10:$B$297,'1 Participant Bill Impacts'!$B51)</f>
        <v>0</v>
      </c>
      <c r="G51" s="704">
        <f>SUMIFS('Budget Filing Data'!BB$10:BB$297,'Budget Filing Data'!$G$10:$G$297,'1 Participant Bill Impacts'!$C51,'Budget Filing Data'!$B$10:$B$297,'1 Participant Bill Impacts'!$B51)</f>
        <v>0</v>
      </c>
      <c r="H51" s="704">
        <f t="shared" si="8"/>
        <v>0</v>
      </c>
      <c r="I51" s="708" t="str">
        <f t="shared" si="11"/>
        <v>0</v>
      </c>
      <c r="J51" s="707" t="str">
        <f t="shared" si="12"/>
        <v>0</v>
      </c>
    </row>
    <row r="52" spans="2:10" ht="17.25">
      <c r="B52" s="669" t="s">
        <v>205</v>
      </c>
      <c r="C52" s="669"/>
      <c r="D52" s="669"/>
      <c r="E52" s="669"/>
      <c r="F52" s="669"/>
      <c r="G52" s="669"/>
      <c r="H52" s="669"/>
      <c r="I52" s="669"/>
      <c r="J52" s="669"/>
    </row>
    <row r="53" spans="2:10" ht="27" customHeight="1">
      <c r="B53" s="874" t="s">
        <v>206</v>
      </c>
      <c r="C53" s="874"/>
      <c r="D53" s="874"/>
      <c r="E53" s="874"/>
      <c r="F53" s="874"/>
      <c r="G53" s="874"/>
      <c r="H53" s="874"/>
      <c r="I53" s="874"/>
      <c r="J53" s="874"/>
    </row>
    <row r="54" spans="2:10" ht="23.45" customHeight="1">
      <c r="B54" s="874"/>
      <c r="C54" s="874"/>
      <c r="D54" s="874"/>
      <c r="E54" s="874"/>
      <c r="F54" s="874"/>
      <c r="G54" s="874"/>
      <c r="H54" s="874"/>
      <c r="I54" s="874"/>
      <c r="J54" s="874"/>
    </row>
    <row r="55" spans="2:10" ht="17.25" customHeight="1">
      <c r="B55" s="874" t="s">
        <v>207</v>
      </c>
      <c r="C55" s="874"/>
      <c r="D55" s="874"/>
      <c r="E55" s="874"/>
      <c r="F55" s="874"/>
      <c r="G55" s="874"/>
      <c r="H55" s="874"/>
      <c r="I55" s="874"/>
      <c r="J55" s="874"/>
    </row>
    <row r="56" spans="2:10">
      <c r="B56" s="874"/>
      <c r="C56" s="874"/>
      <c r="D56" s="874"/>
      <c r="E56" s="874"/>
      <c r="F56" s="874"/>
      <c r="G56" s="874"/>
      <c r="H56" s="874"/>
      <c r="I56" s="874"/>
      <c r="J56" s="874"/>
    </row>
    <row r="57" spans="2:10">
      <c r="B57" s="874"/>
      <c r="C57" s="874"/>
      <c r="D57" s="874"/>
      <c r="E57" s="874"/>
      <c r="F57" s="874"/>
      <c r="G57" s="874"/>
      <c r="H57" s="874"/>
      <c r="I57" s="874"/>
      <c r="J57" s="874"/>
    </row>
  </sheetData>
  <mergeCells count="4">
    <mergeCell ref="C2:G2"/>
    <mergeCell ref="C3:G3"/>
    <mergeCell ref="B53:J54"/>
    <mergeCell ref="B55:J57"/>
  </mergeCells>
  <pageMargins left="0.25" right="0.25" top="0.75" bottom="0.75" header="0.3" footer="0.3"/>
  <pageSetup paperSize="17" orientation="landscape"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0E69-BF7C-4CDD-990D-E7130CFD9A09}">
  <sheetPr codeName="Sheet4">
    <tabColor theme="4"/>
    <pageSetUpPr fitToPage="1"/>
  </sheetPr>
  <dimension ref="B1:M64"/>
  <sheetViews>
    <sheetView showGridLines="0" zoomScaleNormal="100" workbookViewId="0">
      <pane ySplit="11" topLeftCell="A12" activePane="bottomLeft" state="frozen"/>
      <selection pane="bottomLeft" activeCell="D13" sqref="D13"/>
    </sheetView>
  </sheetViews>
  <sheetFormatPr defaultColWidth="9.625" defaultRowHeight="15.75" customHeight="1"/>
  <cols>
    <col min="1" max="1" width="8.5" style="154" customWidth="1"/>
    <col min="2" max="2" width="15.5" style="154" customWidth="1"/>
    <col min="3" max="3" width="17.75" style="154" customWidth="1"/>
    <col min="4" max="5" width="14.25" style="154" customWidth="1"/>
    <col min="6" max="6" width="19.125" style="154" customWidth="1"/>
    <col min="7" max="7" width="15" style="154" bestFit="1" customWidth="1"/>
    <col min="8" max="8" width="14.75" style="154" bestFit="1" customWidth="1"/>
    <col min="9" max="9" width="17.75" style="154" customWidth="1"/>
    <col min="10" max="10" width="16.25" style="154" customWidth="1"/>
    <col min="11" max="11" width="19.75" style="154" customWidth="1"/>
    <col min="12" max="12" width="13.125" style="154" customWidth="1"/>
    <col min="13" max="13" width="12.75" style="154" customWidth="1"/>
    <col min="14" max="14" width="11.5" style="154" bestFit="1" customWidth="1"/>
    <col min="15" max="16384" width="9.625" style="154"/>
  </cols>
  <sheetData>
    <row r="1" spans="2:13" ht="15.75" customHeight="1" thickBot="1"/>
    <row r="2" spans="2:13" ht="54.75" customHeight="1">
      <c r="B2" s="224" t="s">
        <v>58</v>
      </c>
      <c r="C2" s="879" t="s">
        <v>208</v>
      </c>
      <c r="D2" s="880"/>
      <c r="E2" s="880"/>
      <c r="F2" s="880"/>
      <c r="G2" s="880"/>
      <c r="H2" s="880"/>
      <c r="I2" s="880"/>
      <c r="J2" s="881"/>
    </row>
    <row r="3" spans="2:13" s="155" customFormat="1" ht="33" customHeight="1" thickBot="1">
      <c r="B3" s="436" t="s">
        <v>102</v>
      </c>
      <c r="C3" s="877" t="s">
        <v>209</v>
      </c>
      <c r="D3" s="877"/>
      <c r="E3" s="877"/>
      <c r="F3" s="877"/>
      <c r="G3" s="877"/>
      <c r="H3" s="877"/>
      <c r="I3" s="877"/>
      <c r="J3" s="878"/>
      <c r="K3" s="701"/>
      <c r="L3" s="701"/>
      <c r="M3" s="701"/>
    </row>
    <row r="4" spans="2:13" s="155" customFormat="1" thickBot="1">
      <c r="B4" s="69"/>
      <c r="C4" s="69"/>
      <c r="D4" s="69"/>
      <c r="E4" s="69"/>
      <c r="F4" s="69"/>
      <c r="G4" s="69"/>
      <c r="H4" s="69"/>
      <c r="I4" s="69"/>
      <c r="J4" s="69"/>
      <c r="K4" s="701"/>
      <c r="L4" s="701"/>
      <c r="M4" s="701"/>
    </row>
    <row r="5" spans="2:13" s="144" customFormat="1" ht="15">
      <c r="B5" s="177" t="s">
        <v>104</v>
      </c>
      <c r="C5" s="181" t="str">
        <f>'Read Me'!B10</f>
        <v>SDG&amp;E</v>
      </c>
      <c r="D5" s="70"/>
      <c r="E5" s="70"/>
      <c r="F5" s="70"/>
      <c r="G5" s="70"/>
      <c r="H5" s="70"/>
      <c r="I5" s="70"/>
      <c r="J5" s="70"/>
      <c r="K5" s="70"/>
      <c r="L5" s="70"/>
      <c r="M5" s="70"/>
    </row>
    <row r="6" spans="2:13" s="144" customFormat="1" thickBot="1">
      <c r="B6" s="437" t="s">
        <v>105</v>
      </c>
      <c r="C6" s="438" t="str">
        <f>'Read Me'!B11</f>
        <v>2028-2035</v>
      </c>
      <c r="D6" s="70"/>
      <c r="E6" s="70"/>
      <c r="F6" s="70"/>
      <c r="G6" s="70"/>
      <c r="H6" s="70"/>
      <c r="I6" s="70"/>
      <c r="J6" s="70"/>
      <c r="K6" s="70"/>
      <c r="L6" s="70"/>
      <c r="M6" s="70"/>
    </row>
    <row r="7" spans="2:13" s="144" customFormat="1" ht="15">
      <c r="B7" s="5"/>
      <c r="C7" s="5"/>
      <c r="D7" s="5"/>
      <c r="E7" s="70"/>
      <c r="F7" s="70"/>
      <c r="G7" s="70"/>
      <c r="H7" s="70"/>
      <c r="I7" s="70"/>
      <c r="J7" s="70"/>
      <c r="K7" s="70"/>
      <c r="L7" s="70"/>
      <c r="M7" s="70"/>
    </row>
    <row r="8" spans="2:13" s="144" customFormat="1" ht="15">
      <c r="B8" s="71"/>
      <c r="C8" s="71"/>
      <c r="D8" s="71"/>
      <c r="E8" s="71"/>
      <c r="F8" s="71"/>
      <c r="G8" s="71"/>
      <c r="H8" s="70"/>
      <c r="I8" s="70"/>
      <c r="J8" s="70"/>
      <c r="K8" s="70"/>
      <c r="L8" s="669"/>
      <c r="M8" s="669"/>
    </row>
    <row r="9" spans="2:13" s="144" customFormat="1" ht="7.5" customHeight="1">
      <c r="B9" s="669"/>
      <c r="C9" s="669"/>
      <c r="D9" s="669"/>
      <c r="E9" s="669"/>
      <c r="F9" s="669"/>
      <c r="G9" s="669"/>
      <c r="H9" s="669"/>
      <c r="I9" s="669"/>
      <c r="J9" s="669"/>
      <c r="K9" s="669"/>
      <c r="L9" s="669"/>
      <c r="M9" s="669"/>
    </row>
    <row r="10" spans="2:13" s="144" customFormat="1" ht="47.45" customHeight="1" thickBot="1">
      <c r="B10" s="669"/>
      <c r="C10" s="669"/>
      <c r="D10" s="308" t="s">
        <v>210</v>
      </c>
      <c r="E10" s="308" t="s">
        <v>211</v>
      </c>
      <c r="F10" s="308" t="s">
        <v>212</v>
      </c>
      <c r="G10" s="308" t="s">
        <v>213</v>
      </c>
      <c r="H10" s="308" t="s">
        <v>214</v>
      </c>
      <c r="I10" s="308" t="s">
        <v>214</v>
      </c>
      <c r="J10" s="882" t="s">
        <v>215</v>
      </c>
      <c r="K10" s="882"/>
      <c r="L10" s="308" t="s">
        <v>216</v>
      </c>
      <c r="M10" s="308" t="s">
        <v>217</v>
      </c>
    </row>
    <row r="11" spans="2:13" s="144" customFormat="1" ht="48.6" customHeight="1" thickBot="1">
      <c r="B11" s="182" t="s">
        <v>195</v>
      </c>
      <c r="C11" s="183" t="s">
        <v>218</v>
      </c>
      <c r="D11" s="183" t="s">
        <v>219</v>
      </c>
      <c r="E11" s="183" t="s">
        <v>220</v>
      </c>
      <c r="F11" s="183" t="s">
        <v>221</v>
      </c>
      <c r="G11" s="183" t="s">
        <v>222</v>
      </c>
      <c r="H11" s="183" t="s">
        <v>223</v>
      </c>
      <c r="I11" s="183" t="s">
        <v>224</v>
      </c>
      <c r="J11" s="183" t="s">
        <v>225</v>
      </c>
      <c r="K11" s="183" t="s">
        <v>226</v>
      </c>
      <c r="L11" s="183" t="s">
        <v>227</v>
      </c>
      <c r="M11" s="183" t="s">
        <v>228</v>
      </c>
    </row>
    <row r="12" spans="2:13" s="144" customFormat="1" ht="17.25">
      <c r="B12" s="184" t="s">
        <v>229</v>
      </c>
      <c r="C12" s="185" t="s">
        <v>204</v>
      </c>
      <c r="D12" s="709">
        <f>D17+D22+D27+D32+D37+D42+D47</f>
        <v>19242051.939828772</v>
      </c>
      <c r="E12" s="709">
        <f t="shared" ref="D12:G16" si="0">E17+E22+E27+E32+E37+E42+E47</f>
        <v>12934022.369075373</v>
      </c>
      <c r="F12" s="710">
        <f t="shared" si="0"/>
        <v>93322404.050193876</v>
      </c>
      <c r="G12" s="710">
        <f t="shared" si="0"/>
        <v>2986531.8315521199</v>
      </c>
      <c r="H12" s="709">
        <f>D12-F12</f>
        <v>-74080352.110365108</v>
      </c>
      <c r="I12" s="709">
        <f>E12-G12</f>
        <v>9947490.5375232529</v>
      </c>
      <c r="J12" s="412">
        <f>J17+J22+J27+J32+J37+J42+J47</f>
        <v>16902545983.239714</v>
      </c>
      <c r="K12" s="412">
        <f>K17+K22+K27+K32+K37+K42+K47</f>
        <v>887176641.87089503</v>
      </c>
      <c r="L12" s="711">
        <f>H12/$J$12</f>
        <v>-4.3827925203588835E-3</v>
      </c>
      <c r="M12" s="712">
        <f>I12/$K$12</f>
        <v>1.1212525294337998E-2</v>
      </c>
    </row>
    <row r="13" spans="2:13" s="144" customFormat="1" ht="15">
      <c r="B13" s="439">
        <v>2028</v>
      </c>
      <c r="C13" s="440" t="s">
        <v>204</v>
      </c>
      <c r="D13" s="713">
        <f t="shared" si="0"/>
        <v>15340107.665284581</v>
      </c>
      <c r="E13" s="713">
        <f t="shared" si="0"/>
        <v>10741910.933122436</v>
      </c>
      <c r="F13" s="714">
        <f t="shared" si="0"/>
        <v>56761000.316568173</v>
      </c>
      <c r="G13" s="714">
        <f t="shared" si="0"/>
        <v>12481052.159824781</v>
      </c>
      <c r="H13" s="713">
        <f>D13-F13</f>
        <v>-41420892.651283592</v>
      </c>
      <c r="I13" s="713">
        <f>E13-G13</f>
        <v>-1739141.2267023455</v>
      </c>
      <c r="J13" s="715"/>
      <c r="K13" s="716"/>
      <c r="L13" s="717">
        <f>H13/$J$12</f>
        <v>-2.450571215268745E-3</v>
      </c>
      <c r="M13" s="718">
        <f t="shared" ref="M13:M16" si="1">I13/$K$12</f>
        <v>-1.9603099818259547E-3</v>
      </c>
    </row>
    <row r="14" spans="2:13" s="144" customFormat="1" ht="15">
      <c r="B14" s="439">
        <v>2029</v>
      </c>
      <c r="C14" s="440" t="s">
        <v>204</v>
      </c>
      <c r="D14" s="713">
        <f t="shared" si="0"/>
        <v>15427302.079298578</v>
      </c>
      <c r="E14" s="713">
        <f t="shared" si="0"/>
        <v>10479404.204039186</v>
      </c>
      <c r="F14" s="714">
        <f t="shared" si="0"/>
        <v>55894958.601742633</v>
      </c>
      <c r="G14" s="714">
        <f t="shared" si="0"/>
        <v>11911399.48423529</v>
      </c>
      <c r="H14" s="713">
        <f t="shared" ref="H14:H16" si="2">D14-F14</f>
        <v>-40467656.522444054</v>
      </c>
      <c r="I14" s="713">
        <f t="shared" ref="I14:I16" si="3">E14-G14</f>
        <v>-1431995.2801961042</v>
      </c>
      <c r="J14" s="715"/>
      <c r="K14" s="716"/>
      <c r="L14" s="717">
        <f>H14/$J$12</f>
        <v>-2.3941752066565071E-3</v>
      </c>
      <c r="M14" s="718">
        <f t="shared" si="1"/>
        <v>-1.6141039028893787E-3</v>
      </c>
    </row>
    <row r="15" spans="2:13" s="144" customFormat="1" ht="15">
      <c r="B15" s="439">
        <v>2030</v>
      </c>
      <c r="C15" s="440" t="s">
        <v>204</v>
      </c>
      <c r="D15" s="713">
        <f t="shared" si="0"/>
        <v>18054277.560083948</v>
      </c>
      <c r="E15" s="713">
        <f t="shared" si="0"/>
        <v>10690452.484067032</v>
      </c>
      <c r="F15" s="714">
        <f t="shared" si="0"/>
        <v>63798357.710891664</v>
      </c>
      <c r="G15" s="714">
        <f t="shared" si="0"/>
        <v>12127536.149862899</v>
      </c>
      <c r="H15" s="713">
        <f t="shared" si="2"/>
        <v>-45744080.150807716</v>
      </c>
      <c r="I15" s="713">
        <f t="shared" si="3"/>
        <v>-1437083.6657958664</v>
      </c>
      <c r="J15" s="715"/>
      <c r="K15" s="716"/>
      <c r="L15" s="717">
        <f t="shared" ref="L15:L16" si="4">H15/$J$12</f>
        <v>-2.7063425945515421E-3</v>
      </c>
      <c r="M15" s="718">
        <f t="shared" si="1"/>
        <v>-1.6198393848211748E-3</v>
      </c>
    </row>
    <row r="16" spans="2:13" s="144" customFormat="1" thickBot="1">
      <c r="B16" s="439">
        <v>2031</v>
      </c>
      <c r="C16" s="440" t="s">
        <v>204</v>
      </c>
      <c r="D16" s="713">
        <f t="shared" si="0"/>
        <v>22836698.975426298</v>
      </c>
      <c r="E16" s="713">
        <f t="shared" si="0"/>
        <v>11087691.379919164</v>
      </c>
      <c r="F16" s="714">
        <f t="shared" si="0"/>
        <v>80718107.231267691</v>
      </c>
      <c r="G16" s="714">
        <f t="shared" si="0"/>
        <v>12994545.422820546</v>
      </c>
      <c r="H16" s="713">
        <f t="shared" si="2"/>
        <v>-57881408.255841389</v>
      </c>
      <c r="I16" s="713">
        <f t="shared" si="3"/>
        <v>-1906854.0429013819</v>
      </c>
      <c r="J16" s="715"/>
      <c r="K16" s="716"/>
      <c r="L16" s="719">
        <f t="shared" si="4"/>
        <v>-3.4244195113112331E-3</v>
      </c>
      <c r="M16" s="720">
        <f t="shared" si="1"/>
        <v>-2.1493510456724509E-3</v>
      </c>
    </row>
    <row r="17" spans="2:13" s="144" customFormat="1" ht="38.65" customHeight="1">
      <c r="B17" s="184" t="s">
        <v>229</v>
      </c>
      <c r="C17" s="185" t="s">
        <v>18</v>
      </c>
      <c r="D17" s="248">
        <f>SUMIFS('Rates Rev - 2024'!$AG$8:$AG$102,'Rates Rev - 2024'!$E$8:$E$102,'2 Rates Rev- IOU Only'!$C17)</f>
        <v>5176044.8502389323</v>
      </c>
      <c r="E17" s="248">
        <f>SUMIFS('Rates Rev - 2024'!$AH$8:$AH102,'Rates Rev - 2024'!$E$8:$E$102,'2 Rates Rev- IOU Only'!$C17)</f>
        <v>3771893.8945556823</v>
      </c>
      <c r="F17" s="248">
        <f>SUMIFS('Rates Rev - 2024'!$AI$8:$AI102,'Rates Rev - 2024'!$E$8:$E$102,'2 Rates Rev- IOU Only'!$C17)</f>
        <v>9763566.5060741417</v>
      </c>
      <c r="G17" s="248">
        <f>SUMIFS('Rates Rev - 2024'!$AJ$8:$AJ102,'Rates Rev - 2024'!$E$8:$E$102,'2 Rates Rev- IOU Only'!$C17)</f>
        <v>1232066.3767979005</v>
      </c>
      <c r="H17" s="709">
        <f>D17-F17</f>
        <v>-4587521.6558352094</v>
      </c>
      <c r="I17" s="709">
        <f>E17-G17</f>
        <v>2539827.5177577818</v>
      </c>
      <c r="J17" s="413">
        <v>4989621248.4591293</v>
      </c>
      <c r="K17" s="413">
        <v>258533080.23116636</v>
      </c>
      <c r="L17" s="711">
        <f>H17/$J$17</f>
        <v>-9.1941280257532682E-4</v>
      </c>
      <c r="M17" s="712">
        <f>I17/$K$17</f>
        <v>9.8239943433420778E-3</v>
      </c>
    </row>
    <row r="18" spans="2:13" s="144" customFormat="1" ht="15">
      <c r="B18" s="439">
        <v>2028</v>
      </c>
      <c r="C18" s="440" t="s">
        <v>18</v>
      </c>
      <c r="D18" s="713">
        <f>SUMIFS('Budget Filing Data'!BH$10:BH$997057,'Budget Filing Data'!$B$10:$B$997057,'2 Rates Rev- IOU Only'!B18,'Budget Filing Data'!$G$10:$G$997057,'2 Rates Rev- IOU Only'!C18)</f>
        <v>4444251.0926838676</v>
      </c>
      <c r="E18" s="713">
        <f>SUMIFS('Budget Filing Data'!BI$10:BI$997057,'Budget Filing Data'!$B$10:$B$997057,'2 Rates Rev- IOU Only'!B18,'Budget Filing Data'!$G$10:$G$997057,C18)</f>
        <v>2636648.4702700893</v>
      </c>
      <c r="F18" s="714">
        <f>SUMIFS('Budget Filing Data'!BJ$10:BJ$997057,'Budget Filing Data'!$B$10:$B$997057,B18,'Budget Filing Data'!$G$10:$G$997057,'2 Rates Rev- IOU Only'!C18)</f>
        <v>18306440.719306197</v>
      </c>
      <c r="G18" s="714">
        <f>SUMIFS('Budget Filing Data'!BK$10:BK$997057,'Budget Filing Data'!$B$10:$B$997057,B18,'Budget Filing Data'!$G$10:$G$997057,C18)</f>
        <v>4502000.9024251187</v>
      </c>
      <c r="H18" s="713">
        <f>D18-F18</f>
        <v>-13862189.62662233</v>
      </c>
      <c r="I18" s="713">
        <f>E18-G18</f>
        <v>-1865352.4321550294</v>
      </c>
      <c r="J18" s="441"/>
      <c r="K18" s="441"/>
      <c r="L18" s="717">
        <f t="shared" ref="L18:L21" si="5">H18/$J$17</f>
        <v>-2.778204784762608E-3</v>
      </c>
      <c r="M18" s="718">
        <f t="shared" ref="M18:M21" si="6">I18/$K$17</f>
        <v>-7.2151402462196776E-3</v>
      </c>
    </row>
    <row r="19" spans="2:13" s="144" customFormat="1" ht="15">
      <c r="B19" s="439">
        <v>2029</v>
      </c>
      <c r="C19" s="440" t="s">
        <v>18</v>
      </c>
      <c r="D19" s="713">
        <f>SUMIFS('Budget Filing Data'!BH$10:BH$997057,'Budget Filing Data'!$B$10:$B$997057,'2 Rates Rev- IOU Only'!B19,'Budget Filing Data'!$G$10:$G$997057,'2 Rates Rev- IOU Only'!C19)</f>
        <v>6075892.24438495</v>
      </c>
      <c r="E19" s="713">
        <f>SUMIFS('Budget Filing Data'!BI$10:BI$997057,'Budget Filing Data'!$B$10:$B$997057,'2 Rates Rev- IOU Only'!B19,'Budget Filing Data'!$G$10:$G$997057,C19)</f>
        <v>2586936.8631293224</v>
      </c>
      <c r="F19" s="714">
        <f>SUMIFS('Budget Filing Data'!BJ$10:BJ$997057,'Budget Filing Data'!$B$10:$B$997057,B19,'Budget Filing Data'!$G$10:$G$997057,'2 Rates Rev- IOU Only'!C19)</f>
        <v>22659329.399990682</v>
      </c>
      <c r="G19" s="714">
        <f>SUMIFS('Budget Filing Data'!BK$10:BK$997057,'Budget Filing Data'!$B$10:$B$997057,B19,'Budget Filing Data'!$G$10:$G$997057,C19)</f>
        <v>4564040.8905699411</v>
      </c>
      <c r="H19" s="713">
        <f t="shared" ref="H19:H21" si="7">D19-F19</f>
        <v>-16583437.155605732</v>
      </c>
      <c r="I19" s="713">
        <f t="shared" ref="I19:I21" si="8">E19-G19</f>
        <v>-1977104.0274406187</v>
      </c>
      <c r="J19" s="441"/>
      <c r="K19" s="441"/>
      <c r="L19" s="717">
        <f t="shared" si="5"/>
        <v>-3.3235863665457468E-3</v>
      </c>
      <c r="M19" s="718">
        <f t="shared" si="6"/>
        <v>-7.647392843007938E-3</v>
      </c>
    </row>
    <row r="20" spans="2:13" s="144" customFormat="1" ht="15">
      <c r="B20" s="439">
        <v>2030</v>
      </c>
      <c r="C20" s="440" t="s">
        <v>18</v>
      </c>
      <c r="D20" s="713">
        <f>SUMIFS('Budget Filing Data'!BH$10:BH$997057,'Budget Filing Data'!$B$10:$B$997057,'2 Rates Rev- IOU Only'!B20,'Budget Filing Data'!$G$10:$G$997057,'2 Rates Rev- IOU Only'!C20)</f>
        <v>8876040.5246531963</v>
      </c>
      <c r="E20" s="713">
        <f>SUMIFS('Budget Filing Data'!BI$10:BI$997057,'Budget Filing Data'!$B$10:$B$997057,'2 Rates Rev- IOU Only'!B20,'Budget Filing Data'!$G$10:$G$997057,C20)</f>
        <v>2514306.7397933514</v>
      </c>
      <c r="F20" s="714">
        <f>SUMIFS('Budget Filing Data'!BJ$10:BJ$997057,'Budget Filing Data'!$B$10:$B$997057,B20,'Budget Filing Data'!$G$10:$G$997057,'2 Rates Rev- IOU Only'!C20)</f>
        <v>31381965.190243825</v>
      </c>
      <c r="G20" s="714">
        <f>SUMIFS('Budget Filing Data'!BK$10:BK$997057,'Budget Filing Data'!$B$10:$B$997057,B20,'Budget Filing Data'!$G$10:$G$997057,C20)</f>
        <v>4792877.4882234363</v>
      </c>
      <c r="H20" s="713">
        <f t="shared" si="7"/>
        <v>-22505924.665590629</v>
      </c>
      <c r="I20" s="713">
        <f t="shared" si="8"/>
        <v>-2278570.7484300849</v>
      </c>
      <c r="J20" s="441"/>
      <c r="K20" s="441"/>
      <c r="L20" s="717">
        <f t="shared" si="5"/>
        <v>-4.5105477039045399E-3</v>
      </c>
      <c r="M20" s="718">
        <f t="shared" si="6"/>
        <v>-8.8134591766465993E-3</v>
      </c>
    </row>
    <row r="21" spans="2:13" s="144" customFormat="1" thickBot="1">
      <c r="B21" s="439">
        <v>2031</v>
      </c>
      <c r="C21" s="440" t="s">
        <v>18</v>
      </c>
      <c r="D21" s="713">
        <f>SUMIFS('Budget Filing Data'!BH$10:BH$997057,'Budget Filing Data'!$B$10:$B$997057,'2 Rates Rev- IOU Only'!B21,'Budget Filing Data'!$G$10:$G$997057,'2 Rates Rev- IOU Only'!C21)</f>
        <v>13806234.074055385</v>
      </c>
      <c r="E21" s="713">
        <f>SUMIFS('Budget Filing Data'!BI$10:BI$997057,'Budget Filing Data'!$B$10:$B$997057,'2 Rates Rev- IOU Only'!B21,'Budget Filing Data'!$G$10:$G$997057,C21)</f>
        <v>2689181.4753555376</v>
      </c>
      <c r="F21" s="714">
        <f>SUMIFS('Budget Filing Data'!BJ$10:BJ$997057,'Budget Filing Data'!$B$10:$B$997057,B21,'Budget Filing Data'!$G$10:$G$997057,'2 Rates Rev- IOU Only'!C21)</f>
        <v>48677840.775389031</v>
      </c>
      <c r="G21" s="714">
        <f>SUMIFS('Budget Filing Data'!BK$10:BK$997057,'Budget Filing Data'!$B$10:$B$997057,B21,'Budget Filing Data'!$G$10:$G$997057,C21)</f>
        <v>5688332.0130106416</v>
      </c>
      <c r="H21" s="713">
        <f t="shared" si="7"/>
        <v>-34871606.701333642</v>
      </c>
      <c r="I21" s="713">
        <f t="shared" si="8"/>
        <v>-2999150.537655104</v>
      </c>
      <c r="J21" s="441"/>
      <c r="K21" s="441"/>
      <c r="L21" s="719">
        <f t="shared" si="5"/>
        <v>-6.9888284029779859E-3</v>
      </c>
      <c r="M21" s="720">
        <f t="shared" si="6"/>
        <v>-1.1600645205532015E-2</v>
      </c>
    </row>
    <row r="22" spans="2:13" s="144" customFormat="1" ht="33.6" customHeight="1">
      <c r="B22" s="184" t="s">
        <v>229</v>
      </c>
      <c r="C22" s="185" t="s">
        <v>27</v>
      </c>
      <c r="D22" s="248">
        <f>SUMIFS('Rates Rev - 2024'!$AG$8:$AG$102,'Rates Rev - 2024'!$E$8:$E$102,'2 Rates Rev- IOU Only'!$C22)</f>
        <v>2281966.8014089284</v>
      </c>
      <c r="E22" s="248">
        <f>SUMIFS('Rates Rev - 2024'!$AH$8:$AH$102,'Rates Rev - 2024'!$E$8:$E$102,'2 Rates Rev- IOU Only'!$C22)</f>
        <v>2011525.0892632913</v>
      </c>
      <c r="F22" s="248">
        <f>SUMIFS('Rates Rev - 2024'!$AI$8:$AI$102,'Rates Rev - 2024'!$E$8:$E$102,'2 Rates Rev- IOU Only'!$C22)</f>
        <v>645957.44973703544</v>
      </c>
      <c r="G22" s="248">
        <f>SUMIFS('Rates Rev - 2024'!$AJ$8:$AJ$102,'Rates Rev - 2024'!$E$8:$E$102,'2 Rates Rev- IOU Only'!$C22)</f>
        <v>548237.18748899864</v>
      </c>
      <c r="H22" s="709">
        <f>D22-F22</f>
        <v>1636009.3516718929</v>
      </c>
      <c r="I22" s="709">
        <f>E22-G22</f>
        <v>1463287.9017742928</v>
      </c>
      <c r="J22" s="413">
        <v>7856944017.5240355</v>
      </c>
      <c r="K22" s="412">
        <v>205209630.58352703</v>
      </c>
      <c r="L22" s="711">
        <f>H22/$J$22</f>
        <v>2.0822464154294048E-4</v>
      </c>
      <c r="M22" s="712">
        <f>I22/$K$22</f>
        <v>7.1306979970352158E-3</v>
      </c>
    </row>
    <row r="23" spans="2:13" s="144" customFormat="1" ht="15">
      <c r="B23" s="439">
        <v>2028</v>
      </c>
      <c r="C23" s="440" t="s">
        <v>27</v>
      </c>
      <c r="D23" s="713">
        <f>SUMIFS('Budget Filing Data'!BH$10:BH$997057,'Budget Filing Data'!$B$10:$B$997057,'2 Rates Rev- IOU Only'!B23,'Budget Filing Data'!$G$10:$G$997057,'2 Rates Rev- IOU Only'!C23)</f>
        <v>1661337.4621225216</v>
      </c>
      <c r="E23" s="713">
        <f>SUMIFS('Budget Filing Data'!BI$10:BI$997057,'Budget Filing Data'!$B$10:$B$997057,'2 Rates Rev- IOU Only'!B23,'Budget Filing Data'!$G$10:$G$997057,C23)</f>
        <v>2044285.801630073</v>
      </c>
      <c r="F23" s="714">
        <f>SUMIFS('Budget Filing Data'!BJ$10:BJ$997057,'Budget Filing Data'!$B$10:$B$997057,B23,'Budget Filing Data'!$G$10:$G$997057,'2 Rates Rev- IOU Only'!C23)</f>
        <v>7599312.8812205028</v>
      </c>
      <c r="G23" s="714">
        <f>SUMIFS('Budget Filing Data'!BK$10:BK$997057,'Budget Filing Data'!$B$10:$B$997057,B23,'Budget Filing Data'!$G$10:$G$997057,C23)</f>
        <v>2151245.5679496592</v>
      </c>
      <c r="H23" s="713">
        <f>D23-F23</f>
        <v>-5937975.4190979814</v>
      </c>
      <c r="I23" s="713">
        <f>E23-G23</f>
        <v>-106959.7663195862</v>
      </c>
      <c r="J23" s="441"/>
      <c r="K23" s="441"/>
      <c r="L23" s="717">
        <f t="shared" ref="L23:L26" si="9">H23/$J$22</f>
        <v>-7.5576145201671169E-4</v>
      </c>
      <c r="M23" s="718">
        <f t="shared" ref="M23:M26" si="10">I23/$K$22</f>
        <v>-5.2122196222194393E-4</v>
      </c>
    </row>
    <row r="24" spans="2:13" s="144" customFormat="1" ht="15">
      <c r="B24" s="439">
        <v>2029</v>
      </c>
      <c r="C24" s="440" t="s">
        <v>27</v>
      </c>
      <c r="D24" s="713">
        <f>SUMIFS('Budget Filing Data'!BH$10:BH$997057,'Budget Filing Data'!$B$10:$B$997057,'2 Rates Rev- IOU Only'!B24,'Budget Filing Data'!$G$10:$G$997057,'2 Rates Rev- IOU Only'!C24)</f>
        <v>1270342.7372822301</v>
      </c>
      <c r="E24" s="713">
        <f>SUMIFS('Budget Filing Data'!BI$10:BI$997057,'Budget Filing Data'!$B$10:$B$997057,'2 Rates Rev- IOU Only'!B24,'Budget Filing Data'!$G$10:$G$997057,C24)</f>
        <v>2023128.256681296</v>
      </c>
      <c r="F24" s="714">
        <f>SUMIFS('Budget Filing Data'!BJ$10:BJ$997057,'Budget Filing Data'!$B$10:$B$997057,B24,'Budget Filing Data'!$G$10:$G$997057,'2 Rates Rev- IOU Only'!C24)</f>
        <v>6180841.9548714748</v>
      </c>
      <c r="G24" s="714">
        <f>SUMIFS('Budget Filing Data'!BK$10:BK$997057,'Budget Filing Data'!$B$10:$B$997057,B24,'Budget Filing Data'!$G$10:$G$997057,C24)</f>
        <v>2029841.6793831456</v>
      </c>
      <c r="H24" s="713">
        <f t="shared" ref="H24:H26" si="11">D24-F24</f>
        <v>-4910499.2175892442</v>
      </c>
      <c r="I24" s="713">
        <f t="shared" ref="I24:I26" si="12">E24-G24</f>
        <v>-6713.4227018496022</v>
      </c>
      <c r="J24" s="441"/>
      <c r="K24" s="441"/>
      <c r="L24" s="717">
        <f t="shared" si="9"/>
        <v>-6.249884441885961E-4</v>
      </c>
      <c r="M24" s="718">
        <f t="shared" si="10"/>
        <v>-3.2714949501929053E-5</v>
      </c>
    </row>
    <row r="25" spans="2:13" s="144" customFormat="1" ht="15">
      <c r="B25" s="439">
        <v>2030</v>
      </c>
      <c r="C25" s="440" t="s">
        <v>27</v>
      </c>
      <c r="D25" s="713">
        <f>SUMIFS('Budget Filing Data'!BH$10:BH$997057,'Budget Filing Data'!$B$10:$B$997057,'2 Rates Rev- IOU Only'!B25,'Budget Filing Data'!$G$10:$G$997057,'2 Rates Rev- IOU Only'!C25)</f>
        <v>1314622.9386443256</v>
      </c>
      <c r="E25" s="713">
        <f>SUMIFS('Budget Filing Data'!BI$10:BI$997057,'Budget Filing Data'!$B$10:$B$997057,'2 Rates Rev- IOU Only'!B25,'Budget Filing Data'!$G$10:$G$997057,C25)</f>
        <v>2124637.6293179714</v>
      </c>
      <c r="F25" s="714">
        <f>SUMIFS('Budget Filing Data'!BJ$10:BJ$997057,'Budget Filing Data'!$B$10:$B$997057,B25,'Budget Filing Data'!$G$10:$G$997057,'2 Rates Rev- IOU Only'!C25)</f>
        <v>6317197.7620194526</v>
      </c>
      <c r="G25" s="714">
        <f>SUMIFS('Budget Filing Data'!BK$10:BK$997057,'Budget Filing Data'!$B$10:$B$997057,B25,'Budget Filing Data'!$G$10:$G$997057,C25)</f>
        <v>2052301.8180098741</v>
      </c>
      <c r="H25" s="713">
        <f t="shared" si="11"/>
        <v>-5002574.8233751273</v>
      </c>
      <c r="I25" s="713">
        <f t="shared" si="12"/>
        <v>72335.811308097327</v>
      </c>
      <c r="J25" s="441"/>
      <c r="K25" s="441"/>
      <c r="L25" s="717">
        <f t="shared" si="9"/>
        <v>-6.36707454223607E-4</v>
      </c>
      <c r="M25" s="718">
        <f t="shared" si="10"/>
        <v>3.5249715669974022E-4</v>
      </c>
    </row>
    <row r="26" spans="2:13" s="144" customFormat="1" thickBot="1">
      <c r="B26" s="439">
        <v>2031</v>
      </c>
      <c r="C26" s="440" t="s">
        <v>27</v>
      </c>
      <c r="D26" s="713">
        <f>SUMIFS('Budget Filing Data'!BH$10:BH$997057,'Budget Filing Data'!$B$10:$B$997057,'2 Rates Rev- IOU Only'!B26,'Budget Filing Data'!$G$10:$G$997057,'2 Rates Rev- IOU Only'!C26)</f>
        <v>1332366.662603772</v>
      </c>
      <c r="E26" s="713">
        <f>SUMIFS('Budget Filing Data'!BI$10:BI$997057,'Budget Filing Data'!$B$10:$B$997057,'2 Rates Rev- IOU Only'!B26,'Budget Filing Data'!$G$10:$G$997057,C26)</f>
        <v>2208778.1483291215</v>
      </c>
      <c r="F26" s="714">
        <f>SUMIFS('Budget Filing Data'!BJ$10:BJ$997057,'Budget Filing Data'!$B$10:$B$997057,B26,'Budget Filing Data'!$G$10:$G$997057,'2 Rates Rev- IOU Only'!C26)</f>
        <v>6449089.628070361</v>
      </c>
      <c r="G26" s="714">
        <f>SUMIFS('Budget Filing Data'!BK$10:BK$997057,'Budget Filing Data'!$B$10:$B$997057,B26,'Budget Filing Data'!$G$10:$G$997057,C26)</f>
        <v>2057825.8540165508</v>
      </c>
      <c r="H26" s="713">
        <f t="shared" si="11"/>
        <v>-5116722.9654665887</v>
      </c>
      <c r="I26" s="713">
        <f t="shared" si="12"/>
        <v>150952.29431257071</v>
      </c>
      <c r="J26" s="441"/>
      <c r="K26" s="441"/>
      <c r="L26" s="719">
        <f t="shared" si="9"/>
        <v>-6.5123576724669414E-4</v>
      </c>
      <c r="M26" s="720">
        <f t="shared" si="10"/>
        <v>7.3560043884552577E-4</v>
      </c>
    </row>
    <row r="27" spans="2:13" ht="28.9" customHeight="1">
      <c r="B27" s="184" t="s">
        <v>229</v>
      </c>
      <c r="C27" s="185" t="s">
        <v>34</v>
      </c>
      <c r="D27" s="248">
        <f>SUMIFS('Rates Rev - 2024'!$AG$8:$AG$102,'Rates Rev - 2024'!$E$8:$E$102,'2 Rates Rev- IOU Only'!$C27)</f>
        <v>453456.86167736666</v>
      </c>
      <c r="E27" s="248">
        <f>SUMIFS('Rates Rev - 2024'!$AH$8:$AH$102,'Rates Rev - 2024'!$E$8:$E$102,'2 Rates Rev- IOU Only'!$C27)</f>
        <v>548909.17812094907</v>
      </c>
      <c r="F27" s="248">
        <f>SUMIFS('Rates Rev - 2024'!$AI$8:$AI$102,'Rates Rev - 2024'!$E$8:$E$102,'2 Rates Rev- IOU Only'!$C27)</f>
        <v>1261393.1751617384</v>
      </c>
      <c r="G27" s="248">
        <f>SUMIFS('Rates Rev - 2024'!$AJ$8:$AJ$102,'Rates Rev - 2024'!$E$8:$E$102,'2 Rates Rev- IOU Only'!$C27)</f>
        <v>22925.746345001196</v>
      </c>
      <c r="H27" s="709">
        <f>D27-F27</f>
        <v>-807936.31348437176</v>
      </c>
      <c r="I27" s="709">
        <f>E27-G27</f>
        <v>525983.43177594792</v>
      </c>
      <c r="J27" s="413">
        <v>1805592031.152514</v>
      </c>
      <c r="K27" s="412">
        <v>41362293.265252054</v>
      </c>
      <c r="L27" s="711">
        <f>H27/$J$27</f>
        <v>-4.4746338017933316E-4</v>
      </c>
      <c r="M27" s="712">
        <f>I27/$K$27</f>
        <v>1.2716495877123429E-2</v>
      </c>
    </row>
    <row r="28" spans="2:13" ht="15">
      <c r="B28" s="439">
        <v>2028</v>
      </c>
      <c r="C28" s="440" t="s">
        <v>34</v>
      </c>
      <c r="D28" s="713">
        <f>SUMIFS('Budget Filing Data'!BH$10:BH$997057,'Budget Filing Data'!$B$10:$B$997057,'2 Rates Rev- IOU Only'!B28,'Budget Filing Data'!$G$10:$G$997057,'2 Rates Rev- IOU Only'!C28)</f>
        <v>1524298.5029931441</v>
      </c>
      <c r="E28" s="713">
        <f>SUMIFS('Budget Filing Data'!BI$10:BI$997057,'Budget Filing Data'!$B$10:$B$997057,'2 Rates Rev- IOU Only'!B28,'Budget Filing Data'!$G$10:$G$997057,C28)</f>
        <v>427144.00580924604</v>
      </c>
      <c r="F28" s="714">
        <f>SUMIFS('Budget Filing Data'!BJ$10:BJ$997057,'Budget Filing Data'!$B$10:$B$997057,B28,'Budget Filing Data'!$G$10:$G$997057,'2 Rates Rev- IOU Only'!C28)</f>
        <v>7689029.4631901225</v>
      </c>
      <c r="G28" s="714">
        <f>SUMIFS('Budget Filing Data'!BK$10:BK$997057,'Budget Filing Data'!$B$10:$B$997057,B28,'Budget Filing Data'!$G$10:$G$997057,C28)</f>
        <v>1121554.9311956712</v>
      </c>
      <c r="H28" s="713">
        <f>D28-F28</f>
        <v>-6164730.9601969784</v>
      </c>
      <c r="I28" s="713">
        <f>E28-G28</f>
        <v>-694410.92538642511</v>
      </c>
      <c r="J28" s="441"/>
      <c r="K28" s="441"/>
      <c r="L28" s="717">
        <f t="shared" ref="L28:L31" si="13">H28/$J$27</f>
        <v>-3.4142435577000276E-3</v>
      </c>
      <c r="M28" s="718">
        <f t="shared" ref="M28:M31" si="14">I28/$K$27</f>
        <v>-1.6788501569128204E-2</v>
      </c>
    </row>
    <row r="29" spans="2:13" ht="15">
      <c r="B29" s="439">
        <v>2029</v>
      </c>
      <c r="C29" s="440" t="s">
        <v>34</v>
      </c>
      <c r="D29" s="713">
        <f>SUMIFS('Budget Filing Data'!BH$10:BH$997057,'Budget Filing Data'!$B$10:$B$997057,'2 Rates Rev- IOU Only'!B29,'Budget Filing Data'!$G$10:$G$997057,'2 Rates Rev- IOU Only'!C29)</f>
        <v>1564813.8705616</v>
      </c>
      <c r="E29" s="713">
        <f>SUMIFS('Budget Filing Data'!BI$10:BI$997057,'Budget Filing Data'!$B$10:$B$997057,'2 Rates Rev- IOU Only'!B29,'Budget Filing Data'!$G$10:$G$997057,C29)</f>
        <v>403081.91792502184</v>
      </c>
      <c r="F29" s="714">
        <f>SUMIFS('Budget Filing Data'!BJ$10:BJ$997057,'Budget Filing Data'!$B$10:$B$997057,B29,'Budget Filing Data'!$G$10:$G$997057,'2 Rates Rev- IOU Only'!C29)</f>
        <v>7625974.6284538312</v>
      </c>
      <c r="G29" s="714">
        <f>SUMIFS('Budget Filing Data'!BK$10:BK$997057,'Budget Filing Data'!$B$10:$B$997057,B29,'Budget Filing Data'!$G$10:$G$997057,C29)</f>
        <v>1085386.1916982685</v>
      </c>
      <c r="H29" s="713">
        <f t="shared" ref="H29:H31" si="15">D29-F29</f>
        <v>-6061160.7578922315</v>
      </c>
      <c r="I29" s="713">
        <f t="shared" ref="I29:I31" si="16">E29-G29</f>
        <v>-682304.27377324668</v>
      </c>
      <c r="J29" s="441"/>
      <c r="K29" s="441"/>
      <c r="L29" s="717">
        <f t="shared" si="13"/>
        <v>-3.3568827582958357E-3</v>
      </c>
      <c r="M29" s="718">
        <f t="shared" si="14"/>
        <v>-1.6495803784323582E-2</v>
      </c>
    </row>
    <row r="30" spans="2:13" ht="15">
      <c r="B30" s="439">
        <v>2030</v>
      </c>
      <c r="C30" s="440" t="s">
        <v>34</v>
      </c>
      <c r="D30" s="713">
        <f>SUMIFS('Budget Filing Data'!BH$10:BH$997057,'Budget Filing Data'!$B$10:$B$997057,'2 Rates Rev- IOU Only'!B30,'Budget Filing Data'!$G$10:$G$997057,'2 Rates Rev- IOU Only'!C30)</f>
        <v>1564120.4296057262</v>
      </c>
      <c r="E30" s="713">
        <f>SUMIFS('Budget Filing Data'!BI$10:BI$997057,'Budget Filing Data'!$B$10:$B$997057,'2 Rates Rev- IOU Only'!B30,'Budget Filing Data'!$G$10:$G$997057,C30)</f>
        <v>375484.71498494118</v>
      </c>
      <c r="F30" s="714">
        <f>SUMIFS('Budget Filing Data'!BJ$10:BJ$997057,'Budget Filing Data'!$B$10:$B$997057,B30,'Budget Filing Data'!$G$10:$G$997057,'2 Rates Rev- IOU Only'!C30)</f>
        <v>7567416.8126952825</v>
      </c>
      <c r="G30" s="714">
        <f>SUMIFS('Budget Filing Data'!BK$10:BK$997057,'Budget Filing Data'!$B$10:$B$997057,B30,'Budget Filing Data'!$G$10:$G$997057,C30)</f>
        <v>1044630.9970931815</v>
      </c>
      <c r="H30" s="713">
        <f t="shared" si="15"/>
        <v>-6003296.3830895564</v>
      </c>
      <c r="I30" s="713">
        <f t="shared" si="16"/>
        <v>-669146.2821082403</v>
      </c>
      <c r="J30" s="441"/>
      <c r="K30" s="441"/>
      <c r="L30" s="717">
        <f t="shared" si="13"/>
        <v>-3.324835444282304E-3</v>
      </c>
      <c r="M30" s="718">
        <f t="shared" si="14"/>
        <v>-1.6177688161946806E-2</v>
      </c>
    </row>
    <row r="31" spans="2:13" thickBot="1">
      <c r="B31" s="439">
        <v>2031</v>
      </c>
      <c r="C31" s="440" t="s">
        <v>34</v>
      </c>
      <c r="D31" s="713">
        <f>SUMIFS('Budget Filing Data'!BH$10:BH$997057,'Budget Filing Data'!$B$10:$B$997057,'2 Rates Rev- IOU Only'!B31,'Budget Filing Data'!$G$10:$G$997057,'2 Rates Rev- IOU Only'!C31)</f>
        <v>1552823.1764368992</v>
      </c>
      <c r="E31" s="713">
        <f>SUMIFS('Budget Filing Data'!BI$10:BI$997057,'Budget Filing Data'!$B$10:$B$997057,'2 Rates Rev- IOU Only'!B31,'Budget Filing Data'!$G$10:$G$997057,C31)</f>
        <v>395181.77178234572</v>
      </c>
      <c r="F31" s="714">
        <f>SUMIFS('Budget Filing Data'!BJ$10:BJ$997057,'Budget Filing Data'!$B$10:$B$997057,B31,'Budget Filing Data'!$G$10:$G$997057,'2 Rates Rev- IOU Only'!C31)</f>
        <v>7521266.7773603555</v>
      </c>
      <c r="G31" s="714">
        <f>SUMIFS('Budget Filing Data'!BK$10:BK$997057,'Budget Filing Data'!$B$10:$B$997057,B31,'Budget Filing Data'!$G$10:$G$997057,C31)</f>
        <v>1048915.9936810632</v>
      </c>
      <c r="H31" s="713">
        <f t="shared" si="15"/>
        <v>-5968443.6009234563</v>
      </c>
      <c r="I31" s="713">
        <f t="shared" si="16"/>
        <v>-653734.22189871746</v>
      </c>
      <c r="J31" s="441"/>
      <c r="K31" s="441"/>
      <c r="L31" s="719">
        <f t="shared" si="13"/>
        <v>-3.305532754879176E-3</v>
      </c>
      <c r="M31" s="720">
        <f t="shared" si="14"/>
        <v>-1.5805076805253237E-2</v>
      </c>
    </row>
    <row r="32" spans="2:13" ht="45.6" customHeight="1">
      <c r="B32" s="184" t="s">
        <v>229</v>
      </c>
      <c r="C32" s="185" t="s">
        <v>39</v>
      </c>
      <c r="D32" s="248">
        <f>SUMIFS('Rates Rev - 2024'!$AG$8:$AG$102,'Rates Rev - 2024'!$E$8:$E$102,'2 Rates Rev- IOU Only'!$C32)</f>
        <v>403.30336916017785</v>
      </c>
      <c r="E32" s="248">
        <f>SUMIFS('Rates Rev - 2024'!$AH$8:$AH$102,'Rates Rev - 2024'!$E$8:$E$102,'2 Rates Rev- IOU Only'!$C32)</f>
        <v>134324.36130517398</v>
      </c>
      <c r="F32" s="248">
        <f>SUMIFS('Rates Rev - 2024'!$AI$8:$AI$102,'Rates Rev - 2024'!$E$8:$E$102,'2 Rates Rev- IOU Only'!$C32)</f>
        <v>1479.3834576458416</v>
      </c>
      <c r="G32" s="248">
        <f>SUMIFS('Rates Rev - 2024'!$AJ$8:$AJ$102,'Rates Rev - 2024'!$E$8:$E$102,'2 Rates Rev- IOU Only'!$C32)</f>
        <v>5577.8403433658559</v>
      </c>
      <c r="H32" s="709">
        <f>D32-F32</f>
        <v>-1076.0800884856637</v>
      </c>
      <c r="I32" s="709">
        <f>E32-G32</f>
        <v>128746.52096180813</v>
      </c>
      <c r="J32" s="413">
        <v>386402444.21269327</v>
      </c>
      <c r="K32" s="412">
        <v>0</v>
      </c>
      <c r="L32" s="711">
        <f>H32/$J$32</f>
        <v>-2.784868741392694E-6</v>
      </c>
      <c r="M32" s="712" t="e">
        <f>I32/$K$32</f>
        <v>#DIV/0!</v>
      </c>
    </row>
    <row r="33" spans="2:13" ht="15">
      <c r="B33" s="439">
        <v>2028</v>
      </c>
      <c r="C33" s="440" t="s">
        <v>39</v>
      </c>
      <c r="D33" s="713">
        <f>SUMIFS('Budget Filing Data'!BH$10:BH$997057,'Budget Filing Data'!$B$10:$B$997057,'2 Rates Rev- IOU Only'!B33,'Budget Filing Data'!$G$10:$G$997057,'2 Rates Rev- IOU Only'!C33)</f>
        <v>1437.0899034408355</v>
      </c>
      <c r="E33" s="713">
        <f>SUMIFS('Budget Filing Data'!BI$10:BI$997057,'Budget Filing Data'!$B$10:$B$997057,'2 Rates Rev- IOU Only'!B33,'Budget Filing Data'!$G$10:$G$997057,C33)</f>
        <v>60.236176</v>
      </c>
      <c r="F33" s="714">
        <f>SUMIFS('Budget Filing Data'!BJ$10:BJ$997057,'Budget Filing Data'!$B$10:$B$997057,B33,'Budget Filing Data'!$G$10:$G$997057,'2 Rates Rev- IOU Only'!C33)</f>
        <v>9428.6669202566427</v>
      </c>
      <c r="G33" s="714">
        <f>SUMIFS('Budget Filing Data'!BK$10:BK$997057,'Budget Filing Data'!$B$10:$B$997057,B33,'Budget Filing Data'!$G$10:$G$997057,C33)</f>
        <v>4094.3714844702163</v>
      </c>
      <c r="H33" s="713">
        <f>D33-F33</f>
        <v>-7991.5770168158069</v>
      </c>
      <c r="I33" s="713">
        <f>E33-G33</f>
        <v>-4034.1353084702164</v>
      </c>
      <c r="J33" s="441"/>
      <c r="K33" s="441"/>
      <c r="L33" s="717">
        <f t="shared" ref="L33:L35" si="17">H33/$J$32</f>
        <v>-2.0682004310554734E-5</v>
      </c>
      <c r="M33" s="718" t="e">
        <f t="shared" ref="M33:M36" si="18">I33/$K$32</f>
        <v>#DIV/0!</v>
      </c>
    </row>
    <row r="34" spans="2:13" ht="15">
      <c r="B34" s="439">
        <v>2029</v>
      </c>
      <c r="C34" s="440" t="s">
        <v>39</v>
      </c>
      <c r="D34" s="713">
        <f>SUMIFS('Budget Filing Data'!BH$10:BH$997057,'Budget Filing Data'!$B$10:$B$997057,'2 Rates Rev- IOU Only'!B34,'Budget Filing Data'!$G$10:$G$997057,'2 Rates Rev- IOU Only'!C34)</f>
        <v>1498.4714955581289</v>
      </c>
      <c r="E34" s="713">
        <f>SUMIFS('Budget Filing Data'!BI$10:BI$997057,'Budget Filing Data'!$B$10:$B$997057,'2 Rates Rev- IOU Only'!B34,'Budget Filing Data'!$G$10:$G$997057,C34)</f>
        <v>60.236176</v>
      </c>
      <c r="F34" s="714">
        <f>SUMIFS('Budget Filing Data'!BJ$10:BJ$997057,'Budget Filing Data'!$B$10:$B$997057,B34,'Budget Filing Data'!$G$10:$G$997057,'2 Rates Rev- IOU Only'!C34)</f>
        <v>9576.5412444628309</v>
      </c>
      <c r="G34" s="714">
        <f>SUMIFS('Budget Filing Data'!BK$10:BK$997057,'Budget Filing Data'!$B$10:$B$997057,B34,'Budget Filing Data'!$G$10:$G$997057,C34)</f>
        <v>4119.7549402638633</v>
      </c>
      <c r="H34" s="713">
        <f t="shared" ref="H34:H36" si="19">D34-F34</f>
        <v>-8078.0697489047016</v>
      </c>
      <c r="I34" s="713">
        <f t="shared" ref="I34:I36" si="20">E34-G34</f>
        <v>-4059.5187642638634</v>
      </c>
      <c r="J34" s="441"/>
      <c r="K34" s="441"/>
      <c r="L34" s="717">
        <f>H34/$J$32</f>
        <v>-2.0905845368975381E-5</v>
      </c>
      <c r="M34" s="718" t="e">
        <f>I34/$K$32</f>
        <v>#DIV/0!</v>
      </c>
    </row>
    <row r="35" spans="2:13" ht="15">
      <c r="B35" s="439">
        <v>2030</v>
      </c>
      <c r="C35" s="440" t="s">
        <v>39</v>
      </c>
      <c r="D35" s="713">
        <f>SUMIFS('Budget Filing Data'!BH$10:BH$997057,'Budget Filing Data'!$B$10:$B$997057,'2 Rates Rev- IOU Only'!B35,'Budget Filing Data'!$G$10:$G$997057,'2 Rates Rev- IOU Only'!C35)</f>
        <v>1551.3416650281833</v>
      </c>
      <c r="E35" s="713">
        <f>SUMIFS('Budget Filing Data'!BI$10:BI$997057,'Budget Filing Data'!$B$10:$B$997057,'2 Rates Rev- IOU Only'!B35,'Budget Filing Data'!$G$10:$G$997057,C35)</f>
        <v>60.236176</v>
      </c>
      <c r="F35" s="714">
        <f>SUMIFS('Budget Filing Data'!BJ$10:BJ$997057,'Budget Filing Data'!$B$10:$B$997057,B35,'Budget Filing Data'!$G$10:$G$997057,'2 Rates Rev- IOU Only'!C35)</f>
        <v>7464.2877600109778</v>
      </c>
      <c r="G35" s="714">
        <f>SUMIFS('Budget Filing Data'!BK$10:BK$997057,'Budget Filing Data'!$B$10:$B$997057,B35,'Budget Filing Data'!$G$10:$G$997057,C35)</f>
        <v>2366.8235091198044</v>
      </c>
      <c r="H35" s="713">
        <f t="shared" si="19"/>
        <v>-5912.9460949827944</v>
      </c>
      <c r="I35" s="713">
        <f t="shared" si="20"/>
        <v>-2306.5873331198045</v>
      </c>
      <c r="J35" s="441"/>
      <c r="K35" s="441"/>
      <c r="L35" s="717">
        <f t="shared" si="17"/>
        <v>-1.5302558727418512E-5</v>
      </c>
      <c r="M35" s="718" t="e">
        <f t="shared" si="18"/>
        <v>#DIV/0!</v>
      </c>
    </row>
    <row r="36" spans="2:13" thickBot="1">
      <c r="B36" s="442">
        <v>2031</v>
      </c>
      <c r="C36" s="323" t="s">
        <v>39</v>
      </c>
      <c r="D36" s="713">
        <f>SUMIFS('Budget Filing Data'!BH$10:BH$997057,'Budget Filing Data'!$B$10:$B$997057,'2 Rates Rev- IOU Only'!B36,'Budget Filing Data'!$G$10:$G$997057,'2 Rates Rev- IOU Only'!C36)</f>
        <v>1591.2675230657353</v>
      </c>
      <c r="E36" s="713">
        <f>SUMIFS('Budget Filing Data'!BI$10:BI$997057,'Budget Filing Data'!$B$10:$B$997057,'2 Rates Rev- IOU Only'!B36,'Budget Filing Data'!$G$10:$G$997057,C36)</f>
        <v>60.236176</v>
      </c>
      <c r="F36" s="714">
        <f>SUMIFS('Budget Filing Data'!BJ$10:BJ$997057,'Budget Filing Data'!$B$10:$B$997057,B36,'Budget Filing Data'!$G$10:$G$997057,'2 Rates Rev- IOU Only'!C36)</f>
        <v>7654.2785126444778</v>
      </c>
      <c r="G36" s="714">
        <f>SUMIFS('Budget Filing Data'!BK$10:BK$997057,'Budget Filing Data'!$B$10:$B$997057,B36,'Budget Filing Data'!$G$10:$G$997057,C36)</f>
        <v>2420.2288998874606</v>
      </c>
      <c r="H36" s="721">
        <f t="shared" si="19"/>
        <v>-6063.0109895787427</v>
      </c>
      <c r="I36" s="721">
        <f t="shared" si="20"/>
        <v>-2359.9927238874607</v>
      </c>
      <c r="J36" s="414"/>
      <c r="K36" s="414"/>
      <c r="L36" s="719">
        <f>H36/$J$32</f>
        <v>-1.5690922975221629E-5</v>
      </c>
      <c r="M36" s="720" t="e">
        <f t="shared" si="18"/>
        <v>#DIV/0!</v>
      </c>
    </row>
    <row r="37" spans="2:13" ht="33" customHeight="1">
      <c r="B37" s="184" t="s">
        <v>229</v>
      </c>
      <c r="C37" s="185" t="s">
        <v>45</v>
      </c>
      <c r="D37" s="248">
        <f>SUMIFS('Rates Rev - 2024'!$AG$8:$AG$102,'Rates Rev - 2024'!$E$8:$E$102,'2 Rates Rev- IOU Only'!$C37)</f>
        <v>29738.396076852725</v>
      </c>
      <c r="E37" s="248">
        <f>SUMIFS('Rates Rev - 2024'!$AH$8:$AH$102,'Rates Rev - 2024'!$E$8:$E$102,'2 Rates Rev- IOU Only'!$C37)</f>
        <v>80952.01604963484</v>
      </c>
      <c r="F37" s="248">
        <f>SUMIFS('Rates Rev - 2024'!$AI$8:$AI$102,'Rates Rev - 2024'!$E$8:$E$102,'2 Rates Rev- IOU Only'!$C37)</f>
        <v>167286.28594603151</v>
      </c>
      <c r="G37" s="248">
        <f>SUMIFS('Rates Rev - 2024'!$AJ$8:$AJ$102,'Rates Rev - 2024'!$E$8:$E$102,'2 Rates Rev- IOU Only'!$C37)</f>
        <v>4412.2893075521988</v>
      </c>
      <c r="H37" s="709">
        <f>D37-F37</f>
        <v>-137547.88986917879</v>
      </c>
      <c r="I37" s="709">
        <f>E37-G37</f>
        <v>76539.726742082639</v>
      </c>
      <c r="J37" s="413">
        <v>1863986241.8913395</v>
      </c>
      <c r="K37" s="412">
        <v>382071637.79094958</v>
      </c>
      <c r="L37" s="711">
        <f>H37/$J$37</f>
        <v>-7.3792331068716713E-5</v>
      </c>
      <c r="M37" s="712">
        <f>I37/$K$37</f>
        <v>2.0032820856480673E-4</v>
      </c>
    </row>
    <row r="38" spans="2:13" ht="15">
      <c r="B38" s="439">
        <v>2028</v>
      </c>
      <c r="C38" s="440" t="s">
        <v>45</v>
      </c>
      <c r="D38" s="713">
        <f>SUMIFS('Budget Filing Data'!BH$10:BH$997057,'Budget Filing Data'!$B$10:$B$997057,'2 Rates Rev- IOU Only'!B38,'Budget Filing Data'!$G$10:$G$997057,'2 Rates Rev- IOU Only'!C38)</f>
        <v>106016.15973712635</v>
      </c>
      <c r="E38" s="713">
        <f>SUMIFS('Budget Filing Data'!BI$10:BI$997057,'Budget Filing Data'!$B$10:$B$997057,'2 Rates Rev- IOU Only'!B38,'Budget Filing Data'!$G$10:$G$997057,C38)</f>
        <v>13038.821027832855</v>
      </c>
      <c r="F38" s="714">
        <f>SUMIFS('Budget Filing Data'!BJ$10:BJ$997057,'Budget Filing Data'!$B$10:$B$997057,B38,'Budget Filing Data'!$G$10:$G$997057,'2 Rates Rev- IOU Only'!C38)</f>
        <v>286458.49375911028</v>
      </c>
      <c r="G38" s="714">
        <f>SUMIFS('Budget Filing Data'!BK$10:BK$997057,'Budget Filing Data'!$B$10:$B$997057,B38,'Budget Filing Data'!$G$10:$G$997057,C38)</f>
        <v>57808.453500993368</v>
      </c>
      <c r="H38" s="713">
        <f>D38-F38</f>
        <v>-180442.33402198393</v>
      </c>
      <c r="I38" s="713">
        <f>E38-G38</f>
        <v>-44769.632473160513</v>
      </c>
      <c r="J38" s="441"/>
      <c r="K38" s="441"/>
      <c r="L38" s="717">
        <f>H38/$J$37</f>
        <v>-9.6804541775423017E-5</v>
      </c>
      <c r="M38" s="718">
        <f t="shared" ref="M38:M41" si="21">I38/$K$37</f>
        <v>-1.1717601634083138E-4</v>
      </c>
    </row>
    <row r="39" spans="2:13" ht="15">
      <c r="B39" s="439">
        <v>2029</v>
      </c>
      <c r="C39" s="440" t="s">
        <v>45</v>
      </c>
      <c r="D39" s="713">
        <f>SUMIFS('Budget Filing Data'!BH$10:BH$997057,'Budget Filing Data'!$B$10:$B$997057,'2 Rates Rev- IOU Only'!B39,'Budget Filing Data'!$G$10:$G$997057,'2 Rates Rev- IOU Only'!C39)</f>
        <v>126797.45519971577</v>
      </c>
      <c r="E39" s="713">
        <f>SUMIFS('Budget Filing Data'!BI$10:BI$997057,'Budget Filing Data'!$B$10:$B$997057,'2 Rates Rev- IOU Only'!B39,'Budget Filing Data'!$G$10:$G$997057,C39)</f>
        <v>21513.050204514031</v>
      </c>
      <c r="F39" s="714">
        <f>SUMIFS('Budget Filing Data'!BJ$10:BJ$997057,'Budget Filing Data'!$B$10:$B$997057,B39,'Budget Filing Data'!$G$10:$G$997057,'2 Rates Rev- IOU Only'!C39)</f>
        <v>335145.91812703642</v>
      </c>
      <c r="G39" s="714">
        <f>SUMIFS('Budget Filing Data'!BK$10:BK$997057,'Budget Filing Data'!$B$10:$B$997057,B39,'Budget Filing Data'!$G$10:$G$997057,C39)</f>
        <v>64432.605603178337</v>
      </c>
      <c r="H39" s="713">
        <f t="shared" ref="H39:H41" si="22">D39-F39</f>
        <v>-208348.46292732065</v>
      </c>
      <c r="I39" s="713">
        <f t="shared" ref="I39:I41" si="23">E39-G39</f>
        <v>-42919.555398664306</v>
      </c>
      <c r="J39" s="441"/>
      <c r="K39" s="441"/>
      <c r="L39" s="717">
        <f>H39/$J$37</f>
        <v>-1.1177575147545872E-4</v>
      </c>
      <c r="M39" s="718">
        <f>I39/$K$37</f>
        <v>-1.1233379071740397E-4</v>
      </c>
    </row>
    <row r="40" spans="2:13" ht="15.75" customHeight="1">
      <c r="B40" s="439">
        <v>2030</v>
      </c>
      <c r="C40" s="440" t="s">
        <v>45</v>
      </c>
      <c r="D40" s="721">
        <f>SUMIFS('Budget Filing Data'!BH$10:BH$997057,'Budget Filing Data'!$B$10:$B$997057,'2 Rates Rev- IOU Only'!B40,'Budget Filing Data'!$G$10:$G$997057,'2 Rates Rev- IOU Only'!C40)</f>
        <v>154323.81808723966</v>
      </c>
      <c r="E40" s="713">
        <f>SUMIFS('Budget Filing Data'!BI$10:BI$997057,'Budget Filing Data'!$B$10:$B$997057,'2 Rates Rev- IOU Only'!B40,'Budget Filing Data'!$G$10:$G$997057,C40)</f>
        <v>20528.555900837935</v>
      </c>
      <c r="F40" s="714">
        <f>SUMIFS('Budget Filing Data'!BJ$10:BJ$997057,'Budget Filing Data'!$B$10:$B$997057,B40,'Budget Filing Data'!$G$10:$G$997057,'2 Rates Rev- IOU Only'!C40)</f>
        <v>376248.50313804299</v>
      </c>
      <c r="G40" s="714">
        <f>SUMIFS('Budget Filing Data'!BK$10:BK$997057,'Budget Filing Data'!$B$10:$B$997057,B40,'Budget Filing Data'!$G$10:$G$997057,C40)</f>
        <v>65257.424388231295</v>
      </c>
      <c r="H40" s="713">
        <f t="shared" si="22"/>
        <v>-221924.68505080332</v>
      </c>
      <c r="I40" s="713">
        <f t="shared" si="23"/>
        <v>-44728.86848739336</v>
      </c>
      <c r="J40" s="441"/>
      <c r="K40" s="441"/>
      <c r="L40" s="717">
        <f>H40/$J$37</f>
        <v>-1.1905918620172968E-4</v>
      </c>
      <c r="M40" s="718">
        <f t="shared" si="21"/>
        <v>-1.1706932434452712E-4</v>
      </c>
    </row>
    <row r="41" spans="2:13" ht="15.75" customHeight="1" thickBot="1">
      <c r="B41" s="443">
        <v>2031</v>
      </c>
      <c r="C41" s="444" t="s">
        <v>45</v>
      </c>
      <c r="D41" s="722">
        <f>SUMIFS('Budget Filing Data'!BH$10:BH$997057,'Budget Filing Data'!$B$10:$B$997057,'2 Rates Rev- IOU Only'!B41,'Budget Filing Data'!$G$10:$G$997057,'2 Rates Rev- IOU Only'!C41)</f>
        <v>150274.62024850352</v>
      </c>
      <c r="E41" s="713">
        <f>SUMIFS('Budget Filing Data'!BI$10:BI$997057,'Budget Filing Data'!$B$10:$B$997057,'2 Rates Rev- IOU Only'!B41,'Budget Filing Data'!$G$10:$G$997057,C41)</f>
        <v>13914.307810909899</v>
      </c>
      <c r="F41" s="714">
        <f>SUMIFS('Budget Filing Data'!BJ$10:BJ$997057,'Budget Filing Data'!$B$10:$B$997057,B41,'Budget Filing Data'!$G$10:$G$997057,'2 Rates Rev- IOU Only'!C41)</f>
        <v>368238.85436172225</v>
      </c>
      <c r="G41" s="714">
        <f>SUMIFS('Budget Filing Data'!BK$10:BK$997057,'Budget Filing Data'!$B$10:$B$997057,B41,'Budget Filing Data'!$G$10:$G$997057,C41)</f>
        <v>63198.412430977209</v>
      </c>
      <c r="H41" s="722">
        <f t="shared" si="22"/>
        <v>-217964.23411321873</v>
      </c>
      <c r="I41" s="722">
        <f t="shared" si="23"/>
        <v>-49284.104620067308</v>
      </c>
      <c r="J41" s="445"/>
      <c r="K41" s="445"/>
      <c r="L41" s="719">
        <f>H41/$J$37</f>
        <v>-1.1693446508063061E-4</v>
      </c>
      <c r="M41" s="720">
        <f t="shared" si="21"/>
        <v>-1.289917904009224E-4</v>
      </c>
    </row>
    <row r="42" spans="2:13" ht="38.65" customHeight="1">
      <c r="B42" s="156" t="s">
        <v>229</v>
      </c>
      <c r="C42" s="723" t="s">
        <v>230</v>
      </c>
      <c r="D42" s="248">
        <f>SUMIFS('Rates Rev - 2024'!$AG$8:$AG$102,'Rates Rev - 2024'!$E$8:$E$102,'2 Rates Rev- IOU Only'!$C42)</f>
        <v>11300441.727057533</v>
      </c>
      <c r="E42" s="248">
        <f>SUMIFS('Rates Rev - 2024'!$AH$8:$AH$102,'Rates Rev - 2024'!$E$8:$E$102,'2 Rates Rev- IOU Only'!$C42)</f>
        <v>6386417.829780641</v>
      </c>
      <c r="F42" s="248">
        <f>SUMIFS('Rates Rev - 2024'!$AI$8:$AI$102,'Rates Rev - 2024'!$E$8:$E$102,'2 Rates Rev- IOU Only'!$C42)</f>
        <v>81482721.249817282</v>
      </c>
      <c r="G42" s="248">
        <f>SUMIFS('Rates Rev - 2024'!$AJ$8:$AJ$102,'Rates Rev - 2024'!$E$8:$E$102,'2 Rates Rev- IOU Only'!$C42)</f>
        <v>1173312.3912693013</v>
      </c>
      <c r="H42" s="724">
        <f>D42-F42</f>
        <v>-70182279.52275975</v>
      </c>
      <c r="I42" s="724">
        <f>E42-G42</f>
        <v>5213105.4385113399</v>
      </c>
      <c r="J42" s="412">
        <v>0</v>
      </c>
      <c r="K42" s="412">
        <v>0</v>
      </c>
      <c r="L42" s="725" t="e">
        <f>H42/J42</f>
        <v>#DIV/0!</v>
      </c>
      <c r="M42" s="726" t="e">
        <f>I42/K42</f>
        <v>#DIV/0!</v>
      </c>
    </row>
    <row r="43" spans="2:13" ht="15.75" customHeight="1">
      <c r="B43" s="439">
        <v>2028</v>
      </c>
      <c r="C43" s="440" t="s">
        <v>50</v>
      </c>
      <c r="D43" s="713">
        <f>SUMIFS('Budget Filing Data'!BH$10:BH$997057,'Budget Filing Data'!$B$10:$B$997057,'2 Rates Rev- IOU Only'!B43,'Budget Filing Data'!$G$10:$G$997057,'2 Rates Rev- IOU Only'!C43)</f>
        <v>7602767.3578444812</v>
      </c>
      <c r="E43" s="713">
        <f>SUMIFS('Budget Filing Data'!BI$10:BI$997057,'Budget Filing Data'!$B$10:$B$997057,'2 Rates Rev- IOU Only'!B43,'Budget Filing Data'!$G$10:$G$997057,C43)</f>
        <v>5620733.5982091948</v>
      </c>
      <c r="F43" s="714">
        <f>SUMIFS('Budget Filing Data'!BJ$10:BJ$997057,'Budget Filing Data'!$B$10:$B$997057,B43,'Budget Filing Data'!$G$10:$G$997057,'2 Rates Rev- IOU Only'!C43)</f>
        <v>22870330.092171982</v>
      </c>
      <c r="G43" s="714">
        <f>SUMIFS('Budget Filing Data'!BK$10:BK$997057,'Budget Filing Data'!$B$10:$B$997057,B43,'Budget Filing Data'!$G$10:$G$997057,C43)</f>
        <v>4644347.9332688684</v>
      </c>
      <c r="H43" s="713">
        <f>D43-F43</f>
        <v>-15267562.734327501</v>
      </c>
      <c r="I43" s="713">
        <f>E43-G43</f>
        <v>976385.66494032647</v>
      </c>
      <c r="J43" s="441"/>
      <c r="K43" s="441"/>
      <c r="L43" s="727" t="e">
        <f>H43/J42</f>
        <v>#DIV/0!</v>
      </c>
      <c r="M43" s="728" t="e">
        <f>I43/K42</f>
        <v>#DIV/0!</v>
      </c>
    </row>
    <row r="44" spans="2:13" ht="15.75" customHeight="1">
      <c r="B44" s="439">
        <v>2029</v>
      </c>
      <c r="C44" s="440" t="s">
        <v>50</v>
      </c>
      <c r="D44" s="713">
        <f>SUMIFS('Budget Filing Data'!BH$10:BH$997057,'Budget Filing Data'!$B$10:$B$997057,'2 Rates Rev- IOU Only'!B44,'Budget Filing Data'!$G$10:$G$997057,'2 Rates Rev- IOU Only'!C44)</f>
        <v>6387957.3003745237</v>
      </c>
      <c r="E44" s="713">
        <f>SUMIFS('Budget Filing Data'!BI$10:BI$997057,'Budget Filing Data'!$B$10:$B$997057,'2 Rates Rev- IOU Only'!B44,'Budget Filing Data'!$G$10:$G$997057,C44)</f>
        <v>5444683.8799230335</v>
      </c>
      <c r="F44" s="714">
        <f>SUMIFS('Budget Filing Data'!BJ$10:BJ$997057,'Budget Filing Data'!$B$10:$B$997057,B44,'Budget Filing Data'!$G$10:$G$997057,'2 Rates Rev- IOU Only'!C44)</f>
        <v>19084090.159055144</v>
      </c>
      <c r="G44" s="714">
        <f>SUMIFS('Budget Filing Data'!BK$10:BK$997057,'Budget Filing Data'!$B$10:$B$997057,B44,'Budget Filing Data'!$G$10:$G$997057,C44)</f>
        <v>4163578.3620404927</v>
      </c>
      <c r="H44" s="713">
        <f t="shared" ref="H44:H46" si="24">D44-F44</f>
        <v>-12696132.858680621</v>
      </c>
      <c r="I44" s="713">
        <f t="shared" ref="I44:I46" si="25">E44-G44</f>
        <v>1281105.5178825408</v>
      </c>
      <c r="J44" s="441"/>
      <c r="K44" s="441"/>
      <c r="L44" s="727" t="e">
        <f>H44/J42</f>
        <v>#DIV/0!</v>
      </c>
      <c r="M44" s="728" t="e">
        <f>I44/K42</f>
        <v>#DIV/0!</v>
      </c>
    </row>
    <row r="45" spans="2:13" ht="15.75" customHeight="1">
      <c r="B45" s="439">
        <v>2030</v>
      </c>
      <c r="C45" s="440" t="s">
        <v>50</v>
      </c>
      <c r="D45" s="713">
        <f>SUMIFS('Budget Filing Data'!BH$10:BH$997057,'Budget Filing Data'!$B$10:$B$997057,'2 Rates Rev- IOU Only'!B45,'Budget Filing Data'!$G$10:$G$997057,'2 Rates Rev- IOU Only'!C45)</f>
        <v>6143618.5074284337</v>
      </c>
      <c r="E45" s="713">
        <f>SUMIFS('Budget Filing Data'!BI$10:BI$997057,'Budget Filing Data'!$B$10:$B$997057,'2 Rates Rev- IOU Only'!B45,'Budget Filing Data'!$G$10:$G$997057,C45)</f>
        <v>5655434.6078939298</v>
      </c>
      <c r="F45" s="714">
        <f>SUMIFS('Budget Filing Data'!BJ$10:BJ$997057,'Budget Filing Data'!$B$10:$B$997057,B45,'Budget Filing Data'!$G$10:$G$997057,'2 Rates Rev- IOU Only'!C45)</f>
        <v>18148065.155035052</v>
      </c>
      <c r="G45" s="714">
        <f>SUMIFS('Budget Filing Data'!BK$10:BK$997057,'Budget Filing Data'!$B$10:$B$997057,B45,'Budget Filing Data'!$G$10:$G$997057,C45)</f>
        <v>4170101.5986390556</v>
      </c>
      <c r="H45" s="713">
        <f t="shared" si="24"/>
        <v>-12004446.647606619</v>
      </c>
      <c r="I45" s="713">
        <f t="shared" si="25"/>
        <v>1485333.0092548742</v>
      </c>
      <c r="J45" s="441"/>
      <c r="K45" s="441"/>
      <c r="L45" s="727" t="e">
        <f>H45/J42</f>
        <v>#DIV/0!</v>
      </c>
      <c r="M45" s="728" t="e">
        <f>I45/K42</f>
        <v>#DIV/0!</v>
      </c>
    </row>
    <row r="46" spans="2:13" ht="15.75" customHeight="1" thickBot="1">
      <c r="B46" s="439">
        <v>2031</v>
      </c>
      <c r="C46" s="440" t="s">
        <v>50</v>
      </c>
      <c r="D46" s="713">
        <f>SUMIFS('Budget Filing Data'!BH$10:BH$997057,'Budget Filing Data'!$B$10:$B$997057,'2 Rates Rev- IOU Only'!B46,'Budget Filing Data'!$G$10:$G$997057,'2 Rates Rev- IOU Only'!C46)</f>
        <v>5993409.174558674</v>
      </c>
      <c r="E46" s="713">
        <f>SUMIFS('Budget Filing Data'!BI$10:BI$997057,'Budget Filing Data'!$B$10:$B$997057,'2 Rates Rev- IOU Only'!B46,'Budget Filing Data'!$G$10:$G$997057,C46)</f>
        <v>5780575.4404652482</v>
      </c>
      <c r="F46" s="714">
        <f>SUMIFS('Budget Filing Data'!BJ$10:BJ$997057,'Budget Filing Data'!$B$10:$B$997057,B46,'Budget Filing Data'!$G$10:$G$997057,'2 Rates Rev- IOU Only'!C46)</f>
        <v>17694016.917573575</v>
      </c>
      <c r="G46" s="714">
        <f>SUMIFS('Budget Filing Data'!BK$10:BK$997057,'Budget Filing Data'!$B$10:$B$997057,B46,'Budget Filing Data'!$G$10:$G$997057,C46)</f>
        <v>4133852.9207814266</v>
      </c>
      <c r="H46" s="713">
        <f t="shared" si="24"/>
        <v>-11700607.743014902</v>
      </c>
      <c r="I46" s="713">
        <f t="shared" si="25"/>
        <v>1646722.5196838216</v>
      </c>
      <c r="J46" s="441"/>
      <c r="K46" s="441"/>
      <c r="L46" s="727" t="e">
        <f>H46/J42</f>
        <v>#DIV/0!</v>
      </c>
      <c r="M46" s="728" t="e">
        <f>I46/K42</f>
        <v>#DIV/0!</v>
      </c>
    </row>
    <row r="47" spans="2:13" ht="27.6" customHeight="1">
      <c r="B47" s="184" t="s">
        <v>229</v>
      </c>
      <c r="C47" s="185" t="s">
        <v>54</v>
      </c>
      <c r="D47" s="248">
        <f>SUMIFS('Rates Rev - 2024'!$AG$8:$AG$102,'Rates Rev - 2024'!$E$8:$E$102,'2 Rates Rev- IOU Only'!$C47)</f>
        <v>0</v>
      </c>
      <c r="E47" s="248">
        <f>SUMIFS('Rates Rev - 2024'!$AH$8:$AH$102,'Rates Rev - 2024'!$E$8:$E$102,'2 Rates Rev- IOU Only'!$C47)</f>
        <v>0</v>
      </c>
      <c r="F47" s="248">
        <f>SUMIFS('Rates Rev - 2024'!$AI$8:$AI$102,'Rates Rev - 2024'!$E$8:$E$102,'2 Rates Rev- IOU Only'!$C47)</f>
        <v>0</v>
      </c>
      <c r="G47" s="248">
        <f>SUMIFS('Rates Rev - 2024'!$AJ$8:$AJ$102,'Rates Rev - 2024'!$E$8:$E$102,'2 Rates Rev- IOU Only'!$C47)</f>
        <v>0</v>
      </c>
      <c r="H47" s="709">
        <f>D47-F47</f>
        <v>0</v>
      </c>
      <c r="I47" s="709">
        <f>E47-G47</f>
        <v>0</v>
      </c>
      <c r="J47" s="412">
        <v>0</v>
      </c>
      <c r="K47" s="412">
        <v>0</v>
      </c>
      <c r="L47" s="729" t="e">
        <f>H47/J47</f>
        <v>#DIV/0!</v>
      </c>
      <c r="M47" s="730" t="e">
        <f>I47/K47</f>
        <v>#DIV/0!</v>
      </c>
    </row>
    <row r="48" spans="2:13" ht="15.75" customHeight="1">
      <c r="B48" s="439">
        <v>2028</v>
      </c>
      <c r="C48" s="440" t="s">
        <v>54</v>
      </c>
      <c r="D48" s="713">
        <f>SUMIFS('Budget Filing Data'!BH$10:BH$997057,'Budget Filing Data'!$B$10:$B$997057,'2 Rates Rev- IOU Only'!B48,'Budget Filing Data'!$G$10:$G$997057,'2 Rates Rev- IOU Only'!C48)</f>
        <v>0</v>
      </c>
      <c r="E48" s="713">
        <f>SUMIFS('Budget Filing Data'!BI$10:BI$997057,'Budget Filing Data'!$B$10:$B$997057,'2 Rates Rev- IOU Only'!B48,'Budget Filing Data'!$G$10:$G$997057,C48)</f>
        <v>0</v>
      </c>
      <c r="F48" s="714">
        <f>SUMIFS('Budget Filing Data'!BJ$10:BJ$997057,'Budget Filing Data'!$B$10:$B$997057,B48,'Budget Filing Data'!$G$10:$G$997057,'2 Rates Rev- IOU Only'!C48)</f>
        <v>0</v>
      </c>
      <c r="G48" s="714">
        <f>SUMIFS('Budget Filing Data'!BK$10:BK$997057,'Budget Filing Data'!$B$10:$B$997057,B48,'Budget Filing Data'!$G$10:$G$997057,C48)</f>
        <v>0</v>
      </c>
      <c r="H48" s="713">
        <f>D48-F48</f>
        <v>0</v>
      </c>
      <c r="I48" s="713">
        <f>E48-G48</f>
        <v>0</v>
      </c>
      <c r="J48" s="441"/>
      <c r="K48" s="441"/>
      <c r="L48" s="727" t="e">
        <f>H48/J47</f>
        <v>#DIV/0!</v>
      </c>
      <c r="M48" s="728" t="e">
        <f>I48/K47</f>
        <v>#DIV/0!</v>
      </c>
    </row>
    <row r="49" spans="2:13" ht="15.75" customHeight="1">
      <c r="B49" s="439">
        <v>2029</v>
      </c>
      <c r="C49" s="440" t="s">
        <v>54</v>
      </c>
      <c r="D49" s="713">
        <f>SUMIFS('Budget Filing Data'!BH$10:BH$997057,'Budget Filing Data'!$B$10:$B$997057,'2 Rates Rev- IOU Only'!B49,'Budget Filing Data'!$G$10:$G$997057,'2 Rates Rev- IOU Only'!C49)</f>
        <v>0</v>
      </c>
      <c r="E49" s="713">
        <f>SUMIFS('Budget Filing Data'!BI$10:BI$997057,'Budget Filing Data'!$B$10:$B$997057,'2 Rates Rev- IOU Only'!B49,'Budget Filing Data'!$G$10:$G$997057,C49)</f>
        <v>0</v>
      </c>
      <c r="F49" s="714">
        <f>SUMIFS('Budget Filing Data'!BJ$10:BJ$997057,'Budget Filing Data'!$B$10:$B$997057,B49,'Budget Filing Data'!$G$10:$G$997057,'2 Rates Rev- IOU Only'!C49)</f>
        <v>0</v>
      </c>
      <c r="G49" s="714">
        <f>SUMIFS('Budget Filing Data'!BK$10:BK$997057,'Budget Filing Data'!$B$10:$B$997057,B49,'Budget Filing Data'!$G$10:$G$997057,C49)</f>
        <v>0</v>
      </c>
      <c r="H49" s="713">
        <f t="shared" ref="H49:H51" si="26">D49-F49</f>
        <v>0</v>
      </c>
      <c r="I49" s="713">
        <f t="shared" ref="I49:I51" si="27">E49-G49</f>
        <v>0</v>
      </c>
      <c r="J49" s="441"/>
      <c r="K49" s="441"/>
      <c r="L49" s="727" t="e">
        <f>H49/J47</f>
        <v>#DIV/0!</v>
      </c>
      <c r="M49" s="728" t="e">
        <f>I49/K47</f>
        <v>#DIV/0!</v>
      </c>
    </row>
    <row r="50" spans="2:13" ht="15.75" customHeight="1">
      <c r="B50" s="439">
        <v>2030</v>
      </c>
      <c r="C50" s="440" t="s">
        <v>54</v>
      </c>
      <c r="D50" s="713">
        <f>SUMIFS('Budget Filing Data'!BH$10:BH$997057,'Budget Filing Data'!$B$10:$B$997057,'2 Rates Rev- IOU Only'!B50,'Budget Filing Data'!$G$10:$G$997057,'2 Rates Rev- IOU Only'!C50)</f>
        <v>0</v>
      </c>
      <c r="E50" s="713">
        <f>SUMIFS('Budget Filing Data'!BI$10:BI$997057,'Budget Filing Data'!$B$10:$B$997057,'2 Rates Rev- IOU Only'!B50,'Budget Filing Data'!$G$10:$G$997057,C50)</f>
        <v>0</v>
      </c>
      <c r="F50" s="714">
        <f>SUMIFS('Budget Filing Data'!BJ$10:BJ$997057,'Budget Filing Data'!$B$10:$B$997057,B50,'Budget Filing Data'!$G$10:$G$997057,'2 Rates Rev- IOU Only'!C50)</f>
        <v>0</v>
      </c>
      <c r="G50" s="714">
        <f>SUMIFS('Budget Filing Data'!BK$10:BK$997057,'Budget Filing Data'!$B$10:$B$997057,B50,'Budget Filing Data'!$G$10:$G$997057,C50)</f>
        <v>0</v>
      </c>
      <c r="H50" s="713">
        <f t="shared" si="26"/>
        <v>0</v>
      </c>
      <c r="I50" s="713">
        <f t="shared" si="27"/>
        <v>0</v>
      </c>
      <c r="J50" s="441"/>
      <c r="K50" s="441"/>
      <c r="L50" s="727" t="e">
        <f>H50/J47</f>
        <v>#DIV/0!</v>
      </c>
      <c r="M50" s="728" t="e">
        <f>I50/K47</f>
        <v>#DIV/0!</v>
      </c>
    </row>
    <row r="51" spans="2:13" ht="15.75" customHeight="1">
      <c r="B51" s="439">
        <v>2031</v>
      </c>
      <c r="C51" s="440" t="s">
        <v>54</v>
      </c>
      <c r="D51" s="713">
        <f>SUMIFS('Budget Filing Data'!BH$10:BH$997057,'Budget Filing Data'!$B$10:$B$997057,'2 Rates Rev- IOU Only'!B51,'Budget Filing Data'!$G$10:$G$997057,'2 Rates Rev- IOU Only'!C51)</f>
        <v>0</v>
      </c>
      <c r="E51" s="713">
        <f>SUMIFS('Budget Filing Data'!BI$10:BI$997057,'Budget Filing Data'!$B$10:$B$997057,'2 Rates Rev- IOU Only'!B51,'Budget Filing Data'!$G$10:$G$997057,C51)</f>
        <v>0</v>
      </c>
      <c r="F51" s="714">
        <f>SUMIFS('Budget Filing Data'!BJ$10:BJ$997057,'Budget Filing Data'!$B$10:$B$997057,B51,'Budget Filing Data'!$G$10:$G$997057,'2 Rates Rev- IOU Only'!C51)</f>
        <v>0</v>
      </c>
      <c r="G51" s="714">
        <f>SUMIFS('Budget Filing Data'!BK$10:BK$997057,'Budget Filing Data'!$B$10:$B$997057,B51,'Budget Filing Data'!$G$10:$G$997057,C51)</f>
        <v>0</v>
      </c>
      <c r="H51" s="713">
        <f t="shared" si="26"/>
        <v>0</v>
      </c>
      <c r="I51" s="713">
        <f t="shared" si="27"/>
        <v>0</v>
      </c>
      <c r="J51" s="441"/>
      <c r="K51" s="441"/>
      <c r="L51" s="727" t="e">
        <f>H51/J47</f>
        <v>#DIV/0!</v>
      </c>
      <c r="M51" s="728" t="e">
        <f>I51/K47</f>
        <v>#DIV/0!</v>
      </c>
    </row>
    <row r="52" spans="2:13" ht="15.75" customHeight="1">
      <c r="B52" s="404" t="s">
        <v>231</v>
      </c>
    </row>
    <row r="53" spans="2:13" ht="15.75" customHeight="1">
      <c r="B53" s="883" t="s">
        <v>232</v>
      </c>
      <c r="C53" s="883"/>
      <c r="D53" s="883"/>
      <c r="E53" s="883"/>
      <c r="F53" s="883"/>
      <c r="G53" s="883"/>
      <c r="H53" s="883"/>
      <c r="I53" s="883"/>
      <c r="J53" s="883"/>
      <c r="K53" s="883"/>
      <c r="L53" s="883"/>
      <c r="M53" s="883"/>
    </row>
    <row r="54" spans="2:13" ht="15.75" customHeight="1">
      <c r="B54" s="883"/>
      <c r="C54" s="883"/>
      <c r="D54" s="883"/>
      <c r="E54" s="883"/>
      <c r="F54" s="883"/>
      <c r="G54" s="883"/>
      <c r="H54" s="883"/>
      <c r="I54" s="883"/>
      <c r="J54" s="883"/>
      <c r="K54" s="883"/>
      <c r="L54" s="883"/>
      <c r="M54" s="883"/>
    </row>
    <row r="55" spans="2:13" ht="15.75" customHeight="1">
      <c r="B55" s="883"/>
      <c r="C55" s="883"/>
      <c r="D55" s="883"/>
      <c r="E55" s="883"/>
      <c r="F55" s="883"/>
      <c r="G55" s="883"/>
      <c r="H55" s="883"/>
      <c r="I55" s="883"/>
      <c r="J55" s="883"/>
      <c r="K55" s="883"/>
      <c r="L55" s="883"/>
      <c r="M55" s="883"/>
    </row>
    <row r="56" spans="2:13" ht="15.75" customHeight="1">
      <c r="B56" s="875" t="s">
        <v>233</v>
      </c>
      <c r="C56" s="875"/>
      <c r="D56" s="875"/>
      <c r="E56" s="875"/>
      <c r="F56" s="875"/>
      <c r="G56" s="875"/>
      <c r="H56" s="875"/>
      <c r="I56" s="875"/>
      <c r="J56" s="875"/>
      <c r="K56" s="875"/>
      <c r="L56" s="875"/>
      <c r="M56" s="875"/>
    </row>
    <row r="57" spans="2:13" ht="15.75" customHeight="1">
      <c r="B57" s="875"/>
      <c r="C57" s="875"/>
      <c r="D57" s="875"/>
      <c r="E57" s="875"/>
      <c r="F57" s="875"/>
      <c r="G57" s="875"/>
      <c r="H57" s="875"/>
      <c r="I57" s="875"/>
      <c r="J57" s="875"/>
      <c r="K57" s="875"/>
      <c r="L57" s="875"/>
      <c r="M57" s="875"/>
    </row>
    <row r="58" spans="2:13" ht="15.75" customHeight="1">
      <c r="B58" s="875"/>
      <c r="C58" s="875"/>
      <c r="D58" s="875"/>
      <c r="E58" s="875"/>
      <c r="F58" s="875"/>
      <c r="G58" s="875"/>
      <c r="H58" s="875"/>
      <c r="I58" s="875"/>
      <c r="J58" s="875"/>
      <c r="K58" s="875"/>
      <c r="L58" s="875"/>
      <c r="M58" s="875"/>
    </row>
    <row r="59" spans="2:13" ht="15.75" customHeight="1">
      <c r="B59" s="876" t="s">
        <v>234</v>
      </c>
      <c r="C59" s="876"/>
      <c r="D59" s="876"/>
      <c r="E59" s="876"/>
      <c r="F59" s="876"/>
      <c r="G59" s="876"/>
      <c r="H59" s="876"/>
      <c r="I59" s="876"/>
      <c r="J59" s="876"/>
      <c r="K59" s="876"/>
      <c r="L59" s="876"/>
      <c r="M59" s="876"/>
    </row>
    <row r="60" spans="2:13" ht="17.25" customHeight="1">
      <c r="B60" s="876"/>
      <c r="C60" s="876"/>
      <c r="D60" s="876"/>
      <c r="E60" s="876"/>
      <c r="F60" s="876"/>
      <c r="G60" s="876"/>
      <c r="H60" s="876"/>
      <c r="I60" s="876"/>
      <c r="J60" s="876"/>
      <c r="K60" s="876"/>
      <c r="L60" s="876"/>
      <c r="M60" s="876"/>
    </row>
    <row r="61" spans="2:13" ht="15.75" customHeight="1">
      <c r="B61" s="876" t="s">
        <v>235</v>
      </c>
      <c r="C61" s="876"/>
      <c r="D61" s="876"/>
      <c r="E61" s="876"/>
      <c r="F61" s="876"/>
      <c r="G61" s="876"/>
      <c r="H61" s="876"/>
      <c r="I61" s="876"/>
      <c r="J61" s="876"/>
      <c r="K61" s="876"/>
      <c r="L61" s="876"/>
    </row>
    <row r="62" spans="2:13" ht="15.75" customHeight="1">
      <c r="B62" s="876"/>
      <c r="C62" s="876"/>
      <c r="D62" s="876"/>
      <c r="E62" s="876"/>
      <c r="F62" s="876"/>
      <c r="G62" s="876"/>
      <c r="H62" s="876"/>
      <c r="I62" s="876"/>
      <c r="J62" s="876"/>
      <c r="K62" s="876"/>
      <c r="L62" s="876"/>
    </row>
    <row r="63" spans="2:13" ht="15.75" customHeight="1">
      <c r="B63" s="876"/>
      <c r="C63" s="876"/>
      <c r="D63" s="876"/>
      <c r="E63" s="876"/>
      <c r="F63" s="876"/>
      <c r="G63" s="876"/>
      <c r="H63" s="876"/>
      <c r="I63" s="876"/>
      <c r="J63" s="876"/>
      <c r="K63" s="876"/>
      <c r="L63" s="876"/>
    </row>
    <row r="64" spans="2:13" ht="15.75" customHeight="1">
      <c r="B64" s="415" t="s">
        <v>236</v>
      </c>
    </row>
  </sheetData>
  <mergeCells count="7">
    <mergeCell ref="B56:M58"/>
    <mergeCell ref="B59:M60"/>
    <mergeCell ref="B61:L63"/>
    <mergeCell ref="C3:J3"/>
    <mergeCell ref="C2:J2"/>
    <mergeCell ref="J10:K10"/>
    <mergeCell ref="B53:M55"/>
  </mergeCells>
  <pageMargins left="0.25" right="0.25" top="0.75" bottom="0.75" header="0.3" footer="0.3"/>
  <pageSetup paperSize="17" scale="97" fitToHeight="0" orientation="landscape"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17BE-F40B-49E3-96A6-B92D692DC759}">
  <sheetPr codeName="Sheet6">
    <tabColor theme="4"/>
  </sheetPr>
  <dimension ref="B1:J121"/>
  <sheetViews>
    <sheetView showGridLines="0" zoomScaleNormal="100" workbookViewId="0">
      <pane ySplit="9" topLeftCell="A10" activePane="bottomLeft" state="frozen"/>
      <selection pane="bottomLeft" activeCell="B2" sqref="B2"/>
    </sheetView>
  </sheetViews>
  <sheetFormatPr defaultColWidth="9" defaultRowHeight="15"/>
  <cols>
    <col min="1" max="1" width="3.25" style="46" customWidth="1"/>
    <col min="2" max="2" width="17.625" style="46" customWidth="1"/>
    <col min="3" max="3" width="74.25" style="46" customWidth="1"/>
    <col min="4" max="8" width="15.625" style="46" customWidth="1"/>
    <col min="9" max="9" width="11" style="46" bestFit="1" customWidth="1"/>
    <col min="10" max="10" width="9" style="46"/>
    <col min="11" max="11" width="58.75" style="46" customWidth="1"/>
    <col min="12" max="16384" width="9" style="46"/>
  </cols>
  <sheetData>
    <row r="1" spans="2:10" s="68" customFormat="1" ht="15.75" thickBot="1">
      <c r="B1" s="701"/>
      <c r="C1" s="701"/>
      <c r="D1" s="701"/>
      <c r="E1" s="701"/>
      <c r="F1" s="701"/>
      <c r="G1" s="701"/>
      <c r="H1" s="701"/>
      <c r="I1" s="701"/>
      <c r="J1" s="701"/>
    </row>
    <row r="2" spans="2:10" s="68" customFormat="1" ht="33" customHeight="1">
      <c r="B2" s="224" t="s">
        <v>58</v>
      </c>
      <c r="C2" s="880" t="s">
        <v>237</v>
      </c>
      <c r="D2" s="880"/>
      <c r="E2" s="880"/>
      <c r="F2" s="880"/>
      <c r="G2" s="880"/>
      <c r="H2" s="880"/>
      <c r="I2" s="880"/>
      <c r="J2" s="881"/>
    </row>
    <row r="3" spans="2:10" s="68" customFormat="1" ht="33" customHeight="1" thickBot="1">
      <c r="B3" s="436" t="s">
        <v>102</v>
      </c>
      <c r="C3" s="877" t="s">
        <v>238</v>
      </c>
      <c r="D3" s="877"/>
      <c r="E3" s="877"/>
      <c r="F3" s="877"/>
      <c r="G3" s="877"/>
      <c r="H3" s="877"/>
      <c r="I3" s="877"/>
      <c r="J3" s="878"/>
    </row>
    <row r="4" spans="2:10" s="68" customFormat="1" ht="15.75" thickBot="1">
      <c r="B4" s="69"/>
      <c r="C4" s="69"/>
      <c r="D4" s="69"/>
      <c r="E4" s="69"/>
      <c r="F4" s="69"/>
      <c r="G4" s="69"/>
      <c r="H4" s="69"/>
      <c r="I4" s="69"/>
      <c r="J4" s="69"/>
    </row>
    <row r="5" spans="2:10">
      <c r="B5" s="177" t="s">
        <v>104</v>
      </c>
      <c r="C5" s="178" t="str">
        <f>'Read Me'!B10</f>
        <v>SDG&amp;E</v>
      </c>
      <c r="D5" s="701"/>
      <c r="E5" s="70"/>
      <c r="F5" s="70"/>
      <c r="G5" s="70"/>
      <c r="H5" s="70"/>
      <c r="I5" s="70"/>
      <c r="J5" s="70"/>
    </row>
    <row r="6" spans="2:10" ht="15.75" thickBot="1">
      <c r="B6" s="437" t="s">
        <v>105</v>
      </c>
      <c r="C6" s="438" t="str">
        <f>'Read Me'!B11</f>
        <v>2028-2035</v>
      </c>
      <c r="D6" s="701"/>
      <c r="E6" s="70"/>
      <c r="F6" s="70"/>
      <c r="G6" s="70"/>
      <c r="H6" s="70"/>
      <c r="I6" s="70"/>
      <c r="J6" s="70"/>
    </row>
    <row r="7" spans="2:10">
      <c r="B7" s="5"/>
      <c r="C7" s="5"/>
      <c r="D7" s="5"/>
      <c r="E7" s="5"/>
      <c r="F7" s="70"/>
      <c r="G7" s="70"/>
      <c r="H7" s="70"/>
      <c r="I7" s="70"/>
      <c r="J7" s="70"/>
    </row>
    <row r="8" spans="2:10" ht="15.75" thickBot="1">
      <c r="B8" s="71"/>
      <c r="C8" s="71"/>
      <c r="D8" s="239" t="s">
        <v>239</v>
      </c>
      <c r="E8" s="71"/>
      <c r="F8" s="71"/>
      <c r="G8" s="71"/>
      <c r="H8" s="71"/>
      <c r="I8" s="70"/>
      <c r="J8" s="70"/>
    </row>
    <row r="9" spans="2:10" ht="15.75" thickBot="1">
      <c r="B9" s="182" t="s">
        <v>186</v>
      </c>
      <c r="C9" s="183" t="s">
        <v>240</v>
      </c>
      <c r="D9" s="186" t="s">
        <v>204</v>
      </c>
      <c r="E9" s="187" t="s">
        <v>241</v>
      </c>
      <c r="F9" s="188" t="s">
        <v>242</v>
      </c>
      <c r="G9" s="188" t="s">
        <v>243</v>
      </c>
      <c r="H9" s="189" t="s">
        <v>244</v>
      </c>
      <c r="I9" s="70"/>
      <c r="J9" s="70"/>
    </row>
    <row r="10" spans="2:10">
      <c r="B10" s="190">
        <v>2028</v>
      </c>
      <c r="C10" s="191" t="s">
        <v>245</v>
      </c>
      <c r="D10" s="249">
        <f>SUMIF('4.1 Program Budget 2028-2031'!$M$16:$M$303,'3.1 Funding Category'!B10,'4.1 Program Budget 2028-2031'!$N$16:$N$303)-D18</f>
        <v>68428097.894683659</v>
      </c>
      <c r="E10" s="250">
        <f t="shared" ref="E10:E41" si="0">F10*D10</f>
        <v>38319734.821022853</v>
      </c>
      <c r="F10" s="192">
        <v>0.56000000000000005</v>
      </c>
      <c r="G10" s="250">
        <f>H10*D10</f>
        <v>30108363.07366081</v>
      </c>
      <c r="H10" s="193">
        <v>0.44</v>
      </c>
      <c r="I10" s="237" t="s">
        <v>246</v>
      </c>
      <c r="J10" s="70"/>
    </row>
    <row r="11" spans="2:10">
      <c r="B11" s="73">
        <v>2029</v>
      </c>
      <c r="C11" s="446" t="s">
        <v>245</v>
      </c>
      <c r="D11" s="251">
        <f>SUMIF('4.1 Program Budget 2028-2031'!$M$16:$M$303,'3.1 Funding Category'!B11,'4.1 Program Budget 2028-2031'!$N$16:$N$303)-D19</f>
        <v>67760602.463221148</v>
      </c>
      <c r="E11" s="252">
        <f t="shared" si="0"/>
        <v>37945937.379403844</v>
      </c>
      <c r="F11" s="447">
        <v>0.56000000000000005</v>
      </c>
      <c r="G11" s="252">
        <f>H11*D11</f>
        <v>29814665.083817307</v>
      </c>
      <c r="H11" s="448">
        <v>0.44</v>
      </c>
      <c r="I11" s="237" t="s">
        <v>246</v>
      </c>
      <c r="J11" s="70"/>
    </row>
    <row r="12" spans="2:10">
      <c r="B12" s="73">
        <v>2030</v>
      </c>
      <c r="C12" s="446" t="s">
        <v>245</v>
      </c>
      <c r="D12" s="251">
        <f>SUMIF('4.1 Program Budget 2028-2031'!$M$16:$M$303,'3.1 Funding Category'!B12,'4.1 Program Budget 2028-2031'!$N$16:$N$303)-D20</f>
        <v>68776559.578791097</v>
      </c>
      <c r="E12" s="252">
        <f t="shared" si="0"/>
        <v>38514873.364123017</v>
      </c>
      <c r="F12" s="447">
        <v>0.56000000000000005</v>
      </c>
      <c r="G12" s="252">
        <f>H12*D12</f>
        <v>30261686.214668084</v>
      </c>
      <c r="H12" s="448">
        <v>0.44</v>
      </c>
      <c r="I12" s="237" t="s">
        <v>246</v>
      </c>
      <c r="J12" s="70"/>
    </row>
    <row r="13" spans="2:10">
      <c r="B13" s="73">
        <v>2031</v>
      </c>
      <c r="C13" s="446" t="s">
        <v>245</v>
      </c>
      <c r="D13" s="251">
        <f>SUMIF('4.1 Program Budget 2028-2031'!$M$16:$M$303,'3.1 Funding Category'!B13,'4.1 Program Budget 2028-2031'!$N$16:$N$303)-D21</f>
        <v>71832337.397800133</v>
      </c>
      <c r="E13" s="252">
        <f t="shared" si="0"/>
        <v>40226108.942768075</v>
      </c>
      <c r="F13" s="447">
        <v>0.56000000000000005</v>
      </c>
      <c r="G13" s="252">
        <f t="shared" ref="G13:G17" si="1">H13*D13</f>
        <v>31606228.455032058</v>
      </c>
      <c r="H13" s="448">
        <v>0.44</v>
      </c>
      <c r="I13" s="237" t="s">
        <v>246</v>
      </c>
      <c r="J13" s="70"/>
    </row>
    <row r="14" spans="2:10">
      <c r="B14" s="73">
        <v>2032</v>
      </c>
      <c r="C14" s="446" t="s">
        <v>245</v>
      </c>
      <c r="D14" s="251">
        <f>SUMIF('4.2 Sector Seg Budget 2032-2035'!$E$13:$E$108,'3.1 Funding Category'!B14,'4.2 Sector Seg Budget 2032-2035'!$F$13:$F$108)-D22</f>
        <v>71832337.397800133</v>
      </c>
      <c r="E14" s="252">
        <f t="shared" si="0"/>
        <v>40226108.942768075</v>
      </c>
      <c r="F14" s="447">
        <v>0.56000000000000005</v>
      </c>
      <c r="G14" s="252">
        <f t="shared" si="1"/>
        <v>31606228.455032058</v>
      </c>
      <c r="H14" s="448">
        <v>0.44</v>
      </c>
      <c r="I14" s="237" t="s">
        <v>246</v>
      </c>
      <c r="J14" s="70"/>
    </row>
    <row r="15" spans="2:10">
      <c r="B15" s="73">
        <v>2033</v>
      </c>
      <c r="C15" s="446" t="s">
        <v>245</v>
      </c>
      <c r="D15" s="251">
        <f>SUMIF('4.2 Sector Seg Budget 2032-2035'!$E$13:$E$108,'3.1 Funding Category'!B15,'4.2 Sector Seg Budget 2032-2035'!$F$13:$F$108)-D23</f>
        <v>71832337.397800133</v>
      </c>
      <c r="E15" s="252">
        <f t="shared" si="0"/>
        <v>40226108.942768075</v>
      </c>
      <c r="F15" s="447">
        <v>0.56000000000000005</v>
      </c>
      <c r="G15" s="252">
        <f t="shared" si="1"/>
        <v>31606228.455032058</v>
      </c>
      <c r="H15" s="448">
        <v>0.44</v>
      </c>
      <c r="I15" s="237" t="s">
        <v>246</v>
      </c>
      <c r="J15" s="70"/>
    </row>
    <row r="16" spans="2:10">
      <c r="B16" s="73">
        <v>2034</v>
      </c>
      <c r="C16" s="446" t="s">
        <v>245</v>
      </c>
      <c r="D16" s="251">
        <f>SUMIF('4.2 Sector Seg Budget 2032-2035'!$E$13:$E$108,'3.1 Funding Category'!B16,'4.2 Sector Seg Budget 2032-2035'!$F$13:$F$108)-D24</f>
        <v>71832337.397800133</v>
      </c>
      <c r="E16" s="252">
        <f t="shared" si="0"/>
        <v>40226108.942768075</v>
      </c>
      <c r="F16" s="447">
        <v>0.56000000000000005</v>
      </c>
      <c r="G16" s="252">
        <f t="shared" si="1"/>
        <v>31606228.455032058</v>
      </c>
      <c r="H16" s="448">
        <v>0.44</v>
      </c>
      <c r="I16" s="237" t="s">
        <v>246</v>
      </c>
      <c r="J16" s="70"/>
    </row>
    <row r="17" spans="2:10" ht="15.75" thickBot="1">
      <c r="B17" s="449">
        <v>2035</v>
      </c>
      <c r="C17" s="731" t="s">
        <v>245</v>
      </c>
      <c r="D17" s="732">
        <f>SUMIF('4.2 Sector Seg Budget 2032-2035'!$E$13:$E$108,'3.1 Funding Category'!B17,'4.2 Sector Seg Budget 2032-2035'!$F$13:$F$108)-D25</f>
        <v>71832337.397800133</v>
      </c>
      <c r="E17" s="732">
        <f t="shared" si="0"/>
        <v>40226108.942768075</v>
      </c>
      <c r="F17" s="733">
        <v>0.56000000000000005</v>
      </c>
      <c r="G17" s="732">
        <f t="shared" si="1"/>
        <v>31606228.455032058</v>
      </c>
      <c r="H17" s="450">
        <v>0.44</v>
      </c>
      <c r="I17" s="237" t="s">
        <v>246</v>
      </c>
      <c r="J17" s="70"/>
    </row>
    <row r="18" spans="2:10" ht="15.75" thickTop="1">
      <c r="B18" s="79">
        <v>2028</v>
      </c>
      <c r="C18" s="80" t="s">
        <v>247</v>
      </c>
      <c r="D18" s="253">
        <v>0</v>
      </c>
      <c r="E18" s="254">
        <f t="shared" si="0"/>
        <v>0</v>
      </c>
      <c r="F18" s="81">
        <v>0.56000000000000005</v>
      </c>
      <c r="G18" s="254">
        <f t="shared" ref="G18:G41" si="2">H18*D18</f>
        <v>0</v>
      </c>
      <c r="H18" s="82">
        <v>0.44</v>
      </c>
      <c r="I18" s="237" t="s">
        <v>248</v>
      </c>
      <c r="J18" s="70"/>
    </row>
    <row r="19" spans="2:10">
      <c r="B19" s="73">
        <v>2029</v>
      </c>
      <c r="C19" s="446" t="s">
        <v>247</v>
      </c>
      <c r="D19" s="255">
        <v>0</v>
      </c>
      <c r="E19" s="252">
        <f t="shared" si="0"/>
        <v>0</v>
      </c>
      <c r="F19" s="447">
        <v>0.56000000000000005</v>
      </c>
      <c r="G19" s="252">
        <f t="shared" si="2"/>
        <v>0</v>
      </c>
      <c r="H19" s="448">
        <v>0.44</v>
      </c>
      <c r="I19" s="237" t="s">
        <v>248</v>
      </c>
      <c r="J19" s="70"/>
    </row>
    <row r="20" spans="2:10">
      <c r="B20" s="73">
        <v>2030</v>
      </c>
      <c r="C20" s="446" t="s">
        <v>247</v>
      </c>
      <c r="D20" s="255">
        <v>0</v>
      </c>
      <c r="E20" s="252">
        <f t="shared" si="0"/>
        <v>0</v>
      </c>
      <c r="F20" s="447">
        <v>0.56000000000000005</v>
      </c>
      <c r="G20" s="252">
        <f t="shared" si="2"/>
        <v>0</v>
      </c>
      <c r="H20" s="448">
        <v>0.44</v>
      </c>
      <c r="I20" s="237" t="s">
        <v>248</v>
      </c>
      <c r="J20" s="70"/>
    </row>
    <row r="21" spans="2:10">
      <c r="B21" s="73">
        <v>2031</v>
      </c>
      <c r="C21" s="446" t="s">
        <v>247</v>
      </c>
      <c r="D21" s="255">
        <v>0</v>
      </c>
      <c r="E21" s="252">
        <f t="shared" si="0"/>
        <v>0</v>
      </c>
      <c r="F21" s="447">
        <v>0.56000000000000005</v>
      </c>
      <c r="G21" s="252">
        <f t="shared" si="2"/>
        <v>0</v>
      </c>
      <c r="H21" s="448">
        <v>0.44</v>
      </c>
      <c r="I21" s="237" t="s">
        <v>248</v>
      </c>
      <c r="J21" s="70"/>
    </row>
    <row r="22" spans="2:10">
      <c r="B22" s="73">
        <v>2032</v>
      </c>
      <c r="C22" s="446" t="s">
        <v>247</v>
      </c>
      <c r="D22" s="255">
        <v>0</v>
      </c>
      <c r="E22" s="252">
        <f t="shared" si="0"/>
        <v>0</v>
      </c>
      <c r="F22" s="447">
        <v>0.56000000000000005</v>
      </c>
      <c r="G22" s="252">
        <f t="shared" si="2"/>
        <v>0</v>
      </c>
      <c r="H22" s="448">
        <v>0.44</v>
      </c>
      <c r="I22" s="237" t="s">
        <v>248</v>
      </c>
      <c r="J22" s="70"/>
    </row>
    <row r="23" spans="2:10">
      <c r="B23" s="73">
        <v>2033</v>
      </c>
      <c r="C23" s="446" t="s">
        <v>247</v>
      </c>
      <c r="D23" s="255">
        <v>0</v>
      </c>
      <c r="E23" s="252">
        <f t="shared" si="0"/>
        <v>0</v>
      </c>
      <c r="F23" s="447">
        <v>0.56000000000000005</v>
      </c>
      <c r="G23" s="252">
        <f t="shared" si="2"/>
        <v>0</v>
      </c>
      <c r="H23" s="448">
        <v>0.44</v>
      </c>
      <c r="I23" s="237" t="s">
        <v>248</v>
      </c>
      <c r="J23" s="70"/>
    </row>
    <row r="24" spans="2:10">
      <c r="B24" s="73">
        <v>2034</v>
      </c>
      <c r="C24" s="446" t="s">
        <v>247</v>
      </c>
      <c r="D24" s="255">
        <v>0</v>
      </c>
      <c r="E24" s="252">
        <f t="shared" si="0"/>
        <v>0</v>
      </c>
      <c r="F24" s="447">
        <v>0.56000000000000005</v>
      </c>
      <c r="G24" s="252">
        <f t="shared" si="2"/>
        <v>0</v>
      </c>
      <c r="H24" s="448">
        <v>0.44</v>
      </c>
      <c r="I24" s="237" t="s">
        <v>248</v>
      </c>
      <c r="J24" s="70"/>
    </row>
    <row r="25" spans="2:10" ht="15.75" thickBot="1">
      <c r="B25" s="75">
        <v>2035</v>
      </c>
      <c r="C25" s="76" t="s">
        <v>247</v>
      </c>
      <c r="D25" s="255">
        <v>0</v>
      </c>
      <c r="E25" s="256">
        <f t="shared" si="0"/>
        <v>0</v>
      </c>
      <c r="F25" s="77">
        <v>0.56000000000000005</v>
      </c>
      <c r="G25" s="256">
        <f t="shared" si="2"/>
        <v>0</v>
      </c>
      <c r="H25" s="78">
        <v>0.44</v>
      </c>
      <c r="I25" s="237" t="s">
        <v>248</v>
      </c>
      <c r="J25" s="70"/>
    </row>
    <row r="26" spans="2:10" ht="15.75" thickTop="1">
      <c r="B26" s="79">
        <v>2028</v>
      </c>
      <c r="C26" s="80" t="s">
        <v>249</v>
      </c>
      <c r="D26" s="253">
        <v>99200</v>
      </c>
      <c r="E26" s="254">
        <f t="shared" si="0"/>
        <v>55552.000000000007</v>
      </c>
      <c r="F26" s="81">
        <v>0.56000000000000005</v>
      </c>
      <c r="G26" s="254">
        <f t="shared" si="2"/>
        <v>43648</v>
      </c>
      <c r="H26" s="82">
        <v>0.44</v>
      </c>
      <c r="I26" s="237" t="s">
        <v>250</v>
      </c>
      <c r="J26" s="70"/>
    </row>
    <row r="27" spans="2:10">
      <c r="B27" s="73">
        <v>2029</v>
      </c>
      <c r="C27" s="74" t="s">
        <v>249</v>
      </c>
      <c r="D27" s="255">
        <v>99200</v>
      </c>
      <c r="E27" s="252">
        <f t="shared" si="0"/>
        <v>55552.000000000007</v>
      </c>
      <c r="F27" s="447">
        <v>0.56000000000000005</v>
      </c>
      <c r="G27" s="252">
        <f t="shared" si="2"/>
        <v>43648</v>
      </c>
      <c r="H27" s="448">
        <v>0.44</v>
      </c>
      <c r="I27" s="237" t="s">
        <v>250</v>
      </c>
      <c r="J27" s="70"/>
    </row>
    <row r="28" spans="2:10">
      <c r="B28" s="73">
        <v>2030</v>
      </c>
      <c r="C28" s="74" t="s">
        <v>249</v>
      </c>
      <c r="D28" s="255">
        <v>99200</v>
      </c>
      <c r="E28" s="252">
        <f t="shared" si="0"/>
        <v>55552.000000000007</v>
      </c>
      <c r="F28" s="447">
        <v>0.56000000000000005</v>
      </c>
      <c r="G28" s="252">
        <f t="shared" si="2"/>
        <v>43648</v>
      </c>
      <c r="H28" s="448">
        <v>0.44</v>
      </c>
      <c r="I28" s="237" t="s">
        <v>250</v>
      </c>
      <c r="J28" s="70"/>
    </row>
    <row r="29" spans="2:10">
      <c r="B29" s="73">
        <v>2031</v>
      </c>
      <c r="C29" s="74" t="s">
        <v>249</v>
      </c>
      <c r="D29" s="255">
        <v>99200</v>
      </c>
      <c r="E29" s="252">
        <f t="shared" si="0"/>
        <v>55552.000000000007</v>
      </c>
      <c r="F29" s="447">
        <v>0.56000000000000005</v>
      </c>
      <c r="G29" s="252">
        <f t="shared" si="2"/>
        <v>43648</v>
      </c>
      <c r="H29" s="448">
        <v>0.44</v>
      </c>
      <c r="I29" s="237" t="s">
        <v>250</v>
      </c>
      <c r="J29" s="70"/>
    </row>
    <row r="30" spans="2:10">
      <c r="B30" s="73">
        <v>2032</v>
      </c>
      <c r="C30" s="74" t="s">
        <v>249</v>
      </c>
      <c r="D30" s="255">
        <v>99200</v>
      </c>
      <c r="E30" s="252">
        <f t="shared" si="0"/>
        <v>55552.000000000007</v>
      </c>
      <c r="F30" s="447">
        <v>0.56000000000000005</v>
      </c>
      <c r="G30" s="252">
        <f t="shared" si="2"/>
        <v>43648</v>
      </c>
      <c r="H30" s="448">
        <v>0.44</v>
      </c>
      <c r="I30" s="237" t="s">
        <v>250</v>
      </c>
      <c r="J30" s="70"/>
    </row>
    <row r="31" spans="2:10">
      <c r="B31" s="73">
        <v>2033</v>
      </c>
      <c r="C31" s="74" t="s">
        <v>249</v>
      </c>
      <c r="D31" s="255">
        <v>99200</v>
      </c>
      <c r="E31" s="252">
        <f t="shared" si="0"/>
        <v>55552.000000000007</v>
      </c>
      <c r="F31" s="447">
        <v>0.56000000000000005</v>
      </c>
      <c r="G31" s="252">
        <f t="shared" si="2"/>
        <v>43648</v>
      </c>
      <c r="H31" s="448">
        <v>0.44</v>
      </c>
      <c r="I31" s="237" t="s">
        <v>250</v>
      </c>
      <c r="J31" s="70"/>
    </row>
    <row r="32" spans="2:10">
      <c r="B32" s="73">
        <v>2034</v>
      </c>
      <c r="C32" s="74" t="s">
        <v>249</v>
      </c>
      <c r="D32" s="255">
        <v>99200</v>
      </c>
      <c r="E32" s="252">
        <f t="shared" si="0"/>
        <v>55552.000000000007</v>
      </c>
      <c r="F32" s="447">
        <v>0.56000000000000005</v>
      </c>
      <c r="G32" s="252">
        <f t="shared" si="2"/>
        <v>43648</v>
      </c>
      <c r="H32" s="448">
        <v>0.44</v>
      </c>
      <c r="I32" s="237" t="s">
        <v>250</v>
      </c>
      <c r="J32" s="70"/>
    </row>
    <row r="33" spans="2:10" ht="15.75" thickBot="1">
      <c r="B33" s="83">
        <v>2035</v>
      </c>
      <c r="C33" s="76" t="s">
        <v>249</v>
      </c>
      <c r="D33" s="257">
        <v>99200</v>
      </c>
      <c r="E33" s="256">
        <f t="shared" si="0"/>
        <v>55552.000000000007</v>
      </c>
      <c r="F33" s="77">
        <v>0.56000000000000005</v>
      </c>
      <c r="G33" s="256">
        <f t="shared" si="2"/>
        <v>43648</v>
      </c>
      <c r="H33" s="78">
        <v>0.44</v>
      </c>
      <c r="I33" s="237" t="s">
        <v>250</v>
      </c>
      <c r="J33" s="70"/>
    </row>
    <row r="34" spans="2:10" ht="15.75" thickTop="1">
      <c r="B34" s="79">
        <v>2028</v>
      </c>
      <c r="C34" s="80" t="s">
        <v>251</v>
      </c>
      <c r="D34" s="258">
        <f>SUMIFS('7 PA PY Budget'!$E$9:$E$60,'7 PA PY Budget'!$C$9:$C$60,'3.1 Funding Category'!B34,'7 PA PY Budget'!$D$9:$D$60,"Total REN")+SUMIFS('7 PA PY Budget'!$G$9:$G$60,'7 PA PY Budget'!$C$9:$C$60,'3.1 Funding Category'!B34,'7 PA PY Budget'!$D$9:$D$60,"Total REN")+SUMIFS('7 PA PY Budget'!$H$9:$H$60,'7 PA PY Budget'!$C$9:$C$60,'3.1 Funding Category'!B34,'7 PA PY Budget'!$D$9:$D$60,"Total REN")+SUMIFS('7 PA PY Budget'!$E$9:$E$60,'7 PA PY Budget'!$C$9:$C$60,'3.1 Funding Category'!B34,'7 PA PY Budget'!$D$9:$D$60,"Total CCA")+SUMIFS('7 PA PY Budget'!$G$9:$G$60,'7 PA PY Budget'!$C$9:$C$60,'3.1 Funding Category'!B34,'7 PA PY Budget'!$D$9:$D$60,"Total CCA")+ SUMIFS('7 PA PY Budget'!$H$9:$H$60,'7 PA PY Budget'!$C$9:$C$60,'3.1 Funding Category'!B34,'7 PA PY Budget'!$D$9:$D$60,"Total CCA")</f>
        <v>41219821</v>
      </c>
      <c r="E34" s="254">
        <f t="shared" si="0"/>
        <v>23083099.760000002</v>
      </c>
      <c r="F34" s="81">
        <v>0.56000000000000005</v>
      </c>
      <c r="G34" s="254">
        <f t="shared" si="2"/>
        <v>18136721.239999998</v>
      </c>
      <c r="H34" s="82">
        <v>0.44</v>
      </c>
      <c r="I34" s="237" t="s">
        <v>183</v>
      </c>
      <c r="J34" s="70"/>
    </row>
    <row r="35" spans="2:10">
      <c r="B35" s="73">
        <v>2029</v>
      </c>
      <c r="C35" s="74" t="s">
        <v>251</v>
      </c>
      <c r="D35" s="259">
        <f>SUMIFS('7 PA PY Budget'!$E$9:$E$60,'7 PA PY Budget'!$C$9:$C$60,'3.1 Funding Category'!B35,'7 PA PY Budget'!$D$9:$D$60,"Total REN")+SUMIFS('7 PA PY Budget'!$G$9:$G$60,'7 PA PY Budget'!$C$9:$C$60,'3.1 Funding Category'!B35,'7 PA PY Budget'!$D$9:$D$60,"Total REN")+SUMIFS('7 PA PY Budget'!$H$9:$H$60,'7 PA PY Budget'!$C$9:$C$60,'3.1 Funding Category'!B35,'7 PA PY Budget'!$D$9:$D$60,"Total REN")+SUMIFS('7 PA PY Budget'!$E$9:$E$60,'7 PA PY Budget'!$C$9:$C$60,'3.1 Funding Category'!B35,'7 PA PY Budget'!$D$9:$D$60,"Total CCA")+SUMIFS('7 PA PY Budget'!$G$9:$G$60,'7 PA PY Budget'!$C$9:$C$60,'3.1 Funding Category'!B35,'7 PA PY Budget'!$D$9:$D$60,"Total CCA")+ SUMIFS('7 PA PY Budget'!$H$9:$H$60,'7 PA PY Budget'!$C$9:$C$60,'3.1 Funding Category'!B35,'7 PA PY Budget'!$D$9:$D$60,"Total CCA")</f>
        <v>42868616</v>
      </c>
      <c r="E35" s="252">
        <f t="shared" si="0"/>
        <v>24006424.960000001</v>
      </c>
      <c r="F35" s="447">
        <v>0.56000000000000005</v>
      </c>
      <c r="G35" s="252">
        <f t="shared" si="2"/>
        <v>18862191.039999999</v>
      </c>
      <c r="H35" s="448">
        <v>0.44</v>
      </c>
      <c r="I35" s="237" t="s">
        <v>183</v>
      </c>
      <c r="J35" s="70"/>
    </row>
    <row r="36" spans="2:10">
      <c r="B36" s="73">
        <v>2030</v>
      </c>
      <c r="C36" s="74" t="s">
        <v>251</v>
      </c>
      <c r="D36" s="259">
        <f>SUMIFS('7 PA PY Budget'!$E$9:$E$60,'7 PA PY Budget'!$C$9:$C$60,'3.1 Funding Category'!B36,'7 PA PY Budget'!$D$9:$D$60,"Total REN")+SUMIFS('7 PA PY Budget'!$G$9:$G$60,'7 PA PY Budget'!$C$9:$C$60,'3.1 Funding Category'!B36,'7 PA PY Budget'!$D$9:$D$60,"Total REN")+SUMIFS('7 PA PY Budget'!$H$9:$H$60,'7 PA PY Budget'!$C$9:$C$60,'3.1 Funding Category'!B36,'7 PA PY Budget'!$D$9:$D$60,"Total REN")+SUMIFS('7 PA PY Budget'!$E$9:$E$60,'7 PA PY Budget'!$C$9:$C$60,'3.1 Funding Category'!B36,'7 PA PY Budget'!$D$9:$D$60,"Total CCA")+SUMIFS('7 PA PY Budget'!$G$9:$G$60,'7 PA PY Budget'!$C$9:$C$60,'3.1 Funding Category'!B36,'7 PA PY Budget'!$D$9:$D$60,"Total CCA")+ SUMIFS('7 PA PY Budget'!$H$9:$H$60,'7 PA PY Budget'!$C$9:$C$60,'3.1 Funding Category'!B36,'7 PA PY Budget'!$D$9:$D$60,"Total CCA")</f>
        <v>44583355</v>
      </c>
      <c r="E36" s="252">
        <f t="shared" si="0"/>
        <v>24966678.800000001</v>
      </c>
      <c r="F36" s="447">
        <v>0.56000000000000005</v>
      </c>
      <c r="G36" s="252">
        <f t="shared" si="2"/>
        <v>19616676.199999999</v>
      </c>
      <c r="H36" s="448">
        <v>0.44</v>
      </c>
      <c r="I36" s="237" t="s">
        <v>183</v>
      </c>
      <c r="J36" s="70"/>
    </row>
    <row r="37" spans="2:10">
      <c r="B37" s="73">
        <v>2031</v>
      </c>
      <c r="C37" s="74" t="s">
        <v>251</v>
      </c>
      <c r="D37" s="259">
        <f>SUMIFS('7 PA PY Budget'!$E$9:$E$60,'7 PA PY Budget'!$C$9:$C$60,'3.1 Funding Category'!B37,'7 PA PY Budget'!$D$9:$D$60,"Total REN")+SUMIFS('7 PA PY Budget'!$G$9:$G$60,'7 PA PY Budget'!$C$9:$C$60,'3.1 Funding Category'!B37,'7 PA PY Budget'!$D$9:$D$60,"Total REN")+SUMIFS('7 PA PY Budget'!$H$9:$H$60,'7 PA PY Budget'!$C$9:$C$60,'3.1 Funding Category'!B37,'7 PA PY Budget'!$D$9:$D$60,"Total REN")+SUMIFS('7 PA PY Budget'!$E$9:$E$60,'7 PA PY Budget'!$C$9:$C$60,'3.1 Funding Category'!B37,'7 PA PY Budget'!$D$9:$D$60,"Total CCA")+SUMIFS('7 PA PY Budget'!$G$9:$G$60,'7 PA PY Budget'!$C$9:$C$60,'3.1 Funding Category'!B35,'7 PA PY Budget'!$D$9:$D$60,"Total CCA")+ SUMIFS('7 PA PY Budget'!$H$9:$H$60,'7 PA PY Budget'!$C$9:$C$60,'3.1 Funding Category'!B37,'7 PA PY Budget'!$D$9:$D$60,"Total CCA")</f>
        <v>46366693</v>
      </c>
      <c r="E37" s="252">
        <f t="shared" si="0"/>
        <v>25965348.080000002</v>
      </c>
      <c r="F37" s="447">
        <v>0.56000000000000005</v>
      </c>
      <c r="G37" s="252">
        <f t="shared" si="2"/>
        <v>20401344.920000002</v>
      </c>
      <c r="H37" s="448">
        <v>0.44</v>
      </c>
      <c r="I37" s="237" t="s">
        <v>183</v>
      </c>
      <c r="J37" s="70"/>
    </row>
    <row r="38" spans="2:10">
      <c r="B38" s="73">
        <v>2032</v>
      </c>
      <c r="C38" s="74" t="s">
        <v>251</v>
      </c>
      <c r="D38" s="255">
        <v>47757694</v>
      </c>
      <c r="E38" s="252">
        <f t="shared" si="0"/>
        <v>26744308.640000004</v>
      </c>
      <c r="F38" s="447">
        <v>0.56000000000000005</v>
      </c>
      <c r="G38" s="252">
        <f t="shared" si="2"/>
        <v>21013385.359999999</v>
      </c>
      <c r="H38" s="448">
        <v>0.44</v>
      </c>
      <c r="I38" s="237" t="s">
        <v>183</v>
      </c>
      <c r="J38" s="70"/>
    </row>
    <row r="39" spans="2:10">
      <c r="B39" s="73">
        <v>2033</v>
      </c>
      <c r="C39" s="74" t="s">
        <v>251</v>
      </c>
      <c r="D39" s="255">
        <v>49190425</v>
      </c>
      <c r="E39" s="252">
        <f t="shared" si="0"/>
        <v>27546638.000000004</v>
      </c>
      <c r="F39" s="447">
        <v>0.56000000000000005</v>
      </c>
      <c r="G39" s="252">
        <f t="shared" si="2"/>
        <v>21643787</v>
      </c>
      <c r="H39" s="448">
        <v>0.44</v>
      </c>
      <c r="I39" s="237" t="s">
        <v>183</v>
      </c>
      <c r="J39" s="70"/>
    </row>
    <row r="40" spans="2:10">
      <c r="B40" s="73">
        <v>2034</v>
      </c>
      <c r="C40" s="74" t="s">
        <v>251</v>
      </c>
      <c r="D40" s="255">
        <v>50666137</v>
      </c>
      <c r="E40" s="252">
        <f t="shared" si="0"/>
        <v>28373036.720000003</v>
      </c>
      <c r="F40" s="447">
        <v>0.56000000000000005</v>
      </c>
      <c r="G40" s="252">
        <f t="shared" si="2"/>
        <v>22293100.280000001</v>
      </c>
      <c r="H40" s="448">
        <v>0.44</v>
      </c>
      <c r="I40" s="237" t="s">
        <v>183</v>
      </c>
      <c r="J40" s="70"/>
    </row>
    <row r="41" spans="2:10" ht="15.75" thickBot="1">
      <c r="B41" s="451">
        <v>2035</v>
      </c>
      <c r="C41" s="731" t="s">
        <v>251</v>
      </c>
      <c r="D41" s="255">
        <v>52186122</v>
      </c>
      <c r="E41" s="732">
        <f t="shared" si="0"/>
        <v>29224228.320000004</v>
      </c>
      <c r="F41" s="733">
        <v>0.56000000000000005</v>
      </c>
      <c r="G41" s="732">
        <f t="shared" si="2"/>
        <v>22961893.68</v>
      </c>
      <c r="H41" s="450">
        <v>0.44</v>
      </c>
      <c r="I41" s="237" t="s">
        <v>183</v>
      </c>
      <c r="J41" s="70"/>
    </row>
    <row r="42" spans="2:10" ht="15.75" thickTop="1">
      <c r="B42" s="79">
        <v>2028</v>
      </c>
      <c r="C42" s="80" t="s">
        <v>252</v>
      </c>
      <c r="D42" s="260">
        <f>D10+D18+D26+D34</f>
        <v>109747118.89468366</v>
      </c>
      <c r="E42" s="254">
        <f t="shared" ref="E42:E90" si="3">F42*D42</f>
        <v>61458386.581022859</v>
      </c>
      <c r="F42" s="81">
        <v>0.56000000000000005</v>
      </c>
      <c r="G42" s="254">
        <f t="shared" ref="G42:G73" si="4">H42*D42</f>
        <v>48288732.313660808</v>
      </c>
      <c r="H42" s="82">
        <v>0.44</v>
      </c>
      <c r="I42" s="237" t="s">
        <v>250</v>
      </c>
      <c r="J42" s="70"/>
    </row>
    <row r="43" spans="2:10">
      <c r="B43" s="73">
        <v>2029</v>
      </c>
      <c r="C43" s="74" t="s">
        <v>252</v>
      </c>
      <c r="D43" s="261">
        <f t="shared" ref="D43:D49" si="5">D11+D19+D27+D35</f>
        <v>110728418.46322115</v>
      </c>
      <c r="E43" s="252">
        <f t="shared" si="3"/>
        <v>62007914.339403845</v>
      </c>
      <c r="F43" s="447">
        <v>0.56000000000000005</v>
      </c>
      <c r="G43" s="252">
        <f t="shared" si="4"/>
        <v>48720504.123817302</v>
      </c>
      <c r="H43" s="448">
        <v>0.44</v>
      </c>
      <c r="I43" s="237" t="s">
        <v>250</v>
      </c>
      <c r="J43" s="70"/>
    </row>
    <row r="44" spans="2:10">
      <c r="B44" s="73">
        <v>2030</v>
      </c>
      <c r="C44" s="74" t="s">
        <v>252</v>
      </c>
      <c r="D44" s="261">
        <f t="shared" si="5"/>
        <v>113459114.5787911</v>
      </c>
      <c r="E44" s="252">
        <f t="shared" si="3"/>
        <v>63537104.164123021</v>
      </c>
      <c r="F44" s="447">
        <v>0.56000000000000005</v>
      </c>
      <c r="G44" s="252">
        <f t="shared" si="4"/>
        <v>49922010.414668083</v>
      </c>
      <c r="H44" s="448">
        <v>0.44</v>
      </c>
      <c r="I44" s="237" t="s">
        <v>250</v>
      </c>
      <c r="J44" s="70"/>
    </row>
    <row r="45" spans="2:10">
      <c r="B45" s="73">
        <v>2031</v>
      </c>
      <c r="C45" s="74" t="s">
        <v>252</v>
      </c>
      <c r="D45" s="261">
        <f t="shared" si="5"/>
        <v>118298230.39780013</v>
      </c>
      <c r="E45" s="252">
        <f t="shared" si="3"/>
        <v>66247009.02276808</v>
      </c>
      <c r="F45" s="447">
        <v>0.56000000000000005</v>
      </c>
      <c r="G45" s="252">
        <f t="shared" si="4"/>
        <v>52051221.37503206</v>
      </c>
      <c r="H45" s="448">
        <v>0.44</v>
      </c>
      <c r="I45" s="237" t="s">
        <v>250</v>
      </c>
      <c r="J45" s="70"/>
    </row>
    <row r="46" spans="2:10">
      <c r="B46" s="73">
        <v>2032</v>
      </c>
      <c r="C46" s="74" t="s">
        <v>252</v>
      </c>
      <c r="D46" s="261">
        <f>D14+D22+D30+D38</f>
        <v>119689231.39780013</v>
      </c>
      <c r="E46" s="252">
        <f t="shared" si="3"/>
        <v>67025969.582768083</v>
      </c>
      <c r="F46" s="447">
        <v>0.56000000000000005</v>
      </c>
      <c r="G46" s="252">
        <f t="shared" si="4"/>
        <v>52663261.815032057</v>
      </c>
      <c r="H46" s="448">
        <v>0.44</v>
      </c>
      <c r="I46" s="237" t="s">
        <v>250</v>
      </c>
      <c r="J46" s="70"/>
    </row>
    <row r="47" spans="2:10">
      <c r="B47" s="73">
        <v>2033</v>
      </c>
      <c r="C47" s="74" t="s">
        <v>252</v>
      </c>
      <c r="D47" s="261">
        <f t="shared" si="5"/>
        <v>121121962.39780013</v>
      </c>
      <c r="E47" s="252">
        <f t="shared" si="3"/>
        <v>67828298.942768082</v>
      </c>
      <c r="F47" s="447">
        <v>0.56000000000000005</v>
      </c>
      <c r="G47" s="252">
        <f t="shared" si="4"/>
        <v>53293663.455032058</v>
      </c>
      <c r="H47" s="448">
        <v>0.44</v>
      </c>
      <c r="I47" s="237" t="s">
        <v>250</v>
      </c>
      <c r="J47" s="70"/>
    </row>
    <row r="48" spans="2:10">
      <c r="B48" s="73">
        <v>2034</v>
      </c>
      <c r="C48" s="74" t="s">
        <v>252</v>
      </c>
      <c r="D48" s="261">
        <f t="shared" si="5"/>
        <v>122597674.39780013</v>
      </c>
      <c r="E48" s="252">
        <f t="shared" si="3"/>
        <v>68654697.662768081</v>
      </c>
      <c r="F48" s="447">
        <v>0.56000000000000005</v>
      </c>
      <c r="G48" s="252">
        <f t="shared" si="4"/>
        <v>53942976.735032059</v>
      </c>
      <c r="H48" s="448">
        <v>0.44</v>
      </c>
      <c r="I48" s="237" t="s">
        <v>250</v>
      </c>
      <c r="J48" s="70"/>
    </row>
    <row r="49" spans="2:10" ht="15.75" thickBot="1">
      <c r="B49" s="451">
        <v>2035</v>
      </c>
      <c r="C49" s="731" t="s">
        <v>252</v>
      </c>
      <c r="D49" s="452">
        <f t="shared" si="5"/>
        <v>124117659.39780013</v>
      </c>
      <c r="E49" s="732">
        <f t="shared" si="3"/>
        <v>69505889.262768075</v>
      </c>
      <c r="F49" s="733">
        <v>0.56000000000000005</v>
      </c>
      <c r="G49" s="732">
        <f t="shared" si="4"/>
        <v>54611770.135032058</v>
      </c>
      <c r="H49" s="450">
        <v>0.44</v>
      </c>
      <c r="I49" s="237" t="s">
        <v>250</v>
      </c>
      <c r="J49" s="70"/>
    </row>
    <row r="50" spans="2:10" ht="15.75" thickTop="1">
      <c r="B50" s="79">
        <v>2028</v>
      </c>
      <c r="C50" s="80" t="s">
        <v>253</v>
      </c>
      <c r="D50" s="253">
        <v>99200</v>
      </c>
      <c r="E50" s="254">
        <f t="shared" si="3"/>
        <v>55552.000000000007</v>
      </c>
      <c r="F50" s="81">
        <v>0.56000000000000005</v>
      </c>
      <c r="G50" s="254">
        <f t="shared" si="4"/>
        <v>43648</v>
      </c>
      <c r="H50" s="82">
        <v>0.44</v>
      </c>
      <c r="I50" s="237" t="s">
        <v>250</v>
      </c>
      <c r="J50" s="70"/>
    </row>
    <row r="51" spans="2:10">
      <c r="B51" s="73">
        <v>2029</v>
      </c>
      <c r="C51" s="74" t="s">
        <v>253</v>
      </c>
      <c r="D51" s="255">
        <v>99200</v>
      </c>
      <c r="E51" s="252">
        <f t="shared" si="3"/>
        <v>55552.000000000007</v>
      </c>
      <c r="F51" s="447">
        <v>0.56000000000000005</v>
      </c>
      <c r="G51" s="252">
        <f t="shared" si="4"/>
        <v>43648</v>
      </c>
      <c r="H51" s="448">
        <v>0.44</v>
      </c>
      <c r="I51" s="237" t="s">
        <v>250</v>
      </c>
      <c r="J51" s="70"/>
    </row>
    <row r="52" spans="2:10">
      <c r="B52" s="73">
        <v>2030</v>
      </c>
      <c r="C52" s="74" t="s">
        <v>253</v>
      </c>
      <c r="D52" s="255">
        <v>99200</v>
      </c>
      <c r="E52" s="252">
        <f t="shared" si="3"/>
        <v>55552.000000000007</v>
      </c>
      <c r="F52" s="447">
        <v>0.56000000000000005</v>
      </c>
      <c r="G52" s="252">
        <f t="shared" si="4"/>
        <v>43648</v>
      </c>
      <c r="H52" s="448">
        <v>0.44</v>
      </c>
      <c r="I52" s="237" t="s">
        <v>250</v>
      </c>
      <c r="J52" s="70"/>
    </row>
    <row r="53" spans="2:10">
      <c r="B53" s="73">
        <v>2031</v>
      </c>
      <c r="C53" s="74" t="s">
        <v>253</v>
      </c>
      <c r="D53" s="255">
        <v>99200</v>
      </c>
      <c r="E53" s="252">
        <f t="shared" si="3"/>
        <v>55552.000000000007</v>
      </c>
      <c r="F53" s="447">
        <v>0.56000000000000005</v>
      </c>
      <c r="G53" s="252">
        <f t="shared" si="4"/>
        <v>43648</v>
      </c>
      <c r="H53" s="448">
        <v>0.44</v>
      </c>
      <c r="I53" s="237" t="s">
        <v>250</v>
      </c>
      <c r="J53" s="70"/>
    </row>
    <row r="54" spans="2:10">
      <c r="B54" s="73">
        <v>2032</v>
      </c>
      <c r="C54" s="74" t="s">
        <v>253</v>
      </c>
      <c r="D54" s="255">
        <v>99200</v>
      </c>
      <c r="E54" s="252">
        <f t="shared" si="3"/>
        <v>55552.000000000007</v>
      </c>
      <c r="F54" s="447">
        <v>0.56000000000000005</v>
      </c>
      <c r="G54" s="252">
        <f t="shared" si="4"/>
        <v>43648</v>
      </c>
      <c r="H54" s="448">
        <v>0.44</v>
      </c>
      <c r="I54" s="237" t="s">
        <v>250</v>
      </c>
      <c r="J54" s="70"/>
    </row>
    <row r="55" spans="2:10">
      <c r="B55" s="73">
        <v>2033</v>
      </c>
      <c r="C55" s="74" t="s">
        <v>253</v>
      </c>
      <c r="D55" s="255">
        <v>99200</v>
      </c>
      <c r="E55" s="252">
        <f t="shared" si="3"/>
        <v>55552.000000000007</v>
      </c>
      <c r="F55" s="447">
        <v>0.56000000000000005</v>
      </c>
      <c r="G55" s="252">
        <f t="shared" si="4"/>
        <v>43648</v>
      </c>
      <c r="H55" s="448">
        <v>0.44</v>
      </c>
      <c r="I55" s="237" t="s">
        <v>250</v>
      </c>
      <c r="J55" s="70"/>
    </row>
    <row r="56" spans="2:10">
      <c r="B56" s="73">
        <v>2034</v>
      </c>
      <c r="C56" s="74" t="s">
        <v>253</v>
      </c>
      <c r="D56" s="255">
        <v>99200</v>
      </c>
      <c r="E56" s="252">
        <f t="shared" si="3"/>
        <v>55552.000000000007</v>
      </c>
      <c r="F56" s="447">
        <v>0.56000000000000005</v>
      </c>
      <c r="G56" s="252">
        <f t="shared" si="4"/>
        <v>43648</v>
      </c>
      <c r="H56" s="448">
        <v>0.44</v>
      </c>
      <c r="I56" s="237" t="s">
        <v>250</v>
      </c>
      <c r="J56" s="70"/>
    </row>
    <row r="57" spans="2:10" ht="15.75" thickBot="1">
      <c r="B57" s="451">
        <v>2035</v>
      </c>
      <c r="C57" s="453" t="s">
        <v>253</v>
      </c>
      <c r="D57" s="255">
        <v>99200</v>
      </c>
      <c r="E57" s="732">
        <f t="shared" si="3"/>
        <v>55552.000000000007</v>
      </c>
      <c r="F57" s="733">
        <v>0.56000000000000005</v>
      </c>
      <c r="G57" s="732">
        <f t="shared" si="4"/>
        <v>43648</v>
      </c>
      <c r="H57" s="450">
        <v>0.44</v>
      </c>
      <c r="I57" s="237" t="s">
        <v>250</v>
      </c>
      <c r="J57" s="70"/>
    </row>
    <row r="58" spans="2:10" ht="15.75" thickTop="1">
      <c r="B58" s="79">
        <v>2028</v>
      </c>
      <c r="C58" s="80" t="s">
        <v>254</v>
      </c>
      <c r="D58" s="253">
        <v>41219821</v>
      </c>
      <c r="E58" s="254">
        <f t="shared" si="3"/>
        <v>23083099.760000002</v>
      </c>
      <c r="F58" s="81">
        <v>0.56000000000000005</v>
      </c>
      <c r="G58" s="254">
        <f t="shared" si="4"/>
        <v>18136721.239999998</v>
      </c>
      <c r="H58" s="82">
        <v>0.44</v>
      </c>
      <c r="I58" s="70"/>
      <c r="J58" s="70"/>
    </row>
    <row r="59" spans="2:10">
      <c r="B59" s="73">
        <v>2029</v>
      </c>
      <c r="C59" s="74" t="s">
        <v>254</v>
      </c>
      <c r="D59" s="255">
        <v>42868616</v>
      </c>
      <c r="E59" s="252">
        <f t="shared" si="3"/>
        <v>24006424.960000001</v>
      </c>
      <c r="F59" s="447">
        <v>0.56000000000000005</v>
      </c>
      <c r="G59" s="252">
        <f t="shared" si="4"/>
        <v>18862191.039999999</v>
      </c>
      <c r="H59" s="448">
        <v>0.44</v>
      </c>
      <c r="I59" s="70"/>
      <c r="J59" s="70"/>
    </row>
    <row r="60" spans="2:10">
      <c r="B60" s="73">
        <v>2030</v>
      </c>
      <c r="C60" s="74" t="s">
        <v>254</v>
      </c>
      <c r="D60" s="255">
        <v>44583355</v>
      </c>
      <c r="E60" s="252">
        <f t="shared" si="3"/>
        <v>24966678.800000001</v>
      </c>
      <c r="F60" s="447">
        <v>0.56000000000000005</v>
      </c>
      <c r="G60" s="252">
        <f t="shared" si="4"/>
        <v>19616676.199999999</v>
      </c>
      <c r="H60" s="448">
        <v>0.44</v>
      </c>
      <c r="I60" s="70"/>
      <c r="J60" s="70"/>
    </row>
    <row r="61" spans="2:10">
      <c r="B61" s="73">
        <v>2031</v>
      </c>
      <c r="C61" s="74" t="s">
        <v>254</v>
      </c>
      <c r="D61" s="255">
        <v>46366693</v>
      </c>
      <c r="E61" s="252">
        <f t="shared" si="3"/>
        <v>25965348.080000002</v>
      </c>
      <c r="F61" s="447">
        <v>0.56000000000000005</v>
      </c>
      <c r="G61" s="252">
        <f t="shared" si="4"/>
        <v>20401344.920000002</v>
      </c>
      <c r="H61" s="448">
        <v>0.44</v>
      </c>
      <c r="I61" s="70"/>
      <c r="J61" s="70"/>
    </row>
    <row r="62" spans="2:10">
      <c r="B62" s="73">
        <v>2032</v>
      </c>
      <c r="C62" s="74" t="s">
        <v>254</v>
      </c>
      <c r="D62" s="255">
        <v>47757694</v>
      </c>
      <c r="E62" s="252">
        <f t="shared" si="3"/>
        <v>26744308.640000004</v>
      </c>
      <c r="F62" s="447">
        <v>0.56000000000000005</v>
      </c>
      <c r="G62" s="252">
        <f t="shared" si="4"/>
        <v>21013385.359999999</v>
      </c>
      <c r="H62" s="448">
        <v>0.44</v>
      </c>
      <c r="I62" s="70"/>
      <c r="J62" s="70"/>
    </row>
    <row r="63" spans="2:10">
      <c r="B63" s="73">
        <v>2033</v>
      </c>
      <c r="C63" s="74" t="s">
        <v>254</v>
      </c>
      <c r="D63" s="255">
        <v>49190425</v>
      </c>
      <c r="E63" s="252">
        <f t="shared" si="3"/>
        <v>27546638.000000004</v>
      </c>
      <c r="F63" s="447">
        <v>0.56000000000000005</v>
      </c>
      <c r="G63" s="252">
        <f t="shared" si="4"/>
        <v>21643787</v>
      </c>
      <c r="H63" s="448">
        <v>0.44</v>
      </c>
      <c r="I63" s="70"/>
      <c r="J63" s="70"/>
    </row>
    <row r="64" spans="2:10">
      <c r="B64" s="73">
        <v>2034</v>
      </c>
      <c r="C64" s="74" t="s">
        <v>254</v>
      </c>
      <c r="D64" s="255">
        <v>50666137</v>
      </c>
      <c r="E64" s="252">
        <f t="shared" si="3"/>
        <v>28373036.720000003</v>
      </c>
      <c r="F64" s="447">
        <v>0.56000000000000005</v>
      </c>
      <c r="G64" s="252">
        <f t="shared" si="4"/>
        <v>22293100.280000001</v>
      </c>
      <c r="H64" s="448">
        <v>0.44</v>
      </c>
      <c r="I64" s="70"/>
      <c r="J64" s="70"/>
    </row>
    <row r="65" spans="2:10" ht="15.75" thickBot="1">
      <c r="B65" s="83">
        <v>2035</v>
      </c>
      <c r="C65" s="84" t="s">
        <v>254</v>
      </c>
      <c r="D65" s="262">
        <v>52186122</v>
      </c>
      <c r="E65" s="256">
        <f t="shared" si="3"/>
        <v>29224228.320000004</v>
      </c>
      <c r="F65" s="77">
        <v>0.56000000000000005</v>
      </c>
      <c r="G65" s="256">
        <f t="shared" si="4"/>
        <v>22961893.68</v>
      </c>
      <c r="H65" s="78">
        <v>0.44</v>
      </c>
      <c r="I65" s="70"/>
      <c r="J65" s="70"/>
    </row>
    <row r="66" spans="2:10" ht="15.75" thickTop="1">
      <c r="B66" s="79">
        <v>2028</v>
      </c>
      <c r="C66" s="80" t="s">
        <v>255</v>
      </c>
      <c r="D66" s="258">
        <f>SUMIFS('7 PA PY Budget'!$I$9:$I$60,'7 PA PY Budget'!$C$9:$C$60,'3.1 Funding Category'!B66,'7 PA PY Budget'!$D$9:$D$60,"Total (IOU+REN+CCA)")</f>
        <v>0</v>
      </c>
      <c r="E66" s="254">
        <f t="shared" si="3"/>
        <v>0</v>
      </c>
      <c r="F66" s="81">
        <v>0.56000000000000005</v>
      </c>
      <c r="G66" s="254">
        <f t="shared" si="4"/>
        <v>0</v>
      </c>
      <c r="H66" s="82">
        <v>0.44</v>
      </c>
      <c r="I66" s="237" t="s">
        <v>256</v>
      </c>
      <c r="J66" s="70"/>
    </row>
    <row r="67" spans="2:10">
      <c r="B67" s="73">
        <v>2029</v>
      </c>
      <c r="C67" s="74" t="s">
        <v>255</v>
      </c>
      <c r="D67" s="263">
        <f>SUMIFS('7 PA PY Budget'!$I$9:$I$60,'7 PA PY Budget'!$C$9:$C$60,'3.1 Funding Category'!B67,'7 PA PY Budget'!$D$9:$D$60,"Total (IOU+REN+CCA)")</f>
        <v>0</v>
      </c>
      <c r="E67" s="252">
        <f t="shared" si="3"/>
        <v>0</v>
      </c>
      <c r="F67" s="447">
        <v>0.56000000000000005</v>
      </c>
      <c r="G67" s="252">
        <f t="shared" si="4"/>
        <v>0</v>
      </c>
      <c r="H67" s="448">
        <v>0.44</v>
      </c>
      <c r="I67" s="237" t="s">
        <v>256</v>
      </c>
      <c r="J67" s="70"/>
    </row>
    <row r="68" spans="2:10">
      <c r="B68" s="73">
        <v>2030</v>
      </c>
      <c r="C68" s="74" t="s">
        <v>255</v>
      </c>
      <c r="D68" s="263">
        <f>SUMIFS('7 PA PY Budget'!$I$9:$I$60,'7 PA PY Budget'!$C$9:$C$60,'3.1 Funding Category'!B68,'7 PA PY Budget'!$D$9:$D$60,"Total (IOU+REN+CCA)")</f>
        <v>0</v>
      </c>
      <c r="E68" s="252">
        <f t="shared" si="3"/>
        <v>0</v>
      </c>
      <c r="F68" s="447">
        <v>0.56000000000000005</v>
      </c>
      <c r="G68" s="252">
        <f t="shared" si="4"/>
        <v>0</v>
      </c>
      <c r="H68" s="448">
        <v>0.44</v>
      </c>
      <c r="I68" s="237" t="s">
        <v>256</v>
      </c>
      <c r="J68" s="70"/>
    </row>
    <row r="69" spans="2:10">
      <c r="B69" s="73">
        <v>2031</v>
      </c>
      <c r="C69" s="74" t="s">
        <v>255</v>
      </c>
      <c r="D69" s="263">
        <f>SUMIFS('7 PA PY Budget'!$I$9:$I$60,'7 PA PY Budget'!$C$9:$C$60,'3.1 Funding Category'!B69,'7 PA PY Budget'!$D$9:$D$60,"Total (IOU+REN+CCA)")</f>
        <v>0</v>
      </c>
      <c r="E69" s="252">
        <f t="shared" si="3"/>
        <v>0</v>
      </c>
      <c r="F69" s="447">
        <v>0.56000000000000005</v>
      </c>
      <c r="G69" s="252">
        <f t="shared" si="4"/>
        <v>0</v>
      </c>
      <c r="H69" s="448">
        <v>0.44</v>
      </c>
      <c r="I69" s="237" t="s">
        <v>256</v>
      </c>
      <c r="J69" s="70"/>
    </row>
    <row r="70" spans="2:10">
      <c r="B70" s="73">
        <v>2032</v>
      </c>
      <c r="C70" s="74" t="s">
        <v>255</v>
      </c>
      <c r="D70" s="263">
        <f>SUMIFS('7 PA PY Budget'!$I$9:$I$60,'7 PA PY Budget'!$C$9:$C$60,'3.1 Funding Category'!B70,'7 PA PY Budget'!$D$9:$D$60,"Total (IOU+REN+CCA)")</f>
        <v>0</v>
      </c>
      <c r="E70" s="252">
        <f t="shared" si="3"/>
        <v>0</v>
      </c>
      <c r="F70" s="447">
        <v>0.56000000000000005</v>
      </c>
      <c r="G70" s="252">
        <f t="shared" si="4"/>
        <v>0</v>
      </c>
      <c r="H70" s="448">
        <v>0.44</v>
      </c>
      <c r="I70" s="237" t="s">
        <v>256</v>
      </c>
      <c r="J70" s="70"/>
    </row>
    <row r="71" spans="2:10">
      <c r="B71" s="73">
        <v>2033</v>
      </c>
      <c r="C71" s="74" t="s">
        <v>255</v>
      </c>
      <c r="D71" s="263">
        <f>SUMIFS('7 PA PY Budget'!$I$9:$I$60,'7 PA PY Budget'!$C$9:$C$60,'3.1 Funding Category'!B71,'7 PA PY Budget'!$D$9:$D$60,"Total (IOU+REN+CCA)")</f>
        <v>0</v>
      </c>
      <c r="E71" s="252">
        <f>F71*D71</f>
        <v>0</v>
      </c>
      <c r="F71" s="447">
        <v>0.56000000000000005</v>
      </c>
      <c r="G71" s="252">
        <f t="shared" si="4"/>
        <v>0</v>
      </c>
      <c r="H71" s="448">
        <v>0.44</v>
      </c>
      <c r="I71" s="237" t="s">
        <v>256</v>
      </c>
      <c r="J71" s="70"/>
    </row>
    <row r="72" spans="2:10">
      <c r="B72" s="73">
        <v>2034</v>
      </c>
      <c r="C72" s="74" t="s">
        <v>255</v>
      </c>
      <c r="D72" s="263">
        <f>SUMIFS('7 PA PY Budget'!$I$9:$I$60,'7 PA PY Budget'!$C$9:$C$60,'3.1 Funding Category'!B72,'7 PA PY Budget'!$D$9:$D$60,"Total (IOU+REN+CCA)")</f>
        <v>0</v>
      </c>
      <c r="E72" s="252">
        <f t="shared" si="3"/>
        <v>0</v>
      </c>
      <c r="F72" s="447">
        <v>0.56000000000000005</v>
      </c>
      <c r="G72" s="252">
        <f t="shared" si="4"/>
        <v>0</v>
      </c>
      <c r="H72" s="448">
        <v>0.44</v>
      </c>
      <c r="I72" s="237" t="s">
        <v>256</v>
      </c>
      <c r="J72" s="70"/>
    </row>
    <row r="73" spans="2:10" ht="15.75" thickBot="1">
      <c r="B73" s="451">
        <v>2035</v>
      </c>
      <c r="C73" s="731" t="s">
        <v>255</v>
      </c>
      <c r="D73" s="734">
        <f>SUMIFS('7 PA PY Budget'!$I$9:$I$60,'7 PA PY Budget'!$C$9:$C$60,'3.1 Funding Category'!B73,'7 PA PY Budget'!$D$9:$D$60,"Total (IOU+REN+CCA)")</f>
        <v>0</v>
      </c>
      <c r="E73" s="732">
        <f t="shared" si="3"/>
        <v>0</v>
      </c>
      <c r="F73" s="733">
        <v>0.56000000000000005</v>
      </c>
      <c r="G73" s="732">
        <f t="shared" si="4"/>
        <v>0</v>
      </c>
      <c r="H73" s="450">
        <v>0.44</v>
      </c>
      <c r="I73" s="237" t="s">
        <v>256</v>
      </c>
      <c r="J73" s="70"/>
    </row>
    <row r="74" spans="2:10" ht="15.75" thickTop="1">
      <c r="B74" s="79">
        <v>2028</v>
      </c>
      <c r="C74" s="80" t="s">
        <v>257</v>
      </c>
      <c r="D74" s="253">
        <f>ROUND('4.1 Program Budget 2028-2031'!N21*0.4,2)</f>
        <v>1094849.57</v>
      </c>
      <c r="E74" s="254">
        <f t="shared" si="3"/>
        <v>613115.75920000009</v>
      </c>
      <c r="F74" s="81">
        <v>0.56000000000000005</v>
      </c>
      <c r="G74" s="254">
        <f>H74*D74</f>
        <v>481733.81080000004</v>
      </c>
      <c r="H74" s="82">
        <v>0.44</v>
      </c>
      <c r="I74" s="237" t="s">
        <v>258</v>
      </c>
      <c r="J74" s="70"/>
    </row>
    <row r="75" spans="2:10">
      <c r="B75" s="73">
        <v>2029</v>
      </c>
      <c r="C75" s="74" t="s">
        <v>257</v>
      </c>
      <c r="D75" s="255">
        <f>ROUND('4.1 Program Budget 2028-2031'!N93*0.4,2)</f>
        <v>1084169.6399999999</v>
      </c>
      <c r="E75" s="252">
        <f t="shared" si="3"/>
        <v>607134.99840000004</v>
      </c>
      <c r="F75" s="447">
        <v>0.56000000000000005</v>
      </c>
      <c r="G75" s="252">
        <f t="shared" ref="G75:G88" si="6">H75*D75</f>
        <v>477034.64159999997</v>
      </c>
      <c r="H75" s="448">
        <v>0.44</v>
      </c>
      <c r="I75" s="237" t="s">
        <v>258</v>
      </c>
      <c r="J75" s="70"/>
    </row>
    <row r="76" spans="2:10">
      <c r="B76" s="73">
        <v>2030</v>
      </c>
      <c r="C76" s="74" t="s">
        <v>257</v>
      </c>
      <c r="D76" s="255">
        <f>ROUND('4.1 Program Budget 2028-2031'!N165*0.4,2)</f>
        <v>1100424.95</v>
      </c>
      <c r="E76" s="252">
        <f t="shared" si="3"/>
        <v>616237.97200000007</v>
      </c>
      <c r="F76" s="447">
        <v>0.56000000000000005</v>
      </c>
      <c r="G76" s="252">
        <f t="shared" si="6"/>
        <v>484186.978</v>
      </c>
      <c r="H76" s="448">
        <v>0.44</v>
      </c>
      <c r="I76" s="237" t="s">
        <v>258</v>
      </c>
      <c r="J76" s="70"/>
    </row>
    <row r="77" spans="2:10">
      <c r="B77" s="73">
        <v>2031</v>
      </c>
      <c r="C77" s="74" t="s">
        <v>257</v>
      </c>
      <c r="D77" s="255">
        <f>ROUND('4.1 Program Budget 2028-2031'!N237*0.4,2)</f>
        <v>1149317.3999999999</v>
      </c>
      <c r="E77" s="252">
        <f t="shared" si="3"/>
        <v>643617.74400000006</v>
      </c>
      <c r="F77" s="447">
        <v>0.56000000000000005</v>
      </c>
      <c r="G77" s="252">
        <f t="shared" si="6"/>
        <v>505699.65599999996</v>
      </c>
      <c r="H77" s="448">
        <v>0.44</v>
      </c>
      <c r="I77" s="237" t="s">
        <v>258</v>
      </c>
      <c r="J77" s="70"/>
    </row>
    <row r="78" spans="2:10">
      <c r="B78" s="73">
        <v>2032</v>
      </c>
      <c r="C78" s="74" t="s">
        <v>257</v>
      </c>
      <c r="D78" s="264">
        <f>D77</f>
        <v>1149317.3999999999</v>
      </c>
      <c r="E78" s="252">
        <f t="shared" si="3"/>
        <v>643617.74400000006</v>
      </c>
      <c r="F78" s="447">
        <v>0.56000000000000005</v>
      </c>
      <c r="G78" s="252">
        <f t="shared" si="6"/>
        <v>505699.65599999996</v>
      </c>
      <c r="H78" s="448">
        <v>0.44</v>
      </c>
      <c r="I78" s="237" t="s">
        <v>258</v>
      </c>
      <c r="J78" s="70"/>
    </row>
    <row r="79" spans="2:10">
      <c r="B79" s="73">
        <v>2033</v>
      </c>
      <c r="C79" s="74" t="s">
        <v>257</v>
      </c>
      <c r="D79" s="264">
        <f>D77</f>
        <v>1149317.3999999999</v>
      </c>
      <c r="E79" s="252">
        <f t="shared" si="3"/>
        <v>643617.74400000006</v>
      </c>
      <c r="F79" s="447">
        <v>0.56000000000000005</v>
      </c>
      <c r="G79" s="252">
        <f t="shared" si="6"/>
        <v>505699.65599999996</v>
      </c>
      <c r="H79" s="448">
        <v>0.44</v>
      </c>
      <c r="I79" s="237" t="s">
        <v>258</v>
      </c>
      <c r="J79" s="70"/>
    </row>
    <row r="80" spans="2:10">
      <c r="B80" s="73">
        <v>2034</v>
      </c>
      <c r="C80" s="74" t="s">
        <v>257</v>
      </c>
      <c r="D80" s="264">
        <f>D77</f>
        <v>1149317.3999999999</v>
      </c>
      <c r="E80" s="252">
        <f>F80*D80</f>
        <v>643617.74400000006</v>
      </c>
      <c r="F80" s="447">
        <v>0.56000000000000005</v>
      </c>
      <c r="G80" s="252">
        <f t="shared" si="6"/>
        <v>505699.65599999996</v>
      </c>
      <c r="H80" s="448">
        <v>0.44</v>
      </c>
      <c r="I80" s="237" t="s">
        <v>258</v>
      </c>
      <c r="J80" s="70"/>
    </row>
    <row r="81" spans="2:10" ht="15.75" thickBot="1">
      <c r="B81" s="451">
        <v>2035</v>
      </c>
      <c r="C81" s="453" t="s">
        <v>257</v>
      </c>
      <c r="D81" s="735">
        <f>D77</f>
        <v>1149317.3999999999</v>
      </c>
      <c r="E81" s="732">
        <f t="shared" si="3"/>
        <v>643617.74400000006</v>
      </c>
      <c r="F81" s="733">
        <v>0.56000000000000005</v>
      </c>
      <c r="G81" s="732">
        <f t="shared" si="6"/>
        <v>505699.65599999996</v>
      </c>
      <c r="H81" s="450">
        <v>0.44</v>
      </c>
      <c r="I81" s="237" t="s">
        <v>258</v>
      </c>
      <c r="J81" s="70"/>
    </row>
    <row r="82" spans="2:10" ht="15.75" thickTop="1">
      <c r="B82" s="79">
        <v>2028</v>
      </c>
      <c r="C82" s="80" t="s">
        <v>259</v>
      </c>
      <c r="D82" s="265">
        <f>'4.1 Program Budget 2028-2031'!N21-D74</f>
        <v>1642274.3475999997</v>
      </c>
      <c r="E82" s="254">
        <f t="shared" si="3"/>
        <v>919673.63465599995</v>
      </c>
      <c r="F82" s="81">
        <v>0.56000000000000005</v>
      </c>
      <c r="G82" s="254">
        <f t="shared" si="6"/>
        <v>722600.71294399991</v>
      </c>
      <c r="H82" s="82">
        <v>0.44</v>
      </c>
      <c r="I82" s="237" t="s">
        <v>258</v>
      </c>
      <c r="J82" s="70"/>
    </row>
    <row r="83" spans="2:10">
      <c r="B83" s="73">
        <v>2029</v>
      </c>
      <c r="C83" s="74" t="s">
        <v>259</v>
      </c>
      <c r="D83" s="264">
        <f>'4.1 Program Budget 2028-2031'!N93-D75</f>
        <v>1626254.4572000003</v>
      </c>
      <c r="E83" s="252">
        <f t="shared" si="3"/>
        <v>910702.49603200029</v>
      </c>
      <c r="F83" s="447">
        <v>0.56000000000000005</v>
      </c>
      <c r="G83" s="252">
        <f>H83*D83</f>
        <v>715551.96116800013</v>
      </c>
      <c r="H83" s="448">
        <v>0.44</v>
      </c>
      <c r="I83" s="237" t="s">
        <v>258</v>
      </c>
      <c r="J83" s="70"/>
    </row>
    <row r="84" spans="2:10">
      <c r="B84" s="73">
        <v>2030</v>
      </c>
      <c r="C84" s="74" t="s">
        <v>259</v>
      </c>
      <c r="D84" s="264">
        <f>'4.1 Program Budget 2028-2031'!N165-D76</f>
        <v>1650637.4349999998</v>
      </c>
      <c r="E84" s="252">
        <f t="shared" si="3"/>
        <v>924356.96360000002</v>
      </c>
      <c r="F84" s="447">
        <v>0.56000000000000005</v>
      </c>
      <c r="G84" s="252">
        <f t="shared" si="6"/>
        <v>726280.47139999992</v>
      </c>
      <c r="H84" s="448">
        <v>0.44</v>
      </c>
      <c r="I84" s="237" t="s">
        <v>258</v>
      </c>
      <c r="J84" s="70"/>
    </row>
    <row r="85" spans="2:10">
      <c r="B85" s="73">
        <v>2031</v>
      </c>
      <c r="C85" s="74" t="s">
        <v>259</v>
      </c>
      <c r="D85" s="264">
        <f>'4.1 Program Budget 2028-2031'!N237-D77</f>
        <v>1723976.0943</v>
      </c>
      <c r="E85" s="252">
        <f t="shared" si="3"/>
        <v>965426.61280800006</v>
      </c>
      <c r="F85" s="447">
        <v>0.56000000000000005</v>
      </c>
      <c r="G85" s="252">
        <f>H85*D85</f>
        <v>758549.48149200005</v>
      </c>
      <c r="H85" s="448">
        <v>0.44</v>
      </c>
      <c r="I85" s="237" t="s">
        <v>258</v>
      </c>
      <c r="J85" s="70"/>
    </row>
    <row r="86" spans="2:10">
      <c r="B86" s="73">
        <v>2032</v>
      </c>
      <c r="C86" s="74" t="s">
        <v>259</v>
      </c>
      <c r="D86" s="264">
        <f>D85</f>
        <v>1723976.0943</v>
      </c>
      <c r="E86" s="252">
        <f t="shared" si="3"/>
        <v>965426.61280800006</v>
      </c>
      <c r="F86" s="447">
        <v>0.56000000000000005</v>
      </c>
      <c r="G86" s="252">
        <f t="shared" si="6"/>
        <v>758549.48149200005</v>
      </c>
      <c r="H86" s="448">
        <v>0.44</v>
      </c>
      <c r="I86" s="237" t="s">
        <v>258</v>
      </c>
      <c r="J86" s="70"/>
    </row>
    <row r="87" spans="2:10">
      <c r="B87" s="73">
        <v>2033</v>
      </c>
      <c r="C87" s="74" t="s">
        <v>259</v>
      </c>
      <c r="D87" s="264">
        <f>D85</f>
        <v>1723976.0943</v>
      </c>
      <c r="E87" s="252">
        <f t="shared" si="3"/>
        <v>965426.61280800006</v>
      </c>
      <c r="F87" s="447">
        <v>0.56000000000000005</v>
      </c>
      <c r="G87" s="252">
        <f t="shared" si="6"/>
        <v>758549.48149200005</v>
      </c>
      <c r="H87" s="448">
        <v>0.44</v>
      </c>
      <c r="I87" s="237" t="s">
        <v>258</v>
      </c>
      <c r="J87" s="70"/>
    </row>
    <row r="88" spans="2:10">
      <c r="B88" s="73">
        <v>2034</v>
      </c>
      <c r="C88" s="74" t="s">
        <v>259</v>
      </c>
      <c r="D88" s="264">
        <f>D85</f>
        <v>1723976.0943</v>
      </c>
      <c r="E88" s="252">
        <f>F88*D88</f>
        <v>965426.61280800006</v>
      </c>
      <c r="F88" s="447">
        <v>0.56000000000000005</v>
      </c>
      <c r="G88" s="252">
        <f t="shared" si="6"/>
        <v>758549.48149200005</v>
      </c>
      <c r="H88" s="448">
        <v>0.44</v>
      </c>
      <c r="I88" s="237" t="s">
        <v>258</v>
      </c>
      <c r="J88" s="70"/>
    </row>
    <row r="89" spans="2:10" ht="15.75" thickBot="1">
      <c r="B89" s="83">
        <v>2035</v>
      </c>
      <c r="C89" s="84" t="s">
        <v>259</v>
      </c>
      <c r="D89" s="266">
        <f>D85</f>
        <v>1723976.0943</v>
      </c>
      <c r="E89" s="256">
        <f t="shared" si="3"/>
        <v>965426.61280800006</v>
      </c>
      <c r="F89" s="77">
        <v>0.56000000000000005</v>
      </c>
      <c r="G89" s="256">
        <f>H89*D89</f>
        <v>758549.48149200005</v>
      </c>
      <c r="H89" s="78">
        <v>0.44</v>
      </c>
      <c r="I89" s="237" t="s">
        <v>258</v>
      </c>
      <c r="J89" s="70"/>
    </row>
    <row r="90" spans="2:10" ht="15.75" thickTop="1">
      <c r="B90" s="79">
        <v>2028</v>
      </c>
      <c r="C90" s="80" t="s">
        <v>260</v>
      </c>
      <c r="D90" s="260">
        <f>D42-D66</f>
        <v>109747118.89468366</v>
      </c>
      <c r="E90" s="254">
        <f t="shared" si="3"/>
        <v>61458386.581022859</v>
      </c>
      <c r="F90" s="81">
        <v>0.56000000000000005</v>
      </c>
      <c r="G90" s="254">
        <f t="shared" ref="G90:G97" si="7">H90*D90</f>
        <v>48288732.313660808</v>
      </c>
      <c r="H90" s="82">
        <v>0.44</v>
      </c>
      <c r="I90" s="237" t="s">
        <v>250</v>
      </c>
      <c r="J90" s="70"/>
    </row>
    <row r="91" spans="2:10">
      <c r="B91" s="73">
        <v>2029</v>
      </c>
      <c r="C91" s="74" t="s">
        <v>260</v>
      </c>
      <c r="D91" s="261">
        <f t="shared" ref="D91:D97" si="8">D43-D67</f>
        <v>110728418.46322115</v>
      </c>
      <c r="E91" s="252">
        <f t="shared" ref="E91:E97" si="9">F91*D91</f>
        <v>62007914.339403845</v>
      </c>
      <c r="F91" s="447">
        <v>0.56000000000000005</v>
      </c>
      <c r="G91" s="252">
        <f t="shared" si="7"/>
        <v>48720504.123817302</v>
      </c>
      <c r="H91" s="448">
        <v>0.44</v>
      </c>
      <c r="I91" s="237" t="s">
        <v>250</v>
      </c>
      <c r="J91" s="70"/>
    </row>
    <row r="92" spans="2:10">
      <c r="B92" s="73">
        <v>2030</v>
      </c>
      <c r="C92" s="74" t="s">
        <v>260</v>
      </c>
      <c r="D92" s="261">
        <f t="shared" si="8"/>
        <v>113459114.5787911</v>
      </c>
      <c r="E92" s="252">
        <f t="shared" si="9"/>
        <v>63537104.164123021</v>
      </c>
      <c r="F92" s="447">
        <v>0.56000000000000005</v>
      </c>
      <c r="G92" s="252">
        <f t="shared" si="7"/>
        <v>49922010.414668083</v>
      </c>
      <c r="H92" s="448">
        <v>0.44</v>
      </c>
      <c r="I92" s="237" t="s">
        <v>250</v>
      </c>
      <c r="J92" s="70"/>
    </row>
    <row r="93" spans="2:10">
      <c r="B93" s="73">
        <v>2031</v>
      </c>
      <c r="C93" s="74" t="s">
        <v>260</v>
      </c>
      <c r="D93" s="261">
        <f t="shared" si="8"/>
        <v>118298230.39780013</v>
      </c>
      <c r="E93" s="252">
        <f t="shared" si="9"/>
        <v>66247009.02276808</v>
      </c>
      <c r="F93" s="447">
        <v>0.56000000000000005</v>
      </c>
      <c r="G93" s="252">
        <f t="shared" si="7"/>
        <v>52051221.37503206</v>
      </c>
      <c r="H93" s="448">
        <v>0.44</v>
      </c>
      <c r="I93" s="237" t="s">
        <v>250</v>
      </c>
      <c r="J93" s="70"/>
    </row>
    <row r="94" spans="2:10">
      <c r="B94" s="73">
        <v>2032</v>
      </c>
      <c r="C94" s="74" t="s">
        <v>260</v>
      </c>
      <c r="D94" s="261">
        <f t="shared" si="8"/>
        <v>119689231.39780013</v>
      </c>
      <c r="E94" s="252">
        <f t="shared" si="9"/>
        <v>67025969.582768083</v>
      </c>
      <c r="F94" s="447">
        <v>0.56000000000000005</v>
      </c>
      <c r="G94" s="252">
        <f t="shared" si="7"/>
        <v>52663261.815032057</v>
      </c>
      <c r="H94" s="448">
        <v>0.44</v>
      </c>
      <c r="I94" s="237" t="s">
        <v>250</v>
      </c>
      <c r="J94" s="70"/>
    </row>
    <row r="95" spans="2:10">
      <c r="B95" s="73">
        <v>2033</v>
      </c>
      <c r="C95" s="74" t="s">
        <v>260</v>
      </c>
      <c r="D95" s="261">
        <f t="shared" si="8"/>
        <v>121121962.39780013</v>
      </c>
      <c r="E95" s="252">
        <f t="shared" si="9"/>
        <v>67828298.942768082</v>
      </c>
      <c r="F95" s="447">
        <v>0.56000000000000005</v>
      </c>
      <c r="G95" s="252">
        <f t="shared" si="7"/>
        <v>53293663.455032058</v>
      </c>
      <c r="H95" s="448">
        <v>0.44</v>
      </c>
      <c r="I95" s="237" t="s">
        <v>250</v>
      </c>
      <c r="J95" s="70"/>
    </row>
    <row r="96" spans="2:10">
      <c r="B96" s="73">
        <v>2034</v>
      </c>
      <c r="C96" s="74" t="s">
        <v>260</v>
      </c>
      <c r="D96" s="267">
        <f t="shared" si="8"/>
        <v>122597674.39780013</v>
      </c>
      <c r="E96" s="252">
        <f t="shared" si="9"/>
        <v>68654697.662768081</v>
      </c>
      <c r="F96" s="447">
        <v>0.56000000000000005</v>
      </c>
      <c r="G96" s="252">
        <f t="shared" si="7"/>
        <v>53942976.735032059</v>
      </c>
      <c r="H96" s="448">
        <v>0.44</v>
      </c>
      <c r="I96" s="237" t="s">
        <v>250</v>
      </c>
      <c r="J96" s="70"/>
    </row>
    <row r="97" spans="2:10" ht="15.75" thickBot="1">
      <c r="B97" s="83">
        <v>2035</v>
      </c>
      <c r="C97" s="85" t="s">
        <v>260</v>
      </c>
      <c r="D97" s="256">
        <f t="shared" si="8"/>
        <v>124117659.39780013</v>
      </c>
      <c r="E97" s="268">
        <f t="shared" si="9"/>
        <v>69505889.262768075</v>
      </c>
      <c r="F97" s="77">
        <v>0.56000000000000005</v>
      </c>
      <c r="G97" s="270">
        <f t="shared" si="7"/>
        <v>54611770.135032058</v>
      </c>
      <c r="H97" s="78">
        <v>0.44</v>
      </c>
      <c r="I97" s="237" t="s">
        <v>250</v>
      </c>
      <c r="J97" s="70"/>
    </row>
    <row r="98" spans="2:10" ht="16.5" thickTop="1" thickBot="1">
      <c r="B98" s="242" t="s">
        <v>204</v>
      </c>
      <c r="C98" s="243" t="s">
        <v>260</v>
      </c>
      <c r="D98" s="312">
        <f>SUM(D90:D97)</f>
        <v>939759409.92569637</v>
      </c>
      <c r="E98" s="269">
        <f>SUM(E90:E97)</f>
        <v>526265269.55839014</v>
      </c>
      <c r="F98" s="244" t="s">
        <v>261</v>
      </c>
      <c r="G98" s="269">
        <f>SUM(G90:G97)</f>
        <v>413494140.36730653</v>
      </c>
      <c r="H98" s="245" t="s">
        <v>261</v>
      </c>
      <c r="I98" s="70"/>
      <c r="J98" s="70"/>
    </row>
    <row r="99" spans="2:10" ht="15.75" thickTop="1">
      <c r="B99" s="73">
        <v>2028</v>
      </c>
      <c r="C99" s="309" t="s">
        <v>262</v>
      </c>
      <c r="D99" s="310">
        <v>2000000</v>
      </c>
      <c r="E99" s="261">
        <f>F99*D99</f>
        <v>2000000</v>
      </c>
      <c r="F99" s="240">
        <v>1</v>
      </c>
      <c r="G99" s="254">
        <f>H99*D99</f>
        <v>0</v>
      </c>
      <c r="H99" s="241">
        <v>0</v>
      </c>
      <c r="I99" s="70" t="s">
        <v>263</v>
      </c>
      <c r="J99" s="70"/>
    </row>
    <row r="100" spans="2:10">
      <c r="B100" s="73">
        <v>2029</v>
      </c>
      <c r="C100" s="309" t="s">
        <v>262</v>
      </c>
      <c r="D100" s="311">
        <v>2000000</v>
      </c>
      <c r="E100" s="261">
        <f>F100*D100</f>
        <v>2000000</v>
      </c>
      <c r="F100" s="447">
        <v>1</v>
      </c>
      <c r="G100" s="252">
        <f>H100*D100</f>
        <v>0</v>
      </c>
      <c r="H100" s="241">
        <v>0</v>
      </c>
      <c r="I100" s="70" t="s">
        <v>263</v>
      </c>
      <c r="J100" s="70"/>
    </row>
    <row r="101" spans="2:10">
      <c r="B101" s="73">
        <v>2030</v>
      </c>
      <c r="C101" s="309" t="s">
        <v>262</v>
      </c>
      <c r="D101" s="311">
        <v>2000000</v>
      </c>
      <c r="E101" s="261">
        <f>F101*D101</f>
        <v>2000000</v>
      </c>
      <c r="F101" s="447">
        <v>1</v>
      </c>
      <c r="G101" s="252">
        <f>H101*D101</f>
        <v>0</v>
      </c>
      <c r="H101" s="241">
        <v>0</v>
      </c>
      <c r="I101" s="70" t="s">
        <v>263</v>
      </c>
      <c r="J101" s="70"/>
    </row>
    <row r="102" spans="2:10">
      <c r="B102" s="454">
        <v>2031</v>
      </c>
      <c r="C102" s="455" t="s">
        <v>262</v>
      </c>
      <c r="D102" s="311">
        <v>2000000</v>
      </c>
      <c r="E102" s="261">
        <f>F102*D102</f>
        <v>2000000</v>
      </c>
      <c r="F102" s="733">
        <v>1</v>
      </c>
      <c r="G102" s="252">
        <f>H102*D102</f>
        <v>0</v>
      </c>
      <c r="H102" s="241">
        <v>0</v>
      </c>
      <c r="I102" s="70" t="s">
        <v>263</v>
      </c>
      <c r="J102" s="70"/>
    </row>
    <row r="103" spans="2:10">
      <c r="B103" s="454">
        <v>2032</v>
      </c>
      <c r="C103" s="455" t="s">
        <v>262</v>
      </c>
      <c r="D103" s="311">
        <v>2000000</v>
      </c>
      <c r="E103" s="261">
        <f t="shared" ref="E103:E106" si="10">F103*D103</f>
        <v>2000000</v>
      </c>
      <c r="F103" s="733">
        <v>1</v>
      </c>
      <c r="G103" s="252">
        <f t="shared" ref="G103:G106" si="11">H103*D103</f>
        <v>0</v>
      </c>
      <c r="H103" s="241">
        <v>0</v>
      </c>
      <c r="I103" s="70" t="s">
        <v>263</v>
      </c>
      <c r="J103" s="70"/>
    </row>
    <row r="104" spans="2:10">
      <c r="B104" s="454">
        <v>2033</v>
      </c>
      <c r="C104" s="455" t="s">
        <v>262</v>
      </c>
      <c r="D104" s="311">
        <v>2000000</v>
      </c>
      <c r="E104" s="261">
        <f t="shared" si="10"/>
        <v>2000000</v>
      </c>
      <c r="F104" s="733">
        <v>1</v>
      </c>
      <c r="G104" s="252">
        <f t="shared" si="11"/>
        <v>0</v>
      </c>
      <c r="H104" s="241">
        <v>0</v>
      </c>
      <c r="I104" s="70" t="s">
        <v>263</v>
      </c>
      <c r="J104" s="70"/>
    </row>
    <row r="105" spans="2:10">
      <c r="B105" s="451">
        <v>2034</v>
      </c>
      <c r="C105" s="731" t="s">
        <v>262</v>
      </c>
      <c r="D105" s="311">
        <v>2000000</v>
      </c>
      <c r="E105" s="261">
        <f t="shared" si="10"/>
        <v>2000000</v>
      </c>
      <c r="F105" s="733">
        <v>1</v>
      </c>
      <c r="G105" s="252">
        <f t="shared" si="11"/>
        <v>0</v>
      </c>
      <c r="H105" s="241">
        <v>0</v>
      </c>
      <c r="I105" s="70" t="s">
        <v>263</v>
      </c>
      <c r="J105" s="70"/>
    </row>
    <row r="106" spans="2:10" ht="15.75" thickBot="1">
      <c r="B106" s="83">
        <v>2035</v>
      </c>
      <c r="C106" s="76" t="s">
        <v>262</v>
      </c>
      <c r="D106" s="311">
        <v>2000000</v>
      </c>
      <c r="E106" s="261">
        <f t="shared" si="10"/>
        <v>2000000</v>
      </c>
      <c r="F106" s="733">
        <v>1</v>
      </c>
      <c r="G106" s="252">
        <f t="shared" si="11"/>
        <v>0</v>
      </c>
      <c r="H106" s="241">
        <v>0</v>
      </c>
      <c r="I106" s="70" t="s">
        <v>263</v>
      </c>
      <c r="J106" s="70"/>
    </row>
    <row r="107" spans="2:10" ht="16.5" thickTop="1" thickBot="1">
      <c r="B107" s="246" t="s">
        <v>204</v>
      </c>
      <c r="C107" s="247" t="s">
        <v>264</v>
      </c>
      <c r="D107" s="269">
        <f>SUM(D99:D106)</f>
        <v>16000000</v>
      </c>
      <c r="E107" s="269">
        <f>SUM(E99:E106)</f>
        <v>16000000</v>
      </c>
      <c r="F107" s="244" t="s">
        <v>261</v>
      </c>
      <c r="G107" s="269">
        <f>SUM(G99:G106)</f>
        <v>0</v>
      </c>
      <c r="H107" s="245" t="s">
        <v>261</v>
      </c>
      <c r="I107" s="70" t="s">
        <v>263</v>
      </c>
      <c r="J107" s="70"/>
    </row>
    <row r="108" spans="2:10" ht="15.75">
      <c r="B108" s="889"/>
      <c r="C108" s="890"/>
      <c r="D108" s="891"/>
      <c r="E108" s="890"/>
      <c r="F108" s="890"/>
      <c r="G108" s="890"/>
      <c r="H108" s="890"/>
      <c r="I108" s="70"/>
      <c r="J108" s="70"/>
    </row>
    <row r="109" spans="2:10" ht="15.75">
      <c r="B109" s="669" t="s">
        <v>265</v>
      </c>
      <c r="C109"/>
      <c r="D109"/>
      <c r="E109"/>
      <c r="F109"/>
      <c r="G109"/>
      <c r="H109"/>
      <c r="I109" s="70"/>
      <c r="J109" s="70"/>
    </row>
    <row r="110" spans="2:10" ht="15.75">
      <c r="B110" s="888" t="s">
        <v>266</v>
      </c>
      <c r="C110" s="887"/>
      <c r="D110" s="887"/>
      <c r="E110" s="887"/>
      <c r="F110" s="887"/>
      <c r="G110" s="887"/>
      <c r="H110" s="887"/>
      <c r="I110" s="669"/>
      <c r="J110" s="669"/>
    </row>
    <row r="111" spans="2:10" ht="15" customHeight="1">
      <c r="B111" s="885" t="s">
        <v>267</v>
      </c>
      <c r="C111" s="886"/>
      <c r="D111" s="886"/>
      <c r="E111" s="886"/>
      <c r="F111" s="886"/>
      <c r="G111" s="886"/>
      <c r="H111" s="886"/>
      <c r="I111" s="72"/>
      <c r="J111" s="72"/>
    </row>
    <row r="112" spans="2:10" ht="45" customHeight="1">
      <c r="B112" s="885" t="s">
        <v>268</v>
      </c>
      <c r="C112" s="886"/>
      <c r="D112" s="886"/>
      <c r="E112" s="886"/>
      <c r="F112" s="886"/>
      <c r="G112" s="886"/>
      <c r="H112" s="886"/>
      <c r="I112" s="669"/>
      <c r="J112" s="669"/>
    </row>
    <row r="113" spans="2:10" ht="15" customHeight="1">
      <c r="B113" s="885" t="s">
        <v>269</v>
      </c>
      <c r="C113" s="886"/>
      <c r="D113" s="886"/>
      <c r="E113" s="886"/>
      <c r="F113" s="886"/>
      <c r="G113" s="886"/>
      <c r="H113" s="886"/>
      <c r="I113" s="72"/>
      <c r="J113" s="72"/>
    </row>
    <row r="114" spans="2:10" ht="31.15" customHeight="1">
      <c r="B114" s="885" t="s">
        <v>270</v>
      </c>
      <c r="C114" s="887"/>
      <c r="D114" s="887"/>
      <c r="E114" s="887"/>
      <c r="F114" s="887"/>
      <c r="G114" s="887"/>
      <c r="H114" s="887"/>
      <c r="I114" s="669"/>
      <c r="J114" s="669"/>
    </row>
    <row r="115" spans="2:10" ht="15.75" customHeight="1">
      <c r="B115" s="884" t="s">
        <v>271</v>
      </c>
      <c r="C115" s="884"/>
      <c r="D115" s="884"/>
      <c r="E115" s="884"/>
      <c r="F115" s="884"/>
      <c r="G115" s="884"/>
      <c r="H115" s="884"/>
      <c r="I115" s="669"/>
      <c r="J115" s="669"/>
    </row>
    <row r="116" spans="2:10">
      <c r="B116" s="884"/>
      <c r="C116" s="884"/>
      <c r="D116" s="884"/>
      <c r="E116" s="884"/>
      <c r="F116" s="884"/>
      <c r="G116" s="884"/>
      <c r="H116" s="884"/>
      <c r="I116" s="669"/>
      <c r="J116" s="669"/>
    </row>
    <row r="117" spans="2:10">
      <c r="B117" s="884"/>
      <c r="C117" s="884"/>
      <c r="D117" s="884"/>
      <c r="E117" s="884"/>
      <c r="F117" s="884"/>
      <c r="G117" s="884"/>
      <c r="H117" s="884"/>
      <c r="I117" s="669"/>
      <c r="J117" s="669"/>
    </row>
    <row r="118" spans="2:10">
      <c r="B118" s="884"/>
      <c r="C118" s="884"/>
      <c r="D118" s="884"/>
      <c r="E118" s="884"/>
      <c r="F118" s="884"/>
      <c r="G118" s="884"/>
      <c r="H118" s="884"/>
      <c r="I118" s="669"/>
      <c r="J118" s="669"/>
    </row>
    <row r="119" spans="2:10">
      <c r="B119" s="736" t="s">
        <v>272</v>
      </c>
      <c r="C119" s="669"/>
      <c r="D119" s="669"/>
      <c r="E119" s="669"/>
      <c r="F119" s="669"/>
      <c r="G119" s="669"/>
      <c r="H119" s="669"/>
      <c r="I119" s="669"/>
      <c r="J119" s="669"/>
    </row>
    <row r="120" spans="2:10">
      <c r="B120" s="669"/>
      <c r="C120" s="669"/>
      <c r="D120" s="669"/>
      <c r="E120" s="669"/>
      <c r="F120" s="669"/>
      <c r="G120" s="669"/>
      <c r="H120" s="669"/>
      <c r="I120" s="669"/>
      <c r="J120" s="669"/>
    </row>
    <row r="121" spans="2:10">
      <c r="B121" s="669"/>
      <c r="C121" s="669"/>
      <c r="D121" s="669"/>
      <c r="E121" s="669"/>
      <c r="F121" s="669"/>
      <c r="G121" s="669"/>
      <c r="H121" s="669"/>
      <c r="I121" s="669"/>
      <c r="J121" s="669"/>
    </row>
  </sheetData>
  <autoFilter ref="B9:H98" xr:uid="{D02117BE-F40B-49E3-96A6-B92D692DC759}"/>
  <mergeCells count="9">
    <mergeCell ref="B115:H118"/>
    <mergeCell ref="B113:H113"/>
    <mergeCell ref="B114:H114"/>
    <mergeCell ref="C2:J2"/>
    <mergeCell ref="C3:J3"/>
    <mergeCell ref="B110:H110"/>
    <mergeCell ref="B111:H111"/>
    <mergeCell ref="B112:H112"/>
    <mergeCell ref="B108:H108"/>
  </mergeCells>
  <pageMargins left="0.25" right="0.25" top="0.75" bottom="0.75" header="0.3" footer="0.3"/>
  <pageSetup paperSize="17" orientation="landscape"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6064C-C40C-445C-9EA4-090A4CA79E03}">
  <sheetPr codeName="Sheet5">
    <tabColor theme="4"/>
  </sheetPr>
  <dimension ref="B1:J24"/>
  <sheetViews>
    <sheetView showGridLines="0" zoomScaleNormal="100" workbookViewId="0">
      <selection activeCell="B10" sqref="B10:G10"/>
    </sheetView>
  </sheetViews>
  <sheetFormatPr defaultRowHeight="15.75"/>
  <cols>
    <col min="1" max="1" width="3.125" customWidth="1"/>
    <col min="2" max="2" width="12.5" customWidth="1"/>
    <col min="3" max="9" width="15.625" customWidth="1"/>
  </cols>
  <sheetData>
    <row r="1" spans="2:10" s="68" customFormat="1" thickBot="1">
      <c r="B1" s="701"/>
      <c r="C1" s="701"/>
      <c r="D1" s="701"/>
      <c r="E1" s="701"/>
      <c r="F1" s="701"/>
      <c r="G1" s="701"/>
      <c r="H1" s="701"/>
      <c r="I1" s="701"/>
      <c r="J1" s="701"/>
    </row>
    <row r="2" spans="2:10" s="68" customFormat="1" ht="33" customHeight="1">
      <c r="B2" s="194" t="s">
        <v>58</v>
      </c>
      <c r="C2" s="896" t="s">
        <v>273</v>
      </c>
      <c r="D2" s="896"/>
      <c r="E2" s="896"/>
      <c r="F2" s="896"/>
      <c r="G2" s="896"/>
      <c r="H2" s="896"/>
      <c r="I2" s="896"/>
      <c r="J2" s="897"/>
    </row>
    <row r="3" spans="2:10" s="68" customFormat="1" ht="33" customHeight="1" thickBot="1">
      <c r="B3" s="456" t="s">
        <v>102</v>
      </c>
      <c r="C3" s="898" t="s">
        <v>274</v>
      </c>
      <c r="D3" s="898"/>
      <c r="E3" s="898"/>
      <c r="F3" s="898"/>
      <c r="G3" s="898"/>
      <c r="H3" s="898"/>
      <c r="I3" s="898"/>
      <c r="J3" s="899"/>
    </row>
    <row r="4" spans="2:10" s="68" customFormat="1" thickBot="1">
      <c r="B4" s="69"/>
      <c r="C4" s="69"/>
      <c r="D4" s="69"/>
      <c r="E4" s="69"/>
      <c r="F4" s="69"/>
      <c r="G4" s="69"/>
      <c r="H4" s="69"/>
      <c r="I4" s="69"/>
      <c r="J4" s="69"/>
    </row>
    <row r="5" spans="2:10" s="46" customFormat="1" ht="15">
      <c r="B5" s="195" t="s">
        <v>104</v>
      </c>
      <c r="C5" s="196" t="str">
        <f>'Read Me'!B10</f>
        <v>SDG&amp;E</v>
      </c>
      <c r="D5" s="701"/>
      <c r="E5" s="70"/>
      <c r="F5" s="70"/>
      <c r="G5" s="70"/>
      <c r="H5" s="70"/>
      <c r="I5" s="70"/>
      <c r="J5" s="70"/>
    </row>
    <row r="6" spans="2:10" s="46" customFormat="1" thickBot="1">
      <c r="B6" s="457" t="s">
        <v>105</v>
      </c>
      <c r="C6" s="458" t="str">
        <f>'Read Me'!B11</f>
        <v>2028-2035</v>
      </c>
      <c r="D6" s="701"/>
      <c r="E6" s="70"/>
      <c r="F6" s="70"/>
      <c r="G6" s="70"/>
      <c r="H6" s="70"/>
      <c r="I6" s="70"/>
      <c r="J6" s="70"/>
    </row>
    <row r="9" spans="2:10">
      <c r="B9" s="2"/>
      <c r="C9" s="2"/>
      <c r="D9" s="2"/>
      <c r="E9" s="2"/>
      <c r="F9" s="2"/>
      <c r="G9" s="2"/>
      <c r="H9" s="2"/>
      <c r="I9" s="2"/>
      <c r="J9" s="2"/>
    </row>
    <row r="10" spans="2:10">
      <c r="B10" s="892" t="s">
        <v>275</v>
      </c>
      <c r="C10" s="892"/>
      <c r="D10" s="892"/>
      <c r="E10" s="892"/>
      <c r="F10" s="892"/>
      <c r="G10" s="892"/>
      <c r="H10" s="2"/>
      <c r="I10" s="2"/>
      <c r="J10" s="2"/>
    </row>
    <row r="11" spans="2:10" ht="16.5" thickBot="1">
      <c r="B11" s="225"/>
      <c r="C11" s="225"/>
      <c r="D11" s="225"/>
      <c r="E11" s="225"/>
      <c r="F11" s="225"/>
      <c r="G11" s="225"/>
      <c r="H11" s="2"/>
      <c r="I11" s="2"/>
      <c r="J11" s="2"/>
    </row>
    <row r="12" spans="2:10">
      <c r="B12" s="893" t="s">
        <v>186</v>
      </c>
      <c r="C12" s="895" t="s">
        <v>16</v>
      </c>
      <c r="D12" s="895"/>
      <c r="E12" s="895" t="s">
        <v>276</v>
      </c>
      <c r="F12" s="895"/>
      <c r="G12" s="226" t="s">
        <v>25</v>
      </c>
      <c r="H12" s="226" t="s">
        <v>277</v>
      </c>
      <c r="I12" s="197"/>
      <c r="J12" s="2"/>
    </row>
    <row r="13" spans="2:10" ht="30.75" thickBot="1">
      <c r="B13" s="894"/>
      <c r="C13" s="459" t="s">
        <v>278</v>
      </c>
      <c r="D13" s="459" t="s">
        <v>279</v>
      </c>
      <c r="E13" s="459" t="s">
        <v>278</v>
      </c>
      <c r="F13" s="459" t="s">
        <v>279</v>
      </c>
      <c r="G13" s="459" t="s">
        <v>278</v>
      </c>
      <c r="H13" s="459" t="s">
        <v>279</v>
      </c>
      <c r="I13" s="460" t="s">
        <v>280</v>
      </c>
      <c r="J13" s="2"/>
    </row>
    <row r="14" spans="2:10">
      <c r="B14" s="3">
        <v>2028</v>
      </c>
      <c r="C14" s="271"/>
      <c r="D14" s="271"/>
      <c r="E14" s="331">
        <f>+'3.1 Funding Category'!E58</f>
        <v>23083099.760000002</v>
      </c>
      <c r="F14" s="331">
        <f>+'3.1 Funding Category'!G58</f>
        <v>18136721.239999998</v>
      </c>
      <c r="G14" s="271"/>
      <c r="H14" s="271"/>
      <c r="I14" s="272">
        <f>SUM(C14:H14)</f>
        <v>41219821</v>
      </c>
      <c r="J14" s="2"/>
    </row>
    <row r="15" spans="2:10">
      <c r="B15" s="461">
        <v>2029</v>
      </c>
      <c r="C15" s="462"/>
      <c r="D15" s="462"/>
      <c r="E15" s="331">
        <f>+'3.1 Funding Category'!E59</f>
        <v>24006424.960000001</v>
      </c>
      <c r="F15" s="331">
        <f>+'3.1 Funding Category'!G59</f>
        <v>18862191.039999999</v>
      </c>
      <c r="G15" s="462"/>
      <c r="H15" s="462"/>
      <c r="I15" s="463">
        <f t="shared" ref="I15:I21" si="0">SUM(C15:H15)</f>
        <v>42868616</v>
      </c>
      <c r="J15" s="2"/>
    </row>
    <row r="16" spans="2:10">
      <c r="B16" s="461">
        <v>2030</v>
      </c>
      <c r="C16" s="462"/>
      <c r="D16" s="462"/>
      <c r="E16" s="331">
        <f>+'3.1 Funding Category'!E60</f>
        <v>24966678.800000001</v>
      </c>
      <c r="F16" s="331">
        <f>+'3.1 Funding Category'!G60</f>
        <v>19616676.199999999</v>
      </c>
      <c r="G16" s="462"/>
      <c r="H16" s="462"/>
      <c r="I16" s="463">
        <f t="shared" si="0"/>
        <v>44583355</v>
      </c>
      <c r="J16" s="2"/>
    </row>
    <row r="17" spans="2:10">
      <c r="B17" s="461">
        <v>2031</v>
      </c>
      <c r="C17" s="462"/>
      <c r="D17" s="462"/>
      <c r="E17" s="331">
        <f>+'3.1 Funding Category'!E61</f>
        <v>25965348.080000002</v>
      </c>
      <c r="F17" s="331">
        <f>+'3.1 Funding Category'!G61</f>
        <v>20401344.920000002</v>
      </c>
      <c r="G17" s="462"/>
      <c r="H17" s="462"/>
      <c r="I17" s="463">
        <f t="shared" si="0"/>
        <v>46366693</v>
      </c>
      <c r="J17" s="2"/>
    </row>
    <row r="18" spans="2:10">
      <c r="B18" s="461">
        <v>2032</v>
      </c>
      <c r="C18" s="462"/>
      <c r="D18" s="462"/>
      <c r="E18" s="331">
        <f>+'3.1 Funding Category'!E62</f>
        <v>26744308.640000004</v>
      </c>
      <c r="F18" s="331">
        <f>+'3.1 Funding Category'!G62</f>
        <v>21013385.359999999</v>
      </c>
      <c r="G18" s="462"/>
      <c r="H18" s="462"/>
      <c r="I18" s="463">
        <f t="shared" si="0"/>
        <v>47757694</v>
      </c>
      <c r="J18" s="2"/>
    </row>
    <row r="19" spans="2:10">
      <c r="B19" s="461">
        <v>2033</v>
      </c>
      <c r="C19" s="462"/>
      <c r="D19" s="462"/>
      <c r="E19" s="331">
        <f>+'3.1 Funding Category'!E63</f>
        <v>27546638.000000004</v>
      </c>
      <c r="F19" s="331">
        <f>+'3.1 Funding Category'!G63</f>
        <v>21643787</v>
      </c>
      <c r="G19" s="462"/>
      <c r="H19" s="462"/>
      <c r="I19" s="463">
        <f t="shared" si="0"/>
        <v>49190425</v>
      </c>
      <c r="J19" s="2"/>
    </row>
    <row r="20" spans="2:10">
      <c r="B20" s="461">
        <v>2034</v>
      </c>
      <c r="C20" s="462"/>
      <c r="D20" s="462"/>
      <c r="E20" s="331">
        <f>+'3.1 Funding Category'!E64</f>
        <v>28373036.720000003</v>
      </c>
      <c r="F20" s="331">
        <f>+'3.1 Funding Category'!G64</f>
        <v>22293100.280000001</v>
      </c>
      <c r="G20" s="462"/>
      <c r="H20" s="462"/>
      <c r="I20" s="463">
        <f t="shared" si="0"/>
        <v>50666137</v>
      </c>
      <c r="J20" s="2"/>
    </row>
    <row r="21" spans="2:10">
      <c r="B21" s="461">
        <v>2035</v>
      </c>
      <c r="C21" s="462"/>
      <c r="D21" s="462"/>
      <c r="E21" s="331">
        <f>+'3.1 Funding Category'!E65</f>
        <v>29224228.320000004</v>
      </c>
      <c r="F21" s="331">
        <f>+'3.1 Funding Category'!G65</f>
        <v>22961893.68</v>
      </c>
      <c r="G21" s="462"/>
      <c r="H21" s="462"/>
      <c r="I21" s="463">
        <f t="shared" si="0"/>
        <v>52186122</v>
      </c>
      <c r="J21" s="2"/>
    </row>
    <row r="22" spans="2:10" ht="16.5" thickBot="1">
      <c r="B22" s="464" t="s">
        <v>204</v>
      </c>
      <c r="C22" s="465">
        <f>SUM(C14:C21)</f>
        <v>0</v>
      </c>
      <c r="D22" s="465">
        <f t="shared" ref="D22:I22" si="1">SUM(D14:D21)</f>
        <v>0</v>
      </c>
      <c r="E22" s="465">
        <f t="shared" si="1"/>
        <v>209909763.28</v>
      </c>
      <c r="F22" s="465">
        <f t="shared" si="1"/>
        <v>164929099.72000003</v>
      </c>
      <c r="G22" s="465">
        <f t="shared" si="1"/>
        <v>0</v>
      </c>
      <c r="H22" s="465">
        <f t="shared" si="1"/>
        <v>0</v>
      </c>
      <c r="I22" s="466">
        <f t="shared" si="1"/>
        <v>374838863</v>
      </c>
      <c r="J22" s="2"/>
    </row>
    <row r="23" spans="2:10">
      <c r="B23" s="2"/>
      <c r="C23" s="2"/>
      <c r="D23" s="2"/>
      <c r="E23" s="2"/>
      <c r="F23" s="2"/>
      <c r="G23" s="2"/>
      <c r="H23" s="2"/>
      <c r="I23" s="2"/>
      <c r="J23" s="2"/>
    </row>
    <row r="24" spans="2:10">
      <c r="B24" t="s">
        <v>281</v>
      </c>
    </row>
  </sheetData>
  <mergeCells count="6">
    <mergeCell ref="B10:G10"/>
    <mergeCell ref="B12:B13"/>
    <mergeCell ref="C12:D12"/>
    <mergeCell ref="E12:F12"/>
    <mergeCell ref="C2:J2"/>
    <mergeCell ref="C3:J3"/>
  </mergeCells>
  <pageMargins left="0.25" right="0.25" top="0.75" bottom="0.75" header="0.3" footer="0.3"/>
  <pageSetup paperSize="17" orientation="landscape"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9052-CFB5-4B0E-8569-A5044E6EDFD3}">
  <sheetPr codeName="Sheet7" filterMode="1">
    <tabColor theme="4"/>
  </sheetPr>
  <dimension ref="B1:AH310"/>
  <sheetViews>
    <sheetView topLeftCell="N1" zoomScale="80" zoomScaleNormal="80" workbookViewId="0">
      <pane ySplit="15" topLeftCell="A22" activePane="bottomLeft" state="frozen"/>
      <selection pane="bottomLeft" activeCell="AF22" sqref="AF22"/>
    </sheetView>
  </sheetViews>
  <sheetFormatPr defaultColWidth="8" defaultRowHeight="12.75"/>
  <cols>
    <col min="1" max="1" width="2.75" style="19" customWidth="1"/>
    <col min="2" max="2" width="12.125" style="19" customWidth="1"/>
    <col min="3" max="3" width="53.25" style="19" bestFit="1" customWidth="1"/>
    <col min="4" max="4" width="68.25" style="19" bestFit="1" customWidth="1"/>
    <col min="5" max="5" width="40.75" style="19" bestFit="1" customWidth="1"/>
    <col min="6" max="6" width="126.625" style="313" customWidth="1"/>
    <col min="7" max="7" width="20.125" style="129" customWidth="1"/>
    <col min="8" max="8" width="35.75" style="129" customWidth="1"/>
    <col min="9" max="9" width="17.125" style="109" bestFit="1" customWidth="1"/>
    <col min="10" max="10" width="14.5" style="109" bestFit="1" customWidth="1"/>
    <col min="11" max="11" width="35.25" style="109" bestFit="1" customWidth="1"/>
    <col min="12" max="12" width="36.25" style="19" bestFit="1" customWidth="1"/>
    <col min="13" max="13" width="17.75" style="19" customWidth="1"/>
    <col min="14" max="14" width="20" style="19" bestFit="1" customWidth="1"/>
    <col min="15" max="16" width="13.75" style="110" bestFit="1" customWidth="1"/>
    <col min="17" max="17" width="13.75" style="110" customWidth="1"/>
    <col min="18" max="18" width="14.75" style="110" bestFit="1" customWidth="1"/>
    <col min="19" max="19" width="16.25" style="110" bestFit="1" customWidth="1"/>
    <col min="20" max="24" width="12.625" style="110" customWidth="1"/>
    <col min="25" max="26" width="14.625" style="16" customWidth="1"/>
    <col min="27" max="27" width="13.75" style="19" bestFit="1" customWidth="1"/>
    <col min="28" max="28" width="11.125" style="19" bestFit="1" customWidth="1"/>
    <col min="29" max="29" width="10.125" style="19" bestFit="1" customWidth="1"/>
    <col min="30" max="30" width="16.25" style="19" bestFit="1" customWidth="1"/>
    <col min="31" max="31" width="14.75" style="19" bestFit="1" customWidth="1"/>
    <col min="32" max="33" width="12.625" style="19" bestFit="1" customWidth="1"/>
    <col min="34" max="34" width="22.75" style="19" customWidth="1"/>
    <col min="35" max="16384" width="8" style="19"/>
  </cols>
  <sheetData>
    <row r="1" spans="2:34" ht="13.5" thickBot="1"/>
    <row r="2" spans="2:34" ht="26.25" customHeight="1">
      <c r="B2" s="332" t="s">
        <v>58</v>
      </c>
      <c r="C2" s="900" t="s">
        <v>282</v>
      </c>
      <c r="D2" s="901"/>
      <c r="E2" s="901"/>
      <c r="F2" s="902"/>
      <c r="G2" s="19"/>
      <c r="H2" s="19"/>
      <c r="I2" s="19"/>
    </row>
    <row r="3" spans="2:34" ht="32.25" customHeight="1" thickBot="1">
      <c r="B3" s="467" t="s">
        <v>102</v>
      </c>
      <c r="C3" s="903" t="s">
        <v>283</v>
      </c>
      <c r="D3" s="904"/>
      <c r="E3" s="904"/>
      <c r="F3" s="905"/>
      <c r="G3" s="19"/>
      <c r="H3" s="19"/>
      <c r="I3" s="19"/>
    </row>
    <row r="4" spans="2:34" ht="13.5" thickBot="1"/>
    <row r="5" spans="2:34">
      <c r="B5" s="315" t="s">
        <v>104</v>
      </c>
      <c r="C5" s="906" t="str">
        <f>'Read Me'!B10</f>
        <v>SDG&amp;E</v>
      </c>
      <c r="D5" s="907"/>
      <c r="G5" s="109"/>
      <c r="H5" s="109"/>
    </row>
    <row r="6" spans="2:34" ht="13.5" thickBot="1">
      <c r="B6" s="468" t="s">
        <v>105</v>
      </c>
      <c r="C6" s="908" t="str">
        <f>'Read Me'!B11</f>
        <v>2028-2035</v>
      </c>
      <c r="D6" s="909"/>
      <c r="G6" s="19"/>
      <c r="H6" s="19"/>
      <c r="I6" s="19"/>
      <c r="J6" s="19"/>
      <c r="K6" s="19"/>
      <c r="O6" s="19"/>
      <c r="P6" s="19"/>
      <c r="Q6" s="19"/>
      <c r="R6" s="19"/>
      <c r="S6" s="19"/>
      <c r="T6" s="19"/>
      <c r="U6" s="19"/>
      <c r="V6" s="19"/>
      <c r="W6" s="19"/>
      <c r="X6" s="19"/>
      <c r="Z6" s="19"/>
    </row>
    <row r="7" spans="2:34">
      <c r="B7" s="132" t="s">
        <v>284</v>
      </c>
      <c r="C7" s="316"/>
      <c r="D7" s="317"/>
      <c r="G7" s="19"/>
      <c r="H7" s="19"/>
      <c r="I7" s="19"/>
      <c r="J7" s="19"/>
      <c r="K7" s="19"/>
      <c r="O7" s="19"/>
      <c r="P7" s="19"/>
      <c r="Q7" s="19"/>
      <c r="R7" s="19"/>
      <c r="S7" s="19"/>
      <c r="T7" s="19"/>
      <c r="U7" s="19"/>
      <c r="V7" s="19"/>
      <c r="W7" s="19"/>
      <c r="X7" s="19"/>
      <c r="Y7" s="112"/>
      <c r="Z7" s="112"/>
    </row>
    <row r="8" spans="2:34">
      <c r="B8" s="166" t="s">
        <v>285</v>
      </c>
      <c r="D8" s="166"/>
      <c r="G8" s="19"/>
      <c r="H8" s="19"/>
      <c r="I8" s="19"/>
      <c r="J8" s="19"/>
      <c r="K8" s="19"/>
      <c r="O8" s="19"/>
      <c r="P8" s="19"/>
      <c r="Q8" s="19"/>
      <c r="R8" s="19"/>
      <c r="S8" s="19"/>
      <c r="T8" s="19"/>
      <c r="U8" s="19"/>
      <c r="V8" s="19"/>
      <c r="W8" s="19"/>
      <c r="X8" s="19"/>
      <c r="Y8" s="115"/>
      <c r="Z8" s="115"/>
    </row>
    <row r="9" spans="2:34" hidden="1">
      <c r="G9" s="19"/>
      <c r="H9" s="19"/>
      <c r="I9" s="19"/>
      <c r="J9" s="19"/>
      <c r="K9" s="19"/>
      <c r="O9" s="19"/>
      <c r="P9" s="19"/>
      <c r="Q9" s="19"/>
      <c r="R9" s="19"/>
      <c r="S9" s="19"/>
      <c r="T9" s="19"/>
      <c r="U9" s="19"/>
      <c r="V9" s="19"/>
      <c r="W9" s="19"/>
      <c r="X9" s="19"/>
    </row>
    <row r="10" spans="2:34" hidden="1">
      <c r="G10" s="109"/>
      <c r="H10" s="109"/>
      <c r="J10" s="19"/>
      <c r="K10" s="19"/>
    </row>
    <row r="11" spans="2:34">
      <c r="C11" s="20" t="s">
        <v>286</v>
      </c>
      <c r="G11" s="19"/>
      <c r="H11" s="19"/>
      <c r="I11" s="19"/>
      <c r="J11" s="19"/>
      <c r="K11" s="19"/>
      <c r="O11" s="19"/>
      <c r="P11" s="19"/>
      <c r="Q11" s="19"/>
      <c r="R11" s="19"/>
      <c r="S11" s="19"/>
      <c r="T11" s="19"/>
      <c r="U11" s="19"/>
      <c r="V11" s="19"/>
      <c r="W11" s="19"/>
      <c r="X11" s="19"/>
    </row>
    <row r="12" spans="2:34" hidden="1">
      <c r="C12" s="131"/>
      <c r="G12" s="19"/>
      <c r="H12" s="19"/>
      <c r="I12" s="19"/>
      <c r="J12" s="19"/>
      <c r="K12" s="19"/>
      <c r="O12" s="19"/>
      <c r="P12" s="19"/>
      <c r="Q12" s="19"/>
      <c r="R12" s="19"/>
      <c r="S12" s="19"/>
      <c r="T12" s="19"/>
      <c r="U12" s="19"/>
      <c r="V12" s="19"/>
      <c r="W12" s="19"/>
      <c r="X12" s="19"/>
    </row>
    <row r="13" spans="2:34" hidden="1">
      <c r="G13" s="19"/>
      <c r="H13" s="19"/>
      <c r="I13" s="19"/>
      <c r="J13" s="19"/>
      <c r="K13" s="19"/>
      <c r="O13" s="19"/>
      <c r="P13" s="19"/>
      <c r="Q13" s="19"/>
      <c r="R13" s="19"/>
      <c r="S13" s="19"/>
      <c r="T13" s="19"/>
      <c r="U13" s="19"/>
      <c r="V13" s="19"/>
      <c r="W13" s="19"/>
      <c r="X13" s="19"/>
    </row>
    <row r="14" spans="2:34" ht="13.5" thickBot="1">
      <c r="C14" s="318"/>
      <c r="D14" s="318"/>
      <c r="E14" s="333"/>
      <c r="F14" s="334"/>
      <c r="G14" s="318"/>
      <c r="H14" s="318"/>
      <c r="I14" s="19"/>
      <c r="J14" s="318"/>
      <c r="K14" s="318"/>
      <c r="L14" s="318"/>
      <c r="M14" s="318"/>
      <c r="N14" s="318"/>
      <c r="O14" s="318"/>
      <c r="P14" s="318"/>
      <c r="Q14" s="318"/>
      <c r="R14" s="318"/>
      <c r="S14" s="318"/>
      <c r="T14" s="318"/>
      <c r="U14" s="318"/>
      <c r="V14" s="318"/>
      <c r="W14" s="318" t="s">
        <v>287</v>
      </c>
      <c r="X14" s="318" t="s">
        <v>288</v>
      </c>
      <c r="Y14" s="318"/>
      <c r="Z14" s="318"/>
      <c r="AA14" s="318"/>
      <c r="AB14" s="318"/>
      <c r="AC14" s="318"/>
      <c r="AD14" s="318"/>
      <c r="AE14" s="318"/>
      <c r="AF14" s="318"/>
      <c r="AG14" s="318"/>
    </row>
    <row r="15" spans="2:34" ht="94.5" customHeight="1" thickBot="1">
      <c r="C15" s="100" t="s">
        <v>289</v>
      </c>
      <c r="D15" s="21" t="s">
        <v>290</v>
      </c>
      <c r="E15" s="21" t="s">
        <v>291</v>
      </c>
      <c r="F15" s="21" t="s">
        <v>292</v>
      </c>
      <c r="G15" s="21" t="s">
        <v>293</v>
      </c>
      <c r="H15" s="21" t="s">
        <v>294</v>
      </c>
      <c r="I15" s="21" t="s">
        <v>295</v>
      </c>
      <c r="J15" s="21" t="s">
        <v>296</v>
      </c>
      <c r="K15" s="21" t="s">
        <v>10</v>
      </c>
      <c r="L15" s="21" t="s">
        <v>11</v>
      </c>
      <c r="M15" s="21" t="s">
        <v>297</v>
      </c>
      <c r="N15" s="21" t="s">
        <v>298</v>
      </c>
      <c r="O15" s="21" t="s">
        <v>299</v>
      </c>
      <c r="P15" s="21" t="s">
        <v>300</v>
      </c>
      <c r="Q15" s="416" t="s">
        <v>301</v>
      </c>
      <c r="R15" s="130" t="s">
        <v>302</v>
      </c>
      <c r="S15" s="130" t="s">
        <v>303</v>
      </c>
      <c r="T15" s="130" t="s">
        <v>304</v>
      </c>
      <c r="U15" s="130" t="s">
        <v>305</v>
      </c>
      <c r="V15" s="130" t="s">
        <v>306</v>
      </c>
      <c r="W15" s="130" t="s">
        <v>307</v>
      </c>
      <c r="X15" s="130" t="s">
        <v>308</v>
      </c>
      <c r="Y15" s="130" t="s">
        <v>309</v>
      </c>
      <c r="Z15" s="130" t="s">
        <v>310</v>
      </c>
      <c r="AA15" s="130" t="s">
        <v>311</v>
      </c>
      <c r="AB15" s="130" t="s">
        <v>312</v>
      </c>
      <c r="AC15" s="130" t="s">
        <v>313</v>
      </c>
      <c r="AD15" s="130" t="s">
        <v>314</v>
      </c>
      <c r="AE15" s="130" t="s">
        <v>315</v>
      </c>
      <c r="AF15" s="130" t="s">
        <v>316</v>
      </c>
      <c r="AG15" s="130" t="s">
        <v>317</v>
      </c>
      <c r="AH15" s="130" t="s">
        <v>318</v>
      </c>
    </row>
    <row r="16" spans="2:34" ht="26.25" hidden="1" thickTop="1">
      <c r="C16" s="470" t="str">
        <f>'Budget Filing Data'!D10</f>
        <v>SDGE3251</v>
      </c>
      <c r="D16" s="470" t="str">
        <f>'Budget Filing Data'!E10</f>
        <v>SW C&amp;S - Compliance Enhancement</v>
      </c>
      <c r="E16" s="471" t="s">
        <v>42</v>
      </c>
      <c r="F16" s="471" t="s">
        <v>319</v>
      </c>
      <c r="G16" s="472" t="str">
        <f>'Budget Filing Data'!J10</f>
        <v>IOU Core</v>
      </c>
      <c r="H16" s="472" t="str">
        <f>IF('Budget Filing Data'!H10="","",'Budget Filing Data'!H10)</f>
        <v/>
      </c>
      <c r="I16" s="473" t="s">
        <v>15</v>
      </c>
      <c r="J16" s="472" t="str">
        <f>'Budget Filing Data'!G10</f>
        <v>Cross Cutting</v>
      </c>
      <c r="K16" s="472" t="str">
        <f>'Budget Filing Data'!I10</f>
        <v>Codes and Standards</v>
      </c>
      <c r="L16" s="472" t="str">
        <f>'Budget Filing Data'!L10</f>
        <v>Codes and Standards</v>
      </c>
      <c r="M16" s="472">
        <f>'Budget Filing Data'!B10</f>
        <v>2028</v>
      </c>
      <c r="N16" s="474">
        <f t="shared" ref="N16:N79" si="0">SUM(O16:R16)</f>
        <v>1115475.6589000002</v>
      </c>
      <c r="O16" s="475">
        <f>'Budget Filing Data'!AQ10</f>
        <v>33126.5072</v>
      </c>
      <c r="P16" s="475">
        <f>'Budget Filing Data'!AR10</f>
        <v>0</v>
      </c>
      <c r="Q16" s="475">
        <f>'Budget Filing Data'!AS10</f>
        <v>1082349.1517</v>
      </c>
      <c r="R16" s="475">
        <f>'Budget Filing Data'!AT10</f>
        <v>0</v>
      </c>
      <c r="S16" s="476">
        <f>'Budget Filing Data'!X10</f>
        <v>0</v>
      </c>
      <c r="T16" s="477">
        <f>IFERROR((('Budget Filing Data'!AF10+'Budget Filing Data'!AG10+'Budget Filing Data'!AY10+'Budget Filing Data'!AH10)/'Budget Filing Data'!AA10),"")</f>
        <v>0</v>
      </c>
      <c r="U16" s="477">
        <f>IFERROR((('Budget Filing Data'!AF10+'Budget Filing Data'!AG10+'Budget Filing Data'!AY10+'Budget Filing Data'!AH10)/'Budget Filing Data'!AB10),"")</f>
        <v>0</v>
      </c>
      <c r="V16" s="477">
        <f>IFERROR((('Budget Filing Data'!AF10+'Budget Filing Data'!AG10+'Budget Filing Data'!AY10+'Budget Filing Data'!AH10+'Budget Filing Data'!AW10+'Budget Filing Data'!AX10)/('Budget Filing Data'!AE10)),"")</f>
        <v>0</v>
      </c>
      <c r="W16" s="477">
        <f>IFERROR(('Budget Filing Data'!AI10+'Budget Filing Data'!AJ10+'Budget Filing Data'!AK10+'Budget Filing Data'!AH10)/('Budget Filing Data'!AC10),"")</f>
        <v>0</v>
      </c>
      <c r="X16" s="477">
        <f>IFERROR(('Budget Filing Data'!AL10+'Budget Filing Data'!AM10+'Budget Filing Data'!AN10+'Budget Filing Data'!AH10)/('Budget Filing Data'!AD10),"")</f>
        <v>0</v>
      </c>
      <c r="Y16" s="478">
        <f>'Budget Filing Data'!Q10</f>
        <v>0</v>
      </c>
      <c r="Z16" s="478">
        <f>'Budget Filing Data'!R10</f>
        <v>0</v>
      </c>
      <c r="AA16" s="478">
        <f>'Budget Filing Data'!S10</f>
        <v>0</v>
      </c>
      <c r="AB16" s="478">
        <f>'Budget Filing Data'!AO10</f>
        <v>0</v>
      </c>
      <c r="AC16" s="478">
        <f>'Budget Filing Data'!AP10</f>
        <v>0</v>
      </c>
      <c r="AD16" s="478">
        <f>'Budget Filing Data'!T10</f>
        <v>0</v>
      </c>
      <c r="AE16" s="478">
        <f>'Budget Filing Data'!U10</f>
        <v>0</v>
      </c>
      <c r="AF16" s="478">
        <f>'Budget Filing Data'!$V10</f>
        <v>0</v>
      </c>
      <c r="AG16" s="478">
        <f>'Budget Filing Data'!$W10</f>
        <v>0</v>
      </c>
      <c r="AH16" s="479">
        <v>0</v>
      </c>
    </row>
    <row r="17" spans="3:34" ht="26.25" hidden="1" thickTop="1">
      <c r="C17" s="470" t="str">
        <f>'Budget Filing Data'!D11</f>
        <v>SDGE3252</v>
      </c>
      <c r="D17" s="470" t="str">
        <f>'Budget Filing Data'!E11</f>
        <v>SW C&amp;S - Reach Codes</v>
      </c>
      <c r="E17" s="471" t="s">
        <v>42</v>
      </c>
      <c r="F17" s="471" t="s">
        <v>319</v>
      </c>
      <c r="G17" s="472" t="str">
        <f>'Budget Filing Data'!J11</f>
        <v>IOU Core</v>
      </c>
      <c r="H17" s="472" t="str">
        <f>IF('Budget Filing Data'!H11="","",'Budget Filing Data'!H11)</f>
        <v/>
      </c>
      <c r="I17" s="473" t="s">
        <v>15</v>
      </c>
      <c r="J17" s="472" t="str">
        <f>'Budget Filing Data'!G11</f>
        <v>Cross Cutting</v>
      </c>
      <c r="K17" s="472" t="str">
        <f>'Budget Filing Data'!I11</f>
        <v>Codes and Standards</v>
      </c>
      <c r="L17" s="472" t="str">
        <f>'Budget Filing Data'!L11</f>
        <v>Codes and Standards</v>
      </c>
      <c r="M17" s="472">
        <f>'Budget Filing Data'!B11</f>
        <v>2028</v>
      </c>
      <c r="N17" s="474">
        <f t="shared" si="0"/>
        <v>1045128.1194</v>
      </c>
      <c r="O17" s="475">
        <f>'Budget Filing Data'!AQ11</f>
        <v>22659.446100000001</v>
      </c>
      <c r="P17" s="475">
        <f>'Budget Filing Data'!AR11</f>
        <v>0</v>
      </c>
      <c r="Q17" s="475">
        <f>'Budget Filing Data'!AS11</f>
        <v>1022468.6733</v>
      </c>
      <c r="R17" s="475">
        <f>'Budget Filing Data'!AT11</f>
        <v>0</v>
      </c>
      <c r="S17" s="476">
        <f>'Budget Filing Data'!X11</f>
        <v>0</v>
      </c>
      <c r="T17" s="477">
        <f>IFERROR((('Budget Filing Data'!AF11+'Budget Filing Data'!AG11+'Budget Filing Data'!AY11+'Budget Filing Data'!AH11)/'Budget Filing Data'!AA11),"")</f>
        <v>0</v>
      </c>
      <c r="U17" s="477">
        <f>IFERROR((('Budget Filing Data'!AF11+'Budget Filing Data'!AG11+'Budget Filing Data'!AY11+'Budget Filing Data'!AH11)/'Budget Filing Data'!AB11),"")</f>
        <v>0</v>
      </c>
      <c r="V17" s="477">
        <f>IFERROR((('Budget Filing Data'!AF11+'Budget Filing Data'!AG11+'Budget Filing Data'!AY11+'Budget Filing Data'!AH11+'Budget Filing Data'!AW11+'Budget Filing Data'!AX11)/('Budget Filing Data'!AE11)),"")</f>
        <v>0</v>
      </c>
      <c r="W17" s="477">
        <f>IFERROR(('Budget Filing Data'!AI11+'Budget Filing Data'!AJ11+'Budget Filing Data'!AK11+'Budget Filing Data'!AH11)/('Budget Filing Data'!AC11),"")</f>
        <v>0</v>
      </c>
      <c r="X17" s="477">
        <f>IFERROR(('Budget Filing Data'!AL11+'Budget Filing Data'!AM11+'Budget Filing Data'!AN11+'Budget Filing Data'!AH11)/('Budget Filing Data'!AD11),"")</f>
        <v>0</v>
      </c>
      <c r="Y17" s="478">
        <f>'Budget Filing Data'!Q11</f>
        <v>0</v>
      </c>
      <c r="Z17" s="478">
        <f>'Budget Filing Data'!R11</f>
        <v>0</v>
      </c>
      <c r="AA17" s="478">
        <f>'Budget Filing Data'!S11</f>
        <v>0</v>
      </c>
      <c r="AB17" s="478">
        <f>'Budget Filing Data'!AO11</f>
        <v>0</v>
      </c>
      <c r="AC17" s="478">
        <f>'Budget Filing Data'!AP11</f>
        <v>0</v>
      </c>
      <c r="AD17" s="478">
        <f>'Budget Filing Data'!T11</f>
        <v>0</v>
      </c>
      <c r="AE17" s="478">
        <f>'Budget Filing Data'!U11</f>
        <v>0</v>
      </c>
      <c r="AF17" s="478">
        <f>'Budget Filing Data'!$V11</f>
        <v>0</v>
      </c>
      <c r="AG17" s="478">
        <f>'Budget Filing Data'!$W11</f>
        <v>0</v>
      </c>
      <c r="AH17" s="479">
        <v>0</v>
      </c>
    </row>
    <row r="18" spans="3:34" ht="25.5" hidden="1">
      <c r="C18" s="470" t="str">
        <f>'Budget Filing Data'!D12</f>
        <v>SDGE3253</v>
      </c>
      <c r="D18" s="470" t="str">
        <f>'Budget Filing Data'!E12</f>
        <v>SW C&amp;S - Planning Coordination</v>
      </c>
      <c r="E18" s="471" t="s">
        <v>42</v>
      </c>
      <c r="F18" s="471" t="s">
        <v>319</v>
      </c>
      <c r="G18" s="472" t="str">
        <f>'Budget Filing Data'!J12</f>
        <v>IOU Core</v>
      </c>
      <c r="H18" s="472" t="str">
        <f>IF('Budget Filing Data'!H12="","",'Budget Filing Data'!H12)</f>
        <v/>
      </c>
      <c r="I18" s="473" t="s">
        <v>15</v>
      </c>
      <c r="J18" s="472" t="str">
        <f>'Budget Filing Data'!G12</f>
        <v>Cross Cutting</v>
      </c>
      <c r="K18" s="472" t="str">
        <f>'Budget Filing Data'!I12</f>
        <v>Codes and Standards</v>
      </c>
      <c r="L18" s="472" t="str">
        <f>'Budget Filing Data'!L12</f>
        <v>Codes and Standards</v>
      </c>
      <c r="M18" s="472">
        <f>'Budget Filing Data'!B12</f>
        <v>2028</v>
      </c>
      <c r="N18" s="474">
        <f t="shared" si="0"/>
        <v>773101.64529999997</v>
      </c>
      <c r="O18" s="475">
        <f>'Budget Filing Data'!AQ12</f>
        <v>19689.728899999998</v>
      </c>
      <c r="P18" s="475">
        <f>'Budget Filing Data'!AR12</f>
        <v>0</v>
      </c>
      <c r="Q18" s="475">
        <f>'Budget Filing Data'!AS12</f>
        <v>753411.91639999999</v>
      </c>
      <c r="R18" s="475">
        <f>'Budget Filing Data'!AT12</f>
        <v>0</v>
      </c>
      <c r="S18" s="476">
        <f>'Budget Filing Data'!X12</f>
        <v>0</v>
      </c>
      <c r="T18" s="477">
        <f>IFERROR((('Budget Filing Data'!AF12+'Budget Filing Data'!AG12+'Budget Filing Data'!AY12+'Budget Filing Data'!AH12)/'Budget Filing Data'!AA12),"")</f>
        <v>0</v>
      </c>
      <c r="U18" s="477">
        <f>IFERROR((('Budget Filing Data'!AF12+'Budget Filing Data'!AG12+'Budget Filing Data'!AY12+'Budget Filing Data'!AH12)/'Budget Filing Data'!AB12),"")</f>
        <v>0</v>
      </c>
      <c r="V18" s="477">
        <f>IFERROR((('Budget Filing Data'!AF12+'Budget Filing Data'!AG12+'Budget Filing Data'!AY12+'Budget Filing Data'!AH12+'Budget Filing Data'!AW12+'Budget Filing Data'!AX12)/('Budget Filing Data'!AE12)),"")</f>
        <v>0</v>
      </c>
      <c r="W18" s="477">
        <f>IFERROR(('Budget Filing Data'!AI12+'Budget Filing Data'!AJ12+'Budget Filing Data'!AK12+'Budget Filing Data'!AH12)/('Budget Filing Data'!AC12),"")</f>
        <v>0</v>
      </c>
      <c r="X18" s="477">
        <f>IFERROR(('Budget Filing Data'!AL12+'Budget Filing Data'!AM12+'Budget Filing Data'!AN12+'Budget Filing Data'!AH12)/('Budget Filing Data'!AD12),"")</f>
        <v>0</v>
      </c>
      <c r="Y18" s="478">
        <f>'Budget Filing Data'!Q12</f>
        <v>0</v>
      </c>
      <c r="Z18" s="478">
        <f>'Budget Filing Data'!R12</f>
        <v>0</v>
      </c>
      <c r="AA18" s="478">
        <f>'Budget Filing Data'!S12</f>
        <v>0</v>
      </c>
      <c r="AB18" s="478">
        <f>'Budget Filing Data'!AO12</f>
        <v>0</v>
      </c>
      <c r="AC18" s="478">
        <f>'Budget Filing Data'!AP12</f>
        <v>0</v>
      </c>
      <c r="AD18" s="478">
        <f>'Budget Filing Data'!T12</f>
        <v>0</v>
      </c>
      <c r="AE18" s="478">
        <f>'Budget Filing Data'!U12</f>
        <v>0</v>
      </c>
      <c r="AF18" s="478">
        <f>'Budget Filing Data'!$V12</f>
        <v>0</v>
      </c>
      <c r="AG18" s="478">
        <f>'Budget Filing Data'!$W12</f>
        <v>0</v>
      </c>
      <c r="AH18" s="479">
        <v>0</v>
      </c>
    </row>
    <row r="19" spans="3:34" ht="13.5" hidden="1" thickTop="1">
      <c r="C19" s="470" t="str">
        <f>'Budget Filing Data'!D13</f>
        <v>SDGE3262</v>
      </c>
      <c r="D19" s="470" t="str">
        <f>'Budget Filing Data'!E13</f>
        <v>SW-FIN-On-Bill Finance</v>
      </c>
      <c r="E19" s="471"/>
      <c r="F19" s="480"/>
      <c r="G19" s="472" t="str">
        <f>'Budget Filing Data'!J13</f>
        <v>IOU Core</v>
      </c>
      <c r="H19" s="472" t="str">
        <f>IF('Budget Filing Data'!H13="","",'Budget Filing Data'!H13)</f>
        <v/>
      </c>
      <c r="I19" s="473" t="s">
        <v>15</v>
      </c>
      <c r="J19" s="472" t="str">
        <f>'Budget Filing Data'!G13</f>
        <v>Commercial</v>
      </c>
      <c r="K19" s="472" t="str">
        <f>'Budget Filing Data'!I13</f>
        <v>Financing</v>
      </c>
      <c r="L19" s="472" t="str">
        <f>'Budget Filing Data'!L13</f>
        <v>Market Support</v>
      </c>
      <c r="M19" s="472">
        <f>'Budget Filing Data'!B13</f>
        <v>2028</v>
      </c>
      <c r="N19" s="474">
        <f t="shared" si="0"/>
        <v>109719.1504</v>
      </c>
      <c r="O19" s="475">
        <f>'Budget Filing Data'!AQ13</f>
        <v>43206.368699999999</v>
      </c>
      <c r="P19" s="475">
        <f>'Budget Filing Data'!AR13</f>
        <v>728.73059999999998</v>
      </c>
      <c r="Q19" s="475">
        <f>'Budget Filing Data'!AS13</f>
        <v>65784.051099999997</v>
      </c>
      <c r="R19" s="475">
        <f>'Budget Filing Data'!AT13</f>
        <v>0</v>
      </c>
      <c r="S19" s="476">
        <f>'Budget Filing Data'!X13</f>
        <v>0</v>
      </c>
      <c r="T19" s="477">
        <f>IFERROR((('Budget Filing Data'!AF13+'Budget Filing Data'!AG13+'Budget Filing Data'!AY13+'Budget Filing Data'!AH13)/'Budget Filing Data'!AA13),"")</f>
        <v>0</v>
      </c>
      <c r="U19" s="477">
        <f>IFERROR((('Budget Filing Data'!AF13+'Budget Filing Data'!AG13+'Budget Filing Data'!AY13+'Budget Filing Data'!AH13)/'Budget Filing Data'!AB13),"")</f>
        <v>0</v>
      </c>
      <c r="V19" s="477">
        <f>IFERROR((('Budget Filing Data'!AF13+'Budget Filing Data'!AG13+'Budget Filing Data'!AY13+'Budget Filing Data'!AH13+'Budget Filing Data'!AW13+'Budget Filing Data'!AX13)/('Budget Filing Data'!AE13)),"")</f>
        <v>0</v>
      </c>
      <c r="W19" s="477">
        <f>IFERROR(('Budget Filing Data'!AI13+'Budget Filing Data'!AJ13+'Budget Filing Data'!AK13+'Budget Filing Data'!AH13)/('Budget Filing Data'!AC13),"")</f>
        <v>0</v>
      </c>
      <c r="X19" s="477">
        <f>IFERROR(('Budget Filing Data'!AL13+'Budget Filing Data'!AM13+'Budget Filing Data'!AN13+'Budget Filing Data'!AH13)/('Budget Filing Data'!AD13),"")</f>
        <v>0</v>
      </c>
      <c r="Y19" s="478">
        <f>'Budget Filing Data'!Q13</f>
        <v>0</v>
      </c>
      <c r="Z19" s="478">
        <f>'Budget Filing Data'!R13</f>
        <v>0</v>
      </c>
      <c r="AA19" s="478">
        <f>'Budget Filing Data'!S13</f>
        <v>0</v>
      </c>
      <c r="AB19" s="478">
        <f>'Budget Filing Data'!AO13</f>
        <v>0</v>
      </c>
      <c r="AC19" s="478">
        <f>'Budget Filing Data'!AP13</f>
        <v>0</v>
      </c>
      <c r="AD19" s="478">
        <f>'Budget Filing Data'!T13</f>
        <v>0</v>
      </c>
      <c r="AE19" s="478">
        <f>'Budget Filing Data'!U13</f>
        <v>0</v>
      </c>
      <c r="AF19" s="478">
        <f>'Budget Filing Data'!$V13</f>
        <v>0</v>
      </c>
      <c r="AG19" s="478">
        <f>'Budget Filing Data'!$W13</f>
        <v>0</v>
      </c>
      <c r="AH19" s="479">
        <v>0</v>
      </c>
    </row>
    <row r="20" spans="3:34" hidden="1">
      <c r="C20" s="470" t="str">
        <f>'Budget Filing Data'!D14</f>
        <v>SDGE3280</v>
      </c>
      <c r="D20" s="470" t="str">
        <f>'Budget Filing Data'!E14</f>
        <v>3P-IDEEA</v>
      </c>
      <c r="E20" s="471" t="s">
        <v>37</v>
      </c>
      <c r="F20" s="471" t="s">
        <v>320</v>
      </c>
      <c r="G20" s="472" t="str">
        <f>'Budget Filing Data'!J14</f>
        <v>Non-Program</v>
      </c>
      <c r="H20" s="472" t="str">
        <f>IF('Budget Filing Data'!H14="","",'Budget Filing Data'!H14)</f>
        <v/>
      </c>
      <c r="I20" s="473" t="s">
        <v>15</v>
      </c>
      <c r="J20" s="472" t="str">
        <f>'Budget Filing Data'!G14</f>
        <v>Cross Cutting</v>
      </c>
      <c r="K20" s="472" t="str">
        <f>'Budget Filing Data'!I14</f>
        <v>Market Education Outreach</v>
      </c>
      <c r="L20" s="472" t="str">
        <f>'Budget Filing Data'!L14</f>
        <v>Market Support</v>
      </c>
      <c r="M20" s="472">
        <f>'Budget Filing Data'!B14</f>
        <v>2028</v>
      </c>
      <c r="N20" s="474">
        <f t="shared" si="0"/>
        <v>154447.9209</v>
      </c>
      <c r="O20" s="475">
        <f>'Budget Filing Data'!AQ14</f>
        <v>154447.9209</v>
      </c>
      <c r="P20" s="475">
        <f>'Budget Filing Data'!AR14</f>
        <v>0</v>
      </c>
      <c r="Q20" s="475">
        <f>'Budget Filing Data'!AS14</f>
        <v>0</v>
      </c>
      <c r="R20" s="475">
        <f>'Budget Filing Data'!AT14</f>
        <v>0</v>
      </c>
      <c r="S20" s="476">
        <f>'Budget Filing Data'!X14</f>
        <v>0</v>
      </c>
      <c r="T20" s="477">
        <f>IFERROR((('Budget Filing Data'!AF14+'Budget Filing Data'!AG14+'Budget Filing Data'!AY14+'Budget Filing Data'!AH14)/'Budget Filing Data'!AA14),"")</f>
        <v>0</v>
      </c>
      <c r="U20" s="477">
        <f>IFERROR((('Budget Filing Data'!AF14+'Budget Filing Data'!AG14+'Budget Filing Data'!AY14+'Budget Filing Data'!AH14)/'Budget Filing Data'!AB14),"")</f>
        <v>0</v>
      </c>
      <c r="V20" s="477">
        <f>IFERROR((('Budget Filing Data'!AF14+'Budget Filing Data'!AG14+'Budget Filing Data'!AY14+'Budget Filing Data'!AH14+'Budget Filing Data'!AW14+'Budget Filing Data'!AX14)/('Budget Filing Data'!AE14)),"")</f>
        <v>0</v>
      </c>
      <c r="W20" s="477">
        <f>IFERROR(('Budget Filing Data'!AI14+'Budget Filing Data'!AJ14+'Budget Filing Data'!AK14+'Budget Filing Data'!AH14)/('Budget Filing Data'!AC14),"")</f>
        <v>0</v>
      </c>
      <c r="X20" s="477">
        <f>IFERROR(('Budget Filing Data'!AL14+'Budget Filing Data'!AM14+'Budget Filing Data'!AN14+'Budget Filing Data'!AH14)/('Budget Filing Data'!AD14),"")</f>
        <v>0</v>
      </c>
      <c r="Y20" s="478">
        <f>'Budget Filing Data'!Q14</f>
        <v>0</v>
      </c>
      <c r="Z20" s="478">
        <f>'Budget Filing Data'!R14</f>
        <v>0</v>
      </c>
      <c r="AA20" s="478">
        <f>'Budget Filing Data'!S14</f>
        <v>0</v>
      </c>
      <c r="AB20" s="478">
        <f>'Budget Filing Data'!AO14</f>
        <v>0</v>
      </c>
      <c r="AC20" s="478">
        <f>'Budget Filing Data'!AP14</f>
        <v>0</v>
      </c>
      <c r="AD20" s="478">
        <f>'Budget Filing Data'!T14</f>
        <v>0</v>
      </c>
      <c r="AE20" s="478">
        <f>'Budget Filing Data'!U14</f>
        <v>0</v>
      </c>
      <c r="AF20" s="478">
        <f>'Budget Filing Data'!$V14</f>
        <v>0</v>
      </c>
      <c r="AG20" s="478">
        <f>'Budget Filing Data'!$W14</f>
        <v>0</v>
      </c>
      <c r="AH20" s="479">
        <v>0</v>
      </c>
    </row>
    <row r="21" spans="3:34" hidden="1">
      <c r="C21" s="470" t="str">
        <f>'Budget Filing Data'!D15</f>
        <v>SDGE3281</v>
      </c>
      <c r="D21" s="470" t="str">
        <f>'Budget Filing Data'!E15</f>
        <v>EM&amp;V-Evaluation Measurement &amp; Verification</v>
      </c>
      <c r="E21" s="471"/>
      <c r="F21" s="471"/>
      <c r="G21" s="472" t="str">
        <f>'Budget Filing Data'!J15</f>
        <v>Non-Program</v>
      </c>
      <c r="H21" s="472" t="str">
        <f>IF('Budget Filing Data'!H15="","",'Budget Filing Data'!H15)</f>
        <v/>
      </c>
      <c r="I21" s="473" t="s">
        <v>24</v>
      </c>
      <c r="J21" s="472" t="str">
        <f>'Budget Filing Data'!G15</f>
        <v>Cross Cutting</v>
      </c>
      <c r="K21" s="472" t="str">
        <f>'Budget Filing Data'!I15</f>
        <v>Evaluation Measurement and Verification</v>
      </c>
      <c r="L21" s="472" t="str">
        <f>'Budget Filing Data'!L15</f>
        <v>Evaluation, Measurement, and Verification</v>
      </c>
      <c r="M21" s="472">
        <f>'Budget Filing Data'!B15</f>
        <v>2028</v>
      </c>
      <c r="N21" s="474">
        <f t="shared" si="0"/>
        <v>2737123.9175999998</v>
      </c>
      <c r="O21" s="475">
        <f>'Budget Filing Data'!AQ15</f>
        <v>2737123.9175999998</v>
      </c>
      <c r="P21" s="475">
        <f>'Budget Filing Data'!AR15</f>
        <v>0</v>
      </c>
      <c r="Q21" s="475">
        <f>'Budget Filing Data'!AS15</f>
        <v>0</v>
      </c>
      <c r="R21" s="475">
        <f>'Budget Filing Data'!AT15</f>
        <v>0</v>
      </c>
      <c r="S21" s="476">
        <f>'Budget Filing Data'!X15</f>
        <v>0</v>
      </c>
      <c r="T21" s="477">
        <f>IFERROR((('Budget Filing Data'!AF15+'Budget Filing Data'!AG15+'Budget Filing Data'!AY15+'Budget Filing Data'!AH15)/'Budget Filing Data'!AA15),"")</f>
        <v>0</v>
      </c>
      <c r="U21" s="477">
        <f>IFERROR((('Budget Filing Data'!AF15+'Budget Filing Data'!AG15+'Budget Filing Data'!AY15+'Budget Filing Data'!AH15)/'Budget Filing Data'!AB15),"")</f>
        <v>0</v>
      </c>
      <c r="V21" s="477">
        <f>IFERROR((('Budget Filing Data'!AF15+'Budget Filing Data'!AG15+'Budget Filing Data'!AY15+'Budget Filing Data'!AH15+'Budget Filing Data'!AW15+'Budget Filing Data'!AX15)/('Budget Filing Data'!AE15)),"")</f>
        <v>0</v>
      </c>
      <c r="W21" s="477">
        <f>IFERROR(('Budget Filing Data'!AI15+'Budget Filing Data'!AJ15+'Budget Filing Data'!AK15+'Budget Filing Data'!AH15)/('Budget Filing Data'!AC15),"")</f>
        <v>0</v>
      </c>
      <c r="X21" s="477">
        <f>IFERROR(('Budget Filing Data'!AL15+'Budget Filing Data'!AM15+'Budget Filing Data'!AN15+'Budget Filing Data'!AH15)/('Budget Filing Data'!AD15),"")</f>
        <v>0</v>
      </c>
      <c r="Y21" s="478">
        <f>'Budget Filing Data'!Q15</f>
        <v>0</v>
      </c>
      <c r="Z21" s="478">
        <f>'Budget Filing Data'!R15</f>
        <v>0</v>
      </c>
      <c r="AA21" s="478">
        <f>'Budget Filing Data'!S15</f>
        <v>0</v>
      </c>
      <c r="AB21" s="478">
        <f>'Budget Filing Data'!AO15</f>
        <v>0</v>
      </c>
      <c r="AC21" s="478">
        <f>'Budget Filing Data'!AP15</f>
        <v>0</v>
      </c>
      <c r="AD21" s="478">
        <f>'Budget Filing Data'!T15</f>
        <v>0</v>
      </c>
      <c r="AE21" s="478">
        <f>'Budget Filing Data'!U15</f>
        <v>0</v>
      </c>
      <c r="AF21" s="478">
        <f>'Budget Filing Data'!$V15</f>
        <v>0</v>
      </c>
      <c r="AG21" s="478">
        <f>'Budget Filing Data'!$W15</f>
        <v>0</v>
      </c>
      <c r="AH21" s="479">
        <v>0</v>
      </c>
    </row>
    <row r="22" spans="3:34" ht="26.25" thickTop="1">
      <c r="C22" s="470" t="str">
        <f>'Budget Filing Data'!D16</f>
        <v>SDGE4001</v>
      </c>
      <c r="D22" s="470" t="str">
        <f>'Budget Filing Data'!E16</f>
        <v>Single Family Program</v>
      </c>
      <c r="E22" s="471" t="s">
        <v>42</v>
      </c>
      <c r="F22" s="471" t="s">
        <v>321</v>
      </c>
      <c r="G22" s="472" t="str">
        <f>'Budget Filing Data'!J16</f>
        <v>Third-Party Solicited</v>
      </c>
      <c r="H22" s="472" t="str">
        <f>IF('Budget Filing Data'!H16="","",'Budget Filing Data'!H16)</f>
        <v/>
      </c>
      <c r="I22" s="473" t="s">
        <v>24</v>
      </c>
      <c r="J22" s="472" t="str">
        <f>'Budget Filing Data'!G16</f>
        <v>Residential</v>
      </c>
      <c r="K22" s="472" t="str">
        <f>'Budget Filing Data'!I16</f>
        <v>Other</v>
      </c>
      <c r="L22" s="472" t="str">
        <f>'Budget Filing Data'!L16</f>
        <v>Resource Acquisition</v>
      </c>
      <c r="M22" s="472">
        <f>'Budget Filing Data'!B16</f>
        <v>2028</v>
      </c>
      <c r="N22" s="474">
        <f t="shared" si="0"/>
        <v>5462816.5586999999</v>
      </c>
      <c r="O22" s="475">
        <f>'Budget Filing Data'!AQ16</f>
        <v>295173.77249999996</v>
      </c>
      <c r="P22" s="475">
        <f>'Budget Filing Data'!AR16</f>
        <v>150728.73060000001</v>
      </c>
      <c r="Q22" s="475">
        <f>'Budget Filing Data'!AS16</f>
        <v>366914.05660000001</v>
      </c>
      <c r="R22" s="475">
        <f>'Budget Filing Data'!AT16</f>
        <v>4649999.9989999998</v>
      </c>
      <c r="S22" s="476">
        <f>'Budget Filing Data'!X16</f>
        <v>5340588.0815552901</v>
      </c>
      <c r="T22" s="477">
        <f>IFERROR((('Budget Filing Data'!AF16+'Budget Filing Data'!AG16+'Budget Filing Data'!AY16+'Budget Filing Data'!AH16)/'Budget Filing Data'!AA16),"")</f>
        <v>1.0083612594258917</v>
      </c>
      <c r="U22" s="477">
        <f>IFERROR((('Budget Filing Data'!AF16+'Budget Filing Data'!AG16+'Budget Filing Data'!AY16+'Budget Filing Data'!AH16)/'Budget Filing Data'!AB16),"")</f>
        <v>1.0083612594258917</v>
      </c>
      <c r="V22" s="477">
        <f>IFERROR((('Budget Filing Data'!AF16+'Budget Filing Data'!AG16+'Budget Filing Data'!AY16+'Budget Filing Data'!AH16+'Budget Filing Data'!AW16+'Budget Filing Data'!AX16)/('Budget Filing Data'!AE16)),"")</f>
        <v>0.47053948978273602</v>
      </c>
      <c r="W22" s="477">
        <f>IFERROR(('Budget Filing Data'!AI16+'Budget Filing Data'!AJ16+'Budget Filing Data'!AK16+'Budget Filing Data'!AH16)/('Budget Filing Data'!AC16),"")</f>
        <v>1.0708686393748534</v>
      </c>
      <c r="X22" s="477">
        <f>IFERROR(('Budget Filing Data'!AL16+'Budget Filing Data'!AM16+'Budget Filing Data'!AN16+'Budget Filing Data'!AH16)/('Budget Filing Data'!AD16),"")</f>
        <v>1.0712644357677983</v>
      </c>
      <c r="Y22" s="478">
        <f>'Budget Filing Data'!Q16</f>
        <v>2004144.4319254099</v>
      </c>
      <c r="Z22" s="478">
        <f>'Budget Filing Data'!R16</f>
        <v>1978.0668126908399</v>
      </c>
      <c r="AA22" s="478">
        <f>'Budget Filing Data'!S16</f>
        <v>27985.5146188619</v>
      </c>
      <c r="AB22" s="478">
        <f>'Budget Filing Data'!AO16</f>
        <v>629.58708929576903</v>
      </c>
      <c r="AC22" s="478">
        <f>'Budget Filing Data'!AP16</f>
        <v>148.603082626157</v>
      </c>
      <c r="AD22" s="478">
        <f>'Budget Filing Data'!T16</f>
        <v>17041370.374049801</v>
      </c>
      <c r="AE22" s="478">
        <f>'Budget Filing Data'!U16</f>
        <v>237962.649862633</v>
      </c>
      <c r="AF22" s="478">
        <f>'Budget Filing Data'!$V16</f>
        <v>4632.6398563999101</v>
      </c>
      <c r="AG22" s="478">
        <f>'Budget Filing Data'!$W16</f>
        <v>1263.5816707705801</v>
      </c>
      <c r="AH22" s="479">
        <v>5896.2215271704899</v>
      </c>
    </row>
    <row r="23" spans="3:34">
      <c r="C23" s="470" t="str">
        <f>'Budget Filing Data'!D17</f>
        <v>SDGE4002</v>
      </c>
      <c r="D23" s="470" t="str">
        <f>'Budget Filing Data'!E17</f>
        <v>Multi Family Program</v>
      </c>
      <c r="E23" s="471"/>
      <c r="F23" s="471"/>
      <c r="G23" s="472" t="str">
        <f>'Budget Filing Data'!J17</f>
        <v>Third-Party Solicited</v>
      </c>
      <c r="H23" s="472" t="str">
        <f>IF('Budget Filing Data'!H17="","",'Budget Filing Data'!H17)</f>
        <v/>
      </c>
      <c r="I23" s="473" t="s">
        <v>24</v>
      </c>
      <c r="J23" s="472" t="str">
        <f>'Budget Filing Data'!G17</f>
        <v>Residential</v>
      </c>
      <c r="K23" s="472" t="str">
        <f>'Budget Filing Data'!I17</f>
        <v>Other</v>
      </c>
      <c r="L23" s="472" t="str">
        <f>'Budget Filing Data'!L17</f>
        <v>Resource Acquisition</v>
      </c>
      <c r="M23" s="472">
        <f>'Budget Filing Data'!B17</f>
        <v>2028</v>
      </c>
      <c r="N23" s="474">
        <f t="shared" si="0"/>
        <v>10925066.819800001</v>
      </c>
      <c r="O23" s="475">
        <f>'Budget Filing Data'!AQ17</f>
        <v>588964.83529999992</v>
      </c>
      <c r="P23" s="475">
        <f>'Budget Filing Data'!AR17</f>
        <v>300728.73060000001</v>
      </c>
      <c r="Q23" s="475">
        <f>'Budget Filing Data'!AS17</f>
        <v>735373.25490000006</v>
      </c>
      <c r="R23" s="475">
        <f>'Budget Filing Data'!AT17</f>
        <v>9299999.9989999998</v>
      </c>
      <c r="S23" s="476">
        <f>'Budget Filing Data'!X17</f>
        <v>11864423.2890418</v>
      </c>
      <c r="T23" s="477">
        <f>IFERROR((('Budget Filing Data'!AF17+'Budget Filing Data'!AG17+'Budget Filing Data'!AY17+'Budget Filing Data'!AH17)/'Budget Filing Data'!AA17),"")</f>
        <v>1.1201261224348864</v>
      </c>
      <c r="U23" s="477">
        <f>IFERROR((('Budget Filing Data'!AF17+'Budget Filing Data'!AG17+'Budget Filing Data'!AY17+'Budget Filing Data'!AH17)/'Budget Filing Data'!AB17),"")</f>
        <v>1.1201261224348864</v>
      </c>
      <c r="V23" s="477">
        <f>IFERROR((('Budget Filing Data'!AF17+'Budget Filing Data'!AG17+'Budget Filing Data'!AY17+'Budget Filing Data'!AH17+'Budget Filing Data'!AW17+'Budget Filing Data'!AX17)/('Budget Filing Data'!AE17)),"")</f>
        <v>0.47364991880362262</v>
      </c>
      <c r="W23" s="477">
        <f>IFERROR(('Budget Filing Data'!AI17+'Budget Filing Data'!AJ17+'Budget Filing Data'!AK17+'Budget Filing Data'!AH17)/('Budget Filing Data'!AC17),"")</f>
        <v>1.3958405935881559</v>
      </c>
      <c r="X23" s="477">
        <f>IFERROR(('Budget Filing Data'!AL17+'Budget Filing Data'!AM17+'Budget Filing Data'!AN17+'Budget Filing Data'!AH17)/('Budget Filing Data'!AD17),"")</f>
        <v>1.398581915436691</v>
      </c>
      <c r="Y23" s="478">
        <f>'Budget Filing Data'!Q17</f>
        <v>2659966.3110968</v>
      </c>
      <c r="Z23" s="478">
        <f>'Budget Filing Data'!R17</f>
        <v>3835.52181231656</v>
      </c>
      <c r="AA23" s="478">
        <f>'Budget Filing Data'!S17</f>
        <v>387639.91931920702</v>
      </c>
      <c r="AB23" s="478">
        <f>'Budget Filing Data'!AO17</f>
        <v>747.18254913556098</v>
      </c>
      <c r="AC23" s="478">
        <f>'Budget Filing Data'!AP17</f>
        <v>2058.3679715849898</v>
      </c>
      <c r="AD23" s="478">
        <f>'Budget Filing Data'!T17</f>
        <v>23776837.702507999</v>
      </c>
      <c r="AE23" s="478">
        <f>'Budget Filing Data'!U17</f>
        <v>3465025.6321726199</v>
      </c>
      <c r="AF23" s="478">
        <f>'Budget Filing Data'!$V17</f>
        <v>5611.5580563538397</v>
      </c>
      <c r="AG23" s="478">
        <f>'Budget Filing Data'!$W17</f>
        <v>18399.2861068366</v>
      </c>
      <c r="AH23" s="479">
        <v>24010.844163190439</v>
      </c>
    </row>
    <row r="24" spans="3:34" ht="25.5" hidden="1">
      <c r="C24" s="470" t="str">
        <f>'Budget Filing Data'!D18</f>
        <v>SDGE4006</v>
      </c>
      <c r="D24" s="470" t="str">
        <f>'Budget Filing Data'!E18</f>
        <v>Industrial Sector Program</v>
      </c>
      <c r="E24" s="471" t="s">
        <v>42</v>
      </c>
      <c r="F24" s="471" t="s">
        <v>322</v>
      </c>
      <c r="G24" s="472" t="str">
        <f>'Budget Filing Data'!J18</f>
        <v>Third-Party Solicited</v>
      </c>
      <c r="H24" s="472" t="str">
        <f>IF('Budget Filing Data'!H18="","",'Budget Filing Data'!H18)</f>
        <v/>
      </c>
      <c r="I24" s="473" t="s">
        <v>24</v>
      </c>
      <c r="J24" s="472" t="str">
        <f>'Budget Filing Data'!G18</f>
        <v>Industrial</v>
      </c>
      <c r="K24" s="472" t="str">
        <f>'Budget Filing Data'!I18</f>
        <v>Other</v>
      </c>
      <c r="L24" s="472" t="str">
        <f>'Budget Filing Data'!L18</f>
        <v>Resource Acquisition</v>
      </c>
      <c r="M24" s="472">
        <f>'Budget Filing Data'!B18</f>
        <v>2028</v>
      </c>
      <c r="N24" s="474">
        <f t="shared" si="0"/>
        <v>9709236.2241999991</v>
      </c>
      <c r="O24" s="475">
        <f>'Budget Filing Data'!AQ18</f>
        <v>838197.91159999999</v>
      </c>
      <c r="P24" s="475">
        <f>'Budget Filing Data'!AR18</f>
        <v>429317.5906</v>
      </c>
      <c r="Q24" s="475">
        <f>'Budget Filing Data'!AS18</f>
        <v>6483659.7220000001</v>
      </c>
      <c r="R24" s="475">
        <f>'Budget Filing Data'!AT18</f>
        <v>1958061</v>
      </c>
      <c r="S24" s="476">
        <f>'Budget Filing Data'!X18</f>
        <v>9750239.2690365873</v>
      </c>
      <c r="T24" s="477">
        <f>IFERROR((('Budget Filing Data'!AF18+'Budget Filing Data'!AG18+'Budget Filing Data'!AY18+'Budget Filing Data'!AH18)/'Budget Filing Data'!AA18),"")</f>
        <v>1.0485111128083575</v>
      </c>
      <c r="U24" s="477">
        <f>IFERROR((('Budget Filing Data'!AF18+'Budget Filing Data'!AG18+'Budget Filing Data'!AY18+'Budget Filing Data'!AH18)/'Budget Filing Data'!AB18),"")</f>
        <v>1.0151201654865523</v>
      </c>
      <c r="V24" s="477">
        <f>IFERROR((('Budget Filing Data'!AF18+'Budget Filing Data'!AG18+'Budget Filing Data'!AY18+'Budget Filing Data'!AH18+'Budget Filing Data'!AW18+'Budget Filing Data'!AX18)/('Budget Filing Data'!AE18)),"")</f>
        <v>0.22157978447981838</v>
      </c>
      <c r="W24" s="477">
        <f>IFERROR(('Budget Filing Data'!AI18+'Budget Filing Data'!AJ18+'Budget Filing Data'!AK18+'Budget Filing Data'!AH18)/('Budget Filing Data'!AC18),"")</f>
        <v>1.4228023199344633</v>
      </c>
      <c r="X24" s="477">
        <f>IFERROR(('Budget Filing Data'!AL18+'Budget Filing Data'!AM18+'Budget Filing Data'!AN18+'Budget Filing Data'!AH18)/('Budget Filing Data'!AD18),"")</f>
        <v>1.4708496647905744</v>
      </c>
      <c r="Y24" s="478">
        <f>'Budget Filing Data'!Q18</f>
        <v>19395000</v>
      </c>
      <c r="Z24" s="478">
        <f>'Budget Filing Data'!R18</f>
        <v>2513.9700000000003</v>
      </c>
      <c r="AA24" s="478">
        <f>'Budget Filing Data'!S18</f>
        <v>218250</v>
      </c>
      <c r="AB24" s="478">
        <f>'Budget Filing Data'!AO18</f>
        <v>4622.7504959999997</v>
      </c>
      <c r="AC24" s="478">
        <f>'Budget Filing Data'!AP18</f>
        <v>1158.9075</v>
      </c>
      <c r="AD24" s="478">
        <f>'Budget Filing Data'!T18</f>
        <v>96975000</v>
      </c>
      <c r="AE24" s="478">
        <f>'Budget Filing Data'!U18</f>
        <v>1091250</v>
      </c>
      <c r="AF24" s="478">
        <f>'Budget Filing Data'!$V18</f>
        <v>20619.359082000003</v>
      </c>
      <c r="AG24" s="478">
        <f>'Budget Filing Data'!$W18</f>
        <v>5794.5375000000004</v>
      </c>
      <c r="AH24" s="479">
        <v>0</v>
      </c>
    </row>
    <row r="25" spans="3:34">
      <c r="C25" s="470" t="str">
        <f>'Budget Filing Data'!D19</f>
        <v>SDGE4040</v>
      </c>
      <c r="D25" s="470" t="str">
        <f>'Budget Filing Data'!E19</f>
        <v>IDSM Local Residential Behavioral Program (EE)</v>
      </c>
      <c r="E25" s="471"/>
      <c r="F25" s="480"/>
      <c r="G25" s="472" t="str">
        <f>'Budget Filing Data'!J19</f>
        <v>Third-Party Solicited</v>
      </c>
      <c r="H25" s="472" t="str">
        <f>IF('Budget Filing Data'!H19="","",'Budget Filing Data'!H19)</f>
        <v/>
      </c>
      <c r="I25" s="473" t="s">
        <v>24</v>
      </c>
      <c r="J25" s="472" t="str">
        <f>'Budget Filing Data'!G19</f>
        <v>Residential</v>
      </c>
      <c r="K25" s="472" t="str">
        <f>'Budget Filing Data'!I19</f>
        <v>Other</v>
      </c>
      <c r="L25" s="472" t="str">
        <f>'Budget Filing Data'!L19</f>
        <v>Resource Acquisition</v>
      </c>
      <c r="M25" s="472">
        <f>'Budget Filing Data'!B19</f>
        <v>2028</v>
      </c>
      <c r="N25" s="474">
        <f t="shared" si="0"/>
        <v>2546357.8658999996</v>
      </c>
      <c r="O25" s="475">
        <f>'Budget Filing Data'!AQ19</f>
        <v>329024.48310000001</v>
      </c>
      <c r="P25" s="475">
        <f>'Budget Filing Data'!AR19</f>
        <v>17489.534299999999</v>
      </c>
      <c r="Q25" s="475">
        <f>'Budget Filing Data'!AS19</f>
        <v>2199843.8484999998</v>
      </c>
      <c r="R25" s="475">
        <f>'Budget Filing Data'!AT19</f>
        <v>0</v>
      </c>
      <c r="S25" s="476">
        <f>'Budget Filing Data'!X19</f>
        <v>4981703.0917168697</v>
      </c>
      <c r="T25" s="477">
        <f>IFERROR((('Budget Filing Data'!AF19+'Budget Filing Data'!AG19+'Budget Filing Data'!AY19+'Budget Filing Data'!AH19)/'Budget Filing Data'!AA19),"")</f>
        <v>1.9564033627913116</v>
      </c>
      <c r="U25" s="477">
        <f>IFERROR((('Budget Filing Data'!AF19+'Budget Filing Data'!AG19+'Budget Filing Data'!AY19+'Budget Filing Data'!AH19)/'Budget Filing Data'!AB19),"")</f>
        <v>1.9564033627913116</v>
      </c>
      <c r="V25" s="477">
        <f>IFERROR((('Budget Filing Data'!AF19+'Budget Filing Data'!AG19+'Budget Filing Data'!AY19+'Budget Filing Data'!AH19+'Budget Filing Data'!AW19+'Budget Filing Data'!AX19)/('Budget Filing Data'!AE19)),"")</f>
        <v>0.27070274894530405</v>
      </c>
      <c r="W25" s="477">
        <f>IFERROR(('Budget Filing Data'!AI19+'Budget Filing Data'!AJ19+'Budget Filing Data'!AK19+'Budget Filing Data'!AH19)/('Budget Filing Data'!AC19),"")</f>
        <v>2.1870692935054041</v>
      </c>
      <c r="X25" s="477">
        <f>IFERROR(('Budget Filing Data'!AL19+'Budget Filing Data'!AM19+'Budget Filing Data'!AN19+'Budget Filing Data'!AH19)/('Budget Filing Data'!AD19),"")</f>
        <v>2.2001099700693407</v>
      </c>
      <c r="Y25" s="478">
        <f>'Budget Filing Data'!Q19</f>
        <v>36725231.039999999</v>
      </c>
      <c r="Z25" s="478">
        <f>'Budget Filing Data'!R19</f>
        <v>5500</v>
      </c>
      <c r="AA25" s="478">
        <f>'Budget Filing Data'!S19</f>
        <v>700814.90720000002</v>
      </c>
      <c r="AB25" s="478">
        <f>'Budget Filing Data'!AO19</f>
        <v>7920.9896437848001</v>
      </c>
      <c r="AC25" s="478">
        <f>'Budget Filing Data'!AP19</f>
        <v>3721.327157232</v>
      </c>
      <c r="AD25" s="478">
        <f>'Budget Filing Data'!T19</f>
        <v>36725231.039999999</v>
      </c>
      <c r="AE25" s="478">
        <f>'Budget Filing Data'!U19</f>
        <v>700814.90720000002</v>
      </c>
      <c r="AF25" s="478">
        <f>'Budget Filing Data'!$V19</f>
        <v>7920.9896437848001</v>
      </c>
      <c r="AG25" s="478">
        <f>'Budget Filing Data'!$W19</f>
        <v>3721.327157232</v>
      </c>
      <c r="AH25" s="479">
        <v>0</v>
      </c>
    </row>
    <row r="26" spans="3:34" hidden="1">
      <c r="C26" s="470" t="str">
        <f>'Budget Filing Data'!D20</f>
        <v>SDGE_SW_CSA_Natl</v>
      </c>
      <c r="D26" s="470" t="str">
        <f>'Budget Filing Data'!E20</f>
        <v>SW Codes &amp; Standards Advocacy - National Codes &amp; Standards Advocacy</v>
      </c>
      <c r="E26" s="471"/>
      <c r="F26" s="480"/>
      <c r="G26" s="472" t="str">
        <f>'Budget Filing Data'!J20</f>
        <v>Third-Party Solicited</v>
      </c>
      <c r="H26" s="472" t="str">
        <f>IF('Budget Filing Data'!H20="","",'Budget Filing Data'!H20)</f>
        <v>SW_CSA_Natl - Codes and Standards National Codes Advocacy</v>
      </c>
      <c r="I26" s="473" t="s">
        <v>24</v>
      </c>
      <c r="J26" s="472" t="str">
        <f>'Budget Filing Data'!G20</f>
        <v>Cross Cutting</v>
      </c>
      <c r="K26" s="472" t="str">
        <f>'Budget Filing Data'!I20</f>
        <v>Codes and Standards</v>
      </c>
      <c r="L26" s="472" t="str">
        <f>'Budget Filing Data'!L20</f>
        <v>Codes and Standards</v>
      </c>
      <c r="M26" s="472">
        <f>'Budget Filing Data'!B20</f>
        <v>2028</v>
      </c>
      <c r="N26" s="474">
        <f t="shared" si="0"/>
        <v>423899.28909999999</v>
      </c>
      <c r="O26" s="475">
        <f>'Budget Filing Data'!AQ20</f>
        <v>0</v>
      </c>
      <c r="P26" s="475">
        <f>'Budget Filing Data'!AR20</f>
        <v>0</v>
      </c>
      <c r="Q26" s="475">
        <f>'Budget Filing Data'!AS20</f>
        <v>423899.28909999999</v>
      </c>
      <c r="R26" s="475">
        <f>'Budget Filing Data'!AT20</f>
        <v>0</v>
      </c>
      <c r="S26" s="476">
        <f>'Budget Filing Data'!X20</f>
        <v>35470125.965904556</v>
      </c>
      <c r="T26" s="477">
        <f>IFERROR((('Budget Filing Data'!AF20+'Budget Filing Data'!AG20+'Budget Filing Data'!AY20+'Budget Filing Data'!AH20)/'Budget Filing Data'!AA20),"")</f>
        <v>1.6581621296806823</v>
      </c>
      <c r="U26" s="477">
        <f>IFERROR((('Budget Filing Data'!AF20+'Budget Filing Data'!AG20+'Budget Filing Data'!AY20+'Budget Filing Data'!AH20)/'Budget Filing Data'!AB20),"")</f>
        <v>83.675832628105596</v>
      </c>
      <c r="V26" s="477">
        <f>IFERROR((('Budget Filing Data'!AF20+'Budget Filing Data'!AG20+'Budget Filing Data'!AY20+'Budget Filing Data'!AH20+'Budget Filing Data'!AW20+'Budget Filing Data'!AX20)/('Budget Filing Data'!AE20)),"")</f>
        <v>0.39422274961670456</v>
      </c>
      <c r="W26" s="477">
        <f>IFERROR(('Budget Filing Data'!AI20+'Budget Filing Data'!AJ20+'Budget Filing Data'!AK20+'Budget Filing Data'!AH20)/('Budget Filing Data'!AC20),"")</f>
        <v>2.3320337400763713</v>
      </c>
      <c r="X26" s="477">
        <f>IFERROR(('Budget Filing Data'!AL20+'Budget Filing Data'!AM20+'Budget Filing Data'!AN20+'Budget Filing Data'!AH20)/('Budget Filing Data'!AD20),"")</f>
        <v>2.3827567736708746</v>
      </c>
      <c r="Y26" s="478">
        <f>'Budget Filing Data'!Q20</f>
        <v>38327586.785358131</v>
      </c>
      <c r="Z26" s="478">
        <f>'Budget Filing Data'!R20</f>
        <v>12233.929790585866</v>
      </c>
      <c r="AA26" s="478">
        <f>'Budget Filing Data'!S20</f>
        <v>84831.213581966396</v>
      </c>
      <c r="AB26" s="478">
        <f>'Budget Filing Data'!AO20</f>
        <v>9642.171960597143</v>
      </c>
      <c r="AC26" s="478">
        <f>'Budget Filing Data'!AP20</f>
        <v>450.45374412024398</v>
      </c>
      <c r="AD26" s="478">
        <f>'Budget Filing Data'!T20</f>
        <v>522437357.37390161</v>
      </c>
      <c r="AE26" s="478">
        <f>'Budget Filing Data'!U20</f>
        <v>1696166.7785279991</v>
      </c>
      <c r="AF26" s="478">
        <f>'Budget Filing Data'!$V20</f>
        <v>99259.556408659424</v>
      </c>
      <c r="AG26" s="478">
        <f>'Budget Filing Data'!$W20</f>
        <v>9006.6455939836487</v>
      </c>
      <c r="AH26" s="479">
        <v>0</v>
      </c>
    </row>
    <row r="27" spans="3:34" hidden="1">
      <c r="C27" s="470" t="str">
        <f>'Budget Filing Data'!D21</f>
        <v>SDGE_SW_CSA_Natl_PA</v>
      </c>
      <c r="D27" s="470" t="str">
        <f>'Budget Filing Data'!E21</f>
        <v>SW Codes &amp; Standards Advocacy - National Codes &amp; Standards Advocacy (Utility)</v>
      </c>
      <c r="E27" s="471"/>
      <c r="F27" s="480"/>
      <c r="G27" s="472" t="str">
        <f>'Budget Filing Data'!J21</f>
        <v>IOU Core</v>
      </c>
      <c r="H27" s="472" t="str">
        <f>IF('Budget Filing Data'!H21="","",'Budget Filing Data'!H21)</f>
        <v>SW_CSA_Natl - Codes and Standards National Codes Advocacy</v>
      </c>
      <c r="I27" s="473" t="s">
        <v>24</v>
      </c>
      <c r="J27" s="472" t="str">
        <f>'Budget Filing Data'!G21</f>
        <v>Cross Cutting</v>
      </c>
      <c r="K27" s="472" t="str">
        <f>'Budget Filing Data'!I21</f>
        <v>Codes and Standards</v>
      </c>
      <c r="L27" s="472" t="str">
        <f>'Budget Filing Data'!L21</f>
        <v>Codes and Standards</v>
      </c>
      <c r="M27" s="472">
        <f>'Budget Filing Data'!B21</f>
        <v>2028</v>
      </c>
      <c r="N27" s="474">
        <f t="shared" si="0"/>
        <v>59946.922699999996</v>
      </c>
      <c r="O27" s="475">
        <f>'Budget Filing Data'!AQ21</f>
        <v>13937.0442</v>
      </c>
      <c r="P27" s="475">
        <f>'Budget Filing Data'!AR21</f>
        <v>0</v>
      </c>
      <c r="Q27" s="475">
        <f>'Budget Filing Data'!AS21</f>
        <v>46009.878499999999</v>
      </c>
      <c r="R27" s="475">
        <f>'Budget Filing Data'!AT21</f>
        <v>0</v>
      </c>
      <c r="S27" s="476">
        <f>'Budget Filing Data'!X21</f>
        <v>0</v>
      </c>
      <c r="T27" s="477">
        <f>IFERROR((('Budget Filing Data'!AF21+'Budget Filing Data'!AG21+'Budget Filing Data'!AY21+'Budget Filing Data'!AH21)/'Budget Filing Data'!AA21),"")</f>
        <v>0</v>
      </c>
      <c r="U27" s="477">
        <f>IFERROR((('Budget Filing Data'!AF21+'Budget Filing Data'!AG21+'Budget Filing Data'!AY21+'Budget Filing Data'!AH21)/'Budget Filing Data'!AB21),"")</f>
        <v>0</v>
      </c>
      <c r="V27" s="477">
        <f>IFERROR((('Budget Filing Data'!AF21+'Budget Filing Data'!AG21+'Budget Filing Data'!AY21+'Budget Filing Data'!AH21+'Budget Filing Data'!AW21+'Budget Filing Data'!AX21)/('Budget Filing Data'!AE21)),"")</f>
        <v>0</v>
      </c>
      <c r="W27" s="477">
        <f>IFERROR(('Budget Filing Data'!AI21+'Budget Filing Data'!AJ21+'Budget Filing Data'!AK21+'Budget Filing Data'!AH21)/('Budget Filing Data'!AC21),"")</f>
        <v>0</v>
      </c>
      <c r="X27" s="477">
        <f>IFERROR(('Budget Filing Data'!AL21+'Budget Filing Data'!AM21+'Budget Filing Data'!AN21+'Budget Filing Data'!AH21)/('Budget Filing Data'!AD21),"")</f>
        <v>0</v>
      </c>
      <c r="Y27" s="478">
        <f>'Budget Filing Data'!Q21</f>
        <v>0</v>
      </c>
      <c r="Z27" s="478">
        <f>'Budget Filing Data'!R21</f>
        <v>0</v>
      </c>
      <c r="AA27" s="478">
        <f>'Budget Filing Data'!S21</f>
        <v>0</v>
      </c>
      <c r="AB27" s="478">
        <f>'Budget Filing Data'!AO21</f>
        <v>0</v>
      </c>
      <c r="AC27" s="478">
        <f>'Budget Filing Data'!AP21</f>
        <v>0</v>
      </c>
      <c r="AD27" s="478">
        <f>'Budget Filing Data'!T21</f>
        <v>0</v>
      </c>
      <c r="AE27" s="478">
        <f>'Budget Filing Data'!U21</f>
        <v>0</v>
      </c>
      <c r="AF27" s="478">
        <f>'Budget Filing Data'!$V21</f>
        <v>0</v>
      </c>
      <c r="AG27" s="478">
        <f>'Budget Filing Data'!$W21</f>
        <v>0</v>
      </c>
      <c r="AH27" s="479">
        <v>0</v>
      </c>
    </row>
    <row r="28" spans="3:34" hidden="1">
      <c r="C28" s="470" t="str">
        <f>'Budget Filing Data'!D22</f>
        <v>SDGE_SW_CSA_Appl</v>
      </c>
      <c r="D28" s="470" t="str">
        <f>'Budget Filing Data'!E22</f>
        <v>SW Codes &amp; Standards Advocacy - State Appliance Standards</v>
      </c>
      <c r="E28" s="471" t="s">
        <v>42</v>
      </c>
      <c r="F28" s="471" t="s">
        <v>323</v>
      </c>
      <c r="G28" s="472" t="str">
        <f>'Budget Filing Data'!J22</f>
        <v>Third-Party Solicited</v>
      </c>
      <c r="H28" s="472" t="str">
        <f>IF('Budget Filing Data'!H22="","",'Budget Filing Data'!H22)</f>
        <v>SW_CSA_Appl - Codes and Standards Appliance Advocacy</v>
      </c>
      <c r="I28" s="473" t="s">
        <v>24</v>
      </c>
      <c r="J28" s="472" t="str">
        <f>'Budget Filing Data'!G22</f>
        <v>Cross Cutting</v>
      </c>
      <c r="K28" s="472" t="str">
        <f>'Budget Filing Data'!I22</f>
        <v>Codes and Standards</v>
      </c>
      <c r="L28" s="472" t="str">
        <f>'Budget Filing Data'!L22</f>
        <v>Codes and Standards</v>
      </c>
      <c r="M28" s="472">
        <f>'Budget Filing Data'!B22</f>
        <v>2028</v>
      </c>
      <c r="N28" s="474">
        <f t="shared" si="0"/>
        <v>333070.63510000001</v>
      </c>
      <c r="O28" s="475">
        <f>'Budget Filing Data'!AQ22</f>
        <v>0</v>
      </c>
      <c r="P28" s="475">
        <f>'Budget Filing Data'!AR22</f>
        <v>0</v>
      </c>
      <c r="Q28" s="475">
        <f>'Budget Filing Data'!AS22</f>
        <v>333070.63510000001</v>
      </c>
      <c r="R28" s="475">
        <f>'Budget Filing Data'!AT22</f>
        <v>0</v>
      </c>
      <c r="S28" s="476">
        <f>'Budget Filing Data'!X22</f>
        <v>16353061.663538437</v>
      </c>
      <c r="T28" s="477">
        <f>IFERROR((('Budget Filing Data'!AF22+'Budget Filing Data'!AG22+'Budget Filing Data'!AY22+'Budget Filing Data'!AH22)/'Budget Filing Data'!AA22),"")</f>
        <v>6.2117397109177617</v>
      </c>
      <c r="U28" s="477">
        <f>IFERROR((('Budget Filing Data'!AF22+'Budget Filing Data'!AG22+'Budget Filing Data'!AY22+'Budget Filing Data'!AH22)/'Budget Filing Data'!AB22),"")</f>
        <v>49.097878768654184</v>
      </c>
      <c r="V28" s="477">
        <f>IFERROR((('Budget Filing Data'!AF22+'Budget Filing Data'!AG22+'Budget Filing Data'!AY22+'Budget Filing Data'!AH22+'Budget Filing Data'!AW22+'Budget Filing Data'!AX22)/('Budget Filing Data'!AE22)),"")</f>
        <v>0.38468741825835906</v>
      </c>
      <c r="W28" s="477">
        <f>IFERROR(('Budget Filing Data'!AI22+'Budget Filing Data'!AJ22+'Budget Filing Data'!AK22+'Budget Filing Data'!AH22)/('Budget Filing Data'!AC22),"")</f>
        <v>8.6622440530352787</v>
      </c>
      <c r="X28" s="477">
        <f>IFERROR(('Budget Filing Data'!AL22+'Budget Filing Data'!AM22+'Budget Filing Data'!AN22+'Budget Filing Data'!AH22)/('Budget Filing Data'!AD22),"")</f>
        <v>8.8499832634440896</v>
      </c>
      <c r="Y28" s="478">
        <f>'Budget Filing Data'!Q22</f>
        <v>15478222.721310694</v>
      </c>
      <c r="Z28" s="478">
        <f>'Budget Filing Data'!R22</f>
        <v>2001.6720126093821</v>
      </c>
      <c r="AA28" s="478">
        <f>'Budget Filing Data'!S22</f>
        <v>109187.82072170501</v>
      </c>
      <c r="AB28" s="478">
        <f>'Budget Filing Data'!AO22</f>
        <v>4072.8229827039268</v>
      </c>
      <c r="AC28" s="478">
        <f>'Budget Filing Data'!AP22</f>
        <v>579.78732803225375</v>
      </c>
      <c r="AD28" s="478">
        <f>'Budget Filing Data'!T22</f>
        <v>198726767.67764139</v>
      </c>
      <c r="AE28" s="478">
        <f>'Budget Filing Data'!U22</f>
        <v>1166845.5160156626</v>
      </c>
      <c r="AF28" s="478">
        <f>'Budget Filing Data'!$V22</f>
        <v>41209.078694019474</v>
      </c>
      <c r="AG28" s="478">
        <f>'Budget Filing Data'!$W22</f>
        <v>6195.9496900431714</v>
      </c>
      <c r="AH28" s="479">
        <v>0</v>
      </c>
    </row>
    <row r="29" spans="3:34" hidden="1">
      <c r="C29" s="470" t="str">
        <f>'Budget Filing Data'!D23</f>
        <v>SDGE_SW_CSA_Appl_PA</v>
      </c>
      <c r="D29" s="470" t="str">
        <f>'Budget Filing Data'!E23</f>
        <v>SW Codes &amp; Standards Advocacy - State Appliance Standards (Utility)</v>
      </c>
      <c r="E29" s="471"/>
      <c r="F29" s="480"/>
      <c r="G29" s="472" t="str">
        <f>'Budget Filing Data'!J23</f>
        <v>IOU Core</v>
      </c>
      <c r="H29" s="472" t="str">
        <f>IF('Budget Filing Data'!H23="","",'Budget Filing Data'!H23)</f>
        <v>SW_CSA_Appl - Codes and Standards Appliance Advocacy</v>
      </c>
      <c r="I29" s="473" t="s">
        <v>24</v>
      </c>
      <c r="J29" s="472" t="str">
        <f>'Budget Filing Data'!G23</f>
        <v>Cross Cutting</v>
      </c>
      <c r="K29" s="472" t="str">
        <f>'Budget Filing Data'!I23</f>
        <v>Codes and Standards</v>
      </c>
      <c r="L29" s="472" t="str">
        <f>'Budget Filing Data'!L23</f>
        <v>Codes and Standards</v>
      </c>
      <c r="M29" s="472">
        <f>'Budget Filing Data'!B23</f>
        <v>2028</v>
      </c>
      <c r="N29" s="474">
        <f t="shared" si="0"/>
        <v>61413.534099999997</v>
      </c>
      <c r="O29" s="475">
        <f>'Budget Filing Data'!AQ23</f>
        <v>13504.8266</v>
      </c>
      <c r="P29" s="475">
        <f>'Budget Filing Data'!AR23</f>
        <v>0</v>
      </c>
      <c r="Q29" s="475">
        <f>'Budget Filing Data'!AS23</f>
        <v>47908.707499999997</v>
      </c>
      <c r="R29" s="475">
        <f>'Budget Filing Data'!AT23</f>
        <v>0</v>
      </c>
      <c r="S29" s="476">
        <f>'Budget Filing Data'!X23</f>
        <v>0</v>
      </c>
      <c r="T29" s="477">
        <f>IFERROR((('Budget Filing Data'!AF23+'Budget Filing Data'!AG23+'Budget Filing Data'!AY23+'Budget Filing Data'!AH23)/'Budget Filing Data'!AA23),"")</f>
        <v>0</v>
      </c>
      <c r="U29" s="477">
        <f>IFERROR((('Budget Filing Data'!AF23+'Budget Filing Data'!AG23+'Budget Filing Data'!AY23+'Budget Filing Data'!AH23)/'Budget Filing Data'!AB23),"")</f>
        <v>0</v>
      </c>
      <c r="V29" s="477">
        <f>IFERROR((('Budget Filing Data'!AF23+'Budget Filing Data'!AG23+'Budget Filing Data'!AY23+'Budget Filing Data'!AH23+'Budget Filing Data'!AW23+'Budget Filing Data'!AX23)/('Budget Filing Data'!AE23)),"")</f>
        <v>0</v>
      </c>
      <c r="W29" s="477">
        <f>IFERROR(('Budget Filing Data'!AI23+'Budget Filing Data'!AJ23+'Budget Filing Data'!AK23+'Budget Filing Data'!AH23)/('Budget Filing Data'!AC23),"")</f>
        <v>0</v>
      </c>
      <c r="X29" s="477">
        <f>IFERROR(('Budget Filing Data'!AL23+'Budget Filing Data'!AM23+'Budget Filing Data'!AN23+'Budget Filing Data'!AH23)/('Budget Filing Data'!AD23),"")</f>
        <v>0</v>
      </c>
      <c r="Y29" s="478">
        <f>'Budget Filing Data'!Q23</f>
        <v>0</v>
      </c>
      <c r="Z29" s="478">
        <f>'Budget Filing Data'!R23</f>
        <v>0</v>
      </c>
      <c r="AA29" s="478">
        <f>'Budget Filing Data'!S23</f>
        <v>0</v>
      </c>
      <c r="AB29" s="478">
        <f>'Budget Filing Data'!AO23</f>
        <v>0</v>
      </c>
      <c r="AC29" s="478">
        <f>'Budget Filing Data'!AP23</f>
        <v>0</v>
      </c>
      <c r="AD29" s="478">
        <f>'Budget Filing Data'!T23</f>
        <v>0</v>
      </c>
      <c r="AE29" s="478">
        <f>'Budget Filing Data'!U23</f>
        <v>0</v>
      </c>
      <c r="AF29" s="478">
        <f>'Budget Filing Data'!$V23</f>
        <v>0</v>
      </c>
      <c r="AG29" s="478">
        <f>'Budget Filing Data'!$W23</f>
        <v>0</v>
      </c>
      <c r="AH29" s="479">
        <v>0</v>
      </c>
    </row>
    <row r="30" spans="3:34" hidden="1">
      <c r="C30" s="470" t="str">
        <f>'Budget Filing Data'!D24</f>
        <v>SDGE_SW_CSA_Bldg</v>
      </c>
      <c r="D30" s="470" t="str">
        <f>'Budget Filing Data'!E24</f>
        <v>SW Codes &amp; Standards Advocacy - State Building Codes</v>
      </c>
      <c r="E30" s="471"/>
      <c r="F30" s="480"/>
      <c r="G30" s="472" t="str">
        <f>'Budget Filing Data'!J24</f>
        <v>Third-Party Solicited</v>
      </c>
      <c r="H30" s="472" t="str">
        <f>IF('Budget Filing Data'!H24="","",'Budget Filing Data'!H24)</f>
        <v>SW_CSA_Bldg - Codes and Standards Building Codes Advocacy</v>
      </c>
      <c r="I30" s="473" t="s">
        <v>24</v>
      </c>
      <c r="J30" s="472" t="str">
        <f>'Budget Filing Data'!G24</f>
        <v>Cross Cutting</v>
      </c>
      <c r="K30" s="472" t="str">
        <f>'Budget Filing Data'!I24</f>
        <v>Codes and Standards</v>
      </c>
      <c r="L30" s="472" t="str">
        <f>'Budget Filing Data'!L24</f>
        <v>Codes and Standards</v>
      </c>
      <c r="M30" s="472">
        <f>'Budget Filing Data'!B24</f>
        <v>2028</v>
      </c>
      <c r="N30" s="474">
        <f t="shared" si="0"/>
        <v>699685.34719999996</v>
      </c>
      <c r="O30" s="475">
        <f>'Budget Filing Data'!AQ24</f>
        <v>0</v>
      </c>
      <c r="P30" s="475">
        <f>'Budget Filing Data'!AR24</f>
        <v>0</v>
      </c>
      <c r="Q30" s="475">
        <f>'Budget Filing Data'!AS24</f>
        <v>699685.34719999996</v>
      </c>
      <c r="R30" s="475">
        <f>'Budget Filing Data'!AT24</f>
        <v>0</v>
      </c>
      <c r="S30" s="476">
        <f>'Budget Filing Data'!X24</f>
        <v>142509676.98019254</v>
      </c>
      <c r="T30" s="477">
        <f>IFERROR((('Budget Filing Data'!AF24+'Budget Filing Data'!AG24+'Budget Filing Data'!AY24+'Budget Filing Data'!AH24)/'Budget Filing Data'!AA24),"")</f>
        <v>1.5528132499065395</v>
      </c>
      <c r="U30" s="477">
        <f>IFERROR((('Budget Filing Data'!AF24+'Budget Filing Data'!AG24+'Budget Filing Data'!AY24+'Budget Filing Data'!AH24)/'Budget Filing Data'!AB24),"")</f>
        <v>203.67680636801657</v>
      </c>
      <c r="V30" s="477">
        <f>IFERROR((('Budget Filing Data'!AF24+'Budget Filing Data'!AG24+'Budget Filing Data'!AY24+'Budget Filing Data'!AH24+'Budget Filing Data'!AW24+'Budget Filing Data'!AX24)/('Budget Filing Data'!AE24)),"")</f>
        <v>0.53042611746498836</v>
      </c>
      <c r="W30" s="477">
        <f>IFERROR(('Budget Filing Data'!AI24+'Budget Filing Data'!AJ24+'Budget Filing Data'!AK24+'Budget Filing Data'!AH24)/('Budget Filing Data'!AC24),"")</f>
        <v>2.2728568497312081</v>
      </c>
      <c r="X30" s="477">
        <f>IFERROR(('Budget Filing Data'!AL24+'Budget Filing Data'!AM24+'Budget Filing Data'!AN24+'Budget Filing Data'!AH24)/('Budget Filing Data'!AD24),"")</f>
        <v>2.2967316175634278</v>
      </c>
      <c r="Y30" s="478">
        <f>'Budget Filing Data'!Q24</f>
        <v>87117820.566606939</v>
      </c>
      <c r="Z30" s="478">
        <f>'Budget Filing Data'!R24</f>
        <v>15911.771532180488</v>
      </c>
      <c r="AA30" s="478">
        <f>'Budget Filing Data'!S24</f>
        <v>1489364.3183881841</v>
      </c>
      <c r="AB30" s="478">
        <f>'Budget Filing Data'!AO24</f>
        <v>20635.734517052671</v>
      </c>
      <c r="AC30" s="478">
        <f>'Budget Filing Data'!AP24</f>
        <v>7908.5245306412498</v>
      </c>
      <c r="AD30" s="478">
        <f>'Budget Filing Data'!T24</f>
        <v>1307530098.5673666</v>
      </c>
      <c r="AE30" s="478">
        <f>'Budget Filing Data'!U24</f>
        <v>23161688.629637357</v>
      </c>
      <c r="AF30" s="478">
        <f>'Budget Filing Data'!$V24</f>
        <v>218845.49012059576</v>
      </c>
      <c r="AG30" s="478">
        <f>'Budget Filing Data'!$W24</f>
        <v>122988.56662337392</v>
      </c>
      <c r="AH30" s="479">
        <v>0</v>
      </c>
    </row>
    <row r="31" spans="3:34" hidden="1">
      <c r="C31" s="470" t="str">
        <f>'Budget Filing Data'!D25</f>
        <v>SDGE_SW_CSA_Bldg_PA</v>
      </c>
      <c r="D31" s="470" t="str">
        <f>'Budget Filing Data'!E25</f>
        <v>SW Codes &amp; Standards Advocacy - State Building Codes (Utility)</v>
      </c>
      <c r="E31" s="471"/>
      <c r="F31" s="480"/>
      <c r="G31" s="472" t="str">
        <f>'Budget Filing Data'!J25</f>
        <v>IOU Core</v>
      </c>
      <c r="H31" s="472" t="str">
        <f>IF('Budget Filing Data'!H25="","",'Budget Filing Data'!H25)</f>
        <v>SW_CSA_Bldg - Codes and Standards Building Codes Advocacy</v>
      </c>
      <c r="I31" s="473" t="s">
        <v>24</v>
      </c>
      <c r="J31" s="472" t="str">
        <f>'Budget Filing Data'!G25</f>
        <v>Cross Cutting</v>
      </c>
      <c r="K31" s="472" t="str">
        <f>'Budget Filing Data'!I25</f>
        <v>Codes and Standards</v>
      </c>
      <c r="L31" s="472" t="str">
        <f>'Budget Filing Data'!L25</f>
        <v>Codes and Standards</v>
      </c>
      <c r="M31" s="472">
        <f>'Budget Filing Data'!B25</f>
        <v>2028</v>
      </c>
      <c r="N31" s="474">
        <f t="shared" si="0"/>
        <v>77074.234599999996</v>
      </c>
      <c r="O31" s="475">
        <f>'Budget Filing Data'!AQ25</f>
        <v>16457.927199999998</v>
      </c>
      <c r="P31" s="475">
        <f>'Budget Filing Data'!AR25</f>
        <v>0</v>
      </c>
      <c r="Q31" s="475">
        <f>'Budget Filing Data'!AS25</f>
        <v>60616.307399999998</v>
      </c>
      <c r="R31" s="475">
        <f>'Budget Filing Data'!AT25</f>
        <v>0</v>
      </c>
      <c r="S31" s="476">
        <f>'Budget Filing Data'!X25</f>
        <v>0</v>
      </c>
      <c r="T31" s="477">
        <f>IFERROR((('Budget Filing Data'!AF25+'Budget Filing Data'!AG25+'Budget Filing Data'!AY25+'Budget Filing Data'!AH25)/'Budget Filing Data'!AA25),"")</f>
        <v>0</v>
      </c>
      <c r="U31" s="477">
        <f>IFERROR((('Budget Filing Data'!AF25+'Budget Filing Data'!AG25+'Budget Filing Data'!AY25+'Budget Filing Data'!AH25)/'Budget Filing Data'!AB25),"")</f>
        <v>0</v>
      </c>
      <c r="V31" s="477">
        <f>IFERROR((('Budget Filing Data'!AF25+'Budget Filing Data'!AG25+'Budget Filing Data'!AY25+'Budget Filing Data'!AH25+'Budget Filing Data'!AW25+'Budget Filing Data'!AX25)/('Budget Filing Data'!AE25)),"")</f>
        <v>0</v>
      </c>
      <c r="W31" s="477">
        <f>IFERROR(('Budget Filing Data'!AI25+'Budget Filing Data'!AJ25+'Budget Filing Data'!AK25+'Budget Filing Data'!AH25)/('Budget Filing Data'!AC25),"")</f>
        <v>0</v>
      </c>
      <c r="X31" s="477">
        <f>IFERROR(('Budget Filing Data'!AL25+'Budget Filing Data'!AM25+'Budget Filing Data'!AN25+'Budget Filing Data'!AH25)/('Budget Filing Data'!AD25),"")</f>
        <v>0</v>
      </c>
      <c r="Y31" s="478">
        <f>'Budget Filing Data'!Q25</f>
        <v>0</v>
      </c>
      <c r="Z31" s="478">
        <f>'Budget Filing Data'!R25</f>
        <v>0</v>
      </c>
      <c r="AA31" s="478">
        <f>'Budget Filing Data'!S25</f>
        <v>0</v>
      </c>
      <c r="AB31" s="478">
        <f>'Budget Filing Data'!AO25</f>
        <v>0</v>
      </c>
      <c r="AC31" s="478">
        <f>'Budget Filing Data'!AP25</f>
        <v>0</v>
      </c>
      <c r="AD31" s="478">
        <f>'Budget Filing Data'!T25</f>
        <v>0</v>
      </c>
      <c r="AE31" s="478">
        <f>'Budget Filing Data'!U25</f>
        <v>0</v>
      </c>
      <c r="AF31" s="478">
        <f>'Budget Filing Data'!$V25</f>
        <v>0</v>
      </c>
      <c r="AG31" s="478">
        <f>'Budget Filing Data'!$W25</f>
        <v>0</v>
      </c>
      <c r="AH31" s="479">
        <v>0</v>
      </c>
    </row>
    <row r="32" spans="3:34" hidden="1">
      <c r="C32" s="470" t="str">
        <f>'Budget Filing Data'!D26</f>
        <v>SDGE_SW_ETP_Elec</v>
      </c>
      <c r="D32" s="470" t="str">
        <f>'Budget Filing Data'!E26</f>
        <v>SW Emerging Technologies - Electric</v>
      </c>
      <c r="E32" s="471"/>
      <c r="F32" s="471"/>
      <c r="G32" s="472" t="str">
        <f>'Budget Filing Data'!J26</f>
        <v>Third-Party Solicited</v>
      </c>
      <c r="H32" s="472" t="str">
        <f>IF('Budget Filing Data'!H26="","",'Budget Filing Data'!H26)</f>
        <v>SW_ETP_Elec - Emerging Technology Programs - Electric</v>
      </c>
      <c r="I32" s="473" t="s">
        <v>15</v>
      </c>
      <c r="J32" s="472" t="str">
        <f>'Budget Filing Data'!G26</f>
        <v>Cross Cutting</v>
      </c>
      <c r="K32" s="472" t="str">
        <f>'Budget Filing Data'!I26</f>
        <v>Emerging Technologies</v>
      </c>
      <c r="L32" s="472" t="str">
        <f>'Budget Filing Data'!L26</f>
        <v>Market Support</v>
      </c>
      <c r="M32" s="472">
        <f>'Budget Filing Data'!B26</f>
        <v>2028</v>
      </c>
      <c r="N32" s="474">
        <f t="shared" si="0"/>
        <v>1547000</v>
      </c>
      <c r="O32" s="475">
        <f>'Budget Filing Data'!AQ26</f>
        <v>0</v>
      </c>
      <c r="P32" s="475">
        <f>'Budget Filing Data'!AR26</f>
        <v>0</v>
      </c>
      <c r="Q32" s="475">
        <f>'Budget Filing Data'!AS26</f>
        <v>1547000</v>
      </c>
      <c r="R32" s="475">
        <f>'Budget Filing Data'!AT26</f>
        <v>0</v>
      </c>
      <c r="S32" s="476">
        <f>'Budget Filing Data'!X26</f>
        <v>0</v>
      </c>
      <c r="T32" s="477">
        <f>IFERROR((('Budget Filing Data'!AF26+'Budget Filing Data'!AG26+'Budget Filing Data'!AY26+'Budget Filing Data'!AH26)/'Budget Filing Data'!AA26),"")</f>
        <v>0</v>
      </c>
      <c r="U32" s="477">
        <f>IFERROR((('Budget Filing Data'!AF26+'Budget Filing Data'!AG26+'Budget Filing Data'!AY26+'Budget Filing Data'!AH26)/'Budget Filing Data'!AB26),"")</f>
        <v>0</v>
      </c>
      <c r="V32" s="477">
        <f>IFERROR((('Budget Filing Data'!AF26+'Budget Filing Data'!AG26+'Budget Filing Data'!AY26+'Budget Filing Data'!AH26+'Budget Filing Data'!AW26+'Budget Filing Data'!AX26)/('Budget Filing Data'!AE26)),"")</f>
        <v>0</v>
      </c>
      <c r="W32" s="477">
        <f>IFERROR(('Budget Filing Data'!AI26+'Budget Filing Data'!AJ26+'Budget Filing Data'!AK26+'Budget Filing Data'!AH26)/('Budget Filing Data'!AC26),"")</f>
        <v>0</v>
      </c>
      <c r="X32" s="477">
        <f>IFERROR(('Budget Filing Data'!AL26+'Budget Filing Data'!AM26+'Budget Filing Data'!AN26+'Budget Filing Data'!AH26)/('Budget Filing Data'!AD26),"")</f>
        <v>0</v>
      </c>
      <c r="Y32" s="478">
        <f>'Budget Filing Data'!Q26</f>
        <v>0</v>
      </c>
      <c r="Z32" s="478">
        <f>'Budget Filing Data'!R26</f>
        <v>0</v>
      </c>
      <c r="AA32" s="478">
        <f>'Budget Filing Data'!S26</f>
        <v>0</v>
      </c>
      <c r="AB32" s="478">
        <f>'Budget Filing Data'!AO26</f>
        <v>0</v>
      </c>
      <c r="AC32" s="478">
        <f>'Budget Filing Data'!AP26</f>
        <v>0</v>
      </c>
      <c r="AD32" s="478">
        <f>'Budget Filing Data'!T26</f>
        <v>0</v>
      </c>
      <c r="AE32" s="478">
        <f>'Budget Filing Data'!U26</f>
        <v>0</v>
      </c>
      <c r="AF32" s="478">
        <f>'Budget Filing Data'!$V26</f>
        <v>0</v>
      </c>
      <c r="AG32" s="478">
        <f>'Budget Filing Data'!$W26</f>
        <v>0</v>
      </c>
      <c r="AH32" s="479">
        <v>0</v>
      </c>
    </row>
    <row r="33" spans="3:34" hidden="1">
      <c r="C33" s="470" t="str">
        <f>'Budget Filing Data'!D27</f>
        <v>SDGE_SW_ETP_Elec_PA</v>
      </c>
      <c r="D33" s="470" t="str">
        <f>'Budget Filing Data'!E27</f>
        <v>SW Emerging Technologies - Electric (Utility)</v>
      </c>
      <c r="E33" s="471" t="s">
        <v>37</v>
      </c>
      <c r="F33" s="471" t="s">
        <v>324</v>
      </c>
      <c r="G33" s="472" t="str">
        <f>'Budget Filing Data'!J27</f>
        <v>IOU Core</v>
      </c>
      <c r="H33" s="472" t="str">
        <f>IF('Budget Filing Data'!H27="","",'Budget Filing Data'!H27)</f>
        <v>SW_ETP_Elec - Emerging Technology Programs - Electric</v>
      </c>
      <c r="I33" s="473" t="s">
        <v>15</v>
      </c>
      <c r="J33" s="472" t="str">
        <f>'Budget Filing Data'!G27</f>
        <v>Cross Cutting</v>
      </c>
      <c r="K33" s="472" t="str">
        <f>'Budget Filing Data'!I27</f>
        <v>Emerging Technologies</v>
      </c>
      <c r="L33" s="472" t="str">
        <f>'Budget Filing Data'!L27</f>
        <v>Market Support</v>
      </c>
      <c r="M33" s="472">
        <f>'Budget Filing Data'!B27</f>
        <v>2028</v>
      </c>
      <c r="N33" s="474">
        <f t="shared" si="0"/>
        <v>98402.365900000004</v>
      </c>
      <c r="O33" s="475">
        <f>'Budget Filing Data'!AQ27</f>
        <v>23618.9663</v>
      </c>
      <c r="P33" s="475">
        <f>'Budget Filing Data'!AR27</f>
        <v>0</v>
      </c>
      <c r="Q33" s="475">
        <f>'Budget Filing Data'!AS27</f>
        <v>74783.399600000004</v>
      </c>
      <c r="R33" s="475">
        <f>'Budget Filing Data'!AT27</f>
        <v>0</v>
      </c>
      <c r="S33" s="476">
        <f>'Budget Filing Data'!X27</f>
        <v>0</v>
      </c>
      <c r="T33" s="477">
        <f>IFERROR((('Budget Filing Data'!AF27+'Budget Filing Data'!AG27+'Budget Filing Data'!AY27+'Budget Filing Data'!AH27)/'Budget Filing Data'!AA27),"")</f>
        <v>0</v>
      </c>
      <c r="U33" s="477">
        <f>IFERROR((('Budget Filing Data'!AF27+'Budget Filing Data'!AG27+'Budget Filing Data'!AY27+'Budget Filing Data'!AH27)/'Budget Filing Data'!AB27),"")</f>
        <v>0</v>
      </c>
      <c r="V33" s="477">
        <f>IFERROR((('Budget Filing Data'!AF27+'Budget Filing Data'!AG27+'Budget Filing Data'!AY27+'Budget Filing Data'!AH27+'Budget Filing Data'!AW27+'Budget Filing Data'!AX27)/('Budget Filing Data'!AE27)),"")</f>
        <v>0</v>
      </c>
      <c r="W33" s="477">
        <f>IFERROR(('Budget Filing Data'!AI27+'Budget Filing Data'!AJ27+'Budget Filing Data'!AK27+'Budget Filing Data'!AH27)/('Budget Filing Data'!AC27),"")</f>
        <v>0</v>
      </c>
      <c r="X33" s="477">
        <f>IFERROR(('Budget Filing Data'!AL27+'Budget Filing Data'!AM27+'Budget Filing Data'!AN27+'Budget Filing Data'!AH27)/('Budget Filing Data'!AD27),"")</f>
        <v>0</v>
      </c>
      <c r="Y33" s="478">
        <f>'Budget Filing Data'!Q27</f>
        <v>0</v>
      </c>
      <c r="Z33" s="478">
        <f>'Budget Filing Data'!R27</f>
        <v>0</v>
      </c>
      <c r="AA33" s="478">
        <f>'Budget Filing Data'!S27</f>
        <v>0</v>
      </c>
      <c r="AB33" s="478">
        <f>'Budget Filing Data'!AO27</f>
        <v>0</v>
      </c>
      <c r="AC33" s="478">
        <f>'Budget Filing Data'!AP27</f>
        <v>0</v>
      </c>
      <c r="AD33" s="478">
        <f>'Budget Filing Data'!T27</f>
        <v>0</v>
      </c>
      <c r="AE33" s="478">
        <f>'Budget Filing Data'!U27</f>
        <v>0</v>
      </c>
      <c r="AF33" s="478">
        <f>'Budget Filing Data'!$V27</f>
        <v>0</v>
      </c>
      <c r="AG33" s="478">
        <f>'Budget Filing Data'!$W27</f>
        <v>0</v>
      </c>
      <c r="AH33" s="479">
        <v>0</v>
      </c>
    </row>
    <row r="34" spans="3:34" hidden="1">
      <c r="C34" s="470" t="str">
        <f>'Budget Filing Data'!D28</f>
        <v>SDGE_SW_IP_Gov</v>
      </c>
      <c r="D34" s="470" t="str">
        <f>'Budget Filing Data'!E28</f>
        <v>SW Institutional Partnerships: DGS &amp; DoC</v>
      </c>
      <c r="E34" s="471"/>
      <c r="F34" s="480"/>
      <c r="G34" s="472" t="str">
        <f>'Budget Filing Data'!J28</f>
        <v>Third-Party Solicited</v>
      </c>
      <c r="H34" s="472" t="str">
        <f>IF('Budget Filing Data'!H28="","",'Budget Filing Data'!H28)</f>
        <v>SW_IP_Gov - Institutional Partnerships - Government</v>
      </c>
      <c r="I34" s="473" t="s">
        <v>24</v>
      </c>
      <c r="J34" s="472" t="str">
        <f>'Budget Filing Data'!G28</f>
        <v>Public</v>
      </c>
      <c r="K34" s="472" t="str">
        <f>'Budget Filing Data'!I28</f>
        <v>Government Partnerships</v>
      </c>
      <c r="L34" s="472" t="str">
        <f>'Budget Filing Data'!L28</f>
        <v>Resource Acquisition</v>
      </c>
      <c r="M34" s="472">
        <f>'Budget Filing Data'!B28</f>
        <v>2028</v>
      </c>
      <c r="N34" s="474">
        <f t="shared" si="0"/>
        <v>230942.56008599998</v>
      </c>
      <c r="O34" s="475">
        <f>'Budget Filing Data'!AQ28</f>
        <v>9523.2000000000007</v>
      </c>
      <c r="P34" s="475">
        <f>'Budget Filing Data'!AR28</f>
        <v>496</v>
      </c>
      <c r="Q34" s="475">
        <f>'Budget Filing Data'!AS28</f>
        <v>135746.1678</v>
      </c>
      <c r="R34" s="475">
        <f>'Budget Filing Data'!AT28</f>
        <v>85177.192285999976</v>
      </c>
      <c r="S34" s="476">
        <f>'Budget Filing Data'!X28</f>
        <v>158815.59200674004</v>
      </c>
      <c r="T34" s="477">
        <f>IFERROR((('Budget Filing Data'!AF28+'Budget Filing Data'!AG28+'Budget Filing Data'!AY28+'Budget Filing Data'!AH28)/'Budget Filing Data'!AA28),"")</f>
        <v>0.54009727524020568</v>
      </c>
      <c r="U34" s="477">
        <f>IFERROR((('Budget Filing Data'!AF28+'Budget Filing Data'!AG28+'Budget Filing Data'!AY28+'Budget Filing Data'!AH28)/'Budget Filing Data'!AB28),"")</f>
        <v>0.72836017828933786</v>
      </c>
      <c r="V34" s="477">
        <f>IFERROR((('Budget Filing Data'!AF28+'Budget Filing Data'!AG28+'Budget Filing Data'!AY28+'Budget Filing Data'!AH28+'Budget Filing Data'!AW28+'Budget Filing Data'!AX28)/('Budget Filing Data'!AE28)),"")</f>
        <v>0.46709037204690429</v>
      </c>
      <c r="W34" s="477">
        <f>IFERROR(('Budget Filing Data'!AI28+'Budget Filing Data'!AJ28+'Budget Filing Data'!AK28+'Budget Filing Data'!AH28)/('Budget Filing Data'!AC28),"")</f>
        <v>0.72511629657793963</v>
      </c>
      <c r="X34" s="477">
        <f>IFERROR(('Budget Filing Data'!AL28+'Budget Filing Data'!AM28+'Budget Filing Data'!AN28+'Budget Filing Data'!AH28)/('Budget Filing Data'!AD28),"")</f>
        <v>0.72922198198897614</v>
      </c>
      <c r="Y34" s="478">
        <f>'Budget Filing Data'!Q28</f>
        <v>150540.75927920104</v>
      </c>
      <c r="Z34" s="478">
        <f>'Budget Filing Data'!R28</f>
        <v>53.833541580016373</v>
      </c>
      <c r="AA34" s="478">
        <f>'Budget Filing Data'!S28</f>
        <v>5990.6015399604003</v>
      </c>
      <c r="AB34" s="478">
        <f>'Budget Filing Data'!AO28</f>
        <v>31.316542311223809</v>
      </c>
      <c r="AC34" s="478">
        <f>'Budget Filing Data'!AP28</f>
        <v>31.810094177189722</v>
      </c>
      <c r="AD34" s="478">
        <f>'Budget Filing Data'!T28</f>
        <v>529193.68087449484</v>
      </c>
      <c r="AE34" s="478">
        <f>'Budget Filing Data'!U28</f>
        <v>79917.088019465402</v>
      </c>
      <c r="AF34" s="478">
        <f>'Budget Filing Data'!$V28</f>
        <v>138.17822842458187</v>
      </c>
      <c r="AG34" s="478">
        <f>'Budget Filing Data'!$W28</f>
        <v>424.35973738336116</v>
      </c>
      <c r="AH34" s="479">
        <v>0</v>
      </c>
    </row>
    <row r="35" spans="3:34" hidden="1">
      <c r="C35" s="470" t="str">
        <f>'Budget Filing Data'!D29</f>
        <v>SDGE_SW_IP_Gov_PA</v>
      </c>
      <c r="D35" s="470" t="str">
        <f>'Budget Filing Data'!E29</f>
        <v>SW Institutional Partnerships: DGS &amp; DoC (Utility)</v>
      </c>
      <c r="E35" s="471"/>
      <c r="F35" s="480"/>
      <c r="G35" s="472" t="str">
        <f>'Budget Filing Data'!J29</f>
        <v>IOU Core</v>
      </c>
      <c r="H35" s="472" t="str">
        <f>IF('Budget Filing Data'!H29="","",'Budget Filing Data'!H29)</f>
        <v>SW_IP_Gov - Institutional Partnerships - Government</v>
      </c>
      <c r="I35" s="473" t="s">
        <v>24</v>
      </c>
      <c r="J35" s="472" t="str">
        <f>'Budget Filing Data'!G29</f>
        <v>Public</v>
      </c>
      <c r="K35" s="472" t="str">
        <f>'Budget Filing Data'!I29</f>
        <v>Government Partnerships</v>
      </c>
      <c r="L35" s="472" t="str">
        <f>'Budget Filing Data'!L29</f>
        <v>Resource Acquisition</v>
      </c>
      <c r="M35" s="472">
        <f>'Budget Filing Data'!B29</f>
        <v>2028</v>
      </c>
      <c r="N35" s="474">
        <f t="shared" si="0"/>
        <v>3160.2175999999999</v>
      </c>
      <c r="O35" s="475">
        <f>'Budget Filing Data'!AQ29</f>
        <v>3160.2175999999999</v>
      </c>
      <c r="P35" s="475">
        <f>'Budget Filing Data'!AR29</f>
        <v>0</v>
      </c>
      <c r="Q35" s="475">
        <f>'Budget Filing Data'!AS29</f>
        <v>0</v>
      </c>
      <c r="R35" s="475">
        <f>'Budget Filing Data'!AT29</f>
        <v>0</v>
      </c>
      <c r="S35" s="476">
        <f>'Budget Filing Data'!X29</f>
        <v>0</v>
      </c>
      <c r="T35" s="477">
        <f>IFERROR((('Budget Filing Data'!AF29+'Budget Filing Data'!AG29+'Budget Filing Data'!AY29+'Budget Filing Data'!AH29)/'Budget Filing Data'!AA29),"")</f>
        <v>0</v>
      </c>
      <c r="U35" s="477">
        <f>IFERROR((('Budget Filing Data'!AF29+'Budget Filing Data'!AG29+'Budget Filing Data'!AY29+'Budget Filing Data'!AH29)/'Budget Filing Data'!AB29),"")</f>
        <v>0</v>
      </c>
      <c r="V35" s="477">
        <f>IFERROR((('Budget Filing Data'!AF29+'Budget Filing Data'!AG29+'Budget Filing Data'!AY29+'Budget Filing Data'!AH29+'Budget Filing Data'!AW29+'Budget Filing Data'!AX29)/('Budget Filing Data'!AE29)),"")</f>
        <v>0</v>
      </c>
      <c r="W35" s="477">
        <f>IFERROR(('Budget Filing Data'!AI29+'Budget Filing Data'!AJ29+'Budget Filing Data'!AK29+'Budget Filing Data'!AH29)/('Budget Filing Data'!AC29),"")</f>
        <v>0</v>
      </c>
      <c r="X35" s="477">
        <f>IFERROR(('Budget Filing Data'!AL29+'Budget Filing Data'!AM29+'Budget Filing Data'!AN29+'Budget Filing Data'!AH29)/('Budget Filing Data'!AD29),"")</f>
        <v>0</v>
      </c>
      <c r="Y35" s="478">
        <f>'Budget Filing Data'!Q29</f>
        <v>0</v>
      </c>
      <c r="Z35" s="478">
        <f>'Budget Filing Data'!R29</f>
        <v>0</v>
      </c>
      <c r="AA35" s="478">
        <f>'Budget Filing Data'!S29</f>
        <v>0</v>
      </c>
      <c r="AB35" s="478">
        <f>'Budget Filing Data'!AO29</f>
        <v>0</v>
      </c>
      <c r="AC35" s="478">
        <f>'Budget Filing Data'!AP29</f>
        <v>0</v>
      </c>
      <c r="AD35" s="478">
        <f>'Budget Filing Data'!T29</f>
        <v>0</v>
      </c>
      <c r="AE35" s="478">
        <f>'Budget Filing Data'!U29</f>
        <v>0</v>
      </c>
      <c r="AF35" s="478">
        <f>'Budget Filing Data'!$V29</f>
        <v>0</v>
      </c>
      <c r="AG35" s="478">
        <f>'Budget Filing Data'!$W29</f>
        <v>0</v>
      </c>
      <c r="AH35" s="479">
        <v>0</v>
      </c>
    </row>
    <row r="36" spans="3:34" hidden="1">
      <c r="C36" s="470" t="str">
        <f>'Budget Filing Data'!D30</f>
        <v>SDGE_SW_IP_Colleges</v>
      </c>
      <c r="D36" s="470" t="str">
        <f>'Budget Filing Data'!E30</f>
        <v>SW Higher Education</v>
      </c>
      <c r="E36" s="471" t="s">
        <v>42</v>
      </c>
      <c r="F36" s="471" t="s">
        <v>323</v>
      </c>
      <c r="G36" s="472" t="str">
        <f>'Budget Filing Data'!J30</f>
        <v>Third-Party Solicited</v>
      </c>
      <c r="H36" s="472" t="str">
        <f>IF('Budget Filing Data'!H30="","",'Budget Filing Data'!H30)</f>
        <v>SW_IP_Colleges - Institutional Partnerships - Colleges</v>
      </c>
      <c r="I36" s="473" t="s">
        <v>24</v>
      </c>
      <c r="J36" s="472" t="str">
        <f>'Budget Filing Data'!G30</f>
        <v>Public</v>
      </c>
      <c r="K36" s="472" t="str">
        <f>'Budget Filing Data'!I30</f>
        <v>Government Partnerships</v>
      </c>
      <c r="L36" s="472" t="str">
        <f>'Budget Filing Data'!L30</f>
        <v>Resource Acquisition</v>
      </c>
      <c r="M36" s="472">
        <f>'Budget Filing Data'!B30</f>
        <v>2028</v>
      </c>
      <c r="N36" s="474">
        <f t="shared" si="0"/>
        <v>426477.43793439999</v>
      </c>
      <c r="O36" s="475">
        <f>'Budget Filing Data'!AQ30</f>
        <v>0</v>
      </c>
      <c r="P36" s="475">
        <f>'Budget Filing Data'!AR30</f>
        <v>0</v>
      </c>
      <c r="Q36" s="475">
        <f>'Budget Filing Data'!AS30</f>
        <v>276798.6666</v>
      </c>
      <c r="R36" s="475">
        <f>'Budget Filing Data'!AT30</f>
        <v>149678.77133439999</v>
      </c>
      <c r="S36" s="476">
        <f>'Budget Filing Data'!X30</f>
        <v>666804.28269191098</v>
      </c>
      <c r="T36" s="477">
        <f>IFERROR((('Budget Filing Data'!AF30+'Budget Filing Data'!AG30+'Budget Filing Data'!AY30+'Budget Filing Data'!AH30)/'Budget Filing Data'!AA30),"")</f>
        <v>1.2417402202686298</v>
      </c>
      <c r="U36" s="477">
        <f>IFERROR((('Budget Filing Data'!AF30+'Budget Filing Data'!AG30+'Budget Filing Data'!AY30+'Budget Filing Data'!AH30)/'Budget Filing Data'!AB30),"")</f>
        <v>1.5944322936530388</v>
      </c>
      <c r="V36" s="477">
        <f>IFERROR((('Budget Filing Data'!AF30+'Budget Filing Data'!AG30+'Budget Filing Data'!AY30+'Budget Filing Data'!AH30+'Budget Filing Data'!AW30+'Budget Filing Data'!AX30)/('Budget Filing Data'!AE30)),"")</f>
        <v>0.34907136805345867</v>
      </c>
      <c r="W36" s="477">
        <f>IFERROR(('Budget Filing Data'!AI30+'Budget Filing Data'!AJ30+'Budget Filing Data'!AK30+'Budget Filing Data'!AH30)/('Budget Filing Data'!AC30),"")</f>
        <v>1.3884762168300762</v>
      </c>
      <c r="X36" s="477">
        <f>IFERROR(('Budget Filing Data'!AL30+'Budget Filing Data'!AM30+'Budget Filing Data'!AN30+'Budget Filing Data'!AH30)/('Budget Filing Data'!AD30),"")</f>
        <v>1.3884762168300762</v>
      </c>
      <c r="Y36" s="478">
        <f>'Budget Filing Data'!Q30</f>
        <v>823836.78581319202</v>
      </c>
      <c r="Z36" s="478">
        <f>'Budget Filing Data'!R30</f>
        <v>683.78452395239196</v>
      </c>
      <c r="AA36" s="478">
        <f>'Budget Filing Data'!S30</f>
        <v>0</v>
      </c>
      <c r="AB36" s="478">
        <f>'Budget Filing Data'!AO30</f>
        <v>158.38978945262201</v>
      </c>
      <c r="AC36" s="478">
        <f>'Budget Filing Data'!AP30</f>
        <v>0</v>
      </c>
      <c r="AD36" s="478">
        <f>'Budget Filing Data'!T30</f>
        <v>6590694.2865055297</v>
      </c>
      <c r="AE36" s="478">
        <f>'Budget Filing Data'!U30</f>
        <v>0</v>
      </c>
      <c r="AF36" s="478">
        <f>'Budget Filing Data'!$V30</f>
        <v>1054.41543839005</v>
      </c>
      <c r="AG36" s="478">
        <f>'Budget Filing Data'!$W30</f>
        <v>0</v>
      </c>
      <c r="AH36" s="479">
        <v>0</v>
      </c>
    </row>
    <row r="37" spans="3:34" ht="25.5" hidden="1">
      <c r="C37" s="470" t="str">
        <f>'Budget Filing Data'!D31</f>
        <v>SDGE_SW_IP_Colleges_PA</v>
      </c>
      <c r="D37" s="470" t="str">
        <f>'Budget Filing Data'!E31</f>
        <v>SW Higher Education (Utility)</v>
      </c>
      <c r="E37" s="471" t="s">
        <v>42</v>
      </c>
      <c r="F37" s="471" t="s">
        <v>325</v>
      </c>
      <c r="G37" s="472" t="str">
        <f>'Budget Filing Data'!J31</f>
        <v>IOU Core</v>
      </c>
      <c r="H37" s="472" t="str">
        <f>IF('Budget Filing Data'!H31="","",'Budget Filing Data'!H31)</f>
        <v>SW_IP_Colleges - Institutional Partnerships - Colleges</v>
      </c>
      <c r="I37" s="473" t="s">
        <v>24</v>
      </c>
      <c r="J37" s="472" t="str">
        <f>'Budget Filing Data'!G31</f>
        <v>Public</v>
      </c>
      <c r="K37" s="472" t="str">
        <f>'Budget Filing Data'!I31</f>
        <v>Government Partnerships</v>
      </c>
      <c r="L37" s="472" t="str">
        <f>'Budget Filing Data'!L31</f>
        <v>Resource Acquisition</v>
      </c>
      <c r="M37" s="472">
        <f>'Budget Filing Data'!B31</f>
        <v>2028</v>
      </c>
      <c r="N37" s="474">
        <f t="shared" si="0"/>
        <v>4333.1976000000004</v>
      </c>
      <c r="O37" s="475">
        <f>'Budget Filing Data'!AQ31</f>
        <v>4333.1976000000004</v>
      </c>
      <c r="P37" s="475">
        <f>'Budget Filing Data'!AR31</f>
        <v>0</v>
      </c>
      <c r="Q37" s="475">
        <f>'Budget Filing Data'!AS31</f>
        <v>0</v>
      </c>
      <c r="R37" s="475">
        <f>'Budget Filing Data'!AT31</f>
        <v>0</v>
      </c>
      <c r="S37" s="476">
        <f>'Budget Filing Data'!X31</f>
        <v>0</v>
      </c>
      <c r="T37" s="477">
        <f>IFERROR((('Budget Filing Data'!AF31+'Budget Filing Data'!AG31+'Budget Filing Data'!AY31+'Budget Filing Data'!AH31)/'Budget Filing Data'!AA31),"")</f>
        <v>0</v>
      </c>
      <c r="U37" s="477">
        <f>IFERROR((('Budget Filing Data'!AF31+'Budget Filing Data'!AG31+'Budget Filing Data'!AY31+'Budget Filing Data'!AH31)/'Budget Filing Data'!AB31),"")</f>
        <v>0</v>
      </c>
      <c r="V37" s="477">
        <f>IFERROR((('Budget Filing Data'!AF31+'Budget Filing Data'!AG31+'Budget Filing Data'!AY31+'Budget Filing Data'!AH31+'Budget Filing Data'!AW31+'Budget Filing Data'!AX31)/('Budget Filing Data'!AE31)),"")</f>
        <v>0</v>
      </c>
      <c r="W37" s="477">
        <f>IFERROR(('Budget Filing Data'!AI31+'Budget Filing Data'!AJ31+'Budget Filing Data'!AK31+'Budget Filing Data'!AH31)/('Budget Filing Data'!AC31),"")</f>
        <v>0</v>
      </c>
      <c r="X37" s="477">
        <f>IFERROR(('Budget Filing Data'!AL31+'Budget Filing Data'!AM31+'Budget Filing Data'!AN31+'Budget Filing Data'!AH31)/('Budget Filing Data'!AD31),"")</f>
        <v>0</v>
      </c>
      <c r="Y37" s="478">
        <f>'Budget Filing Data'!Q31</f>
        <v>0</v>
      </c>
      <c r="Z37" s="478">
        <f>'Budget Filing Data'!R31</f>
        <v>0</v>
      </c>
      <c r="AA37" s="478">
        <f>'Budget Filing Data'!S31</f>
        <v>0</v>
      </c>
      <c r="AB37" s="478">
        <f>'Budget Filing Data'!AO31</f>
        <v>0</v>
      </c>
      <c r="AC37" s="478">
        <f>'Budget Filing Data'!AP31</f>
        <v>0</v>
      </c>
      <c r="AD37" s="478">
        <f>'Budget Filing Data'!T31</f>
        <v>0</v>
      </c>
      <c r="AE37" s="478">
        <f>'Budget Filing Data'!U31</f>
        <v>0</v>
      </c>
      <c r="AF37" s="478">
        <f>'Budget Filing Data'!$V31</f>
        <v>0</v>
      </c>
      <c r="AG37" s="478">
        <f>'Budget Filing Data'!$W31</f>
        <v>0</v>
      </c>
      <c r="AH37" s="479">
        <v>0</v>
      </c>
    </row>
    <row r="38" spans="3:34" hidden="1">
      <c r="C38" s="470" t="str">
        <f>'Budget Filing Data'!D32</f>
        <v>SDGE_SW_MCWH</v>
      </c>
      <c r="D38" s="470" t="str">
        <f>'Budget Filing Data'!E32</f>
        <v>SW Midstream Commercial Water Heating</v>
      </c>
      <c r="E38" s="471"/>
      <c r="F38" s="480"/>
      <c r="G38" s="472" t="str">
        <f>'Budget Filing Data'!J32</f>
        <v>Third-Party Solicited</v>
      </c>
      <c r="H38" s="472" t="str">
        <f>IF('Budget Filing Data'!H32="","",'Budget Filing Data'!H32)</f>
        <v>SW_MCWH - Midstream Commercial Water Heating</v>
      </c>
      <c r="I38" s="473" t="s">
        <v>24</v>
      </c>
      <c r="J38" s="472" t="str">
        <f>'Budget Filing Data'!G32</f>
        <v>Commercial</v>
      </c>
      <c r="K38" s="472" t="str">
        <f>'Budget Filing Data'!I32</f>
        <v>Other</v>
      </c>
      <c r="L38" s="472" t="str">
        <f>'Budget Filing Data'!L32</f>
        <v>Resource Acquisition</v>
      </c>
      <c r="M38" s="472">
        <f>'Budget Filing Data'!B32</f>
        <v>2028</v>
      </c>
      <c r="N38" s="474">
        <f t="shared" si="0"/>
        <v>2427599.9999266239</v>
      </c>
      <c r="O38" s="475">
        <f>'Budget Filing Data'!AQ32</f>
        <v>284760.36629999999</v>
      </c>
      <c r="P38" s="475">
        <f>'Budget Filing Data'!AR32</f>
        <v>207222.9277</v>
      </c>
      <c r="Q38" s="475">
        <f>'Budget Filing Data'!AS32</f>
        <v>702690.96600000001</v>
      </c>
      <c r="R38" s="475">
        <f>'Budget Filing Data'!AT32</f>
        <v>1232925.7399266236</v>
      </c>
      <c r="S38" s="476">
        <f>'Budget Filing Data'!X32</f>
        <v>14401266.611824039</v>
      </c>
      <c r="T38" s="477">
        <f>IFERROR((('Budget Filing Data'!AF32+'Budget Filing Data'!AG32+'Budget Filing Data'!AY32+'Budget Filing Data'!AH32)/'Budget Filing Data'!AA32),"")</f>
        <v>3.9887715869492983</v>
      </c>
      <c r="U38" s="477">
        <f>IFERROR((('Budget Filing Data'!AF32+'Budget Filing Data'!AG32+'Budget Filing Data'!AY32+'Budget Filing Data'!AH32)/'Budget Filing Data'!AB32),"")</f>
        <v>4.7554614696569759</v>
      </c>
      <c r="V38" s="477">
        <f>IFERROR((('Budget Filing Data'!AF32+'Budget Filing Data'!AG32+'Budget Filing Data'!AY32+'Budget Filing Data'!AH32+'Budget Filing Data'!AW32+'Budget Filing Data'!AX32)/('Budget Filing Data'!AE32)),"")</f>
        <v>1.2064458333712011</v>
      </c>
      <c r="W38" s="477">
        <f>IFERROR(('Budget Filing Data'!AI32+'Budget Filing Data'!AJ32+'Budget Filing Data'!AK32+'Budget Filing Data'!AH32)/('Budget Filing Data'!AC32),"")</f>
        <v>5.9481819455924967</v>
      </c>
      <c r="X38" s="477">
        <f>IFERROR(('Budget Filing Data'!AL32+'Budget Filing Data'!AM32+'Budget Filing Data'!AN32+'Budget Filing Data'!AH32)/('Budget Filing Data'!AD32),"")</f>
        <v>5.9552001073016863</v>
      </c>
      <c r="Y38" s="478">
        <f>'Budget Filing Data'!Q32</f>
        <v>-520731.14178689884</v>
      </c>
      <c r="Z38" s="478">
        <f>'Budget Filing Data'!R32</f>
        <v>-1.4474483183296512</v>
      </c>
      <c r="AA38" s="478">
        <f>'Budget Filing Data'!S32</f>
        <v>573622.42326910747</v>
      </c>
      <c r="AB38" s="478">
        <f>'Budget Filing Data'!AO32</f>
        <v>-100.91414359096719</v>
      </c>
      <c r="AC38" s="478">
        <f>'Budget Filing Data'!AP32</f>
        <v>3045.9350675589594</v>
      </c>
      <c r="AD38" s="478">
        <f>'Budget Filing Data'!T32</f>
        <v>-8894952.6766490564</v>
      </c>
      <c r="AE38" s="478">
        <f>'Budget Filing Data'!U32</f>
        <v>10475710.522140378</v>
      </c>
      <c r="AF38" s="478">
        <f>'Budget Filing Data'!$V32</f>
        <v>-1415.4644958750941</v>
      </c>
      <c r="AG38" s="478">
        <f>'Budget Filing Data'!$W32</f>
        <v>55626.022872565358</v>
      </c>
      <c r="AH38" s="479">
        <v>0</v>
      </c>
    </row>
    <row r="39" spans="3:34" ht="25.5" hidden="1">
      <c r="C39" s="470" t="str">
        <f>'Budget Filing Data'!D33</f>
        <v>SDGE_SW_MCWH_PA</v>
      </c>
      <c r="D39" s="470" t="str">
        <f>'Budget Filing Data'!E33</f>
        <v>SW Midstream Commercial Water Heating (Utility)</v>
      </c>
      <c r="E39" s="471" t="s">
        <v>42</v>
      </c>
      <c r="F39" s="471" t="s">
        <v>325</v>
      </c>
      <c r="G39" s="472" t="str">
        <f>'Budget Filing Data'!J33</f>
        <v>IOU Core</v>
      </c>
      <c r="H39" s="472" t="str">
        <f>IF('Budget Filing Data'!H33="","",'Budget Filing Data'!H33)</f>
        <v>SW_MCWH - Midstream Commercial Water Heating</v>
      </c>
      <c r="I39" s="473" t="s">
        <v>24</v>
      </c>
      <c r="J39" s="472" t="str">
        <f>'Budget Filing Data'!G33</f>
        <v>Commercial</v>
      </c>
      <c r="K39" s="472" t="str">
        <f>'Budget Filing Data'!I33</f>
        <v>Other</v>
      </c>
      <c r="L39" s="472" t="str">
        <f>'Budget Filing Data'!L33</f>
        <v>Resource Acquisition</v>
      </c>
      <c r="M39" s="472">
        <f>'Budget Filing Data'!B33</f>
        <v>2028</v>
      </c>
      <c r="N39" s="474">
        <f t="shared" si="0"/>
        <v>16337.597599999999</v>
      </c>
      <c r="O39" s="475">
        <f>'Budget Filing Data'!AQ33</f>
        <v>16337.597599999999</v>
      </c>
      <c r="P39" s="475">
        <f>'Budget Filing Data'!AR33</f>
        <v>0</v>
      </c>
      <c r="Q39" s="475">
        <f>'Budget Filing Data'!AS33</f>
        <v>0</v>
      </c>
      <c r="R39" s="475">
        <f>'Budget Filing Data'!AT33</f>
        <v>0</v>
      </c>
      <c r="S39" s="476">
        <f>'Budget Filing Data'!X33</f>
        <v>0</v>
      </c>
      <c r="T39" s="477">
        <f>IFERROR((('Budget Filing Data'!AF33+'Budget Filing Data'!AG33+'Budget Filing Data'!AY33+'Budget Filing Data'!AH33)/'Budget Filing Data'!AA33),"")</f>
        <v>0</v>
      </c>
      <c r="U39" s="477">
        <f>IFERROR((('Budget Filing Data'!AF33+'Budget Filing Data'!AG33+'Budget Filing Data'!AY33+'Budget Filing Data'!AH33)/'Budget Filing Data'!AB33),"")</f>
        <v>0</v>
      </c>
      <c r="V39" s="477">
        <f>IFERROR((('Budget Filing Data'!AF33+'Budget Filing Data'!AG33+'Budget Filing Data'!AY33+'Budget Filing Data'!AH33+'Budget Filing Data'!AW33+'Budget Filing Data'!AX33)/('Budget Filing Data'!AE33)),"")</f>
        <v>0</v>
      </c>
      <c r="W39" s="477">
        <f>IFERROR(('Budget Filing Data'!AI33+'Budget Filing Data'!AJ33+'Budget Filing Data'!AK33+'Budget Filing Data'!AH33)/('Budget Filing Data'!AC33),"")</f>
        <v>0</v>
      </c>
      <c r="X39" s="477">
        <f>IFERROR(('Budget Filing Data'!AL33+'Budget Filing Data'!AM33+'Budget Filing Data'!AN33+'Budget Filing Data'!AH33)/('Budget Filing Data'!AD33),"")</f>
        <v>0</v>
      </c>
      <c r="Y39" s="478">
        <f>'Budget Filing Data'!Q33</f>
        <v>0</v>
      </c>
      <c r="Z39" s="478">
        <f>'Budget Filing Data'!R33</f>
        <v>0</v>
      </c>
      <c r="AA39" s="478">
        <f>'Budget Filing Data'!S33</f>
        <v>0</v>
      </c>
      <c r="AB39" s="478">
        <f>'Budget Filing Data'!AO33</f>
        <v>0</v>
      </c>
      <c r="AC39" s="478">
        <f>'Budget Filing Data'!AP33</f>
        <v>0</v>
      </c>
      <c r="AD39" s="478">
        <f>'Budget Filing Data'!T33</f>
        <v>0</v>
      </c>
      <c r="AE39" s="478">
        <f>'Budget Filing Data'!U33</f>
        <v>0</v>
      </c>
      <c r="AF39" s="478">
        <f>'Budget Filing Data'!$V33</f>
        <v>0</v>
      </c>
      <c r="AG39" s="478">
        <f>'Budget Filing Data'!$W33</f>
        <v>0</v>
      </c>
      <c r="AH39" s="479">
        <v>0</v>
      </c>
    </row>
    <row r="40" spans="3:34" hidden="1">
      <c r="C40" s="470" t="str">
        <f>'Budget Filing Data'!D34</f>
        <v>SDGE_SW_FS</v>
      </c>
      <c r="D40" s="470" t="str">
        <f>'Budget Filing Data'!E34</f>
        <v>SW Foodservice Point of Sale Program</v>
      </c>
      <c r="E40" s="471"/>
      <c r="F40" s="480"/>
      <c r="G40" s="472" t="str">
        <f>'Budget Filing Data'!J34</f>
        <v>Third-Party Solicited</v>
      </c>
      <c r="H40" s="472" t="str">
        <f>IF('Budget Filing Data'!H34="","",'Budget Filing Data'!H34)</f>
        <v>SW_FS - Food Service</v>
      </c>
      <c r="I40" s="473" t="s">
        <v>24</v>
      </c>
      <c r="J40" s="472" t="str">
        <f>'Budget Filing Data'!G34</f>
        <v>Commercial</v>
      </c>
      <c r="K40" s="472" t="str">
        <f>'Budget Filing Data'!I34</f>
        <v>Other</v>
      </c>
      <c r="L40" s="472" t="str">
        <f>'Budget Filing Data'!L34</f>
        <v>Resource Acquisition</v>
      </c>
      <c r="M40" s="472">
        <f>'Budget Filing Data'!B34</f>
        <v>2028</v>
      </c>
      <c r="N40" s="474">
        <f t="shared" si="0"/>
        <v>2196399.9995999993</v>
      </c>
      <c r="O40" s="475">
        <f>'Budget Filing Data'!AQ34</f>
        <v>204640.3132</v>
      </c>
      <c r="P40" s="475">
        <f>'Budget Filing Data'!AR34</f>
        <v>152645.2409</v>
      </c>
      <c r="Q40" s="475">
        <f>'Budget Filing Data'!AS34</f>
        <v>876537.52150000003</v>
      </c>
      <c r="R40" s="475">
        <f>'Budget Filing Data'!AT34</f>
        <v>962576.9239999993</v>
      </c>
      <c r="S40" s="476">
        <f>'Budget Filing Data'!X34</f>
        <v>4755404.047858052</v>
      </c>
      <c r="T40" s="477">
        <f>IFERROR((('Budget Filing Data'!AF34+'Budget Filing Data'!AG34+'Budget Filing Data'!AY34+'Budget Filing Data'!AH34)/'Budget Filing Data'!AA34),"")</f>
        <v>1.5792384602176104</v>
      </c>
      <c r="U40" s="477">
        <f>IFERROR((('Budget Filing Data'!AF34+'Budget Filing Data'!AG34+'Budget Filing Data'!AY34+'Budget Filing Data'!AH34)/'Budget Filing Data'!AB34),"")</f>
        <v>2.2140148261917783</v>
      </c>
      <c r="V40" s="477">
        <f>IFERROR((('Budget Filing Data'!AF34+'Budget Filing Data'!AG34+'Budget Filing Data'!AY34+'Budget Filing Data'!AH34+'Budget Filing Data'!AW34+'Budget Filing Data'!AX34)/('Budget Filing Data'!AE34)),"")</f>
        <v>0.5851814834169915</v>
      </c>
      <c r="W40" s="477">
        <f>IFERROR(('Budget Filing Data'!AI34+'Budget Filing Data'!AJ34+'Budget Filing Data'!AK34+'Budget Filing Data'!AH34)/('Budget Filing Data'!AC34),"")</f>
        <v>2.2175138869822826</v>
      </c>
      <c r="X40" s="477">
        <f>IFERROR(('Budget Filing Data'!AL34+'Budget Filing Data'!AM34+'Budget Filing Data'!AN34+'Budget Filing Data'!AH34)/('Budget Filing Data'!AD34),"")</f>
        <v>2.2208080702257438</v>
      </c>
      <c r="Y40" s="478">
        <f>'Budget Filing Data'!Q34</f>
        <v>932802.09806419979</v>
      </c>
      <c r="Z40" s="478">
        <f>'Budget Filing Data'!R34</f>
        <v>110.64124969306498</v>
      </c>
      <c r="AA40" s="478">
        <f>'Budget Filing Data'!S34</f>
        <v>202318.42857599989</v>
      </c>
      <c r="AB40" s="478">
        <f>'Budget Filing Data'!AO34</f>
        <v>159.44396843375881</v>
      </c>
      <c r="AC40" s="478">
        <f>'Budget Filing Data'!AP34</f>
        <v>1074.3108557385603</v>
      </c>
      <c r="AD40" s="478">
        <f>'Budget Filing Data'!T34</f>
        <v>11226396.620930379</v>
      </c>
      <c r="AE40" s="478">
        <f>'Budget Filing Data'!U34</f>
        <v>2337570.7708319994</v>
      </c>
      <c r="AF40" s="478">
        <f>'Budget Filing Data'!$V34</f>
        <v>1561.9790510237565</v>
      </c>
      <c r="AG40" s="478">
        <f>'Budget Filing Data'!$W34</f>
        <v>12412.500793117912</v>
      </c>
      <c r="AH40" s="479">
        <v>0</v>
      </c>
    </row>
    <row r="41" spans="3:34" ht="25.5" hidden="1">
      <c r="C41" s="470" t="str">
        <f>'Budget Filing Data'!D35</f>
        <v>SDGE_SW_FS_PA</v>
      </c>
      <c r="D41" s="470" t="str">
        <f>'Budget Filing Data'!E35</f>
        <v>SW Foodservice Point of Sale Program (Utility)</v>
      </c>
      <c r="E41" s="471" t="s">
        <v>42</v>
      </c>
      <c r="F41" s="471" t="s">
        <v>325</v>
      </c>
      <c r="G41" s="472" t="str">
        <f>'Budget Filing Data'!J35</f>
        <v>IOU Core</v>
      </c>
      <c r="H41" s="472" t="str">
        <f>IF('Budget Filing Data'!H35="","",'Budget Filing Data'!H35)</f>
        <v>SW_FS - Food Service</v>
      </c>
      <c r="I41" s="473" t="s">
        <v>24</v>
      </c>
      <c r="J41" s="472" t="str">
        <f>'Budget Filing Data'!G35</f>
        <v>Commercial</v>
      </c>
      <c r="K41" s="472" t="str">
        <f>'Budget Filing Data'!I35</f>
        <v>Other</v>
      </c>
      <c r="L41" s="472" t="str">
        <f>'Budget Filing Data'!L35</f>
        <v>Resource Acquisition</v>
      </c>
      <c r="M41" s="472">
        <f>'Budget Filing Data'!B35</f>
        <v>2028</v>
      </c>
      <c r="N41" s="474">
        <f t="shared" si="0"/>
        <v>14950.667600000001</v>
      </c>
      <c r="O41" s="475">
        <f>'Budget Filing Data'!AQ35</f>
        <v>14950.667600000001</v>
      </c>
      <c r="P41" s="475">
        <f>'Budget Filing Data'!AR35</f>
        <v>0</v>
      </c>
      <c r="Q41" s="475">
        <f>'Budget Filing Data'!AS35</f>
        <v>0</v>
      </c>
      <c r="R41" s="475">
        <f>'Budget Filing Data'!AT35</f>
        <v>0</v>
      </c>
      <c r="S41" s="476">
        <f>'Budget Filing Data'!X35</f>
        <v>0</v>
      </c>
      <c r="T41" s="477">
        <f>IFERROR((('Budget Filing Data'!AF35+'Budget Filing Data'!AG35+'Budget Filing Data'!AY35+'Budget Filing Data'!AH35)/'Budget Filing Data'!AA35),"")</f>
        <v>0</v>
      </c>
      <c r="U41" s="477">
        <f>IFERROR((('Budget Filing Data'!AF35+'Budget Filing Data'!AG35+'Budget Filing Data'!AY35+'Budget Filing Data'!AH35)/'Budget Filing Data'!AB35),"")</f>
        <v>0</v>
      </c>
      <c r="V41" s="477">
        <f>IFERROR((('Budget Filing Data'!AF35+'Budget Filing Data'!AG35+'Budget Filing Data'!AY35+'Budget Filing Data'!AH35+'Budget Filing Data'!AW35+'Budget Filing Data'!AX35)/('Budget Filing Data'!AE35)),"")</f>
        <v>0</v>
      </c>
      <c r="W41" s="477">
        <f>IFERROR(('Budget Filing Data'!AI35+'Budget Filing Data'!AJ35+'Budget Filing Data'!AK35+'Budget Filing Data'!AH35)/('Budget Filing Data'!AC35),"")</f>
        <v>0</v>
      </c>
      <c r="X41" s="477">
        <f>IFERROR(('Budget Filing Data'!AL35+'Budget Filing Data'!AM35+'Budget Filing Data'!AN35+'Budget Filing Data'!AH35)/('Budget Filing Data'!AD35),"")</f>
        <v>0</v>
      </c>
      <c r="Y41" s="478">
        <f>'Budget Filing Data'!Q35</f>
        <v>0</v>
      </c>
      <c r="Z41" s="478">
        <f>'Budget Filing Data'!R35</f>
        <v>0</v>
      </c>
      <c r="AA41" s="478">
        <f>'Budget Filing Data'!S35</f>
        <v>0</v>
      </c>
      <c r="AB41" s="478">
        <f>'Budget Filing Data'!AO35</f>
        <v>0</v>
      </c>
      <c r="AC41" s="478">
        <f>'Budget Filing Data'!AP35</f>
        <v>0</v>
      </c>
      <c r="AD41" s="478">
        <f>'Budget Filing Data'!T35</f>
        <v>0</v>
      </c>
      <c r="AE41" s="478">
        <f>'Budget Filing Data'!U35</f>
        <v>0</v>
      </c>
      <c r="AF41" s="478">
        <f>'Budget Filing Data'!$V35</f>
        <v>0</v>
      </c>
      <c r="AG41" s="478">
        <f>'Budget Filing Data'!$W35</f>
        <v>0</v>
      </c>
      <c r="AH41" s="479">
        <v>0</v>
      </c>
    </row>
    <row r="42" spans="3:34" hidden="1">
      <c r="C42" s="470" t="str">
        <f>'Budget Filing Data'!D36</f>
        <v>SDGE_SW_WET_CC</v>
      </c>
      <c r="D42" s="470" t="str">
        <f>'Budget Filing Data'!E36</f>
        <v>SW WET Career Connections</v>
      </c>
      <c r="E42" s="471"/>
      <c r="F42" s="480"/>
      <c r="G42" s="472" t="str">
        <f>'Budget Filing Data'!J36</f>
        <v>Third-Party Solicited</v>
      </c>
      <c r="H42" s="472" t="str">
        <f>IF('Budget Filing Data'!H36="","",'Budget Filing Data'!H36)</f>
        <v>SW_WET_CC - Workforce Education and Training - Career Connections</v>
      </c>
      <c r="I42" s="473" t="s">
        <v>15</v>
      </c>
      <c r="J42" s="472" t="str">
        <f>'Budget Filing Data'!G36</f>
        <v>Cross Cutting</v>
      </c>
      <c r="K42" s="472" t="str">
        <f>'Budget Filing Data'!I36</f>
        <v>Workforce Education and Training</v>
      </c>
      <c r="L42" s="472" t="str">
        <f>'Budget Filing Data'!L36</f>
        <v>Market Support</v>
      </c>
      <c r="M42" s="472">
        <f>'Budget Filing Data'!B36</f>
        <v>2028</v>
      </c>
      <c r="N42" s="474">
        <f t="shared" si="0"/>
        <v>109120</v>
      </c>
      <c r="O42" s="475">
        <f>'Budget Filing Data'!AQ36</f>
        <v>1091.2</v>
      </c>
      <c r="P42" s="475">
        <f>'Budget Filing Data'!AR36</f>
        <v>7638.4</v>
      </c>
      <c r="Q42" s="475">
        <f>'Budget Filing Data'!AS36</f>
        <v>100390.39999999999</v>
      </c>
      <c r="R42" s="475">
        <f>'Budget Filing Data'!AT36</f>
        <v>0</v>
      </c>
      <c r="S42" s="476">
        <f>'Budget Filing Data'!X36</f>
        <v>0</v>
      </c>
      <c r="T42" s="477">
        <f>IFERROR((('Budget Filing Data'!AF36+'Budget Filing Data'!AG36+'Budget Filing Data'!AY36+'Budget Filing Data'!AH36)/'Budget Filing Data'!AA36),"")</f>
        <v>0</v>
      </c>
      <c r="U42" s="477">
        <f>IFERROR((('Budget Filing Data'!AF36+'Budget Filing Data'!AG36+'Budget Filing Data'!AY36+'Budget Filing Data'!AH36)/'Budget Filing Data'!AB36),"")</f>
        <v>0</v>
      </c>
      <c r="V42" s="477">
        <f>IFERROR((('Budget Filing Data'!AF36+'Budget Filing Data'!AG36+'Budget Filing Data'!AY36+'Budget Filing Data'!AH36+'Budget Filing Data'!AW36+'Budget Filing Data'!AX36)/('Budget Filing Data'!AE36)),"")</f>
        <v>0</v>
      </c>
      <c r="W42" s="477">
        <f>IFERROR(('Budget Filing Data'!AI36+'Budget Filing Data'!AJ36+'Budget Filing Data'!AK36+'Budget Filing Data'!AH36)/('Budget Filing Data'!AC36),"")</f>
        <v>0</v>
      </c>
      <c r="X42" s="477">
        <f>IFERROR(('Budget Filing Data'!AL36+'Budget Filing Data'!AM36+'Budget Filing Data'!AN36+'Budget Filing Data'!AH36)/('Budget Filing Data'!AD36),"")</f>
        <v>0</v>
      </c>
      <c r="Y42" s="478">
        <f>'Budget Filing Data'!Q36</f>
        <v>0</v>
      </c>
      <c r="Z42" s="478">
        <f>'Budget Filing Data'!R36</f>
        <v>0</v>
      </c>
      <c r="AA42" s="478">
        <f>'Budget Filing Data'!S36</f>
        <v>0</v>
      </c>
      <c r="AB42" s="478">
        <f>'Budget Filing Data'!AO36</f>
        <v>0</v>
      </c>
      <c r="AC42" s="478">
        <f>'Budget Filing Data'!AP36</f>
        <v>0</v>
      </c>
      <c r="AD42" s="478">
        <f>'Budget Filing Data'!T36</f>
        <v>0</v>
      </c>
      <c r="AE42" s="478">
        <f>'Budget Filing Data'!U36</f>
        <v>0</v>
      </c>
      <c r="AF42" s="478">
        <f>'Budget Filing Data'!$V36</f>
        <v>0</v>
      </c>
      <c r="AG42" s="478">
        <f>'Budget Filing Data'!$W36</f>
        <v>0</v>
      </c>
      <c r="AH42" s="479">
        <v>0</v>
      </c>
    </row>
    <row r="43" spans="3:34" hidden="1">
      <c r="C43" s="470" t="str">
        <f>'Budget Filing Data'!D37</f>
        <v>SDGE_SW_WET_CC_PA</v>
      </c>
      <c r="D43" s="470" t="str">
        <f>'Budget Filing Data'!E37</f>
        <v>SW WET Career Connections (Utility)</v>
      </c>
      <c r="E43" s="471"/>
      <c r="F43" s="480"/>
      <c r="G43" s="472" t="str">
        <f>'Budget Filing Data'!J37</f>
        <v>IOU Core</v>
      </c>
      <c r="H43" s="472" t="str">
        <f>IF('Budget Filing Data'!H37="","",'Budget Filing Data'!H37)</f>
        <v>SW_WET_CC - Workforce Education and Training - Career Connections</v>
      </c>
      <c r="I43" s="473" t="s">
        <v>15</v>
      </c>
      <c r="J43" s="472" t="str">
        <f>'Budget Filing Data'!G37</f>
        <v>Cross Cutting</v>
      </c>
      <c r="K43" s="472" t="str">
        <f>'Budget Filing Data'!I37</f>
        <v>Workforce Education and Training</v>
      </c>
      <c r="L43" s="472" t="str">
        <f>'Budget Filing Data'!L37</f>
        <v>Market Support</v>
      </c>
      <c r="M43" s="472">
        <f>'Budget Filing Data'!B37</f>
        <v>2028</v>
      </c>
      <c r="N43" s="474">
        <f t="shared" si="0"/>
        <v>2429.4176000000002</v>
      </c>
      <c r="O43" s="475">
        <f>'Budget Filing Data'!AQ37</f>
        <v>2429.4176000000002</v>
      </c>
      <c r="P43" s="475">
        <f>'Budget Filing Data'!AR37</f>
        <v>0</v>
      </c>
      <c r="Q43" s="475">
        <f>'Budget Filing Data'!AS37</f>
        <v>0</v>
      </c>
      <c r="R43" s="475">
        <f>'Budget Filing Data'!AT37</f>
        <v>0</v>
      </c>
      <c r="S43" s="476">
        <f>'Budget Filing Data'!X37</f>
        <v>0</v>
      </c>
      <c r="T43" s="477">
        <f>IFERROR((('Budget Filing Data'!AF37+'Budget Filing Data'!AG37+'Budget Filing Data'!AY37+'Budget Filing Data'!AH37)/'Budget Filing Data'!AA37),"")</f>
        <v>0</v>
      </c>
      <c r="U43" s="477">
        <f>IFERROR((('Budget Filing Data'!AF37+'Budget Filing Data'!AG37+'Budget Filing Data'!AY37+'Budget Filing Data'!AH37)/'Budget Filing Data'!AB37),"")</f>
        <v>0</v>
      </c>
      <c r="V43" s="477">
        <f>IFERROR((('Budget Filing Data'!AF37+'Budget Filing Data'!AG37+'Budget Filing Data'!AY37+'Budget Filing Data'!AH37+'Budget Filing Data'!AW37+'Budget Filing Data'!AX37)/('Budget Filing Data'!AE37)),"")</f>
        <v>0</v>
      </c>
      <c r="W43" s="477">
        <f>IFERROR(('Budget Filing Data'!AI37+'Budget Filing Data'!AJ37+'Budget Filing Data'!AK37+'Budget Filing Data'!AH37)/('Budget Filing Data'!AC37),"")</f>
        <v>0</v>
      </c>
      <c r="X43" s="477">
        <f>IFERROR(('Budget Filing Data'!AL37+'Budget Filing Data'!AM37+'Budget Filing Data'!AN37+'Budget Filing Data'!AH37)/('Budget Filing Data'!AD37),"")</f>
        <v>0</v>
      </c>
      <c r="Y43" s="478">
        <f>'Budget Filing Data'!Q37</f>
        <v>0</v>
      </c>
      <c r="Z43" s="478">
        <f>'Budget Filing Data'!R37</f>
        <v>0</v>
      </c>
      <c r="AA43" s="478">
        <f>'Budget Filing Data'!S37</f>
        <v>0</v>
      </c>
      <c r="AB43" s="478">
        <f>'Budget Filing Data'!AO37</f>
        <v>0</v>
      </c>
      <c r="AC43" s="478">
        <f>'Budget Filing Data'!AP37</f>
        <v>0</v>
      </c>
      <c r="AD43" s="478">
        <f>'Budget Filing Data'!T37</f>
        <v>0</v>
      </c>
      <c r="AE43" s="478">
        <f>'Budget Filing Data'!U37</f>
        <v>0</v>
      </c>
      <c r="AF43" s="478">
        <f>'Budget Filing Data'!$V37</f>
        <v>0</v>
      </c>
      <c r="AG43" s="478">
        <f>'Budget Filing Data'!$W37</f>
        <v>0</v>
      </c>
      <c r="AH43" s="479">
        <v>0</v>
      </c>
    </row>
    <row r="44" spans="3:34" hidden="1">
      <c r="C44" s="470" t="str">
        <f>'Budget Filing Data'!D38</f>
        <v>SDGE_SW_WET_Work</v>
      </c>
      <c r="D44" s="470" t="str">
        <f>'Budget Filing Data'!E38</f>
        <v>SW WE&amp;T Career &amp; Workforce Readiness (CWR)</v>
      </c>
      <c r="E44" s="471"/>
      <c r="F44" s="480"/>
      <c r="G44" s="472" t="str">
        <f>'Budget Filing Data'!J38</f>
        <v>Third-Party Solicited</v>
      </c>
      <c r="H44" s="472" t="str">
        <f>IF('Budget Filing Data'!H38="","",'Budget Filing Data'!H38)</f>
        <v>SW_WET_Work - Workforce Education and Training Career &amp; Workforce Readiness</v>
      </c>
      <c r="I44" s="473" t="s">
        <v>15</v>
      </c>
      <c r="J44" s="472" t="str">
        <f>'Budget Filing Data'!G38</f>
        <v>Cross Cutting</v>
      </c>
      <c r="K44" s="472" t="str">
        <f>'Budget Filing Data'!I38</f>
        <v>Workforce Education and Training</v>
      </c>
      <c r="L44" s="472" t="str">
        <f>'Budget Filing Data'!L38</f>
        <v>Equity</v>
      </c>
      <c r="M44" s="472">
        <f>'Budget Filing Data'!B38</f>
        <v>2028</v>
      </c>
      <c r="N44" s="474">
        <f t="shared" si="0"/>
        <v>218240</v>
      </c>
      <c r="O44" s="475">
        <f>'Budget Filing Data'!AQ38</f>
        <v>21824</v>
      </c>
      <c r="P44" s="475">
        <f>'Budget Filing Data'!AR38</f>
        <v>13094.4</v>
      </c>
      <c r="Q44" s="475">
        <f>'Budget Filing Data'!AS38</f>
        <v>183321.60000000001</v>
      </c>
      <c r="R44" s="475">
        <f>'Budget Filing Data'!AT38</f>
        <v>0</v>
      </c>
      <c r="S44" s="476">
        <f>'Budget Filing Data'!X38</f>
        <v>0</v>
      </c>
      <c r="T44" s="477">
        <f>IFERROR((('Budget Filing Data'!AF38+'Budget Filing Data'!AG38+'Budget Filing Data'!AY38+'Budget Filing Data'!AH38)/'Budget Filing Data'!AA38),"")</f>
        <v>0</v>
      </c>
      <c r="U44" s="477">
        <f>IFERROR((('Budget Filing Data'!AF38+'Budget Filing Data'!AG38+'Budget Filing Data'!AY38+'Budget Filing Data'!AH38)/'Budget Filing Data'!AB38),"")</f>
        <v>0</v>
      </c>
      <c r="V44" s="477">
        <f>IFERROR((('Budget Filing Data'!AF38+'Budget Filing Data'!AG38+'Budget Filing Data'!AY38+'Budget Filing Data'!AH38+'Budget Filing Data'!AW38+'Budget Filing Data'!AX38)/('Budget Filing Data'!AE38)),"")</f>
        <v>0</v>
      </c>
      <c r="W44" s="477">
        <f>IFERROR(('Budget Filing Data'!AI38+'Budget Filing Data'!AJ38+'Budget Filing Data'!AK38+'Budget Filing Data'!AH38)/('Budget Filing Data'!AC38),"")</f>
        <v>0</v>
      </c>
      <c r="X44" s="477">
        <f>IFERROR(('Budget Filing Data'!AL38+'Budget Filing Data'!AM38+'Budget Filing Data'!AN38+'Budget Filing Data'!AH38)/('Budget Filing Data'!AD38),"")</f>
        <v>0</v>
      </c>
      <c r="Y44" s="478">
        <f>'Budget Filing Data'!Q38</f>
        <v>0</v>
      </c>
      <c r="Z44" s="478">
        <f>'Budget Filing Data'!R38</f>
        <v>0</v>
      </c>
      <c r="AA44" s="478">
        <f>'Budget Filing Data'!S38</f>
        <v>0</v>
      </c>
      <c r="AB44" s="478">
        <f>'Budget Filing Data'!AO38</f>
        <v>0</v>
      </c>
      <c r="AC44" s="478">
        <f>'Budget Filing Data'!AP38</f>
        <v>0</v>
      </c>
      <c r="AD44" s="478">
        <f>'Budget Filing Data'!T38</f>
        <v>0</v>
      </c>
      <c r="AE44" s="478">
        <f>'Budget Filing Data'!U38</f>
        <v>0</v>
      </c>
      <c r="AF44" s="478">
        <f>'Budget Filing Data'!$V38</f>
        <v>0</v>
      </c>
      <c r="AG44" s="478">
        <f>'Budget Filing Data'!$W38</f>
        <v>0</v>
      </c>
      <c r="AH44" s="479">
        <v>0</v>
      </c>
    </row>
    <row r="45" spans="3:34" hidden="1">
      <c r="C45" s="470" t="str">
        <f>'Budget Filing Data'!D39</f>
        <v>SDGE_SW_WET_Work_PA</v>
      </c>
      <c r="D45" s="470" t="str">
        <f>'Budget Filing Data'!E39</f>
        <v>SW WE&amp;T Career &amp; Workforce Readiness (CWR) (Utility)</v>
      </c>
      <c r="E45" s="471"/>
      <c r="F45" s="480"/>
      <c r="G45" s="472" t="str">
        <f>'Budget Filing Data'!J39</f>
        <v>IOU Core</v>
      </c>
      <c r="H45" s="472" t="str">
        <f>IF('Budget Filing Data'!H39="","",'Budget Filing Data'!H39)</f>
        <v>SW_WET_Work - Workforce Education and Training Career &amp; Workforce Readiness</v>
      </c>
      <c r="I45" s="473" t="s">
        <v>15</v>
      </c>
      <c r="J45" s="472" t="str">
        <f>'Budget Filing Data'!G39</f>
        <v>Cross Cutting</v>
      </c>
      <c r="K45" s="472" t="str">
        <f>'Budget Filing Data'!I39</f>
        <v>Workforce Education and Training</v>
      </c>
      <c r="L45" s="472" t="str">
        <f>'Budget Filing Data'!L39</f>
        <v>Equity</v>
      </c>
      <c r="M45" s="472">
        <f>'Budget Filing Data'!B39</f>
        <v>2028</v>
      </c>
      <c r="N45" s="474">
        <f t="shared" si="0"/>
        <v>3084.0176000000001</v>
      </c>
      <c r="O45" s="475">
        <f>'Budget Filing Data'!AQ39</f>
        <v>3084.0176000000001</v>
      </c>
      <c r="P45" s="475">
        <f>'Budget Filing Data'!AR39</f>
        <v>0</v>
      </c>
      <c r="Q45" s="475">
        <f>'Budget Filing Data'!AS39</f>
        <v>0</v>
      </c>
      <c r="R45" s="475">
        <f>'Budget Filing Data'!AT39</f>
        <v>0</v>
      </c>
      <c r="S45" s="476">
        <f>'Budget Filing Data'!X39</f>
        <v>0</v>
      </c>
      <c r="T45" s="477">
        <f>IFERROR((('Budget Filing Data'!AF39+'Budget Filing Data'!AG39+'Budget Filing Data'!AY39+'Budget Filing Data'!AH39)/'Budget Filing Data'!AA39),"")</f>
        <v>0</v>
      </c>
      <c r="U45" s="477">
        <f>IFERROR((('Budget Filing Data'!AF39+'Budget Filing Data'!AG39+'Budget Filing Data'!AY39+'Budget Filing Data'!AH39)/'Budget Filing Data'!AB39),"")</f>
        <v>0</v>
      </c>
      <c r="V45" s="477">
        <f>IFERROR((('Budget Filing Data'!AF39+'Budget Filing Data'!AG39+'Budget Filing Data'!AY39+'Budget Filing Data'!AH39+'Budget Filing Data'!AW39+'Budget Filing Data'!AX39)/('Budget Filing Data'!AE39)),"")</f>
        <v>0</v>
      </c>
      <c r="W45" s="477">
        <f>IFERROR(('Budget Filing Data'!AI39+'Budget Filing Data'!AJ39+'Budget Filing Data'!AK39+'Budget Filing Data'!AH39)/('Budget Filing Data'!AC39),"")</f>
        <v>0</v>
      </c>
      <c r="X45" s="477">
        <f>IFERROR(('Budget Filing Data'!AL39+'Budget Filing Data'!AM39+'Budget Filing Data'!AN39+'Budget Filing Data'!AH39)/('Budget Filing Data'!AD39),"")</f>
        <v>0</v>
      </c>
      <c r="Y45" s="478">
        <f>'Budget Filing Data'!Q39</f>
        <v>0</v>
      </c>
      <c r="Z45" s="478">
        <f>'Budget Filing Data'!R39</f>
        <v>0</v>
      </c>
      <c r="AA45" s="478">
        <f>'Budget Filing Data'!S39</f>
        <v>0</v>
      </c>
      <c r="AB45" s="478">
        <f>'Budget Filing Data'!AO39</f>
        <v>0</v>
      </c>
      <c r="AC45" s="478">
        <f>'Budget Filing Data'!AP39</f>
        <v>0</v>
      </c>
      <c r="AD45" s="478">
        <f>'Budget Filing Data'!T39</f>
        <v>0</v>
      </c>
      <c r="AE45" s="478">
        <f>'Budget Filing Data'!U39</f>
        <v>0</v>
      </c>
      <c r="AF45" s="478">
        <f>'Budget Filing Data'!$V39</f>
        <v>0</v>
      </c>
      <c r="AG45" s="478">
        <f>'Budget Filing Data'!$W39</f>
        <v>0</v>
      </c>
      <c r="AH45" s="479">
        <v>0</v>
      </c>
    </row>
    <row r="46" spans="3:34">
      <c r="C46" s="470" t="str">
        <f>'Budget Filing Data'!D40</f>
        <v>SDGE_SW_HVAC_QIQM</v>
      </c>
      <c r="D46" s="470" t="str">
        <f>'Budget Filing Data'!E40</f>
        <v>SW HVAC QI/QM Program</v>
      </c>
      <c r="E46" s="471"/>
      <c r="F46" s="480"/>
      <c r="G46" s="472" t="str">
        <f>'Budget Filing Data'!J40</f>
        <v>Third-Party Solicited</v>
      </c>
      <c r="H46" s="472" t="str">
        <f>IF('Budget Filing Data'!H40="","",'Budget Filing Data'!H40)</f>
        <v>SW_HVAC_QIQM - SW HVAC QI/QM Program</v>
      </c>
      <c r="I46" s="473" t="s">
        <v>15</v>
      </c>
      <c r="J46" s="472" t="str">
        <f>'Budget Filing Data'!G40</f>
        <v>Residential</v>
      </c>
      <c r="K46" s="472" t="str">
        <f>'Budget Filing Data'!I40</f>
        <v>Other</v>
      </c>
      <c r="L46" s="472" t="str">
        <f>'Budget Filing Data'!L40</f>
        <v>Market Support</v>
      </c>
      <c r="M46" s="472">
        <f>'Budget Filing Data'!B40</f>
        <v>2028</v>
      </c>
      <c r="N46" s="474">
        <f t="shared" si="0"/>
        <v>684480</v>
      </c>
      <c r="O46" s="475">
        <f>'Budget Filing Data'!AQ40</f>
        <v>34224</v>
      </c>
      <c r="P46" s="475">
        <f>'Budget Filing Data'!AR40</f>
        <v>34224</v>
      </c>
      <c r="Q46" s="475">
        <f>'Budget Filing Data'!AS40</f>
        <v>174964</v>
      </c>
      <c r="R46" s="475">
        <f>'Budget Filing Data'!AT40</f>
        <v>441068</v>
      </c>
      <c r="S46" s="476">
        <f>'Budget Filing Data'!X40</f>
        <v>0</v>
      </c>
      <c r="T46" s="477">
        <f>IFERROR((('Budget Filing Data'!AF40+'Budget Filing Data'!AG40+'Budget Filing Data'!AY40+'Budget Filing Data'!AH40)/'Budget Filing Data'!AA40),"")</f>
        <v>0</v>
      </c>
      <c r="U46" s="477">
        <f>IFERROR((('Budget Filing Data'!AF40+'Budget Filing Data'!AG40+'Budget Filing Data'!AY40+'Budget Filing Data'!AH40)/'Budget Filing Data'!AB40),"")</f>
        <v>0</v>
      </c>
      <c r="V46" s="477">
        <f>IFERROR((('Budget Filing Data'!AF40+'Budget Filing Data'!AG40+'Budget Filing Data'!AY40+'Budget Filing Data'!AH40+'Budget Filing Data'!AW40+'Budget Filing Data'!AX40)/('Budget Filing Data'!AE40)),"")</f>
        <v>0</v>
      </c>
      <c r="W46" s="477">
        <f>IFERROR(('Budget Filing Data'!AI40+'Budget Filing Data'!AJ40+'Budget Filing Data'!AK40+'Budget Filing Data'!AH40)/('Budget Filing Data'!AC40),"")</f>
        <v>0</v>
      </c>
      <c r="X46" s="477">
        <f>IFERROR(('Budget Filing Data'!AL40+'Budget Filing Data'!AM40+'Budget Filing Data'!AN40+'Budget Filing Data'!AH40)/('Budget Filing Data'!AD40),"")</f>
        <v>0</v>
      </c>
      <c r="Y46" s="478">
        <f>'Budget Filing Data'!Q40</f>
        <v>0</v>
      </c>
      <c r="Z46" s="478">
        <f>'Budget Filing Data'!R40</f>
        <v>0</v>
      </c>
      <c r="AA46" s="478">
        <f>'Budget Filing Data'!S40</f>
        <v>0</v>
      </c>
      <c r="AB46" s="478">
        <f>'Budget Filing Data'!AO40</f>
        <v>0</v>
      </c>
      <c r="AC46" s="478">
        <f>'Budget Filing Data'!AP40</f>
        <v>0</v>
      </c>
      <c r="AD46" s="478">
        <f>'Budget Filing Data'!T40</f>
        <v>0</v>
      </c>
      <c r="AE46" s="478">
        <f>'Budget Filing Data'!U40</f>
        <v>0</v>
      </c>
      <c r="AF46" s="478">
        <f>'Budget Filing Data'!$V40</f>
        <v>0</v>
      </c>
      <c r="AG46" s="478">
        <f>'Budget Filing Data'!$W40</f>
        <v>0</v>
      </c>
      <c r="AH46" s="479">
        <v>0</v>
      </c>
    </row>
    <row r="47" spans="3:34">
      <c r="C47" s="470" t="str">
        <f>'Budget Filing Data'!D41</f>
        <v>SDGE_SW_HVAC_QIQM_PA</v>
      </c>
      <c r="D47" s="470" t="str">
        <f>'Budget Filing Data'!E41</f>
        <v>SW HVAC QI/QM Program (Utility)</v>
      </c>
      <c r="E47" s="471"/>
      <c r="F47" s="480"/>
      <c r="G47" s="472" t="str">
        <f>'Budget Filing Data'!J41</f>
        <v>IOU Core</v>
      </c>
      <c r="H47" s="472" t="str">
        <f>IF('Budget Filing Data'!H41="","",'Budget Filing Data'!H41)</f>
        <v>SW_HVAC_QIQM - SW HVAC QI/QM Program</v>
      </c>
      <c r="I47" s="473" t="s">
        <v>15</v>
      </c>
      <c r="J47" s="472" t="str">
        <f>'Budget Filing Data'!G41</f>
        <v>Residential</v>
      </c>
      <c r="K47" s="472" t="str">
        <f>'Budget Filing Data'!I41</f>
        <v>Other</v>
      </c>
      <c r="L47" s="472" t="str">
        <f>'Budget Filing Data'!L41</f>
        <v>Market Support</v>
      </c>
      <c r="M47" s="472">
        <f>'Budget Filing Data'!B41</f>
        <v>2028</v>
      </c>
      <c r="N47" s="474">
        <f t="shared" si="0"/>
        <v>304452.50900000002</v>
      </c>
      <c r="O47" s="475">
        <f>'Budget Filing Data'!AQ41</f>
        <v>247612.10680000001</v>
      </c>
      <c r="P47" s="475">
        <f>'Budget Filing Data'!AR41</f>
        <v>728.73059999999998</v>
      </c>
      <c r="Q47" s="475">
        <f>'Budget Filing Data'!AS41</f>
        <v>56111.671600000001</v>
      </c>
      <c r="R47" s="475">
        <f>'Budget Filing Data'!AT41</f>
        <v>0</v>
      </c>
      <c r="S47" s="476">
        <f>'Budget Filing Data'!X41</f>
        <v>0</v>
      </c>
      <c r="T47" s="477">
        <f>IFERROR((('Budget Filing Data'!AF41+'Budget Filing Data'!AG41+'Budget Filing Data'!AY41+'Budget Filing Data'!AH41)/'Budget Filing Data'!AA41),"")</f>
        <v>0</v>
      </c>
      <c r="U47" s="477">
        <f>IFERROR((('Budget Filing Data'!AF41+'Budget Filing Data'!AG41+'Budget Filing Data'!AY41+'Budget Filing Data'!AH41)/'Budget Filing Data'!AB41),"")</f>
        <v>0</v>
      </c>
      <c r="V47" s="477">
        <f>IFERROR((('Budget Filing Data'!AF41+'Budget Filing Data'!AG41+'Budget Filing Data'!AY41+'Budget Filing Data'!AH41+'Budget Filing Data'!AW41+'Budget Filing Data'!AX41)/('Budget Filing Data'!AE41)),"")</f>
        <v>0</v>
      </c>
      <c r="W47" s="477">
        <f>IFERROR(('Budget Filing Data'!AI41+'Budget Filing Data'!AJ41+'Budget Filing Data'!AK41+'Budget Filing Data'!AH41)/('Budget Filing Data'!AC41),"")</f>
        <v>0</v>
      </c>
      <c r="X47" s="477">
        <f>IFERROR(('Budget Filing Data'!AL41+'Budget Filing Data'!AM41+'Budget Filing Data'!AN41+'Budget Filing Data'!AH41)/('Budget Filing Data'!AD41),"")</f>
        <v>0</v>
      </c>
      <c r="Y47" s="478">
        <f>'Budget Filing Data'!Q41</f>
        <v>0</v>
      </c>
      <c r="Z47" s="478">
        <f>'Budget Filing Data'!R41</f>
        <v>0</v>
      </c>
      <c r="AA47" s="478">
        <f>'Budget Filing Data'!S41</f>
        <v>0</v>
      </c>
      <c r="AB47" s="478">
        <f>'Budget Filing Data'!AO41</f>
        <v>0</v>
      </c>
      <c r="AC47" s="478">
        <f>'Budget Filing Data'!AP41</f>
        <v>0</v>
      </c>
      <c r="AD47" s="478">
        <f>'Budget Filing Data'!T41</f>
        <v>0</v>
      </c>
      <c r="AE47" s="478">
        <f>'Budget Filing Data'!U41</f>
        <v>0</v>
      </c>
      <c r="AF47" s="478">
        <f>'Budget Filing Data'!$V41</f>
        <v>0</v>
      </c>
      <c r="AG47" s="478">
        <f>'Budget Filing Data'!$W41</f>
        <v>0</v>
      </c>
      <c r="AH47" s="479">
        <v>0</v>
      </c>
    </row>
    <row r="48" spans="3:34" hidden="1">
      <c r="C48" s="470" t="str">
        <f>'Budget Filing Data'!D42</f>
        <v>SDGE_SW_ETP_Gas</v>
      </c>
      <c r="D48" s="470" t="str">
        <f>'Budget Filing Data'!E42</f>
        <v>SW Emerging Technologies - Gas</v>
      </c>
      <c r="E48" s="471"/>
      <c r="F48" s="471"/>
      <c r="G48" s="472" t="str">
        <f>'Budget Filing Data'!J42</f>
        <v>Third-Party Solicited</v>
      </c>
      <c r="H48" s="472" t="str">
        <f>IF('Budget Filing Data'!H42="","",'Budget Filing Data'!H42)</f>
        <v>SW_ETP_Gas - Emerging Technology Programs - Gas</v>
      </c>
      <c r="I48" s="473" t="s">
        <v>15</v>
      </c>
      <c r="J48" s="472" t="str">
        <f>'Budget Filing Data'!G42</f>
        <v>Cross Cutting</v>
      </c>
      <c r="K48" s="472" t="str">
        <f>'Budget Filing Data'!I42</f>
        <v>Emerging Technologies</v>
      </c>
      <c r="L48" s="472" t="str">
        <f>'Budget Filing Data'!L42</f>
        <v>Market Support</v>
      </c>
      <c r="M48" s="472">
        <f>'Budget Filing Data'!B42</f>
        <v>2028</v>
      </c>
      <c r="N48" s="474">
        <f t="shared" si="0"/>
        <v>495000</v>
      </c>
      <c r="O48" s="475">
        <f>'Budget Filing Data'!AQ42</f>
        <v>6600</v>
      </c>
      <c r="P48" s="475">
        <f>'Budget Filing Data'!AR42</f>
        <v>1914</v>
      </c>
      <c r="Q48" s="475">
        <f>'Budget Filing Data'!AS42</f>
        <v>486486</v>
      </c>
      <c r="R48" s="475">
        <f>'Budget Filing Data'!AT42</f>
        <v>0</v>
      </c>
      <c r="S48" s="476">
        <f>'Budget Filing Data'!X42</f>
        <v>0</v>
      </c>
      <c r="T48" s="477">
        <f>IFERROR((('Budget Filing Data'!AF42+'Budget Filing Data'!AG42+'Budget Filing Data'!AY42+'Budget Filing Data'!AH42)/'Budget Filing Data'!AA42),"")</f>
        <v>0</v>
      </c>
      <c r="U48" s="477">
        <f>IFERROR((('Budget Filing Data'!AF42+'Budget Filing Data'!AG42+'Budget Filing Data'!AY42+'Budget Filing Data'!AH42)/'Budget Filing Data'!AB42),"")</f>
        <v>0</v>
      </c>
      <c r="V48" s="477">
        <f>IFERROR((('Budget Filing Data'!AF42+'Budget Filing Data'!AG42+'Budget Filing Data'!AY42+'Budget Filing Data'!AH42+'Budget Filing Data'!AW42+'Budget Filing Data'!AX42)/('Budget Filing Data'!AE42)),"")</f>
        <v>0</v>
      </c>
      <c r="W48" s="477">
        <f>IFERROR(('Budget Filing Data'!AI42+'Budget Filing Data'!AJ42+'Budget Filing Data'!AK42+'Budget Filing Data'!AH42)/('Budget Filing Data'!AC42),"")</f>
        <v>0</v>
      </c>
      <c r="X48" s="477">
        <f>IFERROR(('Budget Filing Data'!AL42+'Budget Filing Data'!AM42+'Budget Filing Data'!AN42+'Budget Filing Data'!AH42)/('Budget Filing Data'!AD42),"")</f>
        <v>0</v>
      </c>
      <c r="Y48" s="478">
        <f>'Budget Filing Data'!Q42</f>
        <v>0</v>
      </c>
      <c r="Z48" s="478">
        <f>'Budget Filing Data'!R42</f>
        <v>0</v>
      </c>
      <c r="AA48" s="478">
        <f>'Budget Filing Data'!S42</f>
        <v>0</v>
      </c>
      <c r="AB48" s="478">
        <f>'Budget Filing Data'!AO42</f>
        <v>0</v>
      </c>
      <c r="AC48" s="478">
        <f>'Budget Filing Data'!AP42</f>
        <v>0</v>
      </c>
      <c r="AD48" s="478">
        <f>'Budget Filing Data'!T42</f>
        <v>0</v>
      </c>
      <c r="AE48" s="478">
        <f>'Budget Filing Data'!U42</f>
        <v>0</v>
      </c>
      <c r="AF48" s="478">
        <f>'Budget Filing Data'!$V42</f>
        <v>0</v>
      </c>
      <c r="AG48" s="478">
        <f>'Budget Filing Data'!$W42</f>
        <v>0</v>
      </c>
      <c r="AH48" s="479">
        <v>0</v>
      </c>
    </row>
    <row r="49" spans="3:34" hidden="1">
      <c r="C49" s="470" t="str">
        <f>'Budget Filing Data'!D43</f>
        <v>SDGE_SW_ETP_Gas_PA</v>
      </c>
      <c r="D49" s="470" t="str">
        <f>'Budget Filing Data'!E43</f>
        <v>SW Emerging Technologies - Gas (Utility)</v>
      </c>
      <c r="E49" s="471" t="s">
        <v>37</v>
      </c>
      <c r="F49" s="471" t="s">
        <v>324</v>
      </c>
      <c r="G49" s="472" t="str">
        <f>'Budget Filing Data'!J43</f>
        <v>IOU Core</v>
      </c>
      <c r="H49" s="472" t="str">
        <f>IF('Budget Filing Data'!H43="","",'Budget Filing Data'!H43)</f>
        <v>SW_ETP_Gas - Emerging Technology Programs - Gas</v>
      </c>
      <c r="I49" s="473" t="s">
        <v>15</v>
      </c>
      <c r="J49" s="472" t="str">
        <f>'Budget Filing Data'!G43</f>
        <v>Cross Cutting</v>
      </c>
      <c r="K49" s="472" t="str">
        <f>'Budget Filing Data'!I43</f>
        <v>Emerging Technologies</v>
      </c>
      <c r="L49" s="472" t="str">
        <f>'Budget Filing Data'!L43</f>
        <v>Market Support</v>
      </c>
      <c r="M49" s="472">
        <f>'Budget Filing Data'!B43</f>
        <v>2028</v>
      </c>
      <c r="N49" s="474">
        <f t="shared" si="0"/>
        <v>12871.882900000001</v>
      </c>
      <c r="O49" s="475">
        <f>'Budget Filing Data'!AQ43</f>
        <v>6196.8728000000001</v>
      </c>
      <c r="P49" s="475">
        <f>'Budget Filing Data'!AR43</f>
        <v>0</v>
      </c>
      <c r="Q49" s="475">
        <f>'Budget Filing Data'!AS43</f>
        <v>6675.0101000000004</v>
      </c>
      <c r="R49" s="475">
        <f>'Budget Filing Data'!AT43</f>
        <v>0</v>
      </c>
      <c r="S49" s="476">
        <f>'Budget Filing Data'!X43</f>
        <v>0</v>
      </c>
      <c r="T49" s="477">
        <f>IFERROR((('Budget Filing Data'!AF43+'Budget Filing Data'!AG43+'Budget Filing Data'!AY43+'Budget Filing Data'!AH43)/'Budget Filing Data'!AA43),"")</f>
        <v>0</v>
      </c>
      <c r="U49" s="477">
        <f>IFERROR((('Budget Filing Data'!AF43+'Budget Filing Data'!AG43+'Budget Filing Data'!AY43+'Budget Filing Data'!AH43)/'Budget Filing Data'!AB43),"")</f>
        <v>0</v>
      </c>
      <c r="V49" s="477">
        <f>IFERROR((('Budget Filing Data'!AF43+'Budget Filing Data'!AG43+'Budget Filing Data'!AY43+'Budget Filing Data'!AH43+'Budget Filing Data'!AW43+'Budget Filing Data'!AX43)/('Budget Filing Data'!AE43)),"")</f>
        <v>0</v>
      </c>
      <c r="W49" s="477">
        <f>IFERROR(('Budget Filing Data'!AI43+'Budget Filing Data'!AJ43+'Budget Filing Data'!AK43+'Budget Filing Data'!AH43)/('Budget Filing Data'!AC43),"")</f>
        <v>0</v>
      </c>
      <c r="X49" s="477">
        <f>IFERROR(('Budget Filing Data'!AL43+'Budget Filing Data'!AM43+'Budget Filing Data'!AN43+'Budget Filing Data'!AH43)/('Budget Filing Data'!AD43),"")</f>
        <v>0</v>
      </c>
      <c r="Y49" s="478">
        <f>'Budget Filing Data'!Q43</f>
        <v>0</v>
      </c>
      <c r="Z49" s="478">
        <f>'Budget Filing Data'!R43</f>
        <v>0</v>
      </c>
      <c r="AA49" s="478">
        <f>'Budget Filing Data'!S43</f>
        <v>0</v>
      </c>
      <c r="AB49" s="478">
        <f>'Budget Filing Data'!AO43</f>
        <v>0</v>
      </c>
      <c r="AC49" s="478">
        <f>'Budget Filing Data'!AP43</f>
        <v>0</v>
      </c>
      <c r="AD49" s="478">
        <f>'Budget Filing Data'!T43</f>
        <v>0</v>
      </c>
      <c r="AE49" s="478">
        <f>'Budget Filing Data'!U43</f>
        <v>0</v>
      </c>
      <c r="AF49" s="478">
        <f>'Budget Filing Data'!$V43</f>
        <v>0</v>
      </c>
      <c r="AG49" s="478">
        <f>'Budget Filing Data'!$W43</f>
        <v>0</v>
      </c>
      <c r="AH49" s="479">
        <v>0</v>
      </c>
    </row>
    <row r="50" spans="3:34" hidden="1">
      <c r="C50" s="470" t="str">
        <f>'Budget Filing Data'!D44</f>
        <v>SDGE_SW_NC_NonRes_Ag_electric</v>
      </c>
      <c r="D50" s="470" t="str">
        <f>'Budget Filing Data'!E44</f>
        <v>SW New Construction Non Residential - Agricultural - All Electric</v>
      </c>
      <c r="E50" s="471"/>
      <c r="F50" s="480"/>
      <c r="G50" s="472" t="str">
        <f>'Budget Filing Data'!J44</f>
        <v>Third-Party Solicited</v>
      </c>
      <c r="H50" s="472" t="str">
        <f>IF('Budget Filing Data'!H44="","",'Budget Filing Data'!H44)</f>
        <v>SW_NC_NonRes_Ag_electric - New Construction - NonResidential - All Electric</v>
      </c>
      <c r="I50" s="473" t="s">
        <v>24</v>
      </c>
      <c r="J50" s="472" t="str">
        <f>'Budget Filing Data'!G44</f>
        <v>Agricultural</v>
      </c>
      <c r="K50" s="472" t="str">
        <f>'Budget Filing Data'!I44</f>
        <v>New Construction</v>
      </c>
      <c r="L50" s="472" t="str">
        <f>'Budget Filing Data'!L44</f>
        <v>Market Support</v>
      </c>
      <c r="M50" s="472">
        <f>'Budget Filing Data'!B44</f>
        <v>2028</v>
      </c>
      <c r="N50" s="474">
        <f t="shared" si="0"/>
        <v>60768.544099999999</v>
      </c>
      <c r="O50" s="475">
        <f>'Budget Filing Data'!AQ44</f>
        <v>5274.1088</v>
      </c>
      <c r="P50" s="475">
        <f>'Budget Filing Data'!AR44</f>
        <v>3955.5816</v>
      </c>
      <c r="Q50" s="475">
        <f>'Budget Filing Data'!AS44</f>
        <v>17140.8537</v>
      </c>
      <c r="R50" s="475">
        <f>'Budget Filing Data'!AT44</f>
        <v>34398</v>
      </c>
      <c r="S50" s="476">
        <f>'Budget Filing Data'!X44</f>
        <v>2763.9986549120299</v>
      </c>
      <c r="T50" s="477">
        <f>IFERROR((('Budget Filing Data'!AF44+'Budget Filing Data'!AG44+'Budget Filing Data'!AY44+'Budget Filing Data'!AH44)/'Budget Filing Data'!AA44),"")</f>
        <v>6.2353779720581488E-2</v>
      </c>
      <c r="U50" s="477">
        <f>IFERROR((('Budget Filing Data'!AF44+'Budget Filing Data'!AG44+'Budget Filing Data'!AY44+'Budget Filing Data'!AH44)/'Budget Filing Data'!AB44),"")</f>
        <v>4.6934270240430447E-2</v>
      </c>
      <c r="V50" s="477">
        <f>IFERROR((('Budget Filing Data'!AF44+'Budget Filing Data'!AG44+'Budget Filing Data'!AY44+'Budget Filing Data'!AH44+'Budget Filing Data'!AW44+'Budget Filing Data'!AX44)/('Budget Filing Data'!AE44)),"")</f>
        <v>4.2528143440696171E-2</v>
      </c>
      <c r="W50" s="477">
        <f>IFERROR(('Budget Filing Data'!AI44+'Budget Filing Data'!AJ44+'Budget Filing Data'!AK44+'Budget Filing Data'!AH44)/('Budget Filing Data'!AC44),"")</f>
        <v>6.633310214672794E-2</v>
      </c>
      <c r="X50" s="477">
        <f>IFERROR(('Budget Filing Data'!AL44+'Budget Filing Data'!AM44+'Budget Filing Data'!AN44+'Budget Filing Data'!AH44)/('Budget Filing Data'!AD44),"")</f>
        <v>6.633310214672794E-2</v>
      </c>
      <c r="Y50" s="478">
        <f>'Budget Filing Data'!Q44</f>
        <v>1732.6399999999981</v>
      </c>
      <c r="Z50" s="478">
        <f>'Budget Filing Data'!R44</f>
        <v>7.4547199999999994E-2</v>
      </c>
      <c r="AA50" s="478">
        <f>'Budget Filing Data'!S44</f>
        <v>0</v>
      </c>
      <c r="AB50" s="478">
        <f>'Budget Filing Data'!AO44</f>
        <v>0.44870030805600003</v>
      </c>
      <c r="AC50" s="478">
        <f>'Budget Filing Data'!AP44</f>
        <v>0</v>
      </c>
      <c r="AD50" s="478">
        <f>'Budget Filing Data'!T44</f>
        <v>17326.39999999998</v>
      </c>
      <c r="AE50" s="478">
        <f>'Budget Filing Data'!U44</f>
        <v>0</v>
      </c>
      <c r="AF50" s="478">
        <f>'Budget Filing Data'!$V44</f>
        <v>3.39036263893599</v>
      </c>
      <c r="AG50" s="478">
        <f>'Budget Filing Data'!$W44</f>
        <v>0</v>
      </c>
      <c r="AH50" s="479">
        <v>0</v>
      </c>
    </row>
    <row r="51" spans="3:34" hidden="1">
      <c r="C51" s="470" t="str">
        <f>'Budget Filing Data'!D45</f>
        <v>SDGE_SW_NC_NonRes_Ag_electric_PA</v>
      </c>
      <c r="D51" s="470" t="str">
        <f>'Budget Filing Data'!E45</f>
        <v>SW New Construction Non Residential - Agricultural - All Electric (Utility)</v>
      </c>
      <c r="E51" s="471"/>
      <c r="F51" s="480"/>
      <c r="G51" s="472" t="str">
        <f>'Budget Filing Data'!J45</f>
        <v>IOU Core</v>
      </c>
      <c r="H51" s="472" t="str">
        <f>IF('Budget Filing Data'!H45="","",'Budget Filing Data'!H45)</f>
        <v>SW_NC_NonRes_Ag_electric - New Construction - NonResidential - All Electric</v>
      </c>
      <c r="I51" s="473" t="s">
        <v>24</v>
      </c>
      <c r="J51" s="472" t="str">
        <f>'Budget Filing Data'!G45</f>
        <v>Agricultural</v>
      </c>
      <c r="K51" s="472" t="str">
        <f>'Budget Filing Data'!I45</f>
        <v>New Construction</v>
      </c>
      <c r="L51" s="472" t="str">
        <f>'Budget Filing Data'!L45</f>
        <v>Market Support</v>
      </c>
      <c r="M51" s="472">
        <f>'Budget Filing Data'!B45</f>
        <v>2028</v>
      </c>
      <c r="N51" s="474">
        <f t="shared" si="0"/>
        <v>542.02269999999999</v>
      </c>
      <c r="O51" s="475">
        <f>'Budget Filing Data'!AQ45</f>
        <v>542.02269999999999</v>
      </c>
      <c r="P51" s="475">
        <f>'Budget Filing Data'!AR45</f>
        <v>0</v>
      </c>
      <c r="Q51" s="475">
        <f>'Budget Filing Data'!AS45</f>
        <v>0</v>
      </c>
      <c r="R51" s="475">
        <f>'Budget Filing Data'!AT45</f>
        <v>0</v>
      </c>
      <c r="S51" s="476">
        <f>'Budget Filing Data'!X45</f>
        <v>0</v>
      </c>
      <c r="T51" s="477">
        <f>IFERROR((('Budget Filing Data'!AF45+'Budget Filing Data'!AG45+'Budget Filing Data'!AY45+'Budget Filing Data'!AH45)/'Budget Filing Data'!AA45),"")</f>
        <v>0</v>
      </c>
      <c r="U51" s="477">
        <f>IFERROR((('Budget Filing Data'!AF45+'Budget Filing Data'!AG45+'Budget Filing Data'!AY45+'Budget Filing Data'!AH45)/'Budget Filing Data'!AB45),"")</f>
        <v>0</v>
      </c>
      <c r="V51" s="477">
        <f>IFERROR((('Budget Filing Data'!AF45+'Budget Filing Data'!AG45+'Budget Filing Data'!AY45+'Budget Filing Data'!AH45+'Budget Filing Data'!AW45+'Budget Filing Data'!AX45)/('Budget Filing Data'!AE45)),"")</f>
        <v>0</v>
      </c>
      <c r="W51" s="477">
        <f>IFERROR(('Budget Filing Data'!AI45+'Budget Filing Data'!AJ45+'Budget Filing Data'!AK45+'Budget Filing Data'!AH45)/('Budget Filing Data'!AC45),"")</f>
        <v>0</v>
      </c>
      <c r="X51" s="477">
        <f>IFERROR(('Budget Filing Data'!AL45+'Budget Filing Data'!AM45+'Budget Filing Data'!AN45+'Budget Filing Data'!AH45)/('Budget Filing Data'!AD45),"")</f>
        <v>0</v>
      </c>
      <c r="Y51" s="478">
        <f>'Budget Filing Data'!Q45</f>
        <v>0</v>
      </c>
      <c r="Z51" s="478">
        <f>'Budget Filing Data'!R45</f>
        <v>0</v>
      </c>
      <c r="AA51" s="478">
        <f>'Budget Filing Data'!S45</f>
        <v>0</v>
      </c>
      <c r="AB51" s="478">
        <f>'Budget Filing Data'!AO45</f>
        <v>0</v>
      </c>
      <c r="AC51" s="478">
        <f>'Budget Filing Data'!AP45</f>
        <v>0</v>
      </c>
      <c r="AD51" s="478">
        <f>'Budget Filing Data'!T45</f>
        <v>0</v>
      </c>
      <c r="AE51" s="478">
        <f>'Budget Filing Data'!U45</f>
        <v>0</v>
      </c>
      <c r="AF51" s="478">
        <f>'Budget Filing Data'!$V45</f>
        <v>0</v>
      </c>
      <c r="AG51" s="478">
        <f>'Budget Filing Data'!$W45</f>
        <v>0</v>
      </c>
      <c r="AH51" s="479">
        <v>0</v>
      </c>
    </row>
    <row r="52" spans="3:34" hidden="1">
      <c r="C52" s="470" t="str">
        <f>'Budget Filing Data'!D46</f>
        <v>SDGE_SW_NC_NonRes_Com_electric</v>
      </c>
      <c r="D52" s="470" t="str">
        <f>'Budget Filing Data'!E46</f>
        <v>SW New Construction Non Residential - Commercial - All Electric</v>
      </c>
      <c r="E52" s="471"/>
      <c r="F52" s="471"/>
      <c r="G52" s="472" t="str">
        <f>'Budget Filing Data'!J46</f>
        <v>Third-Party Solicited</v>
      </c>
      <c r="H52" s="472" t="str">
        <f>IF('Budget Filing Data'!H46="","",'Budget Filing Data'!H46)</f>
        <v>SW_NC_NonRes_Com_electric - New Construction - NonResidential - All Electric</v>
      </c>
      <c r="I52" s="473" t="s">
        <v>24</v>
      </c>
      <c r="J52" s="472" t="str">
        <f>'Budget Filing Data'!G46</f>
        <v>Commercial</v>
      </c>
      <c r="K52" s="472" t="str">
        <f>'Budget Filing Data'!I46</f>
        <v>New Construction</v>
      </c>
      <c r="L52" s="472" t="str">
        <f>'Budget Filing Data'!L46</f>
        <v>Market Support</v>
      </c>
      <c r="M52" s="472">
        <f>'Budget Filing Data'!B46</f>
        <v>2028</v>
      </c>
      <c r="N52" s="474">
        <f t="shared" si="0"/>
        <v>388918.68257079989</v>
      </c>
      <c r="O52" s="475">
        <f>'Budget Filing Data'!AQ46</f>
        <v>33754.296600000001</v>
      </c>
      <c r="P52" s="475">
        <f>'Budget Filing Data'!AR46</f>
        <v>25315.722399999999</v>
      </c>
      <c r="Q52" s="475">
        <f>'Budget Filing Data'!AS46</f>
        <v>109701.4639</v>
      </c>
      <c r="R52" s="475">
        <f>'Budget Filing Data'!AT46</f>
        <v>220147.19967079989</v>
      </c>
      <c r="S52" s="476">
        <f>'Budget Filing Data'!X46</f>
        <v>172166.47267397767</v>
      </c>
      <c r="T52" s="477">
        <f>IFERROR((('Budget Filing Data'!AF46+'Budget Filing Data'!AG46+'Budget Filing Data'!AY46+'Budget Filing Data'!AH46)/'Budget Filing Data'!AA46),"")</f>
        <v>0.53355956440675811</v>
      </c>
      <c r="U52" s="477">
        <f>IFERROR((('Budget Filing Data'!AF46+'Budget Filing Data'!AG46+'Budget Filing Data'!AY46+'Budget Filing Data'!AH46)/'Budget Filing Data'!AB46),"")</f>
        <v>0.45755694482315878</v>
      </c>
      <c r="V52" s="477">
        <f>IFERROR((('Budget Filing Data'!AF46+'Budget Filing Data'!AG46+'Budget Filing Data'!AY46+'Budget Filing Data'!AH46+'Budget Filing Data'!AW46+'Budget Filing Data'!AX46)/('Budget Filing Data'!AE46)),"")</f>
        <v>0.21449925615524301</v>
      </c>
      <c r="W52" s="477">
        <f>IFERROR(('Budget Filing Data'!AI46+'Budget Filing Data'!AJ46+'Budget Filing Data'!AK46+'Budget Filing Data'!AH46)/('Budget Filing Data'!AC46),"")</f>
        <v>0.62867468106721414</v>
      </c>
      <c r="X52" s="477">
        <f>IFERROR(('Budget Filing Data'!AL46+'Budget Filing Data'!AM46+'Budget Filing Data'!AN46+'Budget Filing Data'!AH46)/('Budget Filing Data'!AD46),"")</f>
        <v>0.62876993408526183</v>
      </c>
      <c r="Y52" s="478">
        <f>'Budget Filing Data'!Q46</f>
        <v>150228.89681799946</v>
      </c>
      <c r="Z52" s="478">
        <f>'Budget Filing Data'!R46</f>
        <v>20.292957593999976</v>
      </c>
      <c r="AA52" s="478">
        <f>'Budget Filing Data'!S46</f>
        <v>347.7268704</v>
      </c>
      <c r="AB52" s="478">
        <f>'Budget Filing Data'!AO46</f>
        <v>36.122387515832415</v>
      </c>
      <c r="AC52" s="478">
        <f>'Budget Filing Data'!AP46</f>
        <v>1.8464296818239978</v>
      </c>
      <c r="AD52" s="478">
        <f>'Budget Filing Data'!T46</f>
        <v>1919716.3025039928</v>
      </c>
      <c r="AE52" s="478">
        <f>'Budget Filing Data'!U46</f>
        <v>4859.6996448</v>
      </c>
      <c r="AF52" s="478">
        <f>'Budget Filing Data'!$V46</f>
        <v>309.99601843979059</v>
      </c>
      <c r="AG52" s="478">
        <f>'Budget Filing Data'!$W46</f>
        <v>25.80500511388799</v>
      </c>
      <c r="AH52" s="479">
        <v>0</v>
      </c>
    </row>
    <row r="53" spans="3:34" ht="25.5" hidden="1">
      <c r="C53" s="470" t="str">
        <f>'Budget Filing Data'!D47</f>
        <v>SDGE_SW_NC_NonRes_Com_electric_PA</v>
      </c>
      <c r="D53" s="470" t="str">
        <f>'Budget Filing Data'!E47</f>
        <v>SW New Construction Non Residential - Commercial - All Electric (Utility)</v>
      </c>
      <c r="E53" s="471" t="s">
        <v>42</v>
      </c>
      <c r="F53" s="471" t="s">
        <v>325</v>
      </c>
      <c r="G53" s="472" t="str">
        <f>'Budget Filing Data'!J47</f>
        <v>IOU Core</v>
      </c>
      <c r="H53" s="472" t="str">
        <f>IF('Budget Filing Data'!H47="","",'Budget Filing Data'!H47)</f>
        <v>SW_NC_NonRes_Com_electric - New Construction - NonResidential - All Electric</v>
      </c>
      <c r="I53" s="473" t="s">
        <v>24</v>
      </c>
      <c r="J53" s="472" t="str">
        <f>'Budget Filing Data'!G47</f>
        <v>Commercial</v>
      </c>
      <c r="K53" s="472" t="str">
        <f>'Budget Filing Data'!I47</f>
        <v>New Construction</v>
      </c>
      <c r="L53" s="472" t="str">
        <f>'Budget Filing Data'!L47</f>
        <v>Market Support</v>
      </c>
      <c r="M53" s="472">
        <f>'Budget Filing Data'!B47</f>
        <v>2028</v>
      </c>
      <c r="N53" s="474">
        <f t="shared" si="0"/>
        <v>2510.5427</v>
      </c>
      <c r="O53" s="475">
        <f>'Budget Filing Data'!AQ47</f>
        <v>2510.5427</v>
      </c>
      <c r="P53" s="475">
        <f>'Budget Filing Data'!AR47</f>
        <v>0</v>
      </c>
      <c r="Q53" s="475">
        <f>'Budget Filing Data'!AS47</f>
        <v>0</v>
      </c>
      <c r="R53" s="475">
        <f>'Budget Filing Data'!AT47</f>
        <v>0</v>
      </c>
      <c r="S53" s="476">
        <f>'Budget Filing Data'!X47</f>
        <v>0</v>
      </c>
      <c r="T53" s="477">
        <f>IFERROR((('Budget Filing Data'!AF47+'Budget Filing Data'!AG47+'Budget Filing Data'!AY47+'Budget Filing Data'!AH47)/'Budget Filing Data'!AA47),"")</f>
        <v>0</v>
      </c>
      <c r="U53" s="477">
        <f>IFERROR((('Budget Filing Data'!AF47+'Budget Filing Data'!AG47+'Budget Filing Data'!AY47+'Budget Filing Data'!AH47)/'Budget Filing Data'!AB47),"")</f>
        <v>0</v>
      </c>
      <c r="V53" s="477">
        <f>IFERROR((('Budget Filing Data'!AF47+'Budget Filing Data'!AG47+'Budget Filing Data'!AY47+'Budget Filing Data'!AH47+'Budget Filing Data'!AW47+'Budget Filing Data'!AX47)/('Budget Filing Data'!AE47)),"")</f>
        <v>0</v>
      </c>
      <c r="W53" s="477">
        <f>IFERROR(('Budget Filing Data'!AI47+'Budget Filing Data'!AJ47+'Budget Filing Data'!AK47+'Budget Filing Data'!AH47)/('Budget Filing Data'!AC47),"")</f>
        <v>0</v>
      </c>
      <c r="X53" s="477">
        <f>IFERROR(('Budget Filing Data'!AL47+'Budget Filing Data'!AM47+'Budget Filing Data'!AN47+'Budget Filing Data'!AH47)/('Budget Filing Data'!AD47),"")</f>
        <v>0</v>
      </c>
      <c r="Y53" s="478">
        <f>'Budget Filing Data'!Q47</f>
        <v>0</v>
      </c>
      <c r="Z53" s="478">
        <f>'Budget Filing Data'!R47</f>
        <v>0</v>
      </c>
      <c r="AA53" s="478">
        <f>'Budget Filing Data'!S47</f>
        <v>0</v>
      </c>
      <c r="AB53" s="478">
        <f>'Budget Filing Data'!AO47</f>
        <v>0</v>
      </c>
      <c r="AC53" s="478">
        <f>'Budget Filing Data'!AP47</f>
        <v>0</v>
      </c>
      <c r="AD53" s="478">
        <f>'Budget Filing Data'!T47</f>
        <v>0</v>
      </c>
      <c r="AE53" s="478">
        <f>'Budget Filing Data'!U47</f>
        <v>0</v>
      </c>
      <c r="AF53" s="478">
        <f>'Budget Filing Data'!$V47</f>
        <v>0</v>
      </c>
      <c r="AG53" s="478">
        <f>'Budget Filing Data'!$W47</f>
        <v>0</v>
      </c>
      <c r="AH53" s="479">
        <v>0</v>
      </c>
    </row>
    <row r="54" spans="3:34" hidden="1">
      <c r="C54" s="470" t="str">
        <f>'Budget Filing Data'!D48</f>
        <v>SDGE_SW_NC_NonRes_Ind_electric</v>
      </c>
      <c r="D54" s="470" t="str">
        <f>'Budget Filing Data'!E48</f>
        <v>SW New Construction Non Residential - Industrial - All Electric</v>
      </c>
      <c r="E54" s="471"/>
      <c r="F54" s="480"/>
      <c r="G54" s="472" t="str">
        <f>'Budget Filing Data'!J48</f>
        <v>Third-Party Solicited</v>
      </c>
      <c r="H54" s="472" t="str">
        <f>IF('Budget Filing Data'!H48="","",'Budget Filing Data'!H48)</f>
        <v>SW_NC_NonRes_Ind_electric - New Construction - NonResidential - All Electric</v>
      </c>
      <c r="I54" s="473" t="s">
        <v>24</v>
      </c>
      <c r="J54" s="472" t="str">
        <f>'Budget Filing Data'!G48</f>
        <v>Industrial</v>
      </c>
      <c r="K54" s="472" t="str">
        <f>'Budget Filing Data'!I48</f>
        <v>New Construction</v>
      </c>
      <c r="L54" s="472" t="str">
        <f>'Budget Filing Data'!L48</f>
        <v>Market Support</v>
      </c>
      <c r="M54" s="472">
        <f>'Budget Filing Data'!B48</f>
        <v>2028</v>
      </c>
      <c r="N54" s="474">
        <f t="shared" si="0"/>
        <v>60768.544099999999</v>
      </c>
      <c r="O54" s="475">
        <f>'Budget Filing Data'!AQ48</f>
        <v>5274.1088</v>
      </c>
      <c r="P54" s="475">
        <f>'Budget Filing Data'!AR48</f>
        <v>3955.5816</v>
      </c>
      <c r="Q54" s="475">
        <f>'Budget Filing Data'!AS48</f>
        <v>17140.8537</v>
      </c>
      <c r="R54" s="475">
        <f>'Budget Filing Data'!AT48</f>
        <v>34398</v>
      </c>
      <c r="S54" s="476">
        <f>'Budget Filing Data'!X48</f>
        <v>1582.2039090556927</v>
      </c>
      <c r="T54" s="477">
        <f>IFERROR((('Budget Filing Data'!AF48+'Budget Filing Data'!AG48+'Budget Filing Data'!AY48+'Budget Filing Data'!AH48)/'Budget Filing Data'!AA48),"")</f>
        <v>3.6420651081625316E-2</v>
      </c>
      <c r="U54" s="477">
        <f>IFERROR((('Budget Filing Data'!AF48+'Budget Filing Data'!AG48+'Budget Filing Data'!AY48+'Budget Filing Data'!AH48)/'Budget Filing Data'!AB48),"")</f>
        <v>2.6878186534517991E-2</v>
      </c>
      <c r="V54" s="477">
        <f>IFERROR((('Budget Filing Data'!AF48+'Budget Filing Data'!AG48+'Budget Filing Data'!AY48+'Budget Filing Data'!AH48+'Budget Filing Data'!AW48+'Budget Filing Data'!AX48)/('Budget Filing Data'!AE48)),"")</f>
        <v>2.5553867914687198E-2</v>
      </c>
      <c r="W54" s="477">
        <f>IFERROR(('Budget Filing Data'!AI48+'Budget Filing Data'!AJ48+'Budget Filing Data'!AK48+'Budget Filing Data'!AH48)/('Budget Filing Data'!AC48),"")</f>
        <v>3.8543274021436029E-2</v>
      </c>
      <c r="X54" s="477">
        <f>IFERROR(('Budget Filing Data'!AL48+'Budget Filing Data'!AM48+'Budget Filing Data'!AN48+'Budget Filing Data'!AH48)/('Budget Filing Data'!AD48),"")</f>
        <v>3.8543274021436029E-2</v>
      </c>
      <c r="Y54" s="478">
        <f>'Budget Filing Data'!Q48</f>
        <v>866.31999999999903</v>
      </c>
      <c r="Z54" s="478">
        <f>'Budget Filing Data'!R48</f>
        <v>3.7273599999999997E-2</v>
      </c>
      <c r="AA54" s="478">
        <f>'Budget Filing Data'!S48</f>
        <v>0</v>
      </c>
      <c r="AB54" s="478">
        <f>'Budget Filing Data'!AO48</f>
        <v>0.18946435726399999</v>
      </c>
      <c r="AC54" s="478">
        <f>'Budget Filing Data'!AP48</f>
        <v>0</v>
      </c>
      <c r="AD54" s="478">
        <f>'Budget Filing Data'!T48</f>
        <v>8663.1999999999898</v>
      </c>
      <c r="AE54" s="478">
        <f>'Budget Filing Data'!U48</f>
        <v>0</v>
      </c>
      <c r="AF54" s="478">
        <f>'Budget Filing Data'!$V48</f>
        <v>1.6605809751439999</v>
      </c>
      <c r="AG54" s="478">
        <f>'Budget Filing Data'!$W48</f>
        <v>0</v>
      </c>
      <c r="AH54" s="479">
        <v>0</v>
      </c>
    </row>
    <row r="55" spans="3:34" hidden="1">
      <c r="C55" s="470" t="str">
        <f>'Budget Filing Data'!D49</f>
        <v>SDGE_SW_NC_NonRes_Ind_electric_PA</v>
      </c>
      <c r="D55" s="470" t="str">
        <f>'Budget Filing Data'!E49</f>
        <v>SW New Construction Non Residential - Industrial - All Electric (Utility)</v>
      </c>
      <c r="E55" s="471"/>
      <c r="F55" s="480"/>
      <c r="G55" s="472" t="str">
        <f>'Budget Filing Data'!J49</f>
        <v>IOU Core</v>
      </c>
      <c r="H55" s="472" t="str">
        <f>IF('Budget Filing Data'!H49="","",'Budget Filing Data'!H49)</f>
        <v>SW_NC_NonRes_Ind_electric - New Construction - NonResidential - All Electric</v>
      </c>
      <c r="I55" s="473" t="s">
        <v>24</v>
      </c>
      <c r="J55" s="472" t="str">
        <f>'Budget Filing Data'!G49</f>
        <v>Industrial</v>
      </c>
      <c r="K55" s="472" t="str">
        <f>'Budget Filing Data'!I49</f>
        <v>New Construction</v>
      </c>
      <c r="L55" s="472" t="str">
        <f>'Budget Filing Data'!L49</f>
        <v>Market Support</v>
      </c>
      <c r="M55" s="472">
        <f>'Budget Filing Data'!B49</f>
        <v>2028</v>
      </c>
      <c r="N55" s="474">
        <f t="shared" si="0"/>
        <v>542.02269999999999</v>
      </c>
      <c r="O55" s="475">
        <f>'Budget Filing Data'!AQ49</f>
        <v>542.02269999999999</v>
      </c>
      <c r="P55" s="475">
        <f>'Budget Filing Data'!AR49</f>
        <v>0</v>
      </c>
      <c r="Q55" s="475">
        <f>'Budget Filing Data'!AS49</f>
        <v>0</v>
      </c>
      <c r="R55" s="475">
        <f>'Budget Filing Data'!AT49</f>
        <v>0</v>
      </c>
      <c r="S55" s="476">
        <f>'Budget Filing Data'!X49</f>
        <v>0</v>
      </c>
      <c r="T55" s="477">
        <f>IFERROR((('Budget Filing Data'!AF49+'Budget Filing Data'!AG49+'Budget Filing Data'!AY49+'Budget Filing Data'!AH49)/'Budget Filing Data'!AA49),"")</f>
        <v>0</v>
      </c>
      <c r="U55" s="477">
        <f>IFERROR((('Budget Filing Data'!AF49+'Budget Filing Data'!AG49+'Budget Filing Data'!AY49+'Budget Filing Data'!AH49)/'Budget Filing Data'!AB49),"")</f>
        <v>0</v>
      </c>
      <c r="V55" s="477">
        <f>IFERROR((('Budget Filing Data'!AF49+'Budget Filing Data'!AG49+'Budget Filing Data'!AY49+'Budget Filing Data'!AH49+'Budget Filing Data'!AW49+'Budget Filing Data'!AX49)/('Budget Filing Data'!AE49)),"")</f>
        <v>0</v>
      </c>
      <c r="W55" s="477">
        <f>IFERROR(('Budget Filing Data'!AI49+'Budget Filing Data'!AJ49+'Budget Filing Data'!AK49+'Budget Filing Data'!AH49)/('Budget Filing Data'!AC49),"")</f>
        <v>0</v>
      </c>
      <c r="X55" s="477">
        <f>IFERROR(('Budget Filing Data'!AL49+'Budget Filing Data'!AM49+'Budget Filing Data'!AN49+'Budget Filing Data'!AH49)/('Budget Filing Data'!AD49),"")</f>
        <v>0</v>
      </c>
      <c r="Y55" s="478">
        <f>'Budget Filing Data'!Q49</f>
        <v>0</v>
      </c>
      <c r="Z55" s="478">
        <f>'Budget Filing Data'!R49</f>
        <v>0</v>
      </c>
      <c r="AA55" s="478">
        <f>'Budget Filing Data'!S49</f>
        <v>0</v>
      </c>
      <c r="AB55" s="478">
        <f>'Budget Filing Data'!AO49</f>
        <v>0</v>
      </c>
      <c r="AC55" s="478">
        <f>'Budget Filing Data'!AP49</f>
        <v>0</v>
      </c>
      <c r="AD55" s="478">
        <f>'Budget Filing Data'!T49</f>
        <v>0</v>
      </c>
      <c r="AE55" s="478">
        <f>'Budget Filing Data'!U49</f>
        <v>0</v>
      </c>
      <c r="AF55" s="478">
        <f>'Budget Filing Data'!$V49</f>
        <v>0</v>
      </c>
      <c r="AG55" s="478">
        <f>'Budget Filing Data'!$W49</f>
        <v>0</v>
      </c>
      <c r="AH55" s="479">
        <v>0</v>
      </c>
    </row>
    <row r="56" spans="3:34" hidden="1">
      <c r="C56" s="470" t="str">
        <f>'Budget Filing Data'!D50</f>
        <v>SDGE_SW_NC_NonRes_Pub_electric</v>
      </c>
      <c r="D56" s="470" t="str">
        <f>'Budget Filing Data'!E50</f>
        <v>SW New Construction Non Residential - Public - All Electric</v>
      </c>
      <c r="E56" s="471"/>
      <c r="F56" s="480"/>
      <c r="G56" s="472" t="str">
        <f>'Budget Filing Data'!J50</f>
        <v>Third-Party Solicited</v>
      </c>
      <c r="H56" s="472" t="str">
        <f>IF('Budget Filing Data'!H50="","",'Budget Filing Data'!H50)</f>
        <v>SW_NC_NonRes_Pub_electric - New Construction - NonResidential - All Electric</v>
      </c>
      <c r="I56" s="473" t="s">
        <v>24</v>
      </c>
      <c r="J56" s="472" t="str">
        <f>'Budget Filing Data'!G50</f>
        <v>Public</v>
      </c>
      <c r="K56" s="472" t="str">
        <f>'Budget Filing Data'!I50</f>
        <v>New Construction</v>
      </c>
      <c r="L56" s="472" t="str">
        <f>'Budget Filing Data'!L50</f>
        <v>Market Support</v>
      </c>
      <c r="M56" s="472">
        <f>'Budget Filing Data'!B50</f>
        <v>2028</v>
      </c>
      <c r="N56" s="474">
        <f t="shared" si="0"/>
        <v>255227.8858687001</v>
      </c>
      <c r="O56" s="475">
        <f>'Budget Filing Data'!AQ50</f>
        <v>22151.257099999999</v>
      </c>
      <c r="P56" s="475">
        <f>'Budget Filing Data'!AR50</f>
        <v>16613.442800000001</v>
      </c>
      <c r="Q56" s="475">
        <f>'Budget Filing Data'!AS50</f>
        <v>71991.585699999996</v>
      </c>
      <c r="R56" s="475">
        <f>'Budget Filing Data'!AT50</f>
        <v>144471.6002687001</v>
      </c>
      <c r="S56" s="476">
        <f>'Budget Filing Data'!X50</f>
        <v>39093.306521453698</v>
      </c>
      <c r="T56" s="477">
        <f>IFERROR((('Budget Filing Data'!AF50+'Budget Filing Data'!AG50+'Budget Filing Data'!AY50+'Budget Filing Data'!AH50)/'Budget Filing Data'!AA50),"")</f>
        <v>0.20098790694149923</v>
      </c>
      <c r="U56" s="477">
        <f>IFERROR((('Budget Filing Data'!AF50+'Budget Filing Data'!AG50+'Budget Filing Data'!AY50+'Budget Filing Data'!AH50)/'Budget Filing Data'!AB50),"")</f>
        <v>0.1580356489547351</v>
      </c>
      <c r="V56" s="477">
        <f>IFERROR((('Budget Filing Data'!AF50+'Budget Filing Data'!AG50+'Budget Filing Data'!AY50+'Budget Filing Data'!AH50+'Budget Filing Data'!AW50+'Budget Filing Data'!AX50)/('Budget Filing Data'!AE50)),"")</f>
        <v>0.12800809937814114</v>
      </c>
      <c r="W56" s="477">
        <f>IFERROR(('Budget Filing Data'!AI50+'Budget Filing Data'!AJ50+'Budget Filing Data'!AK50+'Budget Filing Data'!AH50)/('Budget Filing Data'!AC50),"")</f>
        <v>0.21252418201266737</v>
      </c>
      <c r="X56" s="477">
        <f>IFERROR(('Budget Filing Data'!AL50+'Budget Filing Data'!AM50+'Budget Filing Data'!AN50+'Budget Filing Data'!AH50)/('Budget Filing Data'!AD50),"")</f>
        <v>0.21251488634984303</v>
      </c>
      <c r="Y56" s="478">
        <f>'Budget Filing Data'!Q50</f>
        <v>16105.393303999994</v>
      </c>
      <c r="Z56" s="478">
        <f>'Budget Filing Data'!R50</f>
        <v>2.4333389989999965</v>
      </c>
      <c r="AA56" s="478">
        <f>'Budget Filing Data'!S50</f>
        <v>-10.19076239999994</v>
      </c>
      <c r="AB56" s="478">
        <f>'Budget Filing Data'!AO50</f>
        <v>3.8763818273892503</v>
      </c>
      <c r="AC56" s="478">
        <f>'Budget Filing Data'!AP50</f>
        <v>-5.4112948344000322E-2</v>
      </c>
      <c r="AD56" s="478">
        <f>'Budget Filing Data'!T50</f>
        <v>203472.7203599998</v>
      </c>
      <c r="AE56" s="478">
        <f>'Budget Filing Data'!U50</f>
        <v>-32.758252799999745</v>
      </c>
      <c r="AF56" s="478">
        <f>'Budget Filing Data'!$V50</f>
        <v>33.02999561184604</v>
      </c>
      <c r="AG56" s="478">
        <f>'Budget Filing Data'!$W50</f>
        <v>-0.17394632236800067</v>
      </c>
      <c r="AH56" s="479">
        <v>0</v>
      </c>
    </row>
    <row r="57" spans="3:34" ht="25.5" hidden="1">
      <c r="C57" s="470" t="str">
        <f>'Budget Filing Data'!D51</f>
        <v>SDGE_SW_NC_NonRes_Pub_electric_PA</v>
      </c>
      <c r="D57" s="470" t="str">
        <f>'Budget Filing Data'!E51</f>
        <v>SW New Construction Non Residential - Public - All Electric (Utility)</v>
      </c>
      <c r="E57" s="471" t="s">
        <v>42</v>
      </c>
      <c r="F57" s="471" t="s">
        <v>325</v>
      </c>
      <c r="G57" s="472" t="str">
        <f>'Budget Filing Data'!J51</f>
        <v>IOU Core</v>
      </c>
      <c r="H57" s="472" t="str">
        <f>IF('Budget Filing Data'!H51="","",'Budget Filing Data'!H51)</f>
        <v>SW_NC_NonRes_Pub_electric - New Construction - NonResidential - All Electric</v>
      </c>
      <c r="I57" s="473" t="s">
        <v>24</v>
      </c>
      <c r="J57" s="472" t="str">
        <f>'Budget Filing Data'!G51</f>
        <v>Public</v>
      </c>
      <c r="K57" s="472" t="str">
        <f>'Budget Filing Data'!I51</f>
        <v>New Construction</v>
      </c>
      <c r="L57" s="472" t="str">
        <f>'Budget Filing Data'!L51</f>
        <v>Market Support</v>
      </c>
      <c r="M57" s="472">
        <f>'Budget Filing Data'!B51</f>
        <v>2028</v>
      </c>
      <c r="N57" s="474">
        <f t="shared" si="0"/>
        <v>1708.5527</v>
      </c>
      <c r="O57" s="475">
        <f>'Budget Filing Data'!AQ51</f>
        <v>1708.5527</v>
      </c>
      <c r="P57" s="475">
        <f>'Budget Filing Data'!AR51</f>
        <v>0</v>
      </c>
      <c r="Q57" s="475">
        <f>'Budget Filing Data'!AS51</f>
        <v>0</v>
      </c>
      <c r="R57" s="475">
        <f>'Budget Filing Data'!AT51</f>
        <v>0</v>
      </c>
      <c r="S57" s="476">
        <f>'Budget Filing Data'!X51</f>
        <v>0</v>
      </c>
      <c r="T57" s="477">
        <f>IFERROR((('Budget Filing Data'!AF51+'Budget Filing Data'!AG51+'Budget Filing Data'!AY51+'Budget Filing Data'!AH51)/'Budget Filing Data'!AA51),"")</f>
        <v>0</v>
      </c>
      <c r="U57" s="477">
        <f>IFERROR((('Budget Filing Data'!AF51+'Budget Filing Data'!AG51+'Budget Filing Data'!AY51+'Budget Filing Data'!AH51)/'Budget Filing Data'!AB51),"")</f>
        <v>0</v>
      </c>
      <c r="V57" s="477">
        <f>IFERROR((('Budget Filing Data'!AF51+'Budget Filing Data'!AG51+'Budget Filing Data'!AY51+'Budget Filing Data'!AH51+'Budget Filing Data'!AW51+'Budget Filing Data'!AX51)/('Budget Filing Data'!AE51)),"")</f>
        <v>0</v>
      </c>
      <c r="W57" s="477">
        <f>IFERROR(('Budget Filing Data'!AI51+'Budget Filing Data'!AJ51+'Budget Filing Data'!AK51+'Budget Filing Data'!AH51)/('Budget Filing Data'!AC51),"")</f>
        <v>0</v>
      </c>
      <c r="X57" s="477">
        <f>IFERROR(('Budget Filing Data'!AL51+'Budget Filing Data'!AM51+'Budget Filing Data'!AN51+'Budget Filing Data'!AH51)/('Budget Filing Data'!AD51),"")</f>
        <v>0</v>
      </c>
      <c r="Y57" s="478">
        <f>'Budget Filing Data'!Q51</f>
        <v>0</v>
      </c>
      <c r="Z57" s="478">
        <f>'Budget Filing Data'!R51</f>
        <v>0</v>
      </c>
      <c r="AA57" s="478">
        <f>'Budget Filing Data'!S51</f>
        <v>0</v>
      </c>
      <c r="AB57" s="478">
        <f>'Budget Filing Data'!AO51</f>
        <v>0</v>
      </c>
      <c r="AC57" s="478">
        <f>'Budget Filing Data'!AP51</f>
        <v>0</v>
      </c>
      <c r="AD57" s="478">
        <f>'Budget Filing Data'!T51</f>
        <v>0</v>
      </c>
      <c r="AE57" s="478">
        <f>'Budget Filing Data'!U51</f>
        <v>0</v>
      </c>
      <c r="AF57" s="478">
        <f>'Budget Filing Data'!$V51</f>
        <v>0</v>
      </c>
      <c r="AG57" s="478">
        <f>'Budget Filing Data'!$W51</f>
        <v>0</v>
      </c>
      <c r="AH57" s="479">
        <v>0</v>
      </c>
    </row>
    <row r="58" spans="3:34">
      <c r="C58" s="470" t="str">
        <f>'Budget Filing Data'!D52</f>
        <v>SDGE_SW_NC_NonRes_Res_electric</v>
      </c>
      <c r="D58" s="470" t="str">
        <f>'Budget Filing Data'!E52</f>
        <v>SW New Construction NonResidential - Residential - All Electric</v>
      </c>
      <c r="E58" s="471" t="s">
        <v>42</v>
      </c>
      <c r="F58" s="471" t="s">
        <v>323</v>
      </c>
      <c r="G58" s="472" t="str">
        <f>'Budget Filing Data'!J52</f>
        <v>Third-Party Solicited</v>
      </c>
      <c r="H58" s="472" t="str">
        <f>IF('Budget Filing Data'!H52="","",'Budget Filing Data'!H52)</f>
        <v>SW_NC_NonRes_Res_electric - New Construction - NonResidential - All Electric</v>
      </c>
      <c r="I58" s="473" t="s">
        <v>24</v>
      </c>
      <c r="J58" s="472" t="str">
        <f>'Budget Filing Data'!G52</f>
        <v>Residential</v>
      </c>
      <c r="K58" s="472" t="str">
        <f>'Budget Filing Data'!I52</f>
        <v>New Construction</v>
      </c>
      <c r="L58" s="472" t="str">
        <f>'Budget Filing Data'!L52</f>
        <v>Market Support</v>
      </c>
      <c r="M58" s="472">
        <f>'Budget Filing Data'!B52</f>
        <v>2028</v>
      </c>
      <c r="N58" s="474">
        <f t="shared" si="0"/>
        <v>449687.22682015225</v>
      </c>
      <c r="O58" s="475">
        <f>'Budget Filing Data'!AQ52</f>
        <v>39028.405400000003</v>
      </c>
      <c r="P58" s="475">
        <f>'Budget Filing Data'!AR52</f>
        <v>29271.304100000001</v>
      </c>
      <c r="Q58" s="475">
        <f>'Budget Filing Data'!AS52</f>
        <v>126842.31759999999</v>
      </c>
      <c r="R58" s="475">
        <f>'Budget Filing Data'!AT52</f>
        <v>254545.19972015225</v>
      </c>
      <c r="S58" s="476">
        <f>'Budget Filing Data'!X52</f>
        <v>369359.2659289299</v>
      </c>
      <c r="T58" s="477">
        <f>IFERROR((('Budget Filing Data'!AF52+'Budget Filing Data'!AG52+'Budget Filing Data'!AY52+'Budget Filing Data'!AH52)/'Budget Filing Data'!AA52),"")</f>
        <v>0.38328592391195548</v>
      </c>
      <c r="U58" s="477">
        <f>IFERROR((('Budget Filing Data'!AF52+'Budget Filing Data'!AG52+'Budget Filing Data'!AY52+'Budget Filing Data'!AH52)/'Budget Filing Data'!AB52),"")</f>
        <v>0.84660171084973845</v>
      </c>
      <c r="V58" s="477">
        <f>IFERROR((('Budget Filing Data'!AF52+'Budget Filing Data'!AG52+'Budget Filing Data'!AY52+'Budget Filing Data'!AH52+'Budget Filing Data'!AW52+'Budget Filing Data'!AX52)/('Budget Filing Data'!AE52)),"")</f>
        <v>0.3904728980712765</v>
      </c>
      <c r="W58" s="477">
        <f>IFERROR(('Budget Filing Data'!AI52+'Budget Filing Data'!AJ52+'Budget Filing Data'!AK52+'Budget Filing Data'!AH52)/('Budget Filing Data'!AC52),"")</f>
        <v>0.43015595086947206</v>
      </c>
      <c r="X58" s="477">
        <f>IFERROR(('Budget Filing Data'!AL52+'Budget Filing Data'!AM52+'Budget Filing Data'!AN52+'Budget Filing Data'!AH52)/('Budget Filing Data'!AD52),"")</f>
        <v>0.43020282967719442</v>
      </c>
      <c r="Y58" s="478">
        <f>'Budget Filing Data'!Q52</f>
        <v>114866.92708300355</v>
      </c>
      <c r="Z58" s="478">
        <f>'Budget Filing Data'!R52</f>
        <v>40.500377396713638</v>
      </c>
      <c r="AA58" s="478">
        <f>'Budget Filing Data'!S52</f>
        <v>616.17601281599946</v>
      </c>
      <c r="AB58" s="478">
        <f>'Budget Filing Data'!AO52</f>
        <v>29.740645206405571</v>
      </c>
      <c r="AC58" s="478">
        <f>'Budget Filing Data'!AP52</f>
        <v>3.2718946280529537</v>
      </c>
      <c r="AD58" s="478">
        <f>'Budget Filing Data'!T52</f>
        <v>1980412.6135330936</v>
      </c>
      <c r="AE58" s="478">
        <f>'Budget Filing Data'!U52</f>
        <v>6610.2298953599893</v>
      </c>
      <c r="AF58" s="478">
        <f>'Budget Filing Data'!$V52</f>
        <v>452.21579221847566</v>
      </c>
      <c r="AG58" s="478">
        <f>'Budget Filing Data'!$W52</f>
        <v>35.100320744361589</v>
      </c>
      <c r="AH58" s="479">
        <v>0</v>
      </c>
    </row>
    <row r="59" spans="3:34" ht="25.5">
      <c r="C59" s="470" t="str">
        <f>'Budget Filing Data'!D53</f>
        <v>SDGE_SW_NC_NonRes_Res_electric_PA</v>
      </c>
      <c r="D59" s="470" t="str">
        <f>'Budget Filing Data'!E53</f>
        <v>SW New Construction NonResidential - Residential - All Electric (Utility)</v>
      </c>
      <c r="E59" s="471" t="s">
        <v>42</v>
      </c>
      <c r="F59" s="471" t="s">
        <v>325</v>
      </c>
      <c r="G59" s="472" t="str">
        <f>'Budget Filing Data'!J53</f>
        <v>IOU Core</v>
      </c>
      <c r="H59" s="472" t="str">
        <f>IF('Budget Filing Data'!H53="","",'Budget Filing Data'!H53)</f>
        <v>SW_NC_NonRes_Res_electric - New Construction - NonResidential - All Electric</v>
      </c>
      <c r="I59" s="473" t="s">
        <v>24</v>
      </c>
      <c r="J59" s="472" t="str">
        <f>'Budget Filing Data'!G53</f>
        <v>Residential</v>
      </c>
      <c r="K59" s="472" t="str">
        <f>'Budget Filing Data'!I53</f>
        <v>New Construction</v>
      </c>
      <c r="L59" s="472" t="str">
        <f>'Budget Filing Data'!L53</f>
        <v>Market Support</v>
      </c>
      <c r="M59" s="472">
        <f>'Budget Filing Data'!B53</f>
        <v>2028</v>
      </c>
      <c r="N59" s="474">
        <f t="shared" si="0"/>
        <v>2875.0826999999999</v>
      </c>
      <c r="O59" s="475">
        <f>'Budget Filing Data'!AQ53</f>
        <v>2875.0826999999999</v>
      </c>
      <c r="P59" s="475">
        <f>'Budget Filing Data'!AR53</f>
        <v>0</v>
      </c>
      <c r="Q59" s="475">
        <f>'Budget Filing Data'!AS53</f>
        <v>0</v>
      </c>
      <c r="R59" s="475">
        <f>'Budget Filing Data'!AT53</f>
        <v>0</v>
      </c>
      <c r="S59" s="476">
        <f>'Budget Filing Data'!X53</f>
        <v>0</v>
      </c>
      <c r="T59" s="477">
        <f>IFERROR((('Budget Filing Data'!AF53+'Budget Filing Data'!AG53+'Budget Filing Data'!AY53+'Budget Filing Data'!AH53)/'Budget Filing Data'!AA53),"")</f>
        <v>0</v>
      </c>
      <c r="U59" s="477">
        <f>IFERROR((('Budget Filing Data'!AF53+'Budget Filing Data'!AG53+'Budget Filing Data'!AY53+'Budget Filing Data'!AH53)/'Budget Filing Data'!AB53),"")</f>
        <v>0</v>
      </c>
      <c r="V59" s="477">
        <f>IFERROR((('Budget Filing Data'!AF53+'Budget Filing Data'!AG53+'Budget Filing Data'!AY53+'Budget Filing Data'!AH53+'Budget Filing Data'!AW53+'Budget Filing Data'!AX53)/('Budget Filing Data'!AE53)),"")</f>
        <v>0</v>
      </c>
      <c r="W59" s="477">
        <f>IFERROR(('Budget Filing Data'!AI53+'Budget Filing Data'!AJ53+'Budget Filing Data'!AK53+'Budget Filing Data'!AH53)/('Budget Filing Data'!AC53),"")</f>
        <v>0</v>
      </c>
      <c r="X59" s="477">
        <f>IFERROR(('Budget Filing Data'!AL53+'Budget Filing Data'!AM53+'Budget Filing Data'!AN53+'Budget Filing Data'!AH53)/('Budget Filing Data'!AD53),"")</f>
        <v>0</v>
      </c>
      <c r="Y59" s="478">
        <f>'Budget Filing Data'!Q53</f>
        <v>0</v>
      </c>
      <c r="Z59" s="478">
        <f>'Budget Filing Data'!R53</f>
        <v>0</v>
      </c>
      <c r="AA59" s="478">
        <f>'Budget Filing Data'!S53</f>
        <v>0</v>
      </c>
      <c r="AB59" s="478">
        <f>'Budget Filing Data'!AO53</f>
        <v>0</v>
      </c>
      <c r="AC59" s="478">
        <f>'Budget Filing Data'!AP53</f>
        <v>0</v>
      </c>
      <c r="AD59" s="478">
        <f>'Budget Filing Data'!T53</f>
        <v>0</v>
      </c>
      <c r="AE59" s="478">
        <f>'Budget Filing Data'!U53</f>
        <v>0</v>
      </c>
      <c r="AF59" s="478">
        <f>'Budget Filing Data'!$V53</f>
        <v>0</v>
      </c>
      <c r="AG59" s="478">
        <f>'Budget Filing Data'!$W53</f>
        <v>0</v>
      </c>
      <c r="AH59" s="479">
        <v>0</v>
      </c>
    </row>
    <row r="60" spans="3:34" hidden="1">
      <c r="C60" s="470" t="str">
        <f>'Budget Filing Data'!D54</f>
        <v>SDGE_SW_NC_NonRes_Ag_mixed</v>
      </c>
      <c r="D60" s="470" t="str">
        <f>'Budget Filing Data'!E54</f>
        <v>SW New Construction Non Residential - Agricultural - Mixed Fuel</v>
      </c>
      <c r="E60" s="471"/>
      <c r="F60" s="480"/>
      <c r="G60" s="472" t="str">
        <f>'Budget Filing Data'!J54</f>
        <v>Third-Party Solicited</v>
      </c>
      <c r="H60" s="472" t="str">
        <f>IF('Budget Filing Data'!H54="","",'Budget Filing Data'!H54)</f>
        <v>SW_NC_NonRes_Ag_mixed - New Construction - NonResidential - Mixed Fuel</v>
      </c>
      <c r="I60" s="473" t="s">
        <v>24</v>
      </c>
      <c r="J60" s="472" t="str">
        <f>'Budget Filing Data'!G54</f>
        <v>Agricultural</v>
      </c>
      <c r="K60" s="472" t="str">
        <f>'Budget Filing Data'!I54</f>
        <v>New Construction</v>
      </c>
      <c r="L60" s="472" t="str">
        <f>'Budget Filing Data'!L54</f>
        <v>Market Support</v>
      </c>
      <c r="M60" s="472">
        <f>'Budget Filing Data'!B54</f>
        <v>2028</v>
      </c>
      <c r="N60" s="474">
        <f t="shared" si="0"/>
        <v>44562.00917012</v>
      </c>
      <c r="O60" s="475">
        <f>'Budget Filing Data'!AQ54</f>
        <v>3912.7217999999998</v>
      </c>
      <c r="P60" s="475">
        <f>'Budget Filing Data'!AR54</f>
        <v>2934.5412999999999</v>
      </c>
      <c r="Q60" s="475">
        <f>'Budget Filing Data'!AS54</f>
        <v>12716.345799999999</v>
      </c>
      <c r="R60" s="475">
        <f>'Budget Filing Data'!AT54</f>
        <v>24998.400270119997</v>
      </c>
      <c r="S60" s="476">
        <f>'Budget Filing Data'!X54</f>
        <v>15332.33498680953</v>
      </c>
      <c r="T60" s="477">
        <f>IFERROR((('Budget Filing Data'!AF54+'Budget Filing Data'!AG54+'Budget Filing Data'!AY54+'Budget Filing Data'!AH54)/'Budget Filing Data'!AA54),"")</f>
        <v>0.41431542733067023</v>
      </c>
      <c r="U60" s="477">
        <f>IFERROR((('Budget Filing Data'!AF54+'Budget Filing Data'!AG54+'Budget Filing Data'!AY54+'Budget Filing Data'!AH54)/'Budget Filing Data'!AB54),"")</f>
        <v>0.35738202320683871</v>
      </c>
      <c r="V60" s="477">
        <f>IFERROR((('Budget Filing Data'!AF54+'Budget Filing Data'!AG54+'Budget Filing Data'!AY54+'Budget Filing Data'!AH54+'Budget Filing Data'!AW54+'Budget Filing Data'!AX54)/('Budget Filing Data'!AE54)),"")</f>
        <v>0.1738266243641638</v>
      </c>
      <c r="W60" s="477">
        <f>IFERROR(('Budget Filing Data'!AI54+'Budget Filing Data'!AJ54+'Budget Filing Data'!AK54+'Budget Filing Data'!AH54)/('Budget Filing Data'!AC54),"")</f>
        <v>0.47736085150053476</v>
      </c>
      <c r="X60" s="477">
        <f>IFERROR(('Budget Filing Data'!AL54+'Budget Filing Data'!AM54+'Budget Filing Data'!AN54+'Budget Filing Data'!AH54)/('Budget Filing Data'!AD54),"")</f>
        <v>0.47736085150053476</v>
      </c>
      <c r="Y60" s="478">
        <f>'Budget Filing Data'!Q54</f>
        <v>15712.600175999984</v>
      </c>
      <c r="Z60" s="478">
        <f>'Budget Filing Data'!R54</f>
        <v>2.7607032179999944</v>
      </c>
      <c r="AA60" s="478">
        <f>'Budget Filing Data'!S54</f>
        <v>0</v>
      </c>
      <c r="AB60" s="478">
        <f>'Budget Filing Data'!AO54</f>
        <v>3.6709979374433068</v>
      </c>
      <c r="AC60" s="478">
        <f>'Budget Filing Data'!AP54</f>
        <v>0</v>
      </c>
      <c r="AD60" s="478">
        <f>'Budget Filing Data'!T54</f>
        <v>200212.98751999991</v>
      </c>
      <c r="AE60" s="478">
        <f>'Budget Filing Data'!U54</f>
        <v>0</v>
      </c>
      <c r="AF60" s="478">
        <f>'Budget Filing Data'!$V54</f>
        <v>33.187136838371273</v>
      </c>
      <c r="AG60" s="478">
        <f>'Budget Filing Data'!$W54</f>
        <v>0</v>
      </c>
      <c r="AH60" s="479">
        <v>0</v>
      </c>
    </row>
    <row r="61" spans="3:34" hidden="1">
      <c r="C61" s="470" t="str">
        <f>'Budget Filing Data'!D55</f>
        <v>SDGE_SW_NC_NonRes_Ag_mixed_PA</v>
      </c>
      <c r="D61" s="470" t="str">
        <f>'Budget Filing Data'!E55</f>
        <v>SW New Construction Non Residential - Agricultural - Mixed Fuel (Utility)</v>
      </c>
      <c r="E61" s="471"/>
      <c r="F61" s="480"/>
      <c r="G61" s="472" t="str">
        <f>'Budget Filing Data'!J55</f>
        <v>IOU Core</v>
      </c>
      <c r="H61" s="472" t="str">
        <f>IF('Budget Filing Data'!H55="","",'Budget Filing Data'!H55)</f>
        <v>SW_NC_NonRes_Ag_mixed - New Construction - NonResidential - Mixed Fuel</v>
      </c>
      <c r="I61" s="473" t="s">
        <v>24</v>
      </c>
      <c r="J61" s="472" t="str">
        <f>'Budget Filing Data'!G55</f>
        <v>Agricultural</v>
      </c>
      <c r="K61" s="472" t="str">
        <f>'Budget Filing Data'!I55</f>
        <v>New Construction</v>
      </c>
      <c r="L61" s="472" t="str">
        <f>'Budget Filing Data'!L55</f>
        <v>Market Support</v>
      </c>
      <c r="M61" s="472">
        <f>'Budget Filing Data'!B55</f>
        <v>2028</v>
      </c>
      <c r="N61" s="474">
        <f t="shared" si="0"/>
        <v>444.80270000000002</v>
      </c>
      <c r="O61" s="475">
        <f>'Budget Filing Data'!AQ55</f>
        <v>444.80270000000002</v>
      </c>
      <c r="P61" s="475">
        <f>'Budget Filing Data'!AR55</f>
        <v>0</v>
      </c>
      <c r="Q61" s="475">
        <f>'Budget Filing Data'!AS55</f>
        <v>0</v>
      </c>
      <c r="R61" s="475">
        <f>'Budget Filing Data'!AT55</f>
        <v>0</v>
      </c>
      <c r="S61" s="476">
        <f>'Budget Filing Data'!X55</f>
        <v>0</v>
      </c>
      <c r="T61" s="477">
        <f>IFERROR((('Budget Filing Data'!AF55+'Budget Filing Data'!AG55+'Budget Filing Data'!AY55+'Budget Filing Data'!AH55)/'Budget Filing Data'!AA55),"")</f>
        <v>0</v>
      </c>
      <c r="U61" s="477">
        <f>IFERROR((('Budget Filing Data'!AF55+'Budget Filing Data'!AG55+'Budget Filing Data'!AY55+'Budget Filing Data'!AH55)/'Budget Filing Data'!AB55),"")</f>
        <v>0</v>
      </c>
      <c r="V61" s="477">
        <f>IFERROR((('Budget Filing Data'!AF55+'Budget Filing Data'!AG55+'Budget Filing Data'!AY55+'Budget Filing Data'!AH55+'Budget Filing Data'!AW55+'Budget Filing Data'!AX55)/('Budget Filing Data'!AE55)),"")</f>
        <v>0</v>
      </c>
      <c r="W61" s="477">
        <f>IFERROR(('Budget Filing Data'!AI55+'Budget Filing Data'!AJ55+'Budget Filing Data'!AK55+'Budget Filing Data'!AH55)/('Budget Filing Data'!AC55),"")</f>
        <v>0</v>
      </c>
      <c r="X61" s="477">
        <f>IFERROR(('Budget Filing Data'!AL55+'Budget Filing Data'!AM55+'Budget Filing Data'!AN55+'Budget Filing Data'!AH55)/('Budget Filing Data'!AD55),"")</f>
        <v>0</v>
      </c>
      <c r="Y61" s="478">
        <f>'Budget Filing Data'!Q55</f>
        <v>0</v>
      </c>
      <c r="Z61" s="478">
        <f>'Budget Filing Data'!R55</f>
        <v>0</v>
      </c>
      <c r="AA61" s="478">
        <f>'Budget Filing Data'!S55</f>
        <v>0</v>
      </c>
      <c r="AB61" s="478">
        <f>'Budget Filing Data'!AO55</f>
        <v>0</v>
      </c>
      <c r="AC61" s="478">
        <f>'Budget Filing Data'!AP55</f>
        <v>0</v>
      </c>
      <c r="AD61" s="478">
        <f>'Budget Filing Data'!T55</f>
        <v>0</v>
      </c>
      <c r="AE61" s="478">
        <f>'Budget Filing Data'!U55</f>
        <v>0</v>
      </c>
      <c r="AF61" s="478">
        <f>'Budget Filing Data'!$V55</f>
        <v>0</v>
      </c>
      <c r="AG61" s="478">
        <f>'Budget Filing Data'!$W55</f>
        <v>0</v>
      </c>
      <c r="AH61" s="479">
        <v>0</v>
      </c>
    </row>
    <row r="62" spans="3:34" hidden="1">
      <c r="C62" s="470" t="str">
        <f>'Budget Filing Data'!D56</f>
        <v>SDGE_SW_NC_NonRes_Com_mixed</v>
      </c>
      <c r="D62" s="470" t="str">
        <f>'Budget Filing Data'!E56</f>
        <v>SW New Construction Non Residential - Commercial - Mixed Fuel</v>
      </c>
      <c r="E62" s="471"/>
      <c r="F62" s="480"/>
      <c r="G62" s="472" t="str">
        <f>'Budget Filing Data'!J56</f>
        <v>Third-Party Solicited</v>
      </c>
      <c r="H62" s="472" t="str">
        <f>IF('Budget Filing Data'!H56="","",'Budget Filing Data'!H56)</f>
        <v>SW_NC_NonRes_Com_mixed - New Construction - NonResidential - Mixed Fuel</v>
      </c>
      <c r="I62" s="473" t="s">
        <v>24</v>
      </c>
      <c r="J62" s="472" t="str">
        <f>'Budget Filing Data'!G56</f>
        <v>Commercial</v>
      </c>
      <c r="K62" s="472" t="str">
        <f>'Budget Filing Data'!I56</f>
        <v>New Construction</v>
      </c>
      <c r="L62" s="472" t="str">
        <f>'Budget Filing Data'!L56</f>
        <v>Market Support</v>
      </c>
      <c r="M62" s="472">
        <f>'Budget Filing Data'!B56</f>
        <v>2028</v>
      </c>
      <c r="N62" s="474">
        <f t="shared" si="0"/>
        <v>285196.85719759995</v>
      </c>
      <c r="O62" s="475">
        <f>'Budget Filing Data'!AQ56</f>
        <v>25041.4195</v>
      </c>
      <c r="P62" s="475">
        <f>'Budget Filing Data'!AR56</f>
        <v>18781.064600000002</v>
      </c>
      <c r="Q62" s="475">
        <f>'Budget Filing Data'!AS56</f>
        <v>81384.613299999997</v>
      </c>
      <c r="R62" s="475">
        <f>'Budget Filing Data'!AT56</f>
        <v>159989.75979759998</v>
      </c>
      <c r="S62" s="476">
        <f>'Budget Filing Data'!X56</f>
        <v>70737.367126641911</v>
      </c>
      <c r="T62" s="477">
        <f>IFERROR((('Budget Filing Data'!AF56+'Budget Filing Data'!AG56+'Budget Filing Data'!AY56+'Budget Filing Data'!AH56)/'Budget Filing Data'!AA56),"")</f>
        <v>0.27213839302921355</v>
      </c>
      <c r="U62" s="477">
        <f>IFERROR((('Budget Filing Data'!AF56+'Budget Filing Data'!AG56+'Budget Filing Data'!AY56+'Budget Filing Data'!AH56)/'Budget Filing Data'!AB56),"")</f>
        <v>0.25611640710369815</v>
      </c>
      <c r="V62" s="477">
        <f>IFERROR((('Budget Filing Data'!AF56+'Budget Filing Data'!AG56+'Budget Filing Data'!AY56+'Budget Filing Data'!AH56+'Budget Filing Data'!AW56+'Budget Filing Data'!AX56)/('Budget Filing Data'!AE56)),"")</f>
        <v>0.14659342672883308</v>
      </c>
      <c r="W62" s="477">
        <f>IFERROR(('Budget Filing Data'!AI56+'Budget Filing Data'!AJ56+'Budget Filing Data'!AK56+'Budget Filing Data'!AH56)/('Budget Filing Data'!AC56),"")</f>
        <v>0.32991773857125395</v>
      </c>
      <c r="X62" s="477">
        <f>IFERROR(('Budget Filing Data'!AL56+'Budget Filing Data'!AM56+'Budget Filing Data'!AN56+'Budget Filing Data'!AH56)/('Budget Filing Data'!AD56),"")</f>
        <v>0.33007174992585814</v>
      </c>
      <c r="Y62" s="478">
        <f>'Budget Filing Data'!Q56</f>
        <v>42735.083964572892</v>
      </c>
      <c r="Z62" s="478">
        <f>'Budget Filing Data'!R56</f>
        <v>10.841199350162993</v>
      </c>
      <c r="AA62" s="478">
        <f>'Budget Filing Data'!S56</f>
        <v>566.63420352000026</v>
      </c>
      <c r="AB62" s="478">
        <f>'Budget Filing Data'!AO56</f>
        <v>11.042613465494028</v>
      </c>
      <c r="AC62" s="478">
        <f>'Budget Filing Data'!AP56</f>
        <v>3.0088276206912017</v>
      </c>
      <c r="AD62" s="478">
        <f>'Budget Filing Data'!T56</f>
        <v>652163.64290167985</v>
      </c>
      <c r="AE62" s="478">
        <f>'Budget Filing Data'!U56</f>
        <v>7334.7474182399974</v>
      </c>
      <c r="AF62" s="478">
        <f>'Budget Filing Data'!$V56</f>
        <v>115.34478346803576</v>
      </c>
      <c r="AG62" s="478">
        <f>'Budget Filing Data'!$W56</f>
        <v>38.947508790854378</v>
      </c>
      <c r="AH62" s="479">
        <v>0</v>
      </c>
    </row>
    <row r="63" spans="3:34" ht="25.5" hidden="1">
      <c r="C63" s="470" t="str">
        <f>'Budget Filing Data'!D57</f>
        <v>SDGE_SW_NC_NonRes_Com_mixed_PA</v>
      </c>
      <c r="D63" s="470" t="str">
        <f>'Budget Filing Data'!E57</f>
        <v>SW New Construction Non Residential - Commercial - Mixed Fuel (Utility)</v>
      </c>
      <c r="E63" s="471" t="s">
        <v>42</v>
      </c>
      <c r="F63" s="471" t="s">
        <v>325</v>
      </c>
      <c r="G63" s="472" t="str">
        <f>'Budget Filing Data'!J57</f>
        <v>IOU Core</v>
      </c>
      <c r="H63" s="472" t="str">
        <f>IF('Budget Filing Data'!H57="","",'Budget Filing Data'!H57)</f>
        <v>SW_NC_NonRes_Com_mixed - New Construction - NonResidential - Mixed Fuel</v>
      </c>
      <c r="I63" s="473" t="s">
        <v>24</v>
      </c>
      <c r="J63" s="472" t="str">
        <f>'Budget Filing Data'!G57</f>
        <v>Commercial</v>
      </c>
      <c r="K63" s="472" t="str">
        <f>'Budget Filing Data'!I57</f>
        <v>New Construction</v>
      </c>
      <c r="L63" s="472" t="str">
        <f>'Budget Filing Data'!L57</f>
        <v>Market Support</v>
      </c>
      <c r="M63" s="472">
        <f>'Budget Filing Data'!B57</f>
        <v>2028</v>
      </c>
      <c r="N63" s="474">
        <f t="shared" si="0"/>
        <v>1888.3326999999999</v>
      </c>
      <c r="O63" s="475">
        <f>'Budget Filing Data'!AQ57</f>
        <v>1888.3326999999999</v>
      </c>
      <c r="P63" s="475">
        <f>'Budget Filing Data'!AR57</f>
        <v>0</v>
      </c>
      <c r="Q63" s="475">
        <f>'Budget Filing Data'!AS57</f>
        <v>0</v>
      </c>
      <c r="R63" s="475">
        <f>'Budget Filing Data'!AT57</f>
        <v>0</v>
      </c>
      <c r="S63" s="476">
        <f>'Budget Filing Data'!X57</f>
        <v>0</v>
      </c>
      <c r="T63" s="477">
        <f>IFERROR((('Budget Filing Data'!AF57+'Budget Filing Data'!AG57+'Budget Filing Data'!AY57+'Budget Filing Data'!AH57)/'Budget Filing Data'!AA57),"")</f>
        <v>0</v>
      </c>
      <c r="U63" s="477">
        <f>IFERROR((('Budget Filing Data'!AF57+'Budget Filing Data'!AG57+'Budget Filing Data'!AY57+'Budget Filing Data'!AH57)/'Budget Filing Data'!AB57),"")</f>
        <v>0</v>
      </c>
      <c r="V63" s="477">
        <f>IFERROR((('Budget Filing Data'!AF57+'Budget Filing Data'!AG57+'Budget Filing Data'!AY57+'Budget Filing Data'!AH57+'Budget Filing Data'!AW57+'Budget Filing Data'!AX57)/('Budget Filing Data'!AE57)),"")</f>
        <v>0</v>
      </c>
      <c r="W63" s="477">
        <f>IFERROR(('Budget Filing Data'!AI57+'Budget Filing Data'!AJ57+'Budget Filing Data'!AK57+'Budget Filing Data'!AH57)/('Budget Filing Data'!AC57),"")</f>
        <v>0</v>
      </c>
      <c r="X63" s="477">
        <f>IFERROR(('Budget Filing Data'!AL57+'Budget Filing Data'!AM57+'Budget Filing Data'!AN57+'Budget Filing Data'!AH57)/('Budget Filing Data'!AD57),"")</f>
        <v>0</v>
      </c>
      <c r="Y63" s="478">
        <f>'Budget Filing Data'!Q57</f>
        <v>0</v>
      </c>
      <c r="Z63" s="478">
        <f>'Budget Filing Data'!R57</f>
        <v>0</v>
      </c>
      <c r="AA63" s="478">
        <f>'Budget Filing Data'!S57</f>
        <v>0</v>
      </c>
      <c r="AB63" s="478">
        <f>'Budget Filing Data'!AO57</f>
        <v>0</v>
      </c>
      <c r="AC63" s="478">
        <f>'Budget Filing Data'!AP57</f>
        <v>0</v>
      </c>
      <c r="AD63" s="478">
        <f>'Budget Filing Data'!T57</f>
        <v>0</v>
      </c>
      <c r="AE63" s="478">
        <f>'Budget Filing Data'!U57</f>
        <v>0</v>
      </c>
      <c r="AF63" s="478">
        <f>'Budget Filing Data'!$V57</f>
        <v>0</v>
      </c>
      <c r="AG63" s="478">
        <f>'Budget Filing Data'!$W57</f>
        <v>0</v>
      </c>
      <c r="AH63" s="479">
        <v>0</v>
      </c>
    </row>
    <row r="64" spans="3:34" hidden="1">
      <c r="C64" s="470" t="str">
        <f>'Budget Filing Data'!D58</f>
        <v>SDGE_SW_NC_NonRes_Ind_mixed</v>
      </c>
      <c r="D64" s="470" t="str">
        <f>'Budget Filing Data'!E58</f>
        <v>SW New Construction Non Residential - Industrial - Mixed Fuel</v>
      </c>
      <c r="E64" s="471" t="s">
        <v>37</v>
      </c>
      <c r="F64" s="471" t="s">
        <v>323</v>
      </c>
      <c r="G64" s="472" t="str">
        <f>'Budget Filing Data'!J58</f>
        <v>Third-Party Solicited</v>
      </c>
      <c r="H64" s="472" t="str">
        <f>IF('Budget Filing Data'!H58="","",'Budget Filing Data'!H58)</f>
        <v>SW_NC_NonRes_Ind_mixed - New Construction - NonResidential - Mixed Fuel</v>
      </c>
      <c r="I64" s="473" t="s">
        <v>24</v>
      </c>
      <c r="J64" s="472" t="str">
        <f>'Budget Filing Data'!G58</f>
        <v>Industrial</v>
      </c>
      <c r="K64" s="472" t="str">
        <f>'Budget Filing Data'!I58</f>
        <v>New Construction</v>
      </c>
      <c r="L64" s="472" t="str">
        <f>'Budget Filing Data'!L58</f>
        <v>Market Support</v>
      </c>
      <c r="M64" s="472">
        <f>'Budget Filing Data'!B58</f>
        <v>2028</v>
      </c>
      <c r="N64" s="474">
        <f t="shared" si="0"/>
        <v>44562.010060000001</v>
      </c>
      <c r="O64" s="475">
        <f>'Budget Filing Data'!AQ58</f>
        <v>3912.7217999999998</v>
      </c>
      <c r="P64" s="475">
        <f>'Budget Filing Data'!AR58</f>
        <v>2934.5412999999999</v>
      </c>
      <c r="Q64" s="475">
        <f>'Budget Filing Data'!AS58</f>
        <v>12716.345799999999</v>
      </c>
      <c r="R64" s="475">
        <f>'Budget Filing Data'!AT58</f>
        <v>24998.401160000001</v>
      </c>
      <c r="S64" s="476">
        <f>'Budget Filing Data'!X58</f>
        <v>18525.337415090831</v>
      </c>
      <c r="T64" s="477">
        <f>IFERROR((('Budget Filing Data'!AF58+'Budget Filing Data'!AG58+'Budget Filing Data'!AY58+'Budget Filing Data'!AH58)/'Budget Filing Data'!AA58),"")</f>
        <v>0.55493821040377889</v>
      </c>
      <c r="U64" s="477">
        <f>IFERROR((('Budget Filing Data'!AF58+'Budget Filing Data'!AG58+'Budget Filing Data'!AY58+'Budget Filing Data'!AH58)/'Budget Filing Data'!AB58),"")</f>
        <v>0.42889634394469378</v>
      </c>
      <c r="V64" s="477">
        <f>IFERROR((('Budget Filing Data'!AF58+'Budget Filing Data'!AG58+'Budget Filing Data'!AY58+'Budget Filing Data'!AH58+'Budget Filing Data'!AW58+'Budget Filing Data'!AX58)/('Budget Filing Data'!AE58)),"")</f>
        <v>0.33104231795307143</v>
      </c>
      <c r="W64" s="477">
        <f>IFERROR(('Budget Filing Data'!AI58+'Budget Filing Data'!AJ58+'Budget Filing Data'!AK58+'Budget Filing Data'!AH58)/('Budget Filing Data'!AC58),"")</f>
        <v>0.84564744395250913</v>
      </c>
      <c r="X64" s="477">
        <f>IFERROR(('Budget Filing Data'!AL58+'Budget Filing Data'!AM58+'Budget Filing Data'!AN58+'Budget Filing Data'!AH58)/('Budget Filing Data'!AD58),"")</f>
        <v>0.847033767335857</v>
      </c>
      <c r="Y64" s="478">
        <f>'Budget Filing Data'!Q58</f>
        <v>496.49599999999998</v>
      </c>
      <c r="Z64" s="478">
        <f>'Budget Filing Data'!R58</f>
        <v>0.10142859999999999</v>
      </c>
      <c r="AA64" s="478">
        <f>'Budget Filing Data'!S58</f>
        <v>909.82979999999998</v>
      </c>
      <c r="AB64" s="478">
        <f>'Budget Filing Data'!AO58</f>
        <v>0.1049073660544</v>
      </c>
      <c r="AC64" s="478">
        <f>'Budget Filing Data'!AP58</f>
        <v>4.8311962380000004</v>
      </c>
      <c r="AD64" s="478">
        <f>'Budget Filing Data'!T58</f>
        <v>6982.2479999999996</v>
      </c>
      <c r="AE64" s="478">
        <f>'Budget Filing Data'!U58</f>
        <v>13647.447</v>
      </c>
      <c r="AF64" s="478">
        <f>'Budget Filing Data'!$V58</f>
        <v>0.93306273303880005</v>
      </c>
      <c r="AG64" s="478">
        <f>'Budget Filing Data'!$W58</f>
        <v>72.467943570000003</v>
      </c>
      <c r="AH64" s="479">
        <v>0</v>
      </c>
    </row>
    <row r="65" spans="3:34" hidden="1">
      <c r="C65" s="470" t="str">
        <f>'Budget Filing Data'!D59</f>
        <v>SDGE_SW_NC_NonRes_Ind_mixed_PA</v>
      </c>
      <c r="D65" s="470" t="str">
        <f>'Budget Filing Data'!E59</f>
        <v>SW New Construction Non Residential - Industrial - Mixed Fuel (Utility)</v>
      </c>
      <c r="E65" s="471"/>
      <c r="F65" s="480"/>
      <c r="G65" s="472" t="str">
        <f>'Budget Filing Data'!J59</f>
        <v>IOU Core</v>
      </c>
      <c r="H65" s="472" t="str">
        <f>IF('Budget Filing Data'!H59="","",'Budget Filing Data'!H59)</f>
        <v>SW_NC_NonRes_Ind_mixed - New Construction - NonResidential - Mixed Fuel</v>
      </c>
      <c r="I65" s="473" t="s">
        <v>24</v>
      </c>
      <c r="J65" s="472" t="str">
        <f>'Budget Filing Data'!G59</f>
        <v>Industrial</v>
      </c>
      <c r="K65" s="472" t="str">
        <f>'Budget Filing Data'!I59</f>
        <v>New Construction</v>
      </c>
      <c r="L65" s="472" t="str">
        <f>'Budget Filing Data'!L59</f>
        <v>Market Support</v>
      </c>
      <c r="M65" s="472">
        <f>'Budget Filing Data'!B59</f>
        <v>2028</v>
      </c>
      <c r="N65" s="474">
        <f t="shared" si="0"/>
        <v>444.80270000000002</v>
      </c>
      <c r="O65" s="475">
        <f>'Budget Filing Data'!AQ59</f>
        <v>444.80270000000002</v>
      </c>
      <c r="P65" s="475">
        <f>'Budget Filing Data'!AR59</f>
        <v>0</v>
      </c>
      <c r="Q65" s="475">
        <f>'Budget Filing Data'!AS59</f>
        <v>0</v>
      </c>
      <c r="R65" s="475">
        <f>'Budget Filing Data'!AT59</f>
        <v>0</v>
      </c>
      <c r="S65" s="476">
        <f>'Budget Filing Data'!X59</f>
        <v>0</v>
      </c>
      <c r="T65" s="477">
        <f>IFERROR((('Budget Filing Data'!AF59+'Budget Filing Data'!AG59+'Budget Filing Data'!AY59+'Budget Filing Data'!AH59)/'Budget Filing Data'!AA59),"")</f>
        <v>0</v>
      </c>
      <c r="U65" s="477">
        <f>IFERROR((('Budget Filing Data'!AF59+'Budget Filing Data'!AG59+'Budget Filing Data'!AY59+'Budget Filing Data'!AH59)/'Budget Filing Data'!AB59),"")</f>
        <v>0</v>
      </c>
      <c r="V65" s="477">
        <f>IFERROR((('Budget Filing Data'!AF59+'Budget Filing Data'!AG59+'Budget Filing Data'!AY59+'Budget Filing Data'!AH59+'Budget Filing Data'!AW59+'Budget Filing Data'!AX59)/('Budget Filing Data'!AE59)),"")</f>
        <v>0</v>
      </c>
      <c r="W65" s="477">
        <f>IFERROR(('Budget Filing Data'!AI59+'Budget Filing Data'!AJ59+'Budget Filing Data'!AK59+'Budget Filing Data'!AH59)/('Budget Filing Data'!AC59),"")</f>
        <v>0</v>
      </c>
      <c r="X65" s="477">
        <f>IFERROR(('Budget Filing Data'!AL59+'Budget Filing Data'!AM59+'Budget Filing Data'!AN59+'Budget Filing Data'!AH59)/('Budget Filing Data'!AD59),"")</f>
        <v>0</v>
      </c>
      <c r="Y65" s="478">
        <f>'Budget Filing Data'!Q59</f>
        <v>0</v>
      </c>
      <c r="Z65" s="478">
        <f>'Budget Filing Data'!R59</f>
        <v>0</v>
      </c>
      <c r="AA65" s="478">
        <f>'Budget Filing Data'!S59</f>
        <v>0</v>
      </c>
      <c r="AB65" s="478">
        <f>'Budget Filing Data'!AO59</f>
        <v>0</v>
      </c>
      <c r="AC65" s="478">
        <f>'Budget Filing Data'!AP59</f>
        <v>0</v>
      </c>
      <c r="AD65" s="478">
        <f>'Budget Filing Data'!T59</f>
        <v>0</v>
      </c>
      <c r="AE65" s="478">
        <f>'Budget Filing Data'!U59</f>
        <v>0</v>
      </c>
      <c r="AF65" s="478">
        <f>'Budget Filing Data'!$V59</f>
        <v>0</v>
      </c>
      <c r="AG65" s="478">
        <f>'Budget Filing Data'!$W59</f>
        <v>0</v>
      </c>
      <c r="AH65" s="479">
        <v>0</v>
      </c>
    </row>
    <row r="66" spans="3:34" hidden="1">
      <c r="C66" s="470" t="str">
        <f>'Budget Filing Data'!D60</f>
        <v>SDGE_SW_NC_NonRes_Pub_mixed</v>
      </c>
      <c r="D66" s="470" t="str">
        <f>'Budget Filing Data'!E60</f>
        <v>SW New Construction Non Residential - Public - Mixed Fuel</v>
      </c>
      <c r="E66" s="471"/>
      <c r="F66" s="480"/>
      <c r="G66" s="472" t="str">
        <f>'Budget Filing Data'!J60</f>
        <v>Third-Party Solicited</v>
      </c>
      <c r="H66" s="472" t="str">
        <f>IF('Budget Filing Data'!H60="","",'Budget Filing Data'!H60)</f>
        <v>SW_NC_NonRes_Pub_mixed - New Construction - NonResidential - Mixed Fuel</v>
      </c>
      <c r="I66" s="473" t="s">
        <v>24</v>
      </c>
      <c r="J66" s="472" t="str">
        <f>'Budget Filing Data'!G60</f>
        <v>Public</v>
      </c>
      <c r="K66" s="472" t="str">
        <f>'Budget Filing Data'!I60</f>
        <v>New Construction</v>
      </c>
      <c r="L66" s="472" t="str">
        <f>'Budget Filing Data'!L60</f>
        <v>Market Support</v>
      </c>
      <c r="M66" s="472">
        <f>'Budget Filing Data'!B60</f>
        <v>2028</v>
      </c>
      <c r="N66" s="474">
        <f t="shared" si="0"/>
        <v>187160.43782399994</v>
      </c>
      <c r="O66" s="475">
        <f>'Budget Filing Data'!AQ60</f>
        <v>16433.431499999999</v>
      </c>
      <c r="P66" s="475">
        <f>'Budget Filing Data'!AR60</f>
        <v>12325.0736</v>
      </c>
      <c r="Q66" s="475">
        <f>'Budget Filing Data'!AS60</f>
        <v>53408.652499999997</v>
      </c>
      <c r="R66" s="475">
        <f>'Budget Filing Data'!AT60</f>
        <v>104993.28022399994</v>
      </c>
      <c r="S66" s="476">
        <f>'Budget Filing Data'!X60</f>
        <v>21498.120727591715</v>
      </c>
      <c r="T66" s="477">
        <f>IFERROR((('Budget Filing Data'!AF60+'Budget Filing Data'!AG60+'Budget Filing Data'!AY60+'Budget Filing Data'!AH60)/'Budget Filing Data'!AA60),"")</f>
        <v>0.14582049878862058</v>
      </c>
      <c r="U66" s="477">
        <f>IFERROR((('Budget Filing Data'!AF60+'Budget Filing Data'!AG60+'Budget Filing Data'!AY60+'Budget Filing Data'!AH60)/'Budget Filing Data'!AB60),"")</f>
        <v>0.1186906053284007</v>
      </c>
      <c r="V66" s="477">
        <f>IFERROR((('Budget Filing Data'!AF60+'Budget Filing Data'!AG60+'Budget Filing Data'!AY60+'Budget Filing Data'!AH60+'Budget Filing Data'!AW60+'Budget Filing Data'!AX60)/('Budget Filing Data'!AE60)),"")</f>
        <v>9.8335405049755603E-2</v>
      </c>
      <c r="W66" s="477">
        <f>IFERROR(('Budget Filing Data'!AI60+'Budget Filing Data'!AJ60+'Budget Filing Data'!AK60+'Budget Filing Data'!AH60)/('Budget Filing Data'!AC60),"")</f>
        <v>0.16033689396381123</v>
      </c>
      <c r="X66" s="477">
        <f>IFERROR(('Budget Filing Data'!AL60+'Budget Filing Data'!AM60+'Budget Filing Data'!AN60+'Budget Filing Data'!AH60)/('Budget Filing Data'!AD60),"")</f>
        <v>0.16035351823009331</v>
      </c>
      <c r="Y66" s="478">
        <f>'Budget Filing Data'!Q60</f>
        <v>8193.4543599999924</v>
      </c>
      <c r="Z66" s="478">
        <f>'Budget Filing Data'!R60</f>
        <v>3.6692091799999966</v>
      </c>
      <c r="AA66" s="478">
        <f>'Budget Filing Data'!S60</f>
        <v>40.320720000000001</v>
      </c>
      <c r="AB66" s="478">
        <f>'Budget Filing Data'!AO60</f>
        <v>1.8048366944276744</v>
      </c>
      <c r="AC66" s="478">
        <f>'Budget Filing Data'!AP60</f>
        <v>0.21410302319999999</v>
      </c>
      <c r="AD66" s="478">
        <f>'Budget Filing Data'!T60</f>
        <v>121363.76615999993</v>
      </c>
      <c r="AE66" s="478">
        <f>'Budget Filing Data'!U60</f>
        <v>571.28544000000011</v>
      </c>
      <c r="AF66" s="478">
        <f>'Budget Filing Data'!$V60</f>
        <v>17.978674082356619</v>
      </c>
      <c r="AG66" s="478">
        <f>'Budget Filing Data'!$W60</f>
        <v>3.0335256864</v>
      </c>
      <c r="AH66" s="479">
        <v>0</v>
      </c>
    </row>
    <row r="67" spans="3:34" hidden="1">
      <c r="C67" s="470" t="str">
        <f>'Budget Filing Data'!D61</f>
        <v>SDGE_SW_NC_NonRes_Pub_mixed_PA</v>
      </c>
      <c r="D67" s="470" t="str">
        <f>'Budget Filing Data'!E61</f>
        <v>SW New Construction Non Residential - Public - Mixed Fuel (Utility)</v>
      </c>
      <c r="E67" s="471"/>
      <c r="F67" s="480"/>
      <c r="G67" s="472" t="str">
        <f>'Budget Filing Data'!J61</f>
        <v>IOU Core</v>
      </c>
      <c r="H67" s="472" t="str">
        <f>IF('Budget Filing Data'!H61="","",'Budget Filing Data'!H61)</f>
        <v>SW_NC_NonRes_Pub_mixed - New Construction - NonResidential - Mixed Fuel</v>
      </c>
      <c r="I67" s="473" t="s">
        <v>24</v>
      </c>
      <c r="J67" s="472" t="str">
        <f>'Budget Filing Data'!G61</f>
        <v>Public</v>
      </c>
      <c r="K67" s="472" t="str">
        <f>'Budget Filing Data'!I61</f>
        <v>New Construction</v>
      </c>
      <c r="L67" s="472" t="str">
        <f>'Budget Filing Data'!L61</f>
        <v>Market Support</v>
      </c>
      <c r="M67" s="472">
        <f>'Budget Filing Data'!B61</f>
        <v>2028</v>
      </c>
      <c r="N67" s="474">
        <f t="shared" si="0"/>
        <v>1300.2227</v>
      </c>
      <c r="O67" s="475">
        <f>'Budget Filing Data'!AQ61</f>
        <v>1300.2227</v>
      </c>
      <c r="P67" s="475">
        <f>'Budget Filing Data'!AR61</f>
        <v>0</v>
      </c>
      <c r="Q67" s="475">
        <f>'Budget Filing Data'!AS61</f>
        <v>0</v>
      </c>
      <c r="R67" s="475">
        <f>'Budget Filing Data'!AT61</f>
        <v>0</v>
      </c>
      <c r="S67" s="476">
        <f>'Budget Filing Data'!X61</f>
        <v>0</v>
      </c>
      <c r="T67" s="477">
        <f>IFERROR((('Budget Filing Data'!AF61+'Budget Filing Data'!AG61+'Budget Filing Data'!AY61+'Budget Filing Data'!AH61)/'Budget Filing Data'!AA61),"")</f>
        <v>0</v>
      </c>
      <c r="U67" s="477">
        <f>IFERROR((('Budget Filing Data'!AF61+'Budget Filing Data'!AG61+'Budget Filing Data'!AY61+'Budget Filing Data'!AH61)/'Budget Filing Data'!AB61),"")</f>
        <v>0</v>
      </c>
      <c r="V67" s="477">
        <f>IFERROR((('Budget Filing Data'!AF61+'Budget Filing Data'!AG61+'Budget Filing Data'!AY61+'Budget Filing Data'!AH61+'Budget Filing Data'!AW61+'Budget Filing Data'!AX61)/('Budget Filing Data'!AE61)),"")</f>
        <v>0</v>
      </c>
      <c r="W67" s="477">
        <f>IFERROR(('Budget Filing Data'!AI61+'Budget Filing Data'!AJ61+'Budget Filing Data'!AK61+'Budget Filing Data'!AH61)/('Budget Filing Data'!AC61),"")</f>
        <v>0</v>
      </c>
      <c r="X67" s="477">
        <f>IFERROR(('Budget Filing Data'!AL61+'Budget Filing Data'!AM61+'Budget Filing Data'!AN61+'Budget Filing Data'!AH61)/('Budget Filing Data'!AD61),"")</f>
        <v>0</v>
      </c>
      <c r="Y67" s="478">
        <f>'Budget Filing Data'!Q61</f>
        <v>0</v>
      </c>
      <c r="Z67" s="478">
        <f>'Budget Filing Data'!R61</f>
        <v>0</v>
      </c>
      <c r="AA67" s="478">
        <f>'Budget Filing Data'!S61</f>
        <v>0</v>
      </c>
      <c r="AB67" s="478">
        <f>'Budget Filing Data'!AO61</f>
        <v>0</v>
      </c>
      <c r="AC67" s="478">
        <f>'Budget Filing Data'!AP61</f>
        <v>0</v>
      </c>
      <c r="AD67" s="478">
        <f>'Budget Filing Data'!T61</f>
        <v>0</v>
      </c>
      <c r="AE67" s="478">
        <f>'Budget Filing Data'!U61</f>
        <v>0</v>
      </c>
      <c r="AF67" s="478">
        <f>'Budget Filing Data'!$V61</f>
        <v>0</v>
      </c>
      <c r="AG67" s="478">
        <f>'Budget Filing Data'!$W61</f>
        <v>0</v>
      </c>
      <c r="AH67" s="479">
        <v>0</v>
      </c>
    </row>
    <row r="68" spans="3:34">
      <c r="C68" s="470" t="str">
        <f>'Budget Filing Data'!D62</f>
        <v>SDGE_SW_NC_NonRes_Res_mixed</v>
      </c>
      <c r="D68" s="470" t="str">
        <f>'Budget Filing Data'!E62</f>
        <v>SW New Construction NonResidential - Residential - Mixed Fuel</v>
      </c>
      <c r="E68" s="471"/>
      <c r="F68" s="480"/>
      <c r="G68" s="472" t="str">
        <f>'Budget Filing Data'!J62</f>
        <v>Third-Party Solicited</v>
      </c>
      <c r="H68" s="472" t="str">
        <f>IF('Budget Filing Data'!H62="","",'Budget Filing Data'!H62)</f>
        <v>SW_NC_NonRes_Res_mixed - New Construction - NonResidential - Mixed Fuel</v>
      </c>
      <c r="I68" s="473" t="s">
        <v>24</v>
      </c>
      <c r="J68" s="472" t="str">
        <f>'Budget Filing Data'!G62</f>
        <v>Residential</v>
      </c>
      <c r="K68" s="472" t="str">
        <f>'Budget Filing Data'!I62</f>
        <v>New Construction</v>
      </c>
      <c r="L68" s="472" t="str">
        <f>'Budget Filing Data'!L62</f>
        <v>Market Support</v>
      </c>
      <c r="M68" s="472">
        <f>'Budget Filing Data'!B62</f>
        <v>2028</v>
      </c>
      <c r="N68" s="474">
        <f t="shared" si="0"/>
        <v>329758.86587048002</v>
      </c>
      <c r="O68" s="475">
        <f>'Budget Filing Data'!AQ62</f>
        <v>28954.141299999999</v>
      </c>
      <c r="P68" s="475">
        <f>'Budget Filing Data'!AR62</f>
        <v>21715.605899999999</v>
      </c>
      <c r="Q68" s="475">
        <f>'Budget Filing Data'!AS62</f>
        <v>94100.959099999993</v>
      </c>
      <c r="R68" s="475">
        <f>'Budget Filing Data'!AT62</f>
        <v>184988.15957048003</v>
      </c>
      <c r="S68" s="476">
        <f>'Budget Filing Data'!X62</f>
        <v>64295.767923640211</v>
      </c>
      <c r="T68" s="477">
        <f>IFERROR((('Budget Filing Data'!AF62+'Budget Filing Data'!AG62+'Budget Filing Data'!AY62+'Budget Filing Data'!AH62)/'Budget Filing Data'!AA62),"")</f>
        <v>4.6684440053029519E-2</v>
      </c>
      <c r="U68" s="477">
        <f>IFERROR((('Budget Filing Data'!AF62+'Budget Filing Data'!AG62+'Budget Filing Data'!AY62+'Budget Filing Data'!AH62)/'Budget Filing Data'!AB62),"")</f>
        <v>0.20105965470549916</v>
      </c>
      <c r="V68" s="477">
        <f>IFERROR((('Budget Filing Data'!AF62+'Budget Filing Data'!AG62+'Budget Filing Data'!AY62+'Budget Filing Data'!AH62+'Budget Filing Data'!AW62+'Budget Filing Data'!AX62)/('Budget Filing Data'!AE62)),"")</f>
        <v>0.12876281708931764</v>
      </c>
      <c r="W68" s="477">
        <f>IFERROR(('Budget Filing Data'!AI62+'Budget Filing Data'!AJ62+'Budget Filing Data'!AK62+'Budget Filing Data'!AH62)/('Budget Filing Data'!AC62),"")</f>
        <v>5.8175426740068564E-2</v>
      </c>
      <c r="X68" s="477">
        <f>IFERROR(('Budget Filing Data'!AL62+'Budget Filing Data'!AM62+'Budget Filing Data'!AN62+'Budget Filing Data'!AH62)/('Budget Filing Data'!AD62),"")</f>
        <v>5.8202013642447294E-2</v>
      </c>
      <c r="Y68" s="478">
        <f>'Budget Filing Data'!Q62</f>
        <v>37017.762268896469</v>
      </c>
      <c r="Z68" s="478">
        <f>'Budget Filing Data'!R62</f>
        <v>6.5020585637734918</v>
      </c>
      <c r="AA68" s="478">
        <f>'Budget Filing Data'!S62</f>
        <v>744.10839782399989</v>
      </c>
      <c r="AB68" s="478">
        <f>'Budget Filing Data'!AO62</f>
        <v>8.8578308191407302</v>
      </c>
      <c r="AC68" s="478">
        <f>'Budget Filing Data'!AP62</f>
        <v>3.9512155924454397</v>
      </c>
      <c r="AD68" s="478">
        <f>'Budget Filing Data'!T62</f>
        <v>577554.88555446442</v>
      </c>
      <c r="AE68" s="478">
        <f>'Budget Filing Data'!U62</f>
        <v>8000.9006114399981</v>
      </c>
      <c r="AF68" s="478">
        <f>'Budget Filing Data'!$V62</f>
        <v>126.36921984655051</v>
      </c>
      <c r="AG68" s="478">
        <f>'Budget Filing Data'!$W62</f>
        <v>42.484782246746384</v>
      </c>
      <c r="AH68" s="479">
        <v>0</v>
      </c>
    </row>
    <row r="69" spans="3:34">
      <c r="C69" s="470" t="str">
        <f>'Budget Filing Data'!D63</f>
        <v>SDGE_SW_NC_NonRes_Res_mixed_PA</v>
      </c>
      <c r="D69" s="470" t="str">
        <f>'Budget Filing Data'!E63</f>
        <v>SW New Construction NonResidential - Residential - Mixed Fuel (Utility)</v>
      </c>
      <c r="E69" s="471"/>
      <c r="F69" s="480"/>
      <c r="G69" s="472" t="str">
        <f>'Budget Filing Data'!J63</f>
        <v>IOU Core</v>
      </c>
      <c r="H69" s="472" t="str">
        <f>IF('Budget Filing Data'!H63="","",'Budget Filing Data'!H63)</f>
        <v>SW_NC_NonRes_Res_mixed - New Construction - NonResidential - Mixed Fuel</v>
      </c>
      <c r="I69" s="473" t="s">
        <v>24</v>
      </c>
      <c r="J69" s="472" t="str">
        <f>'Budget Filing Data'!G63</f>
        <v>Residential</v>
      </c>
      <c r="K69" s="472" t="str">
        <f>'Budget Filing Data'!I63</f>
        <v>New Construction</v>
      </c>
      <c r="L69" s="472" t="str">
        <f>'Budget Filing Data'!L63</f>
        <v>Market Support</v>
      </c>
      <c r="M69" s="472">
        <f>'Budget Filing Data'!B63</f>
        <v>2028</v>
      </c>
      <c r="N69" s="474">
        <f t="shared" si="0"/>
        <v>2155.6527000000001</v>
      </c>
      <c r="O69" s="475">
        <f>'Budget Filing Data'!AQ63</f>
        <v>2155.6527000000001</v>
      </c>
      <c r="P69" s="475">
        <f>'Budget Filing Data'!AR63</f>
        <v>0</v>
      </c>
      <c r="Q69" s="475">
        <f>'Budget Filing Data'!AS63</f>
        <v>0</v>
      </c>
      <c r="R69" s="475">
        <f>'Budget Filing Data'!AT63</f>
        <v>0</v>
      </c>
      <c r="S69" s="476">
        <f>'Budget Filing Data'!X63</f>
        <v>0</v>
      </c>
      <c r="T69" s="477">
        <f>IFERROR((('Budget Filing Data'!AF63+'Budget Filing Data'!AG63+'Budget Filing Data'!AY63+'Budget Filing Data'!AH63)/'Budget Filing Data'!AA63),"")</f>
        <v>0</v>
      </c>
      <c r="U69" s="477">
        <f>IFERROR((('Budget Filing Data'!AF63+'Budget Filing Data'!AG63+'Budget Filing Data'!AY63+'Budget Filing Data'!AH63)/'Budget Filing Data'!AB63),"")</f>
        <v>0</v>
      </c>
      <c r="V69" s="477">
        <f>IFERROR((('Budget Filing Data'!AF63+'Budget Filing Data'!AG63+'Budget Filing Data'!AY63+'Budget Filing Data'!AH63+'Budget Filing Data'!AW63+'Budget Filing Data'!AX63)/('Budget Filing Data'!AE63)),"")</f>
        <v>0</v>
      </c>
      <c r="W69" s="477">
        <f>IFERROR(('Budget Filing Data'!AI63+'Budget Filing Data'!AJ63+'Budget Filing Data'!AK63+'Budget Filing Data'!AH63)/('Budget Filing Data'!AC63),"")</f>
        <v>0</v>
      </c>
      <c r="X69" s="477">
        <f>IFERROR(('Budget Filing Data'!AL63+'Budget Filing Data'!AM63+'Budget Filing Data'!AN63+'Budget Filing Data'!AH63)/('Budget Filing Data'!AD63),"")</f>
        <v>0</v>
      </c>
      <c r="Y69" s="478">
        <f>'Budget Filing Data'!Q63</f>
        <v>0</v>
      </c>
      <c r="Z69" s="478">
        <f>'Budget Filing Data'!R63</f>
        <v>0</v>
      </c>
      <c r="AA69" s="478">
        <f>'Budget Filing Data'!S63</f>
        <v>0</v>
      </c>
      <c r="AB69" s="478">
        <f>'Budget Filing Data'!AO63</f>
        <v>0</v>
      </c>
      <c r="AC69" s="478">
        <f>'Budget Filing Data'!AP63</f>
        <v>0</v>
      </c>
      <c r="AD69" s="478">
        <f>'Budget Filing Data'!T63</f>
        <v>0</v>
      </c>
      <c r="AE69" s="478">
        <f>'Budget Filing Data'!U63</f>
        <v>0</v>
      </c>
      <c r="AF69" s="478">
        <f>'Budget Filing Data'!$V63</f>
        <v>0</v>
      </c>
      <c r="AG69" s="478">
        <f>'Budget Filing Data'!$W63</f>
        <v>0</v>
      </c>
      <c r="AH69" s="479">
        <v>0</v>
      </c>
    </row>
    <row r="70" spans="3:34">
      <c r="C70" s="470" t="str">
        <f>'Budget Filing Data'!D64</f>
        <v>SDGE_SW_NC_Res_electric</v>
      </c>
      <c r="D70" s="470" t="str">
        <f>'Budget Filing Data'!E64</f>
        <v>SW New Construction Residential - All Electric</v>
      </c>
      <c r="E70" s="471"/>
      <c r="F70" s="480"/>
      <c r="G70" s="472" t="str">
        <f>'Budget Filing Data'!J64</f>
        <v>Third-Party Solicited</v>
      </c>
      <c r="H70" s="472" t="str">
        <f>IF('Budget Filing Data'!H64="","",'Budget Filing Data'!H64)</f>
        <v>SW_NC_Res_electric - New Construction - Residential - All Electric</v>
      </c>
      <c r="I70" s="473" t="s">
        <v>24</v>
      </c>
      <c r="J70" s="472" t="str">
        <f>'Budget Filing Data'!G64</f>
        <v>Residential</v>
      </c>
      <c r="K70" s="472" t="str">
        <f>'Budget Filing Data'!I64</f>
        <v>New Construction</v>
      </c>
      <c r="L70" s="472" t="str">
        <f>'Budget Filing Data'!L64</f>
        <v>Market Support</v>
      </c>
      <c r="M70" s="472">
        <f>'Budget Filing Data'!B64</f>
        <v>2028</v>
      </c>
      <c r="N70" s="474">
        <f t="shared" si="0"/>
        <v>996888.25591999968</v>
      </c>
      <c r="O70" s="475">
        <f>'Budget Filing Data'!AQ64</f>
        <v>34270.235999999997</v>
      </c>
      <c r="P70" s="475">
        <f>'Budget Filing Data'!AR64</f>
        <v>20020</v>
      </c>
      <c r="Q70" s="475">
        <f>'Budget Filing Data'!AS64</f>
        <v>376951.12</v>
      </c>
      <c r="R70" s="475">
        <f>'Budget Filing Data'!AT64</f>
        <v>565646.89991999976</v>
      </c>
      <c r="S70" s="476">
        <f>'Budget Filing Data'!X64</f>
        <v>703946.20441714127</v>
      </c>
      <c r="T70" s="477">
        <f>IFERROR((('Budget Filing Data'!AF64+'Budget Filing Data'!AG64+'Budget Filing Data'!AY64+'Budget Filing Data'!AH64)/'Budget Filing Data'!AA64),"")</f>
        <v>0.66524209147462177</v>
      </c>
      <c r="U70" s="477">
        <f>IFERROR((('Budget Filing Data'!AF64+'Budget Filing Data'!AG64+'Budget Filing Data'!AY64+'Budget Filing Data'!AH64)/'Budget Filing Data'!AB64),"")</f>
        <v>0.75446295116384476</v>
      </c>
      <c r="V70" s="477">
        <f>IFERROR((('Budget Filing Data'!AF64+'Budget Filing Data'!AG64+'Budget Filing Data'!AY64+'Budget Filing Data'!AH64+'Budget Filing Data'!AW64+'Budget Filing Data'!AX64)/('Budget Filing Data'!AE64)),"")</f>
        <v>0.75363605379195886</v>
      </c>
      <c r="W70" s="477">
        <f>IFERROR(('Budget Filing Data'!AI64+'Budget Filing Data'!AJ64+'Budget Filing Data'!AK64+'Budget Filing Data'!AH64)/('Budget Filing Data'!AC64),"")</f>
        <v>0.78763217404514807</v>
      </c>
      <c r="X70" s="477">
        <f>IFERROR(('Budget Filing Data'!AL64+'Budget Filing Data'!AM64+'Budget Filing Data'!AN64+'Budget Filing Data'!AH64)/('Budget Filing Data'!AD64),"")</f>
        <v>0.78835079419577381</v>
      </c>
      <c r="Y70" s="478">
        <f>'Budget Filing Data'!Q64</f>
        <v>-101018.07501771871</v>
      </c>
      <c r="Z70" s="478">
        <f>'Budget Filing Data'!R64</f>
        <v>0</v>
      </c>
      <c r="AA70" s="478">
        <f>'Budget Filing Data'!S64</f>
        <v>15936.376134500631</v>
      </c>
      <c r="AB70" s="478">
        <f>'Budget Filing Data'!AO64</f>
        <v>-23.241413778414657</v>
      </c>
      <c r="AC70" s="478">
        <f>'Budget Filing Data'!AP64</f>
        <v>84.622157274198386</v>
      </c>
      <c r="AD70" s="478">
        <f>'Budget Filing Data'!T64</f>
        <v>-1146538.0760461583</v>
      </c>
      <c r="AE70" s="478">
        <f>'Budget Filing Data'!U64</f>
        <v>197060.66151775658</v>
      </c>
      <c r="AF70" s="478">
        <f>'Budget Filing Data'!$V64</f>
        <v>-242.74710209879009</v>
      </c>
      <c r="AG70" s="478">
        <f>'Budget Filing Data'!$W64</f>
        <v>1046.3921126592845</v>
      </c>
      <c r="AH70" s="479">
        <v>0</v>
      </c>
    </row>
    <row r="71" spans="3:34" ht="25.5">
      <c r="C71" s="470" t="str">
        <f>'Budget Filing Data'!D65</f>
        <v>SDGE_SW_NC_Res_electric_PA</v>
      </c>
      <c r="D71" s="470" t="str">
        <f>'Budget Filing Data'!E65</f>
        <v>SW New Construction Residential - All Electric (Utility)</v>
      </c>
      <c r="E71" s="471" t="s">
        <v>42</v>
      </c>
      <c r="F71" s="471" t="s">
        <v>325</v>
      </c>
      <c r="G71" s="472" t="str">
        <f>'Budget Filing Data'!J65</f>
        <v>IOU Core</v>
      </c>
      <c r="H71" s="472" t="str">
        <f>IF('Budget Filing Data'!H65="","",'Budget Filing Data'!H65)</f>
        <v>SW_NC_Res_electric - New Construction - Residential - All Electric</v>
      </c>
      <c r="I71" s="473" t="s">
        <v>24</v>
      </c>
      <c r="J71" s="472" t="str">
        <f>'Budget Filing Data'!G65</f>
        <v>Residential</v>
      </c>
      <c r="K71" s="472" t="str">
        <f>'Budget Filing Data'!I65</f>
        <v>New Construction</v>
      </c>
      <c r="L71" s="472" t="str">
        <f>'Budget Filing Data'!L65</f>
        <v>Market Support</v>
      </c>
      <c r="M71" s="472">
        <f>'Budget Filing Data'!B65</f>
        <v>2028</v>
      </c>
      <c r="N71" s="474">
        <f t="shared" si="0"/>
        <v>7754.9975999999997</v>
      </c>
      <c r="O71" s="475">
        <f>'Budget Filing Data'!AQ65</f>
        <v>7754.9975999999997</v>
      </c>
      <c r="P71" s="475">
        <f>'Budget Filing Data'!AR65</f>
        <v>0</v>
      </c>
      <c r="Q71" s="475">
        <f>'Budget Filing Data'!AS65</f>
        <v>0</v>
      </c>
      <c r="R71" s="475">
        <f>'Budget Filing Data'!AT65</f>
        <v>0</v>
      </c>
      <c r="S71" s="476">
        <f>'Budget Filing Data'!X65</f>
        <v>0</v>
      </c>
      <c r="T71" s="477">
        <f>IFERROR((('Budget Filing Data'!AF65+'Budget Filing Data'!AG65+'Budget Filing Data'!AY65+'Budget Filing Data'!AH65)/'Budget Filing Data'!AA65),"")</f>
        <v>0</v>
      </c>
      <c r="U71" s="477">
        <f>IFERROR((('Budget Filing Data'!AF65+'Budget Filing Data'!AG65+'Budget Filing Data'!AY65+'Budget Filing Data'!AH65)/'Budget Filing Data'!AB65),"")</f>
        <v>0</v>
      </c>
      <c r="V71" s="477">
        <f>IFERROR((('Budget Filing Data'!AF65+'Budget Filing Data'!AG65+'Budget Filing Data'!AY65+'Budget Filing Data'!AH65+'Budget Filing Data'!AW65+'Budget Filing Data'!AX65)/('Budget Filing Data'!AE65)),"")</f>
        <v>0</v>
      </c>
      <c r="W71" s="477">
        <f>IFERROR(('Budget Filing Data'!AI65+'Budget Filing Data'!AJ65+'Budget Filing Data'!AK65+'Budget Filing Data'!AH65)/('Budget Filing Data'!AC65),"")</f>
        <v>0</v>
      </c>
      <c r="X71" s="477">
        <f>IFERROR(('Budget Filing Data'!AL65+'Budget Filing Data'!AM65+'Budget Filing Data'!AN65+'Budget Filing Data'!AH65)/('Budget Filing Data'!AD65),"")</f>
        <v>0</v>
      </c>
      <c r="Y71" s="478">
        <f>'Budget Filing Data'!Q65</f>
        <v>0</v>
      </c>
      <c r="Z71" s="478">
        <f>'Budget Filing Data'!R65</f>
        <v>0</v>
      </c>
      <c r="AA71" s="478">
        <f>'Budget Filing Data'!S65</f>
        <v>0</v>
      </c>
      <c r="AB71" s="478">
        <f>'Budget Filing Data'!AO65</f>
        <v>0</v>
      </c>
      <c r="AC71" s="478">
        <f>'Budget Filing Data'!AP65</f>
        <v>0</v>
      </c>
      <c r="AD71" s="478">
        <f>'Budget Filing Data'!T65</f>
        <v>0</v>
      </c>
      <c r="AE71" s="478">
        <f>'Budget Filing Data'!U65</f>
        <v>0</v>
      </c>
      <c r="AF71" s="478">
        <f>'Budget Filing Data'!$V65</f>
        <v>0</v>
      </c>
      <c r="AG71" s="478">
        <f>'Budget Filing Data'!$W65</f>
        <v>0</v>
      </c>
      <c r="AH71" s="479">
        <v>0</v>
      </c>
    </row>
    <row r="72" spans="3:34" ht="25.5" hidden="1">
      <c r="C72" s="470" t="str">
        <f>'Budget Filing Data'!D66</f>
        <v>SDGE4168</v>
      </c>
      <c r="D72" s="470" t="str">
        <f>'Budget Filing Data'!E66</f>
        <v>Lodging (Hotels/Motels)</v>
      </c>
      <c r="E72" s="471" t="s">
        <v>42</v>
      </c>
      <c r="F72" s="471" t="s">
        <v>321</v>
      </c>
      <c r="G72" s="472" t="str">
        <f>'Budget Filing Data'!J66</f>
        <v>Third-Party Solicited</v>
      </c>
      <c r="H72" s="472" t="str">
        <f>IF('Budget Filing Data'!H66="","",'Budget Filing Data'!H66)</f>
        <v/>
      </c>
      <c r="I72" s="473" t="s">
        <v>24</v>
      </c>
      <c r="J72" s="472" t="str">
        <f>'Budget Filing Data'!G66</f>
        <v>Commercial</v>
      </c>
      <c r="K72" s="472" t="str">
        <f>'Budget Filing Data'!I66</f>
        <v>Other</v>
      </c>
      <c r="L72" s="472" t="str">
        <f>'Budget Filing Data'!L66</f>
        <v>Resource Acquisition</v>
      </c>
      <c r="M72" s="472">
        <f>'Budget Filing Data'!B66</f>
        <v>2028</v>
      </c>
      <c r="N72" s="474">
        <f t="shared" si="0"/>
        <v>1824860.4331</v>
      </c>
      <c r="O72" s="475">
        <f>'Budget Filing Data'!AQ66</f>
        <v>242965.51199999999</v>
      </c>
      <c r="P72" s="475">
        <f>'Budget Filing Data'!AR66</f>
        <v>99698.730599999995</v>
      </c>
      <c r="Q72" s="475">
        <f>'Budget Filing Data'!AS66</f>
        <v>593199.41350000002</v>
      </c>
      <c r="R72" s="475">
        <f>'Budget Filing Data'!AT66</f>
        <v>888996.777</v>
      </c>
      <c r="S72" s="476">
        <f>'Budget Filing Data'!X66</f>
        <v>2361183.5086165606</v>
      </c>
      <c r="T72" s="477">
        <f>IFERROR((('Budget Filing Data'!AF66+'Budget Filing Data'!AG66+'Budget Filing Data'!AY66+'Budget Filing Data'!AH66)/'Budget Filing Data'!AA66),"")</f>
        <v>1.0844475548206256</v>
      </c>
      <c r="U72" s="477">
        <f>IFERROR((('Budget Filing Data'!AF66+'Budget Filing Data'!AG66+'Budget Filing Data'!AY66+'Budget Filing Data'!AH66)/'Budget Filing Data'!AB66),"")</f>
        <v>1.3283435977516891</v>
      </c>
      <c r="V72" s="477">
        <f>IFERROR((('Budget Filing Data'!AF66+'Budget Filing Data'!AG66+'Budget Filing Data'!AY66+'Budget Filing Data'!AH66+'Budget Filing Data'!AW66+'Budget Filing Data'!AX66)/('Budget Filing Data'!AE66)),"")</f>
        <v>0.17045124419698157</v>
      </c>
      <c r="W72" s="477">
        <f>IFERROR(('Budget Filing Data'!AI66+'Budget Filing Data'!AJ66+'Budget Filing Data'!AK66+'Budget Filing Data'!AH66)/('Budget Filing Data'!AC66),"")</f>
        <v>1.2626051928784994</v>
      </c>
      <c r="X72" s="477">
        <f>IFERROR(('Budget Filing Data'!AL66+'Budget Filing Data'!AM66+'Budget Filing Data'!AN66+'Budget Filing Data'!AH66)/('Budget Filing Data'!AD66),"")</f>
        <v>1.26279546600063</v>
      </c>
      <c r="Y72" s="478">
        <f>'Budget Filing Data'!Q66</f>
        <v>3360166.0824644999</v>
      </c>
      <c r="Z72" s="478">
        <f>'Budget Filing Data'!R66</f>
        <v>500.03631899999993</v>
      </c>
      <c r="AA72" s="478">
        <f>'Budget Filing Data'!S66</f>
        <v>7377.7513949999993</v>
      </c>
      <c r="AB72" s="478">
        <f>'Budget Filing Data'!AO66</f>
        <v>539.01550522762955</v>
      </c>
      <c r="AC72" s="478">
        <f>'Budget Filing Data'!AP66</f>
        <v>39.175859907450004</v>
      </c>
      <c r="AD72" s="478">
        <f>'Budget Filing Data'!T66</f>
        <v>38261910.826849498</v>
      </c>
      <c r="AE72" s="478">
        <f>'Budget Filing Data'!U66</f>
        <v>79923.159899999999</v>
      </c>
      <c r="AF72" s="478">
        <f>'Budget Filing Data'!$V66</f>
        <v>4824.8900362326049</v>
      </c>
      <c r="AG72" s="478">
        <f>'Budget Filing Data'!$W66</f>
        <v>424.391979069</v>
      </c>
      <c r="AH72" s="479">
        <v>0</v>
      </c>
    </row>
    <row r="73" spans="3:34" hidden="1">
      <c r="C73" s="470" t="str">
        <f>'Budget Filing Data'!D67</f>
        <v>SDGE4169</v>
      </c>
      <c r="D73" s="470" t="str">
        <f>'Budget Filing Data'!E67</f>
        <v>Groceries, Restaurants and Food Storage</v>
      </c>
      <c r="E73" s="471"/>
      <c r="F73" s="480"/>
      <c r="G73" s="472" t="str">
        <f>'Budget Filing Data'!J67</f>
        <v>Third-Party Solicited</v>
      </c>
      <c r="H73" s="472" t="str">
        <f>IF('Budget Filing Data'!H67="","",'Budget Filing Data'!H67)</f>
        <v/>
      </c>
      <c r="I73" s="473" t="s">
        <v>24</v>
      </c>
      <c r="J73" s="472" t="str">
        <f>'Budget Filing Data'!G67</f>
        <v>Commercial</v>
      </c>
      <c r="K73" s="472" t="str">
        <f>'Budget Filing Data'!I67</f>
        <v>Other</v>
      </c>
      <c r="L73" s="472" t="str">
        <f>'Budget Filing Data'!L67</f>
        <v>Resource Acquisition</v>
      </c>
      <c r="M73" s="472">
        <f>'Budget Filing Data'!B67</f>
        <v>2028</v>
      </c>
      <c r="N73" s="474">
        <f t="shared" si="0"/>
        <v>2374614.8164948011</v>
      </c>
      <c r="O73" s="475">
        <f>'Budget Filing Data'!AQ67</f>
        <v>143926.89720000001</v>
      </c>
      <c r="P73" s="475">
        <f>'Budget Filing Data'!AR67</f>
        <v>67119.930599999992</v>
      </c>
      <c r="Q73" s="475">
        <f>'Budget Filing Data'!AS67</f>
        <v>962558.6716</v>
      </c>
      <c r="R73" s="475">
        <f>'Budget Filing Data'!AT67</f>
        <v>1201009.3170948008</v>
      </c>
      <c r="S73" s="476">
        <f>'Budget Filing Data'!X67</f>
        <v>3712231.0816472638</v>
      </c>
      <c r="T73" s="477">
        <f>IFERROR((('Budget Filing Data'!AF67+'Budget Filing Data'!AG67+'Budget Filing Data'!AY67+'Budget Filing Data'!AH67)/'Budget Filing Data'!AA67),"")</f>
        <v>0.82556371994946276</v>
      </c>
      <c r="U73" s="477">
        <f>IFERROR((('Budget Filing Data'!AF67+'Budget Filing Data'!AG67+'Budget Filing Data'!AY67+'Budget Filing Data'!AH67)/'Budget Filing Data'!AB67),"")</f>
        <v>1.5851053149542673</v>
      </c>
      <c r="V73" s="477">
        <f>IFERROR((('Budget Filing Data'!AF67+'Budget Filing Data'!AG67+'Budget Filing Data'!AY67+'Budget Filing Data'!AH67+'Budget Filing Data'!AW67+'Budget Filing Data'!AX67)/('Budget Filing Data'!AE67)),"")</f>
        <v>0.18517690307284479</v>
      </c>
      <c r="W73" s="477">
        <f>IFERROR(('Budget Filing Data'!AI67+'Budget Filing Data'!AJ67+'Budget Filing Data'!AK67+'Budget Filing Data'!AH67)/('Budget Filing Data'!AC67),"")</f>
        <v>0.96992869214970923</v>
      </c>
      <c r="X73" s="477">
        <f>IFERROR(('Budget Filing Data'!AL67+'Budget Filing Data'!AM67+'Budget Filing Data'!AN67+'Budget Filing Data'!AH67)/('Budget Filing Data'!AD67),"")</f>
        <v>0.97387878692075747</v>
      </c>
      <c r="Y73" s="478">
        <f>'Budget Filing Data'!Q67</f>
        <v>6895898.2993000019</v>
      </c>
      <c r="Z73" s="478">
        <f>'Budget Filing Data'!R67</f>
        <v>806.46176084102967</v>
      </c>
      <c r="AA73" s="478">
        <f>'Budget Filing Data'!S67</f>
        <v>6243.2528450000009</v>
      </c>
      <c r="AB73" s="478">
        <f>'Budget Filing Data'!AO67</f>
        <v>1389.2902345792531</v>
      </c>
      <c r="AC73" s="478">
        <f>'Budget Filing Data'!AP67</f>
        <v>33.151672606949987</v>
      </c>
      <c r="AD73" s="478">
        <f>'Budget Filing Data'!T67</f>
        <v>54569633.561754987</v>
      </c>
      <c r="AE73" s="478">
        <f>'Budget Filing Data'!U67</f>
        <v>124566.82295524998</v>
      </c>
      <c r="AF73" s="478">
        <f>'Budget Filing Data'!$V67</f>
        <v>6915.7396679074018</v>
      </c>
      <c r="AG73" s="478">
        <f>'Budget Filing Data'!$W67</f>
        <v>661.44982989237747</v>
      </c>
      <c r="AH73" s="479">
        <v>0</v>
      </c>
    </row>
    <row r="74" spans="3:34" ht="25.5" hidden="1">
      <c r="C74" s="470" t="str">
        <f>'Budget Filing Data'!D68</f>
        <v>SDGE4170</v>
      </c>
      <c r="D74" s="470" t="str">
        <f>'Budget Filing Data'!E68</f>
        <v>Wholesale/Retail/Office, including Entertainment Services</v>
      </c>
      <c r="E74" s="471" t="s">
        <v>42</v>
      </c>
      <c r="F74" s="471" t="s">
        <v>321</v>
      </c>
      <c r="G74" s="472" t="str">
        <f>'Budget Filing Data'!J68</f>
        <v>Third-Party Solicited</v>
      </c>
      <c r="H74" s="472" t="str">
        <f>IF('Budget Filing Data'!H68="","",'Budget Filing Data'!H68)</f>
        <v/>
      </c>
      <c r="I74" s="473" t="s">
        <v>24</v>
      </c>
      <c r="J74" s="472" t="str">
        <f>'Budget Filing Data'!G68</f>
        <v>Commercial</v>
      </c>
      <c r="K74" s="472" t="str">
        <f>'Budget Filing Data'!I68</f>
        <v>Other</v>
      </c>
      <c r="L74" s="472" t="str">
        <f>'Budget Filing Data'!L68</f>
        <v>Resource Acquisition</v>
      </c>
      <c r="M74" s="472">
        <f>'Budget Filing Data'!B68</f>
        <v>2028</v>
      </c>
      <c r="N74" s="474">
        <f t="shared" si="0"/>
        <v>6139780.6492999997</v>
      </c>
      <c r="O74" s="475">
        <f>'Budget Filing Data'!AQ68</f>
        <v>396871.96549999999</v>
      </c>
      <c r="P74" s="475">
        <f>'Budget Filing Data'!AR68</f>
        <v>94328.730599999995</v>
      </c>
      <c r="Q74" s="475">
        <f>'Budget Filing Data'!AS68</f>
        <v>3063451.0431999997</v>
      </c>
      <c r="R74" s="475">
        <f>'Budget Filing Data'!AT68</f>
        <v>2585128.91</v>
      </c>
      <c r="S74" s="476">
        <f>'Budget Filing Data'!X68</f>
        <v>9329068.9842706975</v>
      </c>
      <c r="T74" s="477">
        <f>IFERROR((('Budget Filing Data'!AF68+'Budget Filing Data'!AG68+'Budget Filing Data'!AY68+'Budget Filing Data'!AH68)/'Budget Filing Data'!AA68),"")</f>
        <v>1.4066040224126926</v>
      </c>
      <c r="U74" s="477">
        <f>IFERROR((('Budget Filing Data'!AF68+'Budget Filing Data'!AG68+'Budget Filing Data'!AY68+'Budget Filing Data'!AH68)/'Budget Filing Data'!AB68),"")</f>
        <v>1.4915868142295257</v>
      </c>
      <c r="V74" s="477">
        <f>IFERROR((('Budget Filing Data'!AF68+'Budget Filing Data'!AG68+'Budget Filing Data'!AY68+'Budget Filing Data'!AH68+'Budget Filing Data'!AW68+'Budget Filing Data'!AX68)/('Budget Filing Data'!AE68)),"")</f>
        <v>0.58648499870616744</v>
      </c>
      <c r="W74" s="477">
        <f>IFERROR(('Budget Filing Data'!AI68+'Budget Filing Data'!AJ68+'Budget Filing Data'!AK68+'Budget Filing Data'!AH68)/('Budget Filing Data'!AC68),"")</f>
        <v>2.0184828865415896</v>
      </c>
      <c r="X74" s="477">
        <f>IFERROR(('Budget Filing Data'!AL68+'Budget Filing Data'!AM68+'Budget Filing Data'!AN68+'Budget Filing Data'!AH68)/('Budget Filing Data'!AD68),"")</f>
        <v>2.0220952823308407</v>
      </c>
      <c r="Y74" s="478">
        <f>'Budget Filing Data'!Q68</f>
        <v>3682818.5301600005</v>
      </c>
      <c r="Z74" s="478">
        <f>'Budget Filing Data'!R68</f>
        <v>242.65171392200014</v>
      </c>
      <c r="AA74" s="478">
        <f>'Budget Filing Data'!S68</f>
        <v>321026.27256706002</v>
      </c>
      <c r="AB74" s="478">
        <f>'Budget Filing Data'!AO68</f>
        <v>755.64727739307637</v>
      </c>
      <c r="AC74" s="478">
        <f>'Budget Filing Data'!AP68</f>
        <v>1704.6495073310887</v>
      </c>
      <c r="AD74" s="478">
        <f>'Budget Filing Data'!T68</f>
        <v>22095591.497229997</v>
      </c>
      <c r="AE74" s="478">
        <f>'Budget Filing Data'!U68</f>
        <v>4509688.3924178416</v>
      </c>
      <c r="AF74" s="478">
        <f>'Budget Filing Data'!$V68</f>
        <v>2563.1163399045063</v>
      </c>
      <c r="AG74" s="478">
        <f>'Budget Filing Data'!$W68</f>
        <v>23946.445363738741</v>
      </c>
      <c r="AH74" s="479">
        <v>0</v>
      </c>
    </row>
    <row r="75" spans="3:34" ht="25.5" hidden="1">
      <c r="C75" s="470" t="str">
        <f>'Budget Filing Data'!D69</f>
        <v>SDGE4171</v>
      </c>
      <c r="D75" s="470" t="str">
        <f>'Budget Filing Data'!E69</f>
        <v>Private Institutions/Healthcare</v>
      </c>
      <c r="E75" s="471" t="s">
        <v>42</v>
      </c>
      <c r="F75" s="471" t="s">
        <v>321</v>
      </c>
      <c r="G75" s="472" t="str">
        <f>'Budget Filing Data'!J69</f>
        <v>Third-Party Solicited</v>
      </c>
      <c r="H75" s="472" t="str">
        <f>IF('Budget Filing Data'!H69="","",'Budget Filing Data'!H69)</f>
        <v/>
      </c>
      <c r="I75" s="473" t="s">
        <v>24</v>
      </c>
      <c r="J75" s="472" t="str">
        <f>'Budget Filing Data'!G69</f>
        <v>Commercial</v>
      </c>
      <c r="K75" s="472" t="str">
        <f>'Budget Filing Data'!I69</f>
        <v>Other</v>
      </c>
      <c r="L75" s="472" t="str">
        <f>'Budget Filing Data'!L69</f>
        <v>Resource Acquisition</v>
      </c>
      <c r="M75" s="472">
        <f>'Budget Filing Data'!B69</f>
        <v>2028</v>
      </c>
      <c r="N75" s="474">
        <f t="shared" si="0"/>
        <v>1690516.4211000002</v>
      </c>
      <c r="O75" s="475">
        <f>'Budget Filing Data'!AQ69</f>
        <v>225697.6159</v>
      </c>
      <c r="P75" s="475">
        <f>'Budget Filing Data'!AR69</f>
        <v>92385.730599999995</v>
      </c>
      <c r="Q75" s="475">
        <f>'Budget Filing Data'!AS69</f>
        <v>481370.25459999999</v>
      </c>
      <c r="R75" s="475">
        <f>'Budget Filing Data'!AT69</f>
        <v>891062.82000000018</v>
      </c>
      <c r="S75" s="476">
        <f>'Budget Filing Data'!X69</f>
        <v>3068640.4024158702</v>
      </c>
      <c r="T75" s="477">
        <f>IFERROR((('Budget Filing Data'!AF69+'Budget Filing Data'!AG69+'Budget Filing Data'!AY69+'Budget Filing Data'!AH69)/'Budget Filing Data'!AA69),"")</f>
        <v>1.3146613853466076</v>
      </c>
      <c r="U75" s="477">
        <f>IFERROR((('Budget Filing Data'!AF69+'Budget Filing Data'!AG69+'Budget Filing Data'!AY69+'Budget Filing Data'!AH69)/'Budget Filing Data'!AB69),"")</f>
        <v>1.8676082060576196</v>
      </c>
      <c r="V75" s="477">
        <f>IFERROR((('Budget Filing Data'!AF69+'Budget Filing Data'!AG69+'Budget Filing Data'!AY69+'Budget Filing Data'!AH69+'Budget Filing Data'!AW69+'Budget Filing Data'!AX69)/('Budget Filing Data'!AE69)),"")</f>
        <v>0.25470615645971373</v>
      </c>
      <c r="W75" s="477">
        <f>IFERROR(('Budget Filing Data'!AI69+'Budget Filing Data'!AJ69+'Budget Filing Data'!AK69+'Budget Filing Data'!AH69)/('Budget Filing Data'!AC69),"")</f>
        <v>1.6235758365271473</v>
      </c>
      <c r="X75" s="477">
        <f>IFERROR(('Budget Filing Data'!AL69+'Budget Filing Data'!AM69+'Budget Filing Data'!AN69+'Budget Filing Data'!AH69)/('Budget Filing Data'!AD69),"")</f>
        <v>1.6261553772210533</v>
      </c>
      <c r="Y75" s="478">
        <f>'Budget Filing Data'!Q69</f>
        <v>2917848.7031363994</v>
      </c>
      <c r="Z75" s="478">
        <f>'Budget Filing Data'!R69</f>
        <v>354.62273059800003</v>
      </c>
      <c r="AA75" s="478">
        <f>'Budget Filing Data'!S69</f>
        <v>107444.88280799999</v>
      </c>
      <c r="AB75" s="478">
        <f>'Budget Filing Data'!AO69</f>
        <v>493.35605608998367</v>
      </c>
      <c r="AC75" s="478">
        <f>'Budget Filing Data'!AP69</f>
        <v>570.53232771047999</v>
      </c>
      <c r="AD75" s="478">
        <f>'Budget Filing Data'!T69</f>
        <v>30535936.831368003</v>
      </c>
      <c r="AE75" s="478">
        <f>'Budget Filing Data'!U69</f>
        <v>603368.59845599998</v>
      </c>
      <c r="AF75" s="478">
        <f>'Budget Filing Data'!$V69</f>
        <v>4269.0209474681533</v>
      </c>
      <c r="AG75" s="478">
        <f>'Budget Filing Data'!$W69</f>
        <v>3203.8872578013597</v>
      </c>
      <c r="AH75" s="479">
        <v>0</v>
      </c>
    </row>
    <row r="76" spans="3:34">
      <c r="C76" s="470" t="str">
        <f>'Budget Filing Data'!D70</f>
        <v>SDGE4175</v>
      </c>
      <c r="D76" s="470" t="str">
        <f>'Budget Filing Data'!E70</f>
        <v>Local Residential Fuel-Substitution</v>
      </c>
      <c r="E76" s="471"/>
      <c r="F76" s="480"/>
      <c r="G76" s="472" t="str">
        <f>'Budget Filing Data'!J70</f>
        <v>IOU Core</v>
      </c>
      <c r="H76" s="472" t="str">
        <f>IF('Budget Filing Data'!H70="","",'Budget Filing Data'!H70)</f>
        <v/>
      </c>
      <c r="I76" s="473" t="s">
        <v>15</v>
      </c>
      <c r="J76" s="472" t="str">
        <f>'Budget Filing Data'!G70</f>
        <v>Residential</v>
      </c>
      <c r="K76" s="472" t="str">
        <f>'Budget Filing Data'!I70</f>
        <v>Other</v>
      </c>
      <c r="L76" s="472" t="str">
        <f>'Budget Filing Data'!L70</f>
        <v>Market Support</v>
      </c>
      <c r="M76" s="472">
        <f>'Budget Filing Data'!B70</f>
        <v>2028</v>
      </c>
      <c r="N76" s="474">
        <f t="shared" si="0"/>
        <v>1061954.1475</v>
      </c>
      <c r="O76" s="475">
        <f>'Budget Filing Data'!AQ70</f>
        <v>240209.96179999999</v>
      </c>
      <c r="P76" s="475">
        <f>'Budget Filing Data'!AR70</f>
        <v>104199.65300000001</v>
      </c>
      <c r="Q76" s="475">
        <f>'Budget Filing Data'!AS70</f>
        <v>651544.53269999998</v>
      </c>
      <c r="R76" s="475">
        <f>'Budget Filing Data'!AT70</f>
        <v>66000</v>
      </c>
      <c r="S76" s="476">
        <f>'Budget Filing Data'!X70</f>
        <v>0</v>
      </c>
      <c r="T76" s="477">
        <f>IFERROR((('Budget Filing Data'!AF70+'Budget Filing Data'!AG70+'Budget Filing Data'!AY70+'Budget Filing Data'!AH70)/'Budget Filing Data'!AA70),"")</f>
        <v>0</v>
      </c>
      <c r="U76" s="477">
        <f>IFERROR((('Budget Filing Data'!AF70+'Budget Filing Data'!AG70+'Budget Filing Data'!AY70+'Budget Filing Data'!AH70)/'Budget Filing Data'!AB70),"")</f>
        <v>0</v>
      </c>
      <c r="V76" s="477">
        <f>IFERROR((('Budget Filing Data'!AF70+'Budget Filing Data'!AG70+'Budget Filing Data'!AY70+'Budget Filing Data'!AH70+'Budget Filing Data'!AW70+'Budget Filing Data'!AX70)/('Budget Filing Data'!AE70)),"")</f>
        <v>0</v>
      </c>
      <c r="W76" s="477">
        <f>IFERROR(('Budget Filing Data'!AI70+'Budget Filing Data'!AJ70+'Budget Filing Data'!AK70+'Budget Filing Data'!AH70)/('Budget Filing Data'!AC70),"")</f>
        <v>0</v>
      </c>
      <c r="X76" s="477">
        <f>IFERROR(('Budget Filing Data'!AL70+'Budget Filing Data'!AM70+'Budget Filing Data'!AN70+'Budget Filing Data'!AH70)/('Budget Filing Data'!AD70),"")</f>
        <v>0</v>
      </c>
      <c r="Y76" s="478">
        <f>'Budget Filing Data'!Q70</f>
        <v>0</v>
      </c>
      <c r="Z76" s="478">
        <f>'Budget Filing Data'!R70</f>
        <v>0</v>
      </c>
      <c r="AA76" s="478">
        <f>'Budget Filing Data'!S70</f>
        <v>0</v>
      </c>
      <c r="AB76" s="478">
        <f>'Budget Filing Data'!AO70</f>
        <v>0</v>
      </c>
      <c r="AC76" s="478">
        <f>'Budget Filing Data'!AP70</f>
        <v>0</v>
      </c>
      <c r="AD76" s="478">
        <f>'Budget Filing Data'!T70</f>
        <v>0</v>
      </c>
      <c r="AE76" s="478">
        <f>'Budget Filing Data'!U70</f>
        <v>0</v>
      </c>
      <c r="AF76" s="478">
        <f>'Budget Filing Data'!$V70</f>
        <v>0</v>
      </c>
      <c r="AG76" s="478">
        <f>'Budget Filing Data'!$W70</f>
        <v>0</v>
      </c>
      <c r="AH76" s="479">
        <v>0</v>
      </c>
    </row>
    <row r="77" spans="3:34" hidden="1">
      <c r="C77" s="470" t="str">
        <f>'Budget Filing Data'!D71</f>
        <v>SDGE_CS_PortfolioSupport</v>
      </c>
      <c r="D77" s="470" t="str">
        <f>'Budget Filing Data'!E71</f>
        <v>Codes &amp; Standards Portfolio Support PA Costs</v>
      </c>
      <c r="E77" s="471"/>
      <c r="F77" s="480"/>
      <c r="G77" s="472" t="str">
        <f>'Budget Filing Data'!J71</f>
        <v>IOU Core</v>
      </c>
      <c r="H77" s="472" t="str">
        <f>IF('Budget Filing Data'!H71="","",'Budget Filing Data'!H71)</f>
        <v/>
      </c>
      <c r="I77" s="473" t="s">
        <v>24</v>
      </c>
      <c r="J77" s="472" t="str">
        <f>'Budget Filing Data'!G71</f>
        <v>Portfolio Support</v>
      </c>
      <c r="K77" s="472" t="str">
        <f>'Budget Filing Data'!I71</f>
        <v>Other</v>
      </c>
      <c r="L77" s="472" t="str">
        <f>'Budget Filing Data'!L71</f>
        <v>Codes and Standards</v>
      </c>
      <c r="M77" s="472">
        <f>'Budget Filing Data'!B71</f>
        <v>2028</v>
      </c>
      <c r="N77" s="474">
        <f t="shared" si="0"/>
        <v>258420.92540000001</v>
      </c>
      <c r="O77" s="475">
        <f>'Budget Filing Data'!AQ71</f>
        <v>258420.92540000001</v>
      </c>
      <c r="P77" s="475">
        <f>'Budget Filing Data'!AR71</f>
        <v>0</v>
      </c>
      <c r="Q77" s="475">
        <f>'Budget Filing Data'!AS71</f>
        <v>0</v>
      </c>
      <c r="R77" s="475">
        <f>'Budget Filing Data'!AT71</f>
        <v>0</v>
      </c>
      <c r="S77" s="476">
        <f>'Budget Filing Data'!X71</f>
        <v>0</v>
      </c>
      <c r="T77" s="477">
        <f>IFERROR((('Budget Filing Data'!AF71+'Budget Filing Data'!AG71+'Budget Filing Data'!AY71+'Budget Filing Data'!AH71)/'Budget Filing Data'!AA71),"")</f>
        <v>0</v>
      </c>
      <c r="U77" s="477">
        <f>IFERROR((('Budget Filing Data'!AF71+'Budget Filing Data'!AG71+'Budget Filing Data'!AY71+'Budget Filing Data'!AH71)/'Budget Filing Data'!AB71),"")</f>
        <v>0</v>
      </c>
      <c r="V77" s="477">
        <f>IFERROR((('Budget Filing Data'!AF71+'Budget Filing Data'!AG71+'Budget Filing Data'!AY71+'Budget Filing Data'!AH71+'Budget Filing Data'!AW71+'Budget Filing Data'!AX71)/('Budget Filing Data'!AE71)),"")</f>
        <v>0</v>
      </c>
      <c r="W77" s="477">
        <f>IFERROR(('Budget Filing Data'!AI71+'Budget Filing Data'!AJ71+'Budget Filing Data'!AK71+'Budget Filing Data'!AH71)/('Budget Filing Data'!AC71),"")</f>
        <v>0</v>
      </c>
      <c r="X77" s="477">
        <f>IFERROR(('Budget Filing Data'!AL71+'Budget Filing Data'!AM71+'Budget Filing Data'!AN71+'Budget Filing Data'!AH71)/('Budget Filing Data'!AD71),"")</f>
        <v>0</v>
      </c>
      <c r="Y77" s="478">
        <f>'Budget Filing Data'!Q71</f>
        <v>0</v>
      </c>
      <c r="Z77" s="478">
        <f>'Budget Filing Data'!R71</f>
        <v>0</v>
      </c>
      <c r="AA77" s="478">
        <f>'Budget Filing Data'!S71</f>
        <v>0</v>
      </c>
      <c r="AB77" s="478">
        <f>'Budget Filing Data'!AO71</f>
        <v>0</v>
      </c>
      <c r="AC77" s="478">
        <f>'Budget Filing Data'!AP71</f>
        <v>0</v>
      </c>
      <c r="AD77" s="478">
        <f>'Budget Filing Data'!T71</f>
        <v>0</v>
      </c>
      <c r="AE77" s="478">
        <f>'Budget Filing Data'!U71</f>
        <v>0</v>
      </c>
      <c r="AF77" s="478">
        <f>'Budget Filing Data'!$V71</f>
        <v>0</v>
      </c>
      <c r="AG77" s="478">
        <f>'Budget Filing Data'!$W71</f>
        <v>0</v>
      </c>
      <c r="AH77" s="479">
        <v>0</v>
      </c>
    </row>
    <row r="78" spans="3:34" hidden="1">
      <c r="C78" s="470" t="str">
        <f>'Budget Filing Data'!D72</f>
        <v>SDGE_Equity_PortfolioSupport</v>
      </c>
      <c r="D78" s="470" t="str">
        <f>'Budget Filing Data'!E72</f>
        <v>Equity Portfolio Support PA Costs</v>
      </c>
      <c r="E78" s="471" t="s">
        <v>37</v>
      </c>
      <c r="F78" s="471" t="s">
        <v>326</v>
      </c>
      <c r="G78" s="472" t="str">
        <f>'Budget Filing Data'!J72</f>
        <v>IOU Core</v>
      </c>
      <c r="H78" s="472" t="str">
        <f>IF('Budget Filing Data'!H72="","",'Budget Filing Data'!H72)</f>
        <v/>
      </c>
      <c r="I78" s="473" t="s">
        <v>24</v>
      </c>
      <c r="J78" s="472" t="str">
        <f>'Budget Filing Data'!G72</f>
        <v>Portfolio Support</v>
      </c>
      <c r="K78" s="472" t="str">
        <f>'Budget Filing Data'!I72</f>
        <v>Other</v>
      </c>
      <c r="L78" s="472" t="str">
        <f>'Budget Filing Data'!L72</f>
        <v>Equity</v>
      </c>
      <c r="M78" s="472">
        <f>'Budget Filing Data'!B72</f>
        <v>2028</v>
      </c>
      <c r="N78" s="474">
        <f t="shared" si="0"/>
        <v>12464.002899999999</v>
      </c>
      <c r="O78" s="475">
        <f>'Budget Filing Data'!AQ72</f>
        <v>12464.002899999999</v>
      </c>
      <c r="P78" s="475">
        <f>'Budget Filing Data'!AR72</f>
        <v>0</v>
      </c>
      <c r="Q78" s="475">
        <f>'Budget Filing Data'!AS72</f>
        <v>0</v>
      </c>
      <c r="R78" s="475">
        <f>'Budget Filing Data'!AT72</f>
        <v>0</v>
      </c>
      <c r="S78" s="476">
        <f>'Budget Filing Data'!X72</f>
        <v>0</v>
      </c>
      <c r="T78" s="477">
        <f>IFERROR((('Budget Filing Data'!AF72+'Budget Filing Data'!AG72+'Budget Filing Data'!AY72+'Budget Filing Data'!AH72)/'Budget Filing Data'!AA72),"")</f>
        <v>0</v>
      </c>
      <c r="U78" s="477">
        <f>IFERROR((('Budget Filing Data'!AF72+'Budget Filing Data'!AG72+'Budget Filing Data'!AY72+'Budget Filing Data'!AH72)/'Budget Filing Data'!AB72),"")</f>
        <v>0</v>
      </c>
      <c r="V78" s="477">
        <f>IFERROR((('Budget Filing Data'!AF72+'Budget Filing Data'!AG72+'Budget Filing Data'!AY72+'Budget Filing Data'!AH72+'Budget Filing Data'!AW72+'Budget Filing Data'!AX72)/('Budget Filing Data'!AE72)),"")</f>
        <v>0</v>
      </c>
      <c r="W78" s="477">
        <f>IFERROR(('Budget Filing Data'!AI72+'Budget Filing Data'!AJ72+'Budget Filing Data'!AK72+'Budget Filing Data'!AH72)/('Budget Filing Data'!AC72),"")</f>
        <v>0</v>
      </c>
      <c r="X78" s="477">
        <f>IFERROR(('Budget Filing Data'!AL72+'Budget Filing Data'!AM72+'Budget Filing Data'!AN72+'Budget Filing Data'!AH72)/('Budget Filing Data'!AD72),"")</f>
        <v>0</v>
      </c>
      <c r="Y78" s="478">
        <f>'Budget Filing Data'!Q72</f>
        <v>0</v>
      </c>
      <c r="Z78" s="478">
        <f>'Budget Filing Data'!R72</f>
        <v>0</v>
      </c>
      <c r="AA78" s="478">
        <f>'Budget Filing Data'!S72</f>
        <v>0</v>
      </c>
      <c r="AB78" s="478">
        <f>'Budget Filing Data'!AO72</f>
        <v>0</v>
      </c>
      <c r="AC78" s="478">
        <f>'Budget Filing Data'!AP72</f>
        <v>0</v>
      </c>
      <c r="AD78" s="478">
        <f>'Budget Filing Data'!T72</f>
        <v>0</v>
      </c>
      <c r="AE78" s="478">
        <f>'Budget Filing Data'!U72</f>
        <v>0</v>
      </c>
      <c r="AF78" s="478">
        <f>'Budget Filing Data'!$V72</f>
        <v>0</v>
      </c>
      <c r="AG78" s="478">
        <f>'Budget Filing Data'!$W72</f>
        <v>0</v>
      </c>
      <c r="AH78" s="479">
        <v>0</v>
      </c>
    </row>
    <row r="79" spans="3:34" hidden="1">
      <c r="C79" s="470" t="str">
        <f>'Budget Filing Data'!D73</f>
        <v>SDGE_MS_PortfolioSupport</v>
      </c>
      <c r="D79" s="470" t="str">
        <f>'Budget Filing Data'!E73</f>
        <v>Market Support Portfolio Support PA Costs</v>
      </c>
      <c r="E79" s="471" t="s">
        <v>37</v>
      </c>
      <c r="F79" s="471" t="s">
        <v>327</v>
      </c>
      <c r="G79" s="472" t="str">
        <f>'Budget Filing Data'!J73</f>
        <v>IOU Core</v>
      </c>
      <c r="H79" s="472" t="str">
        <f>IF('Budget Filing Data'!H73="","",'Budget Filing Data'!H73)</f>
        <v/>
      </c>
      <c r="I79" s="473" t="s">
        <v>24</v>
      </c>
      <c r="J79" s="472" t="str">
        <f>'Budget Filing Data'!G73</f>
        <v>Portfolio Support</v>
      </c>
      <c r="K79" s="472" t="str">
        <f>'Budget Filing Data'!I73</f>
        <v>Other</v>
      </c>
      <c r="L79" s="472" t="str">
        <f>'Budget Filing Data'!L73</f>
        <v>Market Support</v>
      </c>
      <c r="M79" s="472">
        <f>'Budget Filing Data'!B73</f>
        <v>2028</v>
      </c>
      <c r="N79" s="474">
        <f t="shared" si="0"/>
        <v>467193.94669999997</v>
      </c>
      <c r="O79" s="475">
        <f>'Budget Filing Data'!AQ73</f>
        <v>467193.94669999997</v>
      </c>
      <c r="P79" s="475">
        <f>'Budget Filing Data'!AR73</f>
        <v>0</v>
      </c>
      <c r="Q79" s="475">
        <f>'Budget Filing Data'!AS73</f>
        <v>0</v>
      </c>
      <c r="R79" s="475">
        <f>'Budget Filing Data'!AT73</f>
        <v>0</v>
      </c>
      <c r="S79" s="476">
        <f>'Budget Filing Data'!X73</f>
        <v>0</v>
      </c>
      <c r="T79" s="477">
        <f>IFERROR((('Budget Filing Data'!AF73+'Budget Filing Data'!AG73+'Budget Filing Data'!AY73+'Budget Filing Data'!AH73)/'Budget Filing Data'!AA73),"")</f>
        <v>0</v>
      </c>
      <c r="U79" s="477">
        <f>IFERROR((('Budget Filing Data'!AF73+'Budget Filing Data'!AG73+'Budget Filing Data'!AY73+'Budget Filing Data'!AH73)/'Budget Filing Data'!AB73),"")</f>
        <v>0</v>
      </c>
      <c r="V79" s="477">
        <f>IFERROR((('Budget Filing Data'!AF73+'Budget Filing Data'!AG73+'Budget Filing Data'!AY73+'Budget Filing Data'!AH73+'Budget Filing Data'!AW73+'Budget Filing Data'!AX73)/('Budget Filing Data'!AE73)),"")</f>
        <v>0</v>
      </c>
      <c r="W79" s="477">
        <f>IFERROR(('Budget Filing Data'!AI73+'Budget Filing Data'!AJ73+'Budget Filing Data'!AK73+'Budget Filing Data'!AH73)/('Budget Filing Data'!AC73),"")</f>
        <v>0</v>
      </c>
      <c r="X79" s="477">
        <f>IFERROR(('Budget Filing Data'!AL73+'Budget Filing Data'!AM73+'Budget Filing Data'!AN73+'Budget Filing Data'!AH73)/('Budget Filing Data'!AD73),"")</f>
        <v>0</v>
      </c>
      <c r="Y79" s="478">
        <f>'Budget Filing Data'!Q73</f>
        <v>0</v>
      </c>
      <c r="Z79" s="478">
        <f>'Budget Filing Data'!R73</f>
        <v>0</v>
      </c>
      <c r="AA79" s="478">
        <f>'Budget Filing Data'!S73</f>
        <v>0</v>
      </c>
      <c r="AB79" s="478">
        <f>'Budget Filing Data'!AO73</f>
        <v>0</v>
      </c>
      <c r="AC79" s="478">
        <f>'Budget Filing Data'!AP73</f>
        <v>0</v>
      </c>
      <c r="AD79" s="478">
        <f>'Budget Filing Data'!T73</f>
        <v>0</v>
      </c>
      <c r="AE79" s="478">
        <f>'Budget Filing Data'!U73</f>
        <v>0</v>
      </c>
      <c r="AF79" s="478">
        <f>'Budget Filing Data'!$V73</f>
        <v>0</v>
      </c>
      <c r="AG79" s="478">
        <f>'Budget Filing Data'!$W73</f>
        <v>0</v>
      </c>
      <c r="AH79" s="479">
        <v>0</v>
      </c>
    </row>
    <row r="80" spans="3:34" hidden="1">
      <c r="C80" s="470" t="str">
        <f>'Budget Filing Data'!D74</f>
        <v>SDGE_RA_PortfolioSupport</v>
      </c>
      <c r="D80" s="470" t="str">
        <f>'Budget Filing Data'!E74</f>
        <v>Resource Acquisition Portfolio Support PA Costs</v>
      </c>
      <c r="E80" s="471"/>
      <c r="F80" s="480"/>
      <c r="G80" s="472" t="str">
        <f>'Budget Filing Data'!J74</f>
        <v>IOU Core</v>
      </c>
      <c r="H80" s="472" t="str">
        <f>IF('Budget Filing Data'!H74="","",'Budget Filing Data'!H74)</f>
        <v/>
      </c>
      <c r="I80" s="473" t="s">
        <v>24</v>
      </c>
      <c r="J80" s="472" t="str">
        <f>'Budget Filing Data'!G74</f>
        <v>Portfolio Support</v>
      </c>
      <c r="K80" s="472" t="str">
        <f>'Budget Filing Data'!I74</f>
        <v>Other</v>
      </c>
      <c r="L80" s="472" t="str">
        <f>'Budget Filing Data'!L74</f>
        <v>Resource Acquisition</v>
      </c>
      <c r="M80" s="472">
        <f>'Budget Filing Data'!B74</f>
        <v>2028</v>
      </c>
      <c r="N80" s="474">
        <f t="shared" ref="N80:N143" si="1">SUM(O80:R80)</f>
        <v>2764121.3977999999</v>
      </c>
      <c r="O80" s="475">
        <f>'Budget Filing Data'!AQ74</f>
        <v>2764121.3977999999</v>
      </c>
      <c r="P80" s="475">
        <f>'Budget Filing Data'!AR74</f>
        <v>0</v>
      </c>
      <c r="Q80" s="475">
        <f>'Budget Filing Data'!AS74</f>
        <v>0</v>
      </c>
      <c r="R80" s="475">
        <f>'Budget Filing Data'!AT74</f>
        <v>0</v>
      </c>
      <c r="S80" s="476">
        <f>'Budget Filing Data'!X74</f>
        <v>0</v>
      </c>
      <c r="T80" s="477">
        <f>IFERROR((('Budget Filing Data'!AF74+'Budget Filing Data'!AG74+'Budget Filing Data'!AY74+'Budget Filing Data'!AH74)/'Budget Filing Data'!AA74),"")</f>
        <v>0</v>
      </c>
      <c r="U80" s="477">
        <f>IFERROR((('Budget Filing Data'!AF74+'Budget Filing Data'!AG74+'Budget Filing Data'!AY74+'Budget Filing Data'!AH74)/'Budget Filing Data'!AB74),"")</f>
        <v>0</v>
      </c>
      <c r="V80" s="477">
        <f>IFERROR((('Budget Filing Data'!AF74+'Budget Filing Data'!AG74+'Budget Filing Data'!AY74+'Budget Filing Data'!AH74+'Budget Filing Data'!AW74+'Budget Filing Data'!AX74)/('Budget Filing Data'!AE74)),"")</f>
        <v>0</v>
      </c>
      <c r="W80" s="477">
        <f>IFERROR(('Budget Filing Data'!AI74+'Budget Filing Data'!AJ74+'Budget Filing Data'!AK74+'Budget Filing Data'!AH74)/('Budget Filing Data'!AC74),"")</f>
        <v>0</v>
      </c>
      <c r="X80" s="477">
        <f>IFERROR(('Budget Filing Data'!AL74+'Budget Filing Data'!AM74+'Budget Filing Data'!AN74+'Budget Filing Data'!AH74)/('Budget Filing Data'!AD74),"")</f>
        <v>0</v>
      </c>
      <c r="Y80" s="478">
        <f>'Budget Filing Data'!Q74</f>
        <v>0</v>
      </c>
      <c r="Z80" s="478">
        <f>'Budget Filing Data'!R74</f>
        <v>0</v>
      </c>
      <c r="AA80" s="478">
        <f>'Budget Filing Data'!S74</f>
        <v>0</v>
      </c>
      <c r="AB80" s="478">
        <f>'Budget Filing Data'!AO74</f>
        <v>0</v>
      </c>
      <c r="AC80" s="478">
        <f>'Budget Filing Data'!AP74</f>
        <v>0</v>
      </c>
      <c r="AD80" s="478">
        <f>'Budget Filing Data'!T74</f>
        <v>0</v>
      </c>
      <c r="AE80" s="478">
        <f>'Budget Filing Data'!U74</f>
        <v>0</v>
      </c>
      <c r="AF80" s="478">
        <f>'Budget Filing Data'!$V74</f>
        <v>0</v>
      </c>
      <c r="AG80" s="478">
        <f>'Budget Filing Data'!$W74</f>
        <v>0</v>
      </c>
      <c r="AH80" s="479">
        <v>0</v>
      </c>
    </row>
    <row r="81" spans="3:34">
      <c r="C81" s="470" t="str">
        <f>'Budget Filing Data'!D75</f>
        <v>SDGE_SW_HESC</v>
      </c>
      <c r="D81" s="470" t="str">
        <f>'Budget Filing Data'!E75</f>
        <v>SW Home Energy Score California</v>
      </c>
      <c r="E81" s="471" t="s">
        <v>42</v>
      </c>
      <c r="F81" s="471" t="s">
        <v>323</v>
      </c>
      <c r="G81" s="472" t="str">
        <f>'Budget Filing Data'!J75</f>
        <v>REN/CCA</v>
      </c>
      <c r="H81" s="472" t="str">
        <f>IF('Budget Filing Data'!H75="","",'Budget Filing Data'!H75)</f>
        <v>SW_HESC - SW Home Energy Score California</v>
      </c>
      <c r="I81" s="473" t="s">
        <v>15</v>
      </c>
      <c r="J81" s="472" t="str">
        <f>'Budget Filing Data'!G75</f>
        <v>Residential</v>
      </c>
      <c r="K81" s="472" t="str">
        <f>'Budget Filing Data'!I75</f>
        <v>Market Transformation</v>
      </c>
      <c r="L81" s="472" t="str">
        <f>'Budget Filing Data'!L75</f>
        <v>Market Support</v>
      </c>
      <c r="M81" s="472">
        <f>'Budget Filing Data'!B75</f>
        <v>2028</v>
      </c>
      <c r="N81" s="474">
        <f t="shared" si="1"/>
        <v>460210.02879999997</v>
      </c>
      <c r="O81" s="475">
        <f>'Budget Filing Data'!AQ75</f>
        <v>15262.5152</v>
      </c>
      <c r="P81" s="475">
        <f>'Budget Filing Data'!AR75</f>
        <v>42160</v>
      </c>
      <c r="Q81" s="475">
        <f>'Budget Filing Data'!AS75</f>
        <v>92787.513600000006</v>
      </c>
      <c r="R81" s="475">
        <f>'Budget Filing Data'!AT75</f>
        <v>310000</v>
      </c>
      <c r="S81" s="476">
        <f>'Budget Filing Data'!X75</f>
        <v>0</v>
      </c>
      <c r="T81" s="477">
        <f>IFERROR((('Budget Filing Data'!AF75+'Budget Filing Data'!AG75+'Budget Filing Data'!AY75+'Budget Filing Data'!AH75)/'Budget Filing Data'!AA75),"")</f>
        <v>0</v>
      </c>
      <c r="U81" s="477">
        <f>IFERROR((('Budget Filing Data'!AF75+'Budget Filing Data'!AG75+'Budget Filing Data'!AY75+'Budget Filing Data'!AH75)/'Budget Filing Data'!AB75),"")</f>
        <v>0</v>
      </c>
      <c r="V81" s="477">
        <f>IFERROR((('Budget Filing Data'!AF75+'Budget Filing Data'!AG75+'Budget Filing Data'!AY75+'Budget Filing Data'!AH75+'Budget Filing Data'!AW75+'Budget Filing Data'!AX75)/('Budget Filing Data'!AE75)),"")</f>
        <v>0</v>
      </c>
      <c r="W81" s="477">
        <f>IFERROR(('Budget Filing Data'!AI75+'Budget Filing Data'!AJ75+'Budget Filing Data'!AK75+'Budget Filing Data'!AH75)/('Budget Filing Data'!AC75),"")</f>
        <v>0</v>
      </c>
      <c r="X81" s="477">
        <f>IFERROR(('Budget Filing Data'!AL75+'Budget Filing Data'!AM75+'Budget Filing Data'!AN75+'Budget Filing Data'!AH75)/('Budget Filing Data'!AD75),"")</f>
        <v>0</v>
      </c>
      <c r="Y81" s="478">
        <f>'Budget Filing Data'!Q75</f>
        <v>0</v>
      </c>
      <c r="Z81" s="478">
        <f>'Budget Filing Data'!R75</f>
        <v>0</v>
      </c>
      <c r="AA81" s="478">
        <f>'Budget Filing Data'!S75</f>
        <v>0</v>
      </c>
      <c r="AB81" s="478">
        <f>'Budget Filing Data'!AO75</f>
        <v>0</v>
      </c>
      <c r="AC81" s="478">
        <f>'Budget Filing Data'!AP75</f>
        <v>0</v>
      </c>
      <c r="AD81" s="478">
        <f>'Budget Filing Data'!T75</f>
        <v>0</v>
      </c>
      <c r="AE81" s="478">
        <f>'Budget Filing Data'!U75</f>
        <v>0</v>
      </c>
      <c r="AF81" s="478">
        <f>'Budget Filing Data'!$V75</f>
        <v>0</v>
      </c>
      <c r="AG81" s="478">
        <f>'Budget Filing Data'!$W75</f>
        <v>0</v>
      </c>
      <c r="AH81" s="479">
        <v>0</v>
      </c>
    </row>
    <row r="82" spans="3:34" ht="38.25">
      <c r="C82" s="470" t="str">
        <f>'Budget Filing Data'!D76</f>
        <v>SDGE_SW_HESC_PA</v>
      </c>
      <c r="D82" s="470" t="str">
        <f>'Budget Filing Data'!E76</f>
        <v>SW Home Energy Score California (Utility)</v>
      </c>
      <c r="E82" s="471" t="s">
        <v>42</v>
      </c>
      <c r="F82" s="471" t="s">
        <v>328</v>
      </c>
      <c r="G82" s="472" t="str">
        <f>'Budget Filing Data'!J76</f>
        <v>IOU Core</v>
      </c>
      <c r="H82" s="472" t="str">
        <f>IF('Budget Filing Data'!H76="","",'Budget Filing Data'!H76)</f>
        <v>SW_HESC - SW Home Energy Score California</v>
      </c>
      <c r="I82" s="473" t="s">
        <v>15</v>
      </c>
      <c r="J82" s="472" t="str">
        <f>'Budget Filing Data'!G76</f>
        <v>Residential</v>
      </c>
      <c r="K82" s="472" t="str">
        <f>'Budget Filing Data'!I76</f>
        <v>Market Transformation</v>
      </c>
      <c r="L82" s="472" t="str">
        <f>'Budget Filing Data'!L76</f>
        <v>Market Support</v>
      </c>
      <c r="M82" s="472">
        <f>'Budget Filing Data'!B76</f>
        <v>2028</v>
      </c>
      <c r="N82" s="474">
        <f t="shared" si="1"/>
        <v>4585.6476000000002</v>
      </c>
      <c r="O82" s="475">
        <f>'Budget Filing Data'!AQ76</f>
        <v>4585.6476000000002</v>
      </c>
      <c r="P82" s="475">
        <f>'Budget Filing Data'!AR76</f>
        <v>0</v>
      </c>
      <c r="Q82" s="475">
        <f>'Budget Filing Data'!AS76</f>
        <v>0</v>
      </c>
      <c r="R82" s="475">
        <f>'Budget Filing Data'!AT76</f>
        <v>0</v>
      </c>
      <c r="S82" s="476">
        <f>'Budget Filing Data'!X76</f>
        <v>0</v>
      </c>
      <c r="T82" s="477">
        <f>IFERROR((('Budget Filing Data'!AF76+'Budget Filing Data'!AG76+'Budget Filing Data'!AY76+'Budget Filing Data'!AH76)/'Budget Filing Data'!AA76),"")</f>
        <v>0</v>
      </c>
      <c r="U82" s="477">
        <f>IFERROR((('Budget Filing Data'!AF76+'Budget Filing Data'!AG76+'Budget Filing Data'!AY76+'Budget Filing Data'!AH76)/'Budget Filing Data'!AB76),"")</f>
        <v>0</v>
      </c>
      <c r="V82" s="477">
        <f>IFERROR((('Budget Filing Data'!AF76+'Budget Filing Data'!AG76+'Budget Filing Data'!AY76+'Budget Filing Data'!AH76+'Budget Filing Data'!AW76+'Budget Filing Data'!AX76)/('Budget Filing Data'!AE76)),"")</f>
        <v>0</v>
      </c>
      <c r="W82" s="477">
        <f>IFERROR(('Budget Filing Data'!AI76+'Budget Filing Data'!AJ76+'Budget Filing Data'!AK76+'Budget Filing Data'!AH76)/('Budget Filing Data'!AC76),"")</f>
        <v>0</v>
      </c>
      <c r="X82" s="477">
        <f>IFERROR(('Budget Filing Data'!AL76+'Budget Filing Data'!AM76+'Budget Filing Data'!AN76+'Budget Filing Data'!AH76)/('Budget Filing Data'!AD76),"")</f>
        <v>0</v>
      </c>
      <c r="Y82" s="478">
        <f>'Budget Filing Data'!Q76</f>
        <v>0</v>
      </c>
      <c r="Z82" s="478">
        <f>'Budget Filing Data'!R76</f>
        <v>0</v>
      </c>
      <c r="AA82" s="478">
        <f>'Budget Filing Data'!S76</f>
        <v>0</v>
      </c>
      <c r="AB82" s="478">
        <f>'Budget Filing Data'!AO76</f>
        <v>0</v>
      </c>
      <c r="AC82" s="478">
        <f>'Budget Filing Data'!AP76</f>
        <v>0</v>
      </c>
      <c r="AD82" s="478">
        <f>'Budget Filing Data'!T76</f>
        <v>0</v>
      </c>
      <c r="AE82" s="478">
        <f>'Budget Filing Data'!U76</f>
        <v>0</v>
      </c>
      <c r="AF82" s="478">
        <f>'Budget Filing Data'!$V76</f>
        <v>0</v>
      </c>
      <c r="AG82" s="478">
        <f>'Budget Filing Data'!$W76</f>
        <v>0</v>
      </c>
      <c r="AH82" s="479">
        <v>0</v>
      </c>
    </row>
    <row r="83" spans="3:34" ht="25.5">
      <c r="C83" s="470" t="str">
        <f>'Budget Filing Data'!D77</f>
        <v>SDGE4201</v>
      </c>
      <c r="D83" s="470" t="str">
        <f>'Budget Filing Data'!E77</f>
        <v>Market Access Program - Residential</v>
      </c>
      <c r="E83" s="471" t="s">
        <v>42</v>
      </c>
      <c r="F83" s="471" t="s">
        <v>321</v>
      </c>
      <c r="G83" s="472" t="str">
        <f>'Budget Filing Data'!J77</f>
        <v>Third-Party Solicited</v>
      </c>
      <c r="H83" s="472" t="str">
        <f>IF('Budget Filing Data'!H77="","",'Budget Filing Data'!H77)</f>
        <v/>
      </c>
      <c r="I83" s="473" t="s">
        <v>24</v>
      </c>
      <c r="J83" s="472" t="str">
        <f>'Budget Filing Data'!G77</f>
        <v>Residential</v>
      </c>
      <c r="K83" s="472" t="str">
        <f>'Budget Filing Data'!I77</f>
        <v>Other</v>
      </c>
      <c r="L83" s="472" t="str">
        <f>'Budget Filing Data'!L77</f>
        <v>Resource Acquisition</v>
      </c>
      <c r="M83" s="472">
        <f>'Budget Filing Data'!B77</f>
        <v>2028</v>
      </c>
      <c r="N83" s="474">
        <f t="shared" si="1"/>
        <v>324476.60109999997</v>
      </c>
      <c r="O83" s="475">
        <f>'Budget Filing Data'!AQ77</f>
        <v>44456.638500000001</v>
      </c>
      <c r="P83" s="475">
        <f>'Budget Filing Data'!AR77</f>
        <v>17669.730599999999</v>
      </c>
      <c r="Q83" s="475">
        <f>'Budget Filing Data'!AS77</f>
        <v>85052.531699999992</v>
      </c>
      <c r="R83" s="475">
        <f>'Budget Filing Data'!AT77</f>
        <v>177297.7003</v>
      </c>
      <c r="S83" s="476">
        <f>'Budget Filing Data'!X77</f>
        <v>297050.52342693449</v>
      </c>
      <c r="T83" s="477">
        <f>IFERROR((('Budget Filing Data'!AF77+'Budget Filing Data'!AG77+'Budget Filing Data'!AY77+'Budget Filing Data'!AH77)/'Budget Filing Data'!AA77),"")</f>
        <v>0.82794606028383022</v>
      </c>
      <c r="U83" s="477">
        <f>IFERROR((('Budget Filing Data'!AF77+'Budget Filing Data'!AG77+'Budget Filing Data'!AY77+'Budget Filing Data'!AH77)/'Budget Filing Data'!AB77),"")</f>
        <v>0.95695736682593691</v>
      </c>
      <c r="V83" s="477">
        <f>IFERROR((('Budget Filing Data'!AF77+'Budget Filing Data'!AG77+'Budget Filing Data'!AY77+'Budget Filing Data'!AH77+'Budget Filing Data'!AW77+'Budget Filing Data'!AX77)/('Budget Filing Data'!AE77)),"")</f>
        <v>0.54680003433712965</v>
      </c>
      <c r="W83" s="477">
        <f>IFERROR(('Budget Filing Data'!AI77+'Budget Filing Data'!AJ77+'Budget Filing Data'!AK77+'Budget Filing Data'!AH77)/('Budget Filing Data'!AC77),"")</f>
        <v>1.1591648921134037</v>
      </c>
      <c r="X83" s="477">
        <f>IFERROR(('Budget Filing Data'!AL77+'Budget Filing Data'!AM77+'Budget Filing Data'!AN77+'Budget Filing Data'!AH77)/('Budget Filing Data'!AD77),"")</f>
        <v>1.1605929184701338</v>
      </c>
      <c r="Y83" s="478">
        <f>'Budget Filing Data'!Q77</f>
        <v>30849.338164999997</v>
      </c>
      <c r="Z83" s="478">
        <f>'Budget Filing Data'!R77</f>
        <v>21.031069334999998</v>
      </c>
      <c r="AA83" s="478">
        <f>'Budget Filing Data'!S77</f>
        <v>12464.34621455</v>
      </c>
      <c r="AB83" s="478">
        <f>'Budget Filing Data'!AO77</f>
        <v>5.2114790385600696</v>
      </c>
      <c r="AC83" s="478">
        <f>'Budget Filing Data'!AP77</f>
        <v>66.185678399260496</v>
      </c>
      <c r="AD83" s="478">
        <f>'Budget Filing Data'!T77</f>
        <v>471882.11740999995</v>
      </c>
      <c r="AE83" s="478">
        <f>'Budget Filing Data'!U77</f>
        <v>176503.4968619</v>
      </c>
      <c r="AF83" s="478">
        <f>'Budget Filing Data'!$V77</f>
        <v>40.523947944757879</v>
      </c>
      <c r="AG83" s="478">
        <f>'Budget Filing Data'!$W77</f>
        <v>937.23356833668902</v>
      </c>
      <c r="AH83" s="479">
        <v>0</v>
      </c>
    </row>
    <row r="84" spans="3:34" ht="25.5" hidden="1">
      <c r="C84" s="470" t="str">
        <f>'Budget Filing Data'!D78</f>
        <v>SDGE4202</v>
      </c>
      <c r="D84" s="470" t="str">
        <f>'Budget Filing Data'!E78</f>
        <v>Market Access Program - Commercial</v>
      </c>
      <c r="E84" s="471" t="s">
        <v>42</v>
      </c>
      <c r="F84" s="471" t="s">
        <v>321</v>
      </c>
      <c r="G84" s="472" t="str">
        <f>'Budget Filing Data'!J78</f>
        <v>Third-Party Solicited</v>
      </c>
      <c r="H84" s="472" t="str">
        <f>IF('Budget Filing Data'!H78="","",'Budget Filing Data'!H78)</f>
        <v/>
      </c>
      <c r="I84" s="473" t="s">
        <v>24</v>
      </c>
      <c r="J84" s="472" t="str">
        <f>'Budget Filing Data'!G78</f>
        <v>Commercial</v>
      </c>
      <c r="K84" s="472" t="str">
        <f>'Budget Filing Data'!I78</f>
        <v>Other</v>
      </c>
      <c r="L84" s="472" t="str">
        <f>'Budget Filing Data'!L78</f>
        <v>Resource Acquisition</v>
      </c>
      <c r="M84" s="472">
        <f>'Budget Filing Data'!B78</f>
        <v>2028</v>
      </c>
      <c r="N84" s="474">
        <f t="shared" si="1"/>
        <v>2058670.1894000003</v>
      </c>
      <c r="O84" s="475">
        <f>'Budget Filing Data'!AQ78</f>
        <v>269978.31849999999</v>
      </c>
      <c r="P84" s="475">
        <f>'Budget Filing Data'!AR78</f>
        <v>108985.7306</v>
      </c>
      <c r="Q84" s="475">
        <f>'Budget Filing Data'!AS78</f>
        <v>525597.14630000002</v>
      </c>
      <c r="R84" s="475">
        <f>'Budget Filing Data'!AT78</f>
        <v>1154108.9940000002</v>
      </c>
      <c r="S84" s="476">
        <f>'Budget Filing Data'!X78</f>
        <v>2511402.4613555637</v>
      </c>
      <c r="T84" s="477">
        <f>IFERROR((('Budget Filing Data'!AF78+'Budget Filing Data'!AG78+'Budget Filing Data'!AY78+'Budget Filing Data'!AH78)/'Budget Filing Data'!AA78),"")</f>
        <v>1.1872751059630196</v>
      </c>
      <c r="U84" s="477">
        <f>IFERROR((('Budget Filing Data'!AF78+'Budget Filing Data'!AG78+'Budget Filing Data'!AY78+'Budget Filing Data'!AH78)/'Budget Filing Data'!AB78),"")</f>
        <v>1.2574379226365737</v>
      </c>
      <c r="V84" s="477">
        <f>IFERROR((('Budget Filing Data'!AF78+'Budget Filing Data'!AG78+'Budget Filing Data'!AY78+'Budget Filing Data'!AH78+'Budget Filing Data'!AW78+'Budget Filing Data'!AX78)/('Budget Filing Data'!AE78)),"")</f>
        <v>0.16123691948098695</v>
      </c>
      <c r="W84" s="477">
        <f>IFERROR(('Budget Filing Data'!AI78+'Budget Filing Data'!AJ78+'Budget Filing Data'!AK78+'Budget Filing Data'!AH78)/('Budget Filing Data'!AC78),"")</f>
        <v>1.3746236742029265</v>
      </c>
      <c r="X84" s="477">
        <f>IFERROR(('Budget Filing Data'!AL78+'Budget Filing Data'!AM78+'Budget Filing Data'!AN78+'Budget Filing Data'!AH78)/('Budget Filing Data'!AD78),"")</f>
        <v>1.3746236742029265</v>
      </c>
      <c r="Y84" s="478">
        <f>'Budget Filing Data'!Q78</f>
        <v>3373146.7935255002</v>
      </c>
      <c r="Z84" s="478">
        <f>'Budget Filing Data'!R78</f>
        <v>498.70217699999995</v>
      </c>
      <c r="AA84" s="478">
        <f>'Budget Filing Data'!S78</f>
        <v>0</v>
      </c>
      <c r="AB84" s="478">
        <f>'Budget Filing Data'!AO78</f>
        <v>566.37214227358072</v>
      </c>
      <c r="AC84" s="478">
        <f>'Budget Filing Data'!AP78</f>
        <v>0</v>
      </c>
      <c r="AD84" s="478">
        <f>'Budget Filing Data'!T78</f>
        <v>44840747.24159652</v>
      </c>
      <c r="AE84" s="478">
        <f>'Budget Filing Data'!U78</f>
        <v>0</v>
      </c>
      <c r="AF84" s="478">
        <f>'Budget Filing Data'!$V78</f>
        <v>5709.042544965685</v>
      </c>
      <c r="AG84" s="478">
        <f>'Budget Filing Data'!$W78</f>
        <v>0</v>
      </c>
      <c r="AH84" s="479">
        <v>0</v>
      </c>
    </row>
    <row r="85" spans="3:34" ht="25.5" hidden="1">
      <c r="C85" s="470" t="str">
        <f>'Budget Filing Data'!D79</f>
        <v>SDGE_SW_HVAC_AE_NonRes</v>
      </c>
      <c r="D85" s="470" t="str">
        <f>'Budget Filing Data'!E79</f>
        <v>SW HVAC All Electric Non-Residential</v>
      </c>
      <c r="E85" s="471" t="s">
        <v>42</v>
      </c>
      <c r="F85" s="471" t="s">
        <v>329</v>
      </c>
      <c r="G85" s="472" t="str">
        <f>'Budget Filing Data'!J79</f>
        <v>Third-Party Solicited</v>
      </c>
      <c r="H85" s="472" t="str">
        <f>IF('Budget Filing Data'!H79="","",'Budget Filing Data'!H79)</f>
        <v>SW_HVAC_AE_NonRes - SW HVAC All Electric Non-Residential</v>
      </c>
      <c r="I85" s="473" t="s">
        <v>24</v>
      </c>
      <c r="J85" s="472" t="str">
        <f>'Budget Filing Data'!G79</f>
        <v>Commercial</v>
      </c>
      <c r="K85" s="472" t="str">
        <f>'Budget Filing Data'!I79</f>
        <v>Market Transformation</v>
      </c>
      <c r="L85" s="472" t="str">
        <f>'Budget Filing Data'!L79</f>
        <v>Resource Acquisition</v>
      </c>
      <c r="M85" s="472">
        <f>'Budget Filing Data'!B79</f>
        <v>2028</v>
      </c>
      <c r="N85" s="474">
        <f t="shared" si="1"/>
        <v>700091.43164000008</v>
      </c>
      <c r="O85" s="475">
        <f>'Budget Filing Data'!AQ79</f>
        <v>84010.972999999998</v>
      </c>
      <c r="P85" s="475">
        <f>'Budget Filing Data'!AR79</f>
        <v>56007.314100000003</v>
      </c>
      <c r="Q85" s="475">
        <f>'Budget Filing Data'!AS79</f>
        <v>370981.4472</v>
      </c>
      <c r="R85" s="475">
        <f>'Budget Filing Data'!AT79</f>
        <v>189091.69734000001</v>
      </c>
      <c r="S85" s="476">
        <f>'Budget Filing Data'!X79</f>
        <v>624231.11487099295</v>
      </c>
      <c r="T85" s="477">
        <f>IFERROR((('Budget Filing Data'!AF79+'Budget Filing Data'!AG79+'Budget Filing Data'!AY79+'Budget Filing Data'!AH79)/'Budget Filing Data'!AA79),"")</f>
        <v>1.0016246536558091</v>
      </c>
      <c r="U85" s="477">
        <f>IFERROR((('Budget Filing Data'!AF79+'Budget Filing Data'!AG79+'Budget Filing Data'!AY79+'Budget Filing Data'!AH79)/'Budget Filing Data'!AB79),"")</f>
        <v>0.92198072729673897</v>
      </c>
      <c r="V85" s="477">
        <f>IFERROR((('Budget Filing Data'!AF79+'Budget Filing Data'!AG79+'Budget Filing Data'!AY79+'Budget Filing Data'!AH79+'Budget Filing Data'!AW79+'Budget Filing Data'!AX79)/('Budget Filing Data'!AE79)),"")</f>
        <v>0.9706444902992224</v>
      </c>
      <c r="W85" s="477">
        <f>IFERROR(('Budget Filing Data'!AI79+'Budget Filing Data'!AJ79+'Budget Filing Data'!AK79+'Budget Filing Data'!AH79)/('Budget Filing Data'!AC79),"")</f>
        <v>1.5413528387639124</v>
      </c>
      <c r="X85" s="477">
        <f>IFERROR(('Budget Filing Data'!AL79+'Budget Filing Data'!AM79+'Budget Filing Data'!AN79+'Budget Filing Data'!AH79)/('Budget Filing Data'!AD79),"")</f>
        <v>1.5429341360128965</v>
      </c>
      <c r="Y85" s="478">
        <f>'Budget Filing Data'!Q79</f>
        <v>-86210.758269999904</v>
      </c>
      <c r="Z85" s="478">
        <f>'Budget Filing Data'!R79</f>
        <v>5.7200229449999984</v>
      </c>
      <c r="AA85" s="478">
        <f>'Budget Filing Data'!S79</f>
        <v>22669.928663199986</v>
      </c>
      <c r="AB85" s="478">
        <f>'Budget Filing Data'!AO79</f>
        <v>-15.352000418503096</v>
      </c>
      <c r="AC85" s="478">
        <f>'Budget Filing Data'!AP79</f>
        <v>120.37732120159194</v>
      </c>
      <c r="AD85" s="478">
        <f>'Budget Filing Data'!T79</f>
        <v>-1815706.5653999965</v>
      </c>
      <c r="AE85" s="478">
        <f>'Budget Filing Data'!U79</f>
        <v>453398.58909799944</v>
      </c>
      <c r="AF85" s="478">
        <f>'Budget Filing Data'!$V79</f>
        <v>-249.21788421594204</v>
      </c>
      <c r="AG85" s="478">
        <f>'Budget Filing Data'!$W79</f>
        <v>2407.546508110378</v>
      </c>
      <c r="AH85" s="479">
        <v>0</v>
      </c>
    </row>
    <row r="86" spans="3:34" ht="38.25" hidden="1">
      <c r="C86" s="470" t="str">
        <f>'Budget Filing Data'!D80</f>
        <v>SDGE_SW_HVAC_AE_NonRes_PA</v>
      </c>
      <c r="D86" s="470" t="str">
        <f>'Budget Filing Data'!E80</f>
        <v>SW HVAC All Electric Non-Residential (Utility)</v>
      </c>
      <c r="E86" s="471" t="s">
        <v>42</v>
      </c>
      <c r="F86" s="471" t="s">
        <v>330</v>
      </c>
      <c r="G86" s="472" t="str">
        <f>'Budget Filing Data'!J80</f>
        <v>IOU Core</v>
      </c>
      <c r="H86" s="472" t="str">
        <f>IF('Budget Filing Data'!H80="","",'Budget Filing Data'!H80)</f>
        <v>SW_HVAC_AE_NonRes - SW HVAC All Electric Non-Residential</v>
      </c>
      <c r="I86" s="473" t="s">
        <v>24</v>
      </c>
      <c r="J86" s="472" t="str">
        <f>'Budget Filing Data'!G80</f>
        <v>Commercial</v>
      </c>
      <c r="K86" s="472" t="str">
        <f>'Budget Filing Data'!I80</f>
        <v>Market Transformation</v>
      </c>
      <c r="L86" s="472" t="str">
        <f>'Budget Filing Data'!L80</f>
        <v>Resource Acquisition</v>
      </c>
      <c r="M86" s="472">
        <f>'Budget Filing Data'!B80</f>
        <v>2028</v>
      </c>
      <c r="N86" s="474">
        <f t="shared" si="1"/>
        <v>5974.5576000000001</v>
      </c>
      <c r="O86" s="475">
        <f>'Budget Filing Data'!AQ80</f>
        <v>5974.5576000000001</v>
      </c>
      <c r="P86" s="475">
        <f>'Budget Filing Data'!AR80</f>
        <v>0</v>
      </c>
      <c r="Q86" s="475">
        <f>'Budget Filing Data'!AS80</f>
        <v>0</v>
      </c>
      <c r="R86" s="475">
        <f>'Budget Filing Data'!AT80</f>
        <v>0</v>
      </c>
      <c r="S86" s="476">
        <f>'Budget Filing Data'!X80</f>
        <v>0</v>
      </c>
      <c r="T86" s="477">
        <f>IFERROR((('Budget Filing Data'!AF80+'Budget Filing Data'!AG80+'Budget Filing Data'!AY80+'Budget Filing Data'!AH80)/'Budget Filing Data'!AA80),"")</f>
        <v>0</v>
      </c>
      <c r="U86" s="477">
        <f>IFERROR((('Budget Filing Data'!AF80+'Budget Filing Data'!AG80+'Budget Filing Data'!AY80+'Budget Filing Data'!AH80)/'Budget Filing Data'!AB80),"")</f>
        <v>0</v>
      </c>
      <c r="V86" s="477">
        <f>IFERROR((('Budget Filing Data'!AF80+'Budget Filing Data'!AG80+'Budget Filing Data'!AY80+'Budget Filing Data'!AH80+'Budget Filing Data'!AW80+'Budget Filing Data'!AX80)/('Budget Filing Data'!AE80)),"")</f>
        <v>0</v>
      </c>
      <c r="W86" s="477">
        <f>IFERROR(('Budget Filing Data'!AI80+'Budget Filing Data'!AJ80+'Budget Filing Data'!AK80+'Budget Filing Data'!AH80)/('Budget Filing Data'!AC80),"")</f>
        <v>0</v>
      </c>
      <c r="X86" s="477">
        <f>IFERROR(('Budget Filing Data'!AL80+'Budget Filing Data'!AM80+'Budget Filing Data'!AN80+'Budget Filing Data'!AH80)/('Budget Filing Data'!AD80),"")</f>
        <v>0</v>
      </c>
      <c r="Y86" s="478">
        <f>'Budget Filing Data'!Q80</f>
        <v>0</v>
      </c>
      <c r="Z86" s="478">
        <f>'Budget Filing Data'!R80</f>
        <v>0</v>
      </c>
      <c r="AA86" s="478">
        <f>'Budget Filing Data'!S80</f>
        <v>0</v>
      </c>
      <c r="AB86" s="478">
        <f>'Budget Filing Data'!AO80</f>
        <v>0</v>
      </c>
      <c r="AC86" s="478">
        <f>'Budget Filing Data'!AP80</f>
        <v>0</v>
      </c>
      <c r="AD86" s="478">
        <f>'Budget Filing Data'!T80</f>
        <v>0</v>
      </c>
      <c r="AE86" s="478">
        <f>'Budget Filing Data'!U80</f>
        <v>0</v>
      </c>
      <c r="AF86" s="478">
        <f>'Budget Filing Data'!$V80</f>
        <v>0</v>
      </c>
      <c r="AG86" s="478">
        <f>'Budget Filing Data'!$W80</f>
        <v>0</v>
      </c>
      <c r="AH86" s="479">
        <v>0</v>
      </c>
    </row>
    <row r="87" spans="3:34" ht="25.5" hidden="1">
      <c r="C87" s="470" t="str">
        <f>'Budget Filing Data'!D81</f>
        <v>SDGE_OtherPA_Admin</v>
      </c>
      <c r="D87" s="470" t="str">
        <f>'Budget Filing Data'!E81</f>
        <v>Other PA Collaboration</v>
      </c>
      <c r="E87" s="471" t="s">
        <v>48</v>
      </c>
      <c r="F87" s="471" t="s">
        <v>331</v>
      </c>
      <c r="G87" s="472" t="str">
        <f>'Budget Filing Data'!J81</f>
        <v>Non-Program</v>
      </c>
      <c r="H87" s="472" t="str">
        <f>IF('Budget Filing Data'!H81="","",'Budget Filing Data'!H81)</f>
        <v/>
      </c>
      <c r="I87" s="473" t="s">
        <v>15</v>
      </c>
      <c r="J87" s="472" t="str">
        <f>'Budget Filing Data'!G81</f>
        <v>Cross Cutting</v>
      </c>
      <c r="K87" s="472" t="str">
        <f>'Budget Filing Data'!I81</f>
        <v>Other</v>
      </c>
      <c r="L87" s="472" t="str">
        <f>'Budget Filing Data'!L81</f>
        <v>Market Support</v>
      </c>
      <c r="M87" s="472">
        <f>'Budget Filing Data'!B81</f>
        <v>2028</v>
      </c>
      <c r="N87" s="474">
        <f t="shared" si="1"/>
        <v>125650.6293</v>
      </c>
      <c r="O87" s="475">
        <f>'Budget Filing Data'!AQ81</f>
        <v>125650.6293</v>
      </c>
      <c r="P87" s="475">
        <f>'Budget Filing Data'!AR81</f>
        <v>0</v>
      </c>
      <c r="Q87" s="475">
        <f>'Budget Filing Data'!AS81</f>
        <v>0</v>
      </c>
      <c r="R87" s="475">
        <f>'Budget Filing Data'!AT81</f>
        <v>0</v>
      </c>
      <c r="S87" s="476">
        <f>'Budget Filing Data'!X81</f>
        <v>0</v>
      </c>
      <c r="T87" s="477">
        <f>IFERROR((('Budget Filing Data'!AF81+'Budget Filing Data'!AG81+'Budget Filing Data'!AY81+'Budget Filing Data'!AH81)/'Budget Filing Data'!AA81),"")</f>
        <v>0</v>
      </c>
      <c r="U87" s="477">
        <f>IFERROR((('Budget Filing Data'!AF81+'Budget Filing Data'!AG81+'Budget Filing Data'!AY81+'Budget Filing Data'!AH81)/'Budget Filing Data'!AB81),"")</f>
        <v>0</v>
      </c>
      <c r="V87" s="477">
        <f>IFERROR((('Budget Filing Data'!AF81+'Budget Filing Data'!AG81+'Budget Filing Data'!AY81+'Budget Filing Data'!AH81+'Budget Filing Data'!AW81+'Budget Filing Data'!AX81)/('Budget Filing Data'!AE81)),"")</f>
        <v>0</v>
      </c>
      <c r="W87" s="477">
        <f>IFERROR(('Budget Filing Data'!AI81+'Budget Filing Data'!AJ81+'Budget Filing Data'!AK81+'Budget Filing Data'!AH81)/('Budget Filing Data'!AC81),"")</f>
        <v>0</v>
      </c>
      <c r="X87" s="477">
        <f>IFERROR(('Budget Filing Data'!AL81+'Budget Filing Data'!AM81+'Budget Filing Data'!AN81+'Budget Filing Data'!AH81)/('Budget Filing Data'!AD81),"")</f>
        <v>0</v>
      </c>
      <c r="Y87" s="478">
        <f>'Budget Filing Data'!Q81</f>
        <v>0</v>
      </c>
      <c r="Z87" s="478">
        <f>'Budget Filing Data'!R81</f>
        <v>0</v>
      </c>
      <c r="AA87" s="478">
        <f>'Budget Filing Data'!S81</f>
        <v>0</v>
      </c>
      <c r="AB87" s="478">
        <f>'Budget Filing Data'!AO81</f>
        <v>0</v>
      </c>
      <c r="AC87" s="478">
        <f>'Budget Filing Data'!AP81</f>
        <v>0</v>
      </c>
      <c r="AD87" s="478">
        <f>'Budget Filing Data'!T81</f>
        <v>0</v>
      </c>
      <c r="AE87" s="478">
        <f>'Budget Filing Data'!U81</f>
        <v>0</v>
      </c>
      <c r="AF87" s="478">
        <f>'Budget Filing Data'!$V81</f>
        <v>0</v>
      </c>
      <c r="AG87" s="478">
        <f>'Budget Filing Data'!$W81</f>
        <v>0</v>
      </c>
      <c r="AH87" s="479">
        <v>0</v>
      </c>
    </row>
    <row r="88" spans="3:34" hidden="1">
      <c r="C88" s="470" t="str">
        <f>'Budget Filing Data'!D82</f>
        <v>SDGE3251</v>
      </c>
      <c r="D88" s="470" t="str">
        <f>'Budget Filing Data'!E82</f>
        <v>SW C&amp;S - Compliance Enhancement</v>
      </c>
      <c r="E88" s="471" t="s">
        <v>42</v>
      </c>
      <c r="F88" s="471" t="s">
        <v>319</v>
      </c>
      <c r="G88" s="472" t="str">
        <f>'Budget Filing Data'!J82</f>
        <v>IOU Core</v>
      </c>
      <c r="H88" s="472" t="str">
        <f>IF('Budget Filing Data'!H82="","",'Budget Filing Data'!H82)</f>
        <v/>
      </c>
      <c r="I88" s="473" t="s">
        <v>15</v>
      </c>
      <c r="J88" s="472" t="str">
        <f>'Budget Filing Data'!G82</f>
        <v>Cross Cutting</v>
      </c>
      <c r="K88" s="472" t="str">
        <f>'Budget Filing Data'!I82</f>
        <v>Codes and Standards</v>
      </c>
      <c r="L88" s="472" t="str">
        <f>'Budget Filing Data'!L82</f>
        <v>Codes and Standards</v>
      </c>
      <c r="M88" s="472">
        <f>'Budget Filing Data'!B82</f>
        <v>2029</v>
      </c>
      <c r="N88" s="474">
        <f t="shared" si="1"/>
        <v>1149086.0893000001</v>
      </c>
      <c r="O88" s="475">
        <f>'Budget Filing Data'!AQ82</f>
        <v>34266.462299999999</v>
      </c>
      <c r="P88" s="475">
        <f>'Budget Filing Data'!AR82</f>
        <v>0</v>
      </c>
      <c r="Q88" s="475">
        <f>'Budget Filing Data'!AS82</f>
        <v>1114819.6270000001</v>
      </c>
      <c r="R88" s="475">
        <f>'Budget Filing Data'!AT82</f>
        <v>0</v>
      </c>
      <c r="S88" s="476">
        <f>'Budget Filing Data'!X82</f>
        <v>0</v>
      </c>
      <c r="T88" s="477">
        <f>IFERROR((('Budget Filing Data'!AF82+'Budget Filing Data'!AG82+'Budget Filing Data'!AY82+'Budget Filing Data'!AH82)/'Budget Filing Data'!AA82),"")</f>
        <v>0</v>
      </c>
      <c r="U88" s="477">
        <f>IFERROR((('Budget Filing Data'!AF82+'Budget Filing Data'!AG82+'Budget Filing Data'!AY82+'Budget Filing Data'!AH82)/'Budget Filing Data'!AB82),"")</f>
        <v>0</v>
      </c>
      <c r="V88" s="477">
        <f>IFERROR((('Budget Filing Data'!AF82+'Budget Filing Data'!AG82+'Budget Filing Data'!AY82+'Budget Filing Data'!AH82+'Budget Filing Data'!AW82+'Budget Filing Data'!AX82)/('Budget Filing Data'!AE82)),"")</f>
        <v>0</v>
      </c>
      <c r="W88" s="477">
        <f>IFERROR(('Budget Filing Data'!AI82+'Budget Filing Data'!AJ82+'Budget Filing Data'!AK82+'Budget Filing Data'!AH82)/('Budget Filing Data'!AC82),"")</f>
        <v>0</v>
      </c>
      <c r="X88" s="477">
        <f>IFERROR(('Budget Filing Data'!AL82+'Budget Filing Data'!AM82+'Budget Filing Data'!AN82+'Budget Filing Data'!AH82)/('Budget Filing Data'!AD82),"")</f>
        <v>0</v>
      </c>
      <c r="Y88" s="478">
        <f>'Budget Filing Data'!Q82</f>
        <v>0</v>
      </c>
      <c r="Z88" s="478">
        <f>'Budget Filing Data'!R82</f>
        <v>0</v>
      </c>
      <c r="AA88" s="478">
        <f>'Budget Filing Data'!S82</f>
        <v>0</v>
      </c>
      <c r="AB88" s="478">
        <f>'Budget Filing Data'!AO82</f>
        <v>0</v>
      </c>
      <c r="AC88" s="478">
        <f>'Budget Filing Data'!AP82</f>
        <v>0</v>
      </c>
      <c r="AD88" s="478">
        <f>'Budget Filing Data'!T82</f>
        <v>0</v>
      </c>
      <c r="AE88" s="478">
        <f>'Budget Filing Data'!U82</f>
        <v>0</v>
      </c>
      <c r="AF88" s="478">
        <f>'Budget Filing Data'!$V82</f>
        <v>0</v>
      </c>
      <c r="AG88" s="478">
        <f>'Budget Filing Data'!$W82</f>
        <v>0</v>
      </c>
      <c r="AH88" s="479">
        <v>0</v>
      </c>
    </row>
    <row r="89" spans="3:34" hidden="1">
      <c r="C89" s="470" t="str">
        <f>'Budget Filing Data'!D83</f>
        <v>SDGE3252</v>
      </c>
      <c r="D89" s="470" t="str">
        <f>'Budget Filing Data'!E83</f>
        <v>SW C&amp;S - Reach Codes</v>
      </c>
      <c r="E89" s="471" t="s">
        <v>42</v>
      </c>
      <c r="F89" s="471" t="s">
        <v>319</v>
      </c>
      <c r="G89" s="472" t="str">
        <f>'Budget Filing Data'!J83</f>
        <v>IOU Core</v>
      </c>
      <c r="H89" s="472" t="str">
        <f>IF('Budget Filing Data'!H83="","",'Budget Filing Data'!H83)</f>
        <v/>
      </c>
      <c r="I89" s="473" t="s">
        <v>15</v>
      </c>
      <c r="J89" s="472" t="str">
        <f>'Budget Filing Data'!G83</f>
        <v>Cross Cutting</v>
      </c>
      <c r="K89" s="472" t="str">
        <f>'Budget Filing Data'!I83</f>
        <v>Codes and Standards</v>
      </c>
      <c r="L89" s="472" t="str">
        <f>'Budget Filing Data'!L83</f>
        <v>Codes and Standards</v>
      </c>
      <c r="M89" s="472">
        <f>'Budget Filing Data'!B83</f>
        <v>2029</v>
      </c>
      <c r="N89" s="474">
        <f t="shared" si="1"/>
        <v>1076618.9145</v>
      </c>
      <c r="O89" s="475">
        <f>'Budget Filing Data'!AQ83</f>
        <v>23476.179100000001</v>
      </c>
      <c r="P89" s="475">
        <f>'Budget Filing Data'!AR83</f>
        <v>0</v>
      </c>
      <c r="Q89" s="475">
        <f>'Budget Filing Data'!AS83</f>
        <v>1053142.7353999999</v>
      </c>
      <c r="R89" s="475">
        <f>'Budget Filing Data'!AT83</f>
        <v>0</v>
      </c>
      <c r="S89" s="476">
        <f>'Budget Filing Data'!X83</f>
        <v>0</v>
      </c>
      <c r="T89" s="477">
        <f>IFERROR((('Budget Filing Data'!AF83+'Budget Filing Data'!AG83+'Budget Filing Data'!AY83+'Budget Filing Data'!AH83)/'Budget Filing Data'!AA83),"")</f>
        <v>0</v>
      </c>
      <c r="U89" s="477">
        <f>IFERROR((('Budget Filing Data'!AF83+'Budget Filing Data'!AG83+'Budget Filing Data'!AY83+'Budget Filing Data'!AH83)/'Budget Filing Data'!AB83),"")</f>
        <v>0</v>
      </c>
      <c r="V89" s="477">
        <f>IFERROR((('Budget Filing Data'!AF83+'Budget Filing Data'!AG83+'Budget Filing Data'!AY83+'Budget Filing Data'!AH83+'Budget Filing Data'!AW83+'Budget Filing Data'!AX83)/('Budget Filing Data'!AE83)),"")</f>
        <v>0</v>
      </c>
      <c r="W89" s="477">
        <f>IFERROR(('Budget Filing Data'!AI83+'Budget Filing Data'!AJ83+'Budget Filing Data'!AK83+'Budget Filing Data'!AH83)/('Budget Filing Data'!AC83),"")</f>
        <v>0</v>
      </c>
      <c r="X89" s="477">
        <f>IFERROR(('Budget Filing Data'!AL83+'Budget Filing Data'!AM83+'Budget Filing Data'!AN83+'Budget Filing Data'!AH83)/('Budget Filing Data'!AD83),"")</f>
        <v>0</v>
      </c>
      <c r="Y89" s="478">
        <f>'Budget Filing Data'!Q83</f>
        <v>0</v>
      </c>
      <c r="Z89" s="478">
        <f>'Budget Filing Data'!R83</f>
        <v>0</v>
      </c>
      <c r="AA89" s="478">
        <f>'Budget Filing Data'!S83</f>
        <v>0</v>
      </c>
      <c r="AB89" s="478">
        <f>'Budget Filing Data'!AO83</f>
        <v>0</v>
      </c>
      <c r="AC89" s="478">
        <f>'Budget Filing Data'!AP83</f>
        <v>0</v>
      </c>
      <c r="AD89" s="478">
        <f>'Budget Filing Data'!T83</f>
        <v>0</v>
      </c>
      <c r="AE89" s="478">
        <f>'Budget Filing Data'!U83</f>
        <v>0</v>
      </c>
      <c r="AF89" s="478">
        <f>'Budget Filing Data'!$V83</f>
        <v>0</v>
      </c>
      <c r="AG89" s="478">
        <f>'Budget Filing Data'!$W83</f>
        <v>0</v>
      </c>
      <c r="AH89" s="479">
        <v>0</v>
      </c>
    </row>
    <row r="90" spans="3:34" hidden="1">
      <c r="C90" s="470" t="str">
        <f>'Budget Filing Data'!D84</f>
        <v>SDGE3253</v>
      </c>
      <c r="D90" s="470" t="str">
        <f>'Budget Filing Data'!E84</f>
        <v>SW C&amp;S - Planning Coordination</v>
      </c>
      <c r="E90" s="471" t="s">
        <v>42</v>
      </c>
      <c r="F90" s="471" t="s">
        <v>319</v>
      </c>
      <c r="G90" s="472" t="str">
        <f>'Budget Filing Data'!J84</f>
        <v>IOU Core</v>
      </c>
      <c r="H90" s="472" t="str">
        <f>IF('Budget Filing Data'!H84="","",'Budget Filing Data'!H84)</f>
        <v/>
      </c>
      <c r="I90" s="473" t="s">
        <v>15</v>
      </c>
      <c r="J90" s="472" t="str">
        <f>'Budget Filing Data'!G84</f>
        <v>Cross Cutting</v>
      </c>
      <c r="K90" s="472" t="str">
        <f>'Budget Filing Data'!I84</f>
        <v>Codes and Standards</v>
      </c>
      <c r="L90" s="472" t="str">
        <f>'Budget Filing Data'!L84</f>
        <v>Codes and Standards</v>
      </c>
      <c r="M90" s="472">
        <f>'Budget Filing Data'!B84</f>
        <v>2029</v>
      </c>
      <c r="N90" s="474">
        <f t="shared" si="1"/>
        <v>796395.99800000002</v>
      </c>
      <c r="O90" s="475">
        <f>'Budget Filing Data'!AQ84</f>
        <v>20381.724099999999</v>
      </c>
      <c r="P90" s="475">
        <f>'Budget Filing Data'!AR84</f>
        <v>0</v>
      </c>
      <c r="Q90" s="475">
        <f>'Budget Filing Data'!AS84</f>
        <v>776014.27390000003</v>
      </c>
      <c r="R90" s="475">
        <f>'Budget Filing Data'!AT84</f>
        <v>0</v>
      </c>
      <c r="S90" s="476">
        <f>'Budget Filing Data'!X84</f>
        <v>0</v>
      </c>
      <c r="T90" s="477">
        <f>IFERROR((('Budget Filing Data'!AF84+'Budget Filing Data'!AG84+'Budget Filing Data'!AY84+'Budget Filing Data'!AH84)/'Budget Filing Data'!AA84),"")</f>
        <v>0</v>
      </c>
      <c r="U90" s="477">
        <f>IFERROR((('Budget Filing Data'!AF84+'Budget Filing Data'!AG84+'Budget Filing Data'!AY84+'Budget Filing Data'!AH84)/'Budget Filing Data'!AB84),"")</f>
        <v>0</v>
      </c>
      <c r="V90" s="477">
        <f>IFERROR((('Budget Filing Data'!AF84+'Budget Filing Data'!AG84+'Budget Filing Data'!AY84+'Budget Filing Data'!AH84+'Budget Filing Data'!AW84+'Budget Filing Data'!AX84)/('Budget Filing Data'!AE84)),"")</f>
        <v>0</v>
      </c>
      <c r="W90" s="477">
        <f>IFERROR(('Budget Filing Data'!AI84+'Budget Filing Data'!AJ84+'Budget Filing Data'!AK84+'Budget Filing Data'!AH84)/('Budget Filing Data'!AC84),"")</f>
        <v>0</v>
      </c>
      <c r="X90" s="477">
        <f>IFERROR(('Budget Filing Data'!AL84+'Budget Filing Data'!AM84+'Budget Filing Data'!AN84+'Budget Filing Data'!AH84)/('Budget Filing Data'!AD84),"")</f>
        <v>0</v>
      </c>
      <c r="Y90" s="478">
        <f>'Budget Filing Data'!Q84</f>
        <v>0</v>
      </c>
      <c r="Z90" s="478">
        <f>'Budget Filing Data'!R84</f>
        <v>0</v>
      </c>
      <c r="AA90" s="478">
        <f>'Budget Filing Data'!S84</f>
        <v>0</v>
      </c>
      <c r="AB90" s="478">
        <f>'Budget Filing Data'!AO84</f>
        <v>0</v>
      </c>
      <c r="AC90" s="478">
        <f>'Budget Filing Data'!AP84</f>
        <v>0</v>
      </c>
      <c r="AD90" s="478">
        <f>'Budget Filing Data'!T84</f>
        <v>0</v>
      </c>
      <c r="AE90" s="478">
        <f>'Budget Filing Data'!U84</f>
        <v>0</v>
      </c>
      <c r="AF90" s="478">
        <f>'Budget Filing Data'!$V84</f>
        <v>0</v>
      </c>
      <c r="AG90" s="478">
        <f>'Budget Filing Data'!$W84</f>
        <v>0</v>
      </c>
      <c r="AH90" s="479">
        <v>0</v>
      </c>
    </row>
    <row r="91" spans="3:34" hidden="1">
      <c r="C91" s="470" t="str">
        <f>'Budget Filing Data'!D85</f>
        <v>SDGE3262</v>
      </c>
      <c r="D91" s="470" t="str">
        <f>'Budget Filing Data'!E85</f>
        <v>SW-FIN-On-Bill Finance</v>
      </c>
      <c r="E91" s="471"/>
      <c r="F91" s="480"/>
      <c r="G91" s="472" t="str">
        <f>'Budget Filing Data'!J85</f>
        <v>IOU Core</v>
      </c>
      <c r="H91" s="472" t="str">
        <f>IF('Budget Filing Data'!H85="","",'Budget Filing Data'!H85)</f>
        <v/>
      </c>
      <c r="I91" s="473" t="s">
        <v>15</v>
      </c>
      <c r="J91" s="472" t="str">
        <f>'Budget Filing Data'!G85</f>
        <v>Commercial</v>
      </c>
      <c r="K91" s="472" t="str">
        <f>'Budget Filing Data'!I85</f>
        <v>Financing</v>
      </c>
      <c r="L91" s="472" t="str">
        <f>'Budget Filing Data'!L85</f>
        <v>Market Support</v>
      </c>
      <c r="M91" s="472">
        <f>'Budget Filing Data'!B85</f>
        <v>2029</v>
      </c>
      <c r="N91" s="474">
        <f t="shared" si="1"/>
        <v>112723.16039999999</v>
      </c>
      <c r="O91" s="475">
        <f>'Budget Filing Data'!AQ85</f>
        <v>44514.994299999998</v>
      </c>
      <c r="P91" s="475">
        <f>'Budget Filing Data'!AR85</f>
        <v>750.59259999999995</v>
      </c>
      <c r="Q91" s="475">
        <f>'Budget Filing Data'!AS85</f>
        <v>67457.573499999999</v>
      </c>
      <c r="R91" s="475">
        <f>'Budget Filing Data'!AT85</f>
        <v>0</v>
      </c>
      <c r="S91" s="476">
        <f>'Budget Filing Data'!X85</f>
        <v>0</v>
      </c>
      <c r="T91" s="477">
        <f>IFERROR((('Budget Filing Data'!AF85+'Budget Filing Data'!AG85+'Budget Filing Data'!AY85+'Budget Filing Data'!AH85)/'Budget Filing Data'!AA85),"")</f>
        <v>0</v>
      </c>
      <c r="U91" s="477">
        <f>IFERROR((('Budget Filing Data'!AF85+'Budget Filing Data'!AG85+'Budget Filing Data'!AY85+'Budget Filing Data'!AH85)/'Budget Filing Data'!AB85),"")</f>
        <v>0</v>
      </c>
      <c r="V91" s="477">
        <f>IFERROR((('Budget Filing Data'!AF85+'Budget Filing Data'!AG85+'Budget Filing Data'!AY85+'Budget Filing Data'!AH85+'Budget Filing Data'!AW85+'Budget Filing Data'!AX85)/('Budget Filing Data'!AE85)),"")</f>
        <v>0</v>
      </c>
      <c r="W91" s="477">
        <f>IFERROR(('Budget Filing Data'!AI85+'Budget Filing Data'!AJ85+'Budget Filing Data'!AK85+'Budget Filing Data'!AH85)/('Budget Filing Data'!AC85),"")</f>
        <v>0</v>
      </c>
      <c r="X91" s="477">
        <f>IFERROR(('Budget Filing Data'!AL85+'Budget Filing Data'!AM85+'Budget Filing Data'!AN85+'Budget Filing Data'!AH85)/('Budget Filing Data'!AD85),"")</f>
        <v>0</v>
      </c>
      <c r="Y91" s="478">
        <f>'Budget Filing Data'!Q85</f>
        <v>0</v>
      </c>
      <c r="Z91" s="478">
        <f>'Budget Filing Data'!R85</f>
        <v>0</v>
      </c>
      <c r="AA91" s="478">
        <f>'Budget Filing Data'!S85</f>
        <v>0</v>
      </c>
      <c r="AB91" s="478">
        <f>'Budget Filing Data'!AO85</f>
        <v>0</v>
      </c>
      <c r="AC91" s="478">
        <f>'Budget Filing Data'!AP85</f>
        <v>0</v>
      </c>
      <c r="AD91" s="478">
        <f>'Budget Filing Data'!T85</f>
        <v>0</v>
      </c>
      <c r="AE91" s="478">
        <f>'Budget Filing Data'!U85</f>
        <v>0</v>
      </c>
      <c r="AF91" s="478">
        <f>'Budget Filing Data'!$V85</f>
        <v>0</v>
      </c>
      <c r="AG91" s="478">
        <f>'Budget Filing Data'!$W85</f>
        <v>0</v>
      </c>
      <c r="AH91" s="479">
        <v>0</v>
      </c>
    </row>
    <row r="92" spans="3:34" hidden="1">
      <c r="C92" s="470" t="str">
        <f>'Budget Filing Data'!D86</f>
        <v>SDGE3280</v>
      </c>
      <c r="D92" s="470" t="str">
        <f>'Budget Filing Data'!E86</f>
        <v>3P-IDEEA</v>
      </c>
      <c r="E92" s="471" t="s">
        <v>37</v>
      </c>
      <c r="F92" s="471" t="s">
        <v>320</v>
      </c>
      <c r="G92" s="472" t="str">
        <f>'Budget Filing Data'!J86</f>
        <v>Non-Program</v>
      </c>
      <c r="H92" s="472" t="str">
        <f>IF('Budget Filing Data'!H86="","",'Budget Filing Data'!H86)</f>
        <v/>
      </c>
      <c r="I92" s="473" t="s">
        <v>15</v>
      </c>
      <c r="J92" s="472" t="str">
        <f>'Budget Filing Data'!G86</f>
        <v>Cross Cutting</v>
      </c>
      <c r="K92" s="472" t="str">
        <f>'Budget Filing Data'!I86</f>
        <v>Market Education Outreach</v>
      </c>
      <c r="L92" s="472" t="str">
        <f>'Budget Filing Data'!L86</f>
        <v>Market Support</v>
      </c>
      <c r="M92" s="472">
        <f>'Budget Filing Data'!B86</f>
        <v>2029</v>
      </c>
      <c r="N92" s="474">
        <f t="shared" si="1"/>
        <v>156714.05350000001</v>
      </c>
      <c r="O92" s="475">
        <f>'Budget Filing Data'!AQ86</f>
        <v>156714.05350000001</v>
      </c>
      <c r="P92" s="475">
        <f>'Budget Filing Data'!AR86</f>
        <v>0</v>
      </c>
      <c r="Q92" s="475">
        <f>'Budget Filing Data'!AS86</f>
        <v>0</v>
      </c>
      <c r="R92" s="475">
        <f>'Budget Filing Data'!AT86</f>
        <v>0</v>
      </c>
      <c r="S92" s="476">
        <f>'Budget Filing Data'!X86</f>
        <v>0</v>
      </c>
      <c r="T92" s="477">
        <f>IFERROR((('Budget Filing Data'!AF86+'Budget Filing Data'!AG86+'Budget Filing Data'!AY86+'Budget Filing Data'!AH86)/'Budget Filing Data'!AA86),"")</f>
        <v>0</v>
      </c>
      <c r="U92" s="477">
        <f>IFERROR((('Budget Filing Data'!AF86+'Budget Filing Data'!AG86+'Budget Filing Data'!AY86+'Budget Filing Data'!AH86)/'Budget Filing Data'!AB86),"")</f>
        <v>0</v>
      </c>
      <c r="V92" s="477">
        <f>IFERROR((('Budget Filing Data'!AF86+'Budget Filing Data'!AG86+'Budget Filing Data'!AY86+'Budget Filing Data'!AH86+'Budget Filing Data'!AW86+'Budget Filing Data'!AX86)/('Budget Filing Data'!AE86)),"")</f>
        <v>0</v>
      </c>
      <c r="W92" s="477">
        <f>IFERROR(('Budget Filing Data'!AI86+'Budget Filing Data'!AJ86+'Budget Filing Data'!AK86+'Budget Filing Data'!AH86)/('Budget Filing Data'!AC86),"")</f>
        <v>0</v>
      </c>
      <c r="X92" s="477">
        <f>IFERROR(('Budget Filing Data'!AL86+'Budget Filing Data'!AM86+'Budget Filing Data'!AN86+'Budget Filing Data'!AH86)/('Budget Filing Data'!AD86),"")</f>
        <v>0</v>
      </c>
      <c r="Y92" s="478">
        <f>'Budget Filing Data'!Q86</f>
        <v>0</v>
      </c>
      <c r="Z92" s="478">
        <f>'Budget Filing Data'!R86</f>
        <v>0</v>
      </c>
      <c r="AA92" s="478">
        <f>'Budget Filing Data'!S86</f>
        <v>0</v>
      </c>
      <c r="AB92" s="478">
        <f>'Budget Filing Data'!AO86</f>
        <v>0</v>
      </c>
      <c r="AC92" s="478">
        <f>'Budget Filing Data'!AP86</f>
        <v>0</v>
      </c>
      <c r="AD92" s="478">
        <f>'Budget Filing Data'!T86</f>
        <v>0</v>
      </c>
      <c r="AE92" s="478">
        <f>'Budget Filing Data'!U86</f>
        <v>0</v>
      </c>
      <c r="AF92" s="478">
        <f>'Budget Filing Data'!$V86</f>
        <v>0</v>
      </c>
      <c r="AG92" s="478">
        <f>'Budget Filing Data'!$W86</f>
        <v>0</v>
      </c>
      <c r="AH92" s="479">
        <v>0</v>
      </c>
    </row>
    <row r="93" spans="3:34" hidden="1">
      <c r="C93" s="470" t="str">
        <f>'Budget Filing Data'!D87</f>
        <v>SDGE3281</v>
      </c>
      <c r="D93" s="470" t="str">
        <f>'Budget Filing Data'!E87</f>
        <v>EM&amp;V-Evaluation Measurement &amp; Verification</v>
      </c>
      <c r="E93" s="471"/>
      <c r="F93" s="471"/>
      <c r="G93" s="472" t="str">
        <f>'Budget Filing Data'!J87</f>
        <v>Non-Program</v>
      </c>
      <c r="H93" s="472" t="str">
        <f>IF('Budget Filing Data'!H87="","",'Budget Filing Data'!H87)</f>
        <v/>
      </c>
      <c r="I93" s="473" t="s">
        <v>24</v>
      </c>
      <c r="J93" s="472" t="str">
        <f>'Budget Filing Data'!G87</f>
        <v>Cross Cutting</v>
      </c>
      <c r="K93" s="472" t="str">
        <f>'Budget Filing Data'!I87</f>
        <v>Evaluation Measurement and Verification</v>
      </c>
      <c r="L93" s="472" t="str">
        <f>'Budget Filing Data'!L87</f>
        <v>Evaluation, Measurement, and Verification</v>
      </c>
      <c r="M93" s="472">
        <f>'Budget Filing Data'!B87</f>
        <v>2029</v>
      </c>
      <c r="N93" s="474">
        <f t="shared" si="1"/>
        <v>2710424.0972000002</v>
      </c>
      <c r="O93" s="475">
        <f>'Budget Filing Data'!AQ87</f>
        <v>2710424.0972000002</v>
      </c>
      <c r="P93" s="475">
        <f>'Budget Filing Data'!AR87</f>
        <v>0</v>
      </c>
      <c r="Q93" s="475">
        <f>'Budget Filing Data'!AS87</f>
        <v>0</v>
      </c>
      <c r="R93" s="475">
        <f>'Budget Filing Data'!AT87</f>
        <v>0</v>
      </c>
      <c r="S93" s="476">
        <f>'Budget Filing Data'!X87</f>
        <v>0</v>
      </c>
      <c r="T93" s="477">
        <f>IFERROR((('Budget Filing Data'!AF87+'Budget Filing Data'!AG87+'Budget Filing Data'!AY87+'Budget Filing Data'!AH87)/'Budget Filing Data'!AA87),"")</f>
        <v>0</v>
      </c>
      <c r="U93" s="477">
        <f>IFERROR((('Budget Filing Data'!AF87+'Budget Filing Data'!AG87+'Budget Filing Data'!AY87+'Budget Filing Data'!AH87)/'Budget Filing Data'!AB87),"")</f>
        <v>0</v>
      </c>
      <c r="V93" s="477">
        <f>IFERROR((('Budget Filing Data'!AF87+'Budget Filing Data'!AG87+'Budget Filing Data'!AY87+'Budget Filing Data'!AH87+'Budget Filing Data'!AW87+'Budget Filing Data'!AX87)/('Budget Filing Data'!AE87)),"")</f>
        <v>0</v>
      </c>
      <c r="W93" s="477">
        <f>IFERROR(('Budget Filing Data'!AI87+'Budget Filing Data'!AJ87+'Budget Filing Data'!AK87+'Budget Filing Data'!AH87)/('Budget Filing Data'!AC87),"")</f>
        <v>0</v>
      </c>
      <c r="X93" s="477">
        <f>IFERROR(('Budget Filing Data'!AL87+'Budget Filing Data'!AM87+'Budget Filing Data'!AN87+'Budget Filing Data'!AH87)/('Budget Filing Data'!AD87),"")</f>
        <v>0</v>
      </c>
      <c r="Y93" s="478">
        <f>'Budget Filing Data'!Q87</f>
        <v>0</v>
      </c>
      <c r="Z93" s="478">
        <f>'Budget Filing Data'!R87</f>
        <v>0</v>
      </c>
      <c r="AA93" s="478">
        <f>'Budget Filing Data'!S87</f>
        <v>0</v>
      </c>
      <c r="AB93" s="478">
        <f>'Budget Filing Data'!AO87</f>
        <v>0</v>
      </c>
      <c r="AC93" s="478">
        <f>'Budget Filing Data'!AP87</f>
        <v>0</v>
      </c>
      <c r="AD93" s="478">
        <f>'Budget Filing Data'!T87</f>
        <v>0</v>
      </c>
      <c r="AE93" s="478">
        <f>'Budget Filing Data'!U87</f>
        <v>0</v>
      </c>
      <c r="AF93" s="478">
        <f>'Budget Filing Data'!$V87</f>
        <v>0</v>
      </c>
      <c r="AG93" s="478">
        <f>'Budget Filing Data'!$W87</f>
        <v>0</v>
      </c>
      <c r="AH93" s="479">
        <v>0</v>
      </c>
    </row>
    <row r="94" spans="3:34" ht="25.5">
      <c r="C94" s="470" t="str">
        <f>'Budget Filing Data'!D88</f>
        <v>SDGE4001</v>
      </c>
      <c r="D94" s="470" t="str">
        <f>'Budget Filing Data'!E88</f>
        <v>Single Family Program</v>
      </c>
      <c r="E94" s="471" t="s">
        <v>42</v>
      </c>
      <c r="F94" s="471" t="s">
        <v>321</v>
      </c>
      <c r="G94" s="472" t="str">
        <f>'Budget Filing Data'!J88</f>
        <v>Third-Party Solicited</v>
      </c>
      <c r="H94" s="472" t="str">
        <f>IF('Budget Filing Data'!H88="","",'Budget Filing Data'!H88)</f>
        <v/>
      </c>
      <c r="I94" s="473" t="s">
        <v>24</v>
      </c>
      <c r="J94" s="472" t="str">
        <f>'Budget Filing Data'!G88</f>
        <v>Residential</v>
      </c>
      <c r="K94" s="472" t="str">
        <f>'Budget Filing Data'!I88</f>
        <v>Other</v>
      </c>
      <c r="L94" s="472" t="str">
        <f>'Budget Filing Data'!L88</f>
        <v>Resource Acquisition</v>
      </c>
      <c r="M94" s="472">
        <f>'Budget Filing Data'!B88</f>
        <v>2029</v>
      </c>
      <c r="N94" s="474">
        <f t="shared" si="1"/>
        <v>5478950.4216999998</v>
      </c>
      <c r="O94" s="475">
        <f>'Budget Filing Data'!AQ88</f>
        <v>298980.74939999997</v>
      </c>
      <c r="P94" s="475">
        <f>'Budget Filing Data'!AR88</f>
        <v>150750.5926</v>
      </c>
      <c r="Q94" s="475">
        <f>'Budget Filing Data'!AS88</f>
        <v>379219.08069999999</v>
      </c>
      <c r="R94" s="475">
        <f>'Budget Filing Data'!AT88</f>
        <v>4649999.9989999998</v>
      </c>
      <c r="S94" s="476">
        <f>'Budget Filing Data'!X88</f>
        <v>5435590.5628724704</v>
      </c>
      <c r="T94" s="477">
        <f>IFERROR((('Budget Filing Data'!AF88+'Budget Filing Data'!AG88+'Budget Filing Data'!AY88+'Budget Filing Data'!AH88)/'Budget Filing Data'!AA88),"")</f>
        <v>1.0231818966512032</v>
      </c>
      <c r="U94" s="477">
        <f>IFERROR((('Budget Filing Data'!AF88+'Budget Filing Data'!AG88+'Budget Filing Data'!AY88+'Budget Filing Data'!AH88)/'Budget Filing Data'!AB88),"")</f>
        <v>1.0231818966512032</v>
      </c>
      <c r="V94" s="477">
        <f>IFERROR((('Budget Filing Data'!AF88+'Budget Filing Data'!AG88+'Budget Filing Data'!AY88+'Budget Filing Data'!AH88+'Budget Filing Data'!AW88+'Budget Filing Data'!AX88)/('Budget Filing Data'!AE88)),"")</f>
        <v>0.47530190389617194</v>
      </c>
      <c r="W94" s="477">
        <f>IFERROR(('Budget Filing Data'!AI88+'Budget Filing Data'!AJ88+'Budget Filing Data'!AK88+'Budget Filing Data'!AH88)/('Budget Filing Data'!AC88),"")</f>
        <v>1.0874475316398624</v>
      </c>
      <c r="X94" s="477">
        <f>IFERROR(('Budget Filing Data'!AL88+'Budget Filing Data'!AM88+'Budget Filing Data'!AN88+'Budget Filing Data'!AH88)/('Budget Filing Data'!AD88),"")</f>
        <v>1.0875505003808847</v>
      </c>
      <c r="Y94" s="478">
        <f>'Budget Filing Data'!Q88</f>
        <v>1967605.1827013099</v>
      </c>
      <c r="Z94" s="478">
        <f>'Budget Filing Data'!R88</f>
        <v>1978.0668126908399</v>
      </c>
      <c r="AA94" s="478">
        <f>'Budget Filing Data'!S88</f>
        <v>27991.2288852079</v>
      </c>
      <c r="AB94" s="478">
        <f>'Budget Filing Data'!AO88</f>
        <v>524.66515413806701</v>
      </c>
      <c r="AC94" s="478">
        <f>'Budget Filing Data'!AP88</f>
        <v>148.63342538045401</v>
      </c>
      <c r="AD94" s="478">
        <f>'Budget Filing Data'!T88</f>
        <v>16730674.7628462</v>
      </c>
      <c r="AE94" s="478">
        <f>'Budget Filing Data'!U88</f>
        <v>238011.2386408</v>
      </c>
      <c r="AF94" s="478">
        <f>'Budget Filing Data'!$V88</f>
        <v>4508.4737200502896</v>
      </c>
      <c r="AG94" s="478">
        <f>'Budget Filing Data'!$W88</f>
        <v>1263.8396771826499</v>
      </c>
      <c r="AH94" s="479">
        <v>5772.3133972329397</v>
      </c>
    </row>
    <row r="95" spans="3:34">
      <c r="C95" s="470" t="str">
        <f>'Budget Filing Data'!D89</f>
        <v>SDGE4002</v>
      </c>
      <c r="D95" s="470" t="str">
        <f>'Budget Filing Data'!E89</f>
        <v>Multi Family Program</v>
      </c>
      <c r="E95" s="471"/>
      <c r="F95" s="471"/>
      <c r="G95" s="472" t="str">
        <f>'Budget Filing Data'!J89</f>
        <v>Third-Party Solicited</v>
      </c>
      <c r="H95" s="472" t="str">
        <f>IF('Budget Filing Data'!H89="","",'Budget Filing Data'!H89)</f>
        <v/>
      </c>
      <c r="I95" s="473" t="s">
        <v>24</v>
      </c>
      <c r="J95" s="472" t="str">
        <f>'Budget Filing Data'!G89</f>
        <v>Residential</v>
      </c>
      <c r="K95" s="472" t="str">
        <f>'Budget Filing Data'!I89</f>
        <v>Other</v>
      </c>
      <c r="L95" s="472" t="str">
        <f>'Budget Filing Data'!L89</f>
        <v>Resource Acquisition</v>
      </c>
      <c r="M95" s="472">
        <f>'Budget Filing Data'!B89</f>
        <v>2029</v>
      </c>
      <c r="N95" s="474">
        <f t="shared" si="1"/>
        <v>10957878.9244</v>
      </c>
      <c r="O95" s="475">
        <f>'Budget Filing Data'!AQ89</f>
        <v>597098.6655</v>
      </c>
      <c r="P95" s="475">
        <f>'Budget Filing Data'!AR89</f>
        <v>300750.59259999997</v>
      </c>
      <c r="Q95" s="475">
        <f>'Budget Filing Data'!AS89</f>
        <v>760029.66729999997</v>
      </c>
      <c r="R95" s="475">
        <f>'Budget Filing Data'!AT89</f>
        <v>9299999.9989999998</v>
      </c>
      <c r="S95" s="476">
        <f>'Budget Filing Data'!X89</f>
        <v>12307997.475754101</v>
      </c>
      <c r="T95" s="477">
        <f>IFERROR((('Budget Filing Data'!AF89+'Budget Filing Data'!AG89+'Budget Filing Data'!AY89+'Budget Filing Data'!AH89)/'Budget Filing Data'!AA89),"")</f>
        <v>1.1569180454764729</v>
      </c>
      <c r="U95" s="477">
        <f>IFERROR((('Budget Filing Data'!AF89+'Budget Filing Data'!AG89+'Budget Filing Data'!AY89+'Budget Filing Data'!AH89)/'Budget Filing Data'!AB89),"")</f>
        <v>1.1584156344677634</v>
      </c>
      <c r="V95" s="477">
        <f>IFERROR((('Budget Filing Data'!AF89+'Budget Filing Data'!AG89+'Budget Filing Data'!AY89+'Budget Filing Data'!AH89+'Budget Filing Data'!AW89+'Budget Filing Data'!AX89)/('Budget Filing Data'!AE89)),"")</f>
        <v>0.4774608714047518</v>
      </c>
      <c r="W95" s="477">
        <f>IFERROR(('Budget Filing Data'!AI89+'Budget Filing Data'!AJ89+'Budget Filing Data'!AK89+'Budget Filing Data'!AH89)/('Budget Filing Data'!AC89),"")</f>
        <v>1.4634636704283368</v>
      </c>
      <c r="X95" s="477">
        <f>IFERROR(('Budget Filing Data'!AL89+'Budget Filing Data'!AM89+'Budget Filing Data'!AN89+'Budget Filing Data'!AH89)/('Budget Filing Data'!AD89),"")</f>
        <v>1.464238753599437</v>
      </c>
      <c r="Y95" s="478">
        <f>'Budget Filing Data'!Q89</f>
        <v>2564570.0741466</v>
      </c>
      <c r="Z95" s="478">
        <f>'Budget Filing Data'!R89</f>
        <v>3835.52181231656</v>
      </c>
      <c r="AA95" s="478">
        <f>'Budget Filing Data'!S89</f>
        <v>421945.92287074198</v>
      </c>
      <c r="AB95" s="478">
        <f>'Budget Filing Data'!AO89</f>
        <v>572.65530147225297</v>
      </c>
      <c r="AC95" s="478">
        <f>'Budget Filing Data'!AP89</f>
        <v>2240.5328504436402</v>
      </c>
      <c r="AD95" s="478">
        <f>'Budget Filing Data'!T89</f>
        <v>22924112.299959701</v>
      </c>
      <c r="AE95" s="478">
        <f>'Budget Filing Data'!U89</f>
        <v>3771679.2447629999</v>
      </c>
      <c r="AF95" s="478">
        <f>'Budget Filing Data'!$V89</f>
        <v>5318.0822683883998</v>
      </c>
      <c r="AG95" s="478">
        <f>'Budget Filing Data'!$W89</f>
        <v>20027.616789691499</v>
      </c>
      <c r="AH95" s="479">
        <v>25345.699058079899</v>
      </c>
    </row>
    <row r="96" spans="3:34" ht="25.5" hidden="1">
      <c r="C96" s="470" t="str">
        <f>'Budget Filing Data'!D90</f>
        <v>SDGE4006</v>
      </c>
      <c r="D96" s="470" t="str">
        <f>'Budget Filing Data'!E90</f>
        <v>Industrial Sector Program</v>
      </c>
      <c r="E96" s="471" t="s">
        <v>42</v>
      </c>
      <c r="F96" s="471" t="s">
        <v>322</v>
      </c>
      <c r="G96" s="472" t="str">
        <f>'Budget Filing Data'!J90</f>
        <v>Third-Party Solicited</v>
      </c>
      <c r="H96" s="472" t="str">
        <f>IF('Budget Filing Data'!H90="","",'Budget Filing Data'!H90)</f>
        <v/>
      </c>
      <c r="I96" s="473" t="s">
        <v>24</v>
      </c>
      <c r="J96" s="472" t="str">
        <f>'Budget Filing Data'!G90</f>
        <v>Industrial</v>
      </c>
      <c r="K96" s="472" t="str">
        <f>'Budget Filing Data'!I90</f>
        <v>Other</v>
      </c>
      <c r="L96" s="472" t="str">
        <f>'Budget Filing Data'!L90</f>
        <v>Resource Acquisition</v>
      </c>
      <c r="M96" s="472">
        <f>'Budget Filing Data'!B90</f>
        <v>2029</v>
      </c>
      <c r="N96" s="474">
        <f t="shared" si="1"/>
        <v>9527107.7327999994</v>
      </c>
      <c r="O96" s="475">
        <f>'Budget Filing Data'!AQ90</f>
        <v>833618.0969</v>
      </c>
      <c r="P96" s="475">
        <f>'Budget Filing Data'!AR90</f>
        <v>418876.06259999995</v>
      </c>
      <c r="Q96" s="475">
        <f>'Budget Filing Data'!AS90</f>
        <v>6421269.5733000003</v>
      </c>
      <c r="R96" s="475">
        <f>'Budget Filing Data'!AT90</f>
        <v>1853344</v>
      </c>
      <c r="S96" s="476">
        <f>'Budget Filing Data'!X90</f>
        <v>9832115.7932340242</v>
      </c>
      <c r="T96" s="477">
        <f>IFERROR((('Budget Filing Data'!AF90+'Budget Filing Data'!AG90+'Budget Filing Data'!AY90+'Budget Filing Data'!AH90)/'Budget Filing Data'!AA90),"")</f>
        <v>1.0758495358060569</v>
      </c>
      <c r="U96" s="477">
        <f>IFERROR((('Budget Filing Data'!AF90+'Budget Filing Data'!AG90+'Budget Filing Data'!AY90+'Budget Filing Data'!AH90)/'Budget Filing Data'!AB90),"")</f>
        <v>1.042812986746718</v>
      </c>
      <c r="V96" s="477">
        <f>IFERROR((('Budget Filing Data'!AF90+'Budget Filing Data'!AG90+'Budget Filing Data'!AY90+'Budget Filing Data'!AH90+'Budget Filing Data'!AW90+'Budget Filing Data'!AX90)/('Budget Filing Data'!AE90)),"")</f>
        <v>0.22599201519016412</v>
      </c>
      <c r="W96" s="477">
        <f>IFERROR(('Budget Filing Data'!AI90+'Budget Filing Data'!AJ90+'Budget Filing Data'!AK90+'Budget Filing Data'!AH90)/('Budget Filing Data'!AC90),"")</f>
        <v>1.4611010763171597</v>
      </c>
      <c r="X96" s="477">
        <f>IFERROR(('Budget Filing Data'!AL90+'Budget Filing Data'!AM90+'Budget Filing Data'!AN90+'Budget Filing Data'!AH90)/('Budget Filing Data'!AD90),"")</f>
        <v>1.4603386200701498</v>
      </c>
      <c r="Y96" s="478">
        <f>'Budget Filing Data'!Q90</f>
        <v>18675000</v>
      </c>
      <c r="Z96" s="478">
        <f>'Budget Filing Data'!R90</f>
        <v>2403.27</v>
      </c>
      <c r="AA96" s="478">
        <f>'Budget Filing Data'!S90</f>
        <v>195750</v>
      </c>
      <c r="AB96" s="478">
        <f>'Budget Filing Data'!AO90</f>
        <v>3810.8540024999998</v>
      </c>
      <c r="AC96" s="478">
        <f>'Budget Filing Data'!AP90</f>
        <v>1039.4325000000001</v>
      </c>
      <c r="AD96" s="478">
        <f>'Budget Filing Data'!T90</f>
        <v>93375000</v>
      </c>
      <c r="AE96" s="478">
        <f>'Budget Filing Data'!U90</f>
        <v>978750</v>
      </c>
      <c r="AF96" s="478">
        <f>'Budget Filing Data'!$V90</f>
        <v>19385.110057499998</v>
      </c>
      <c r="AG96" s="478">
        <f>'Budget Filing Data'!$W90</f>
        <v>5197.1625000000004</v>
      </c>
      <c r="AH96" s="479">
        <v>0</v>
      </c>
    </row>
    <row r="97" spans="3:34">
      <c r="C97" s="470" t="str">
        <f>'Budget Filing Data'!D91</f>
        <v>SDGE4040</v>
      </c>
      <c r="D97" s="470" t="str">
        <f>'Budget Filing Data'!E91</f>
        <v>IDSM Local Residential Behavioral Program (EE)</v>
      </c>
      <c r="E97" s="471"/>
      <c r="F97" s="480"/>
      <c r="G97" s="472" t="str">
        <f>'Budget Filing Data'!J91</f>
        <v>Third-Party Solicited</v>
      </c>
      <c r="H97" s="472" t="str">
        <f>IF('Budget Filing Data'!H91="","",'Budget Filing Data'!H91)</f>
        <v/>
      </c>
      <c r="I97" s="473" t="s">
        <v>24</v>
      </c>
      <c r="J97" s="472" t="str">
        <f>'Budget Filing Data'!G91</f>
        <v>Residential</v>
      </c>
      <c r="K97" s="472" t="str">
        <f>'Budget Filing Data'!I91</f>
        <v>Other</v>
      </c>
      <c r="L97" s="472" t="str">
        <f>'Budget Filing Data'!L91</f>
        <v>Resource Acquisition</v>
      </c>
      <c r="M97" s="472">
        <f>'Budget Filing Data'!B91</f>
        <v>2029</v>
      </c>
      <c r="N97" s="474">
        <f t="shared" si="1"/>
        <v>2900563.0984999998</v>
      </c>
      <c r="O97" s="475">
        <f>'Budget Filing Data'!AQ91</f>
        <v>368149.27999999997</v>
      </c>
      <c r="P97" s="475">
        <f>'Budget Filing Data'!AR91</f>
        <v>18014.220300000001</v>
      </c>
      <c r="Q97" s="475">
        <f>'Budget Filing Data'!AS91</f>
        <v>2514399.5981999999</v>
      </c>
      <c r="R97" s="475">
        <f>'Budget Filing Data'!AT91</f>
        <v>0</v>
      </c>
      <c r="S97" s="476">
        <f>'Budget Filing Data'!X91</f>
        <v>6526012.3277229704</v>
      </c>
      <c r="T97" s="477">
        <f>IFERROR((('Budget Filing Data'!AF91+'Budget Filing Data'!AG91+'Budget Filing Data'!AY91+'Budget Filing Data'!AH91)/'Budget Filing Data'!AA91),"")</f>
        <v>2.2499122088045023</v>
      </c>
      <c r="U97" s="477">
        <f>IFERROR((('Budget Filing Data'!AF91+'Budget Filing Data'!AG91+'Budget Filing Data'!AY91+'Budget Filing Data'!AH91)/'Budget Filing Data'!AB91),"")</f>
        <v>2.2499122088045023</v>
      </c>
      <c r="V97" s="477">
        <f>IFERROR((('Budget Filing Data'!AF91+'Budget Filing Data'!AG91+'Budget Filing Data'!AY91+'Budget Filing Data'!AH91+'Budget Filing Data'!AW91+'Budget Filing Data'!AX91)/('Budget Filing Data'!AE91)),"")</f>
        <v>0.28687838021721612</v>
      </c>
      <c r="W97" s="477">
        <f>IFERROR(('Budget Filing Data'!AI91+'Budget Filing Data'!AJ91+'Budget Filing Data'!AK91+'Budget Filing Data'!AH91)/('Budget Filing Data'!AC91),"")</f>
        <v>2.4508716561077017</v>
      </c>
      <c r="X97" s="477">
        <f>IFERROR(('Budget Filing Data'!AL91+'Budget Filing Data'!AM91+'Budget Filing Data'!AN91+'Budget Filing Data'!AH91)/('Budget Filing Data'!AD91),"")</f>
        <v>2.4529336710253871</v>
      </c>
      <c r="Y97" s="478">
        <f>'Budget Filing Data'!Q91</f>
        <v>46096340</v>
      </c>
      <c r="Z97" s="478">
        <f>'Budget Filing Data'!R91</f>
        <v>5500</v>
      </c>
      <c r="AA97" s="478">
        <f>'Budget Filing Data'!S91</f>
        <v>610014.31559999997</v>
      </c>
      <c r="AB97" s="478">
        <f>'Budget Filing Data'!AO91</f>
        <v>8227.5259882530008</v>
      </c>
      <c r="AC97" s="478">
        <f>'Budget Filing Data'!AP91</f>
        <v>3239.1760158359998</v>
      </c>
      <c r="AD97" s="478">
        <f>'Budget Filing Data'!T91</f>
        <v>46096340</v>
      </c>
      <c r="AE97" s="478">
        <f>'Budget Filing Data'!U91</f>
        <v>610014.31559999997</v>
      </c>
      <c r="AF97" s="478">
        <f>'Budget Filing Data'!$V91</f>
        <v>8227.5259882530008</v>
      </c>
      <c r="AG97" s="478">
        <f>'Budget Filing Data'!$W91</f>
        <v>3239.1760158359998</v>
      </c>
      <c r="AH97" s="479">
        <v>0</v>
      </c>
    </row>
    <row r="98" spans="3:34" hidden="1">
      <c r="C98" s="470" t="str">
        <f>'Budget Filing Data'!D92</f>
        <v>SDGE_SW_CSA_Natl</v>
      </c>
      <c r="D98" s="470" t="str">
        <f>'Budget Filing Data'!E92</f>
        <v>SW Codes &amp; Standards Advocacy - National Codes &amp; Standards Advocacy</v>
      </c>
      <c r="E98" s="471"/>
      <c r="F98" s="480"/>
      <c r="G98" s="472" t="str">
        <f>'Budget Filing Data'!J92</f>
        <v>Third-Party Solicited</v>
      </c>
      <c r="H98" s="472" t="str">
        <f>IF('Budget Filing Data'!H92="","",'Budget Filing Data'!H92)</f>
        <v>SW_CSA_Natl - Codes and Standards National Codes Advocacy</v>
      </c>
      <c r="I98" s="473" t="s">
        <v>24</v>
      </c>
      <c r="J98" s="472" t="str">
        <f>'Budget Filing Data'!G92</f>
        <v>Cross Cutting</v>
      </c>
      <c r="K98" s="472" t="str">
        <f>'Budget Filing Data'!I92</f>
        <v>Codes and Standards</v>
      </c>
      <c r="L98" s="472" t="str">
        <f>'Budget Filing Data'!L92</f>
        <v>Codes and Standards</v>
      </c>
      <c r="M98" s="472">
        <f>'Budget Filing Data'!B92</f>
        <v>2029</v>
      </c>
      <c r="N98" s="474">
        <f t="shared" si="1"/>
        <v>423899.28909999999</v>
      </c>
      <c r="O98" s="475">
        <f>'Budget Filing Data'!AQ92</f>
        <v>0</v>
      </c>
      <c r="P98" s="475">
        <f>'Budget Filing Data'!AR92</f>
        <v>0</v>
      </c>
      <c r="Q98" s="475">
        <f>'Budget Filing Data'!AS92</f>
        <v>423899.28909999999</v>
      </c>
      <c r="R98" s="475">
        <f>'Budget Filing Data'!AT92</f>
        <v>0</v>
      </c>
      <c r="S98" s="476">
        <f>'Budget Filing Data'!X92</f>
        <v>25430445.104252152</v>
      </c>
      <c r="T98" s="477">
        <f>IFERROR((('Budget Filing Data'!AF92+'Budget Filing Data'!AG92+'Budget Filing Data'!AY92+'Budget Filing Data'!AH92)/'Budget Filing Data'!AA92),"")</f>
        <v>1.635479938405209</v>
      </c>
      <c r="U98" s="477">
        <f>IFERROR((('Budget Filing Data'!AF92+'Budget Filing Data'!AG92+'Budget Filing Data'!AY92+'Budget Filing Data'!AH92)/'Budget Filing Data'!AB92),"")</f>
        <v>59.991714442939362</v>
      </c>
      <c r="V98" s="477">
        <f>IFERROR((('Budget Filing Data'!AF92+'Budget Filing Data'!AG92+'Budget Filing Data'!AY92+'Budget Filing Data'!AH92+'Budget Filing Data'!AW92+'Budget Filing Data'!AX92)/('Budget Filing Data'!AE92)),"")</f>
        <v>0.41410686007546366</v>
      </c>
      <c r="W98" s="477">
        <f>IFERROR(('Budget Filing Data'!AI92+'Budget Filing Data'!AJ92+'Budget Filing Data'!AK92+'Budget Filing Data'!AH92)/('Budget Filing Data'!AC92),"")</f>
        <v>2.3185118661659141</v>
      </c>
      <c r="X98" s="477">
        <f>IFERROR(('Budget Filing Data'!AL92+'Budget Filing Data'!AM92+'Budget Filing Data'!AN92+'Budget Filing Data'!AH92)/('Budget Filing Data'!AD92),"")</f>
        <v>2.341164648803236</v>
      </c>
      <c r="Y98" s="478">
        <f>'Budget Filing Data'!Q92</f>
        <v>25225210.197726149</v>
      </c>
      <c r="Z98" s="478">
        <f>'Budget Filing Data'!R92</f>
        <v>9870.6269276209405</v>
      </c>
      <c r="AA98" s="478">
        <f>'Budget Filing Data'!S92</f>
        <v>33652.37541943018</v>
      </c>
      <c r="AB98" s="478">
        <f>'Budget Filing Data'!AO92</f>
        <v>4828.734242157585</v>
      </c>
      <c r="AC98" s="478">
        <f>'Budget Filing Data'!AP92</f>
        <v>178.69411347717519</v>
      </c>
      <c r="AD98" s="478">
        <f>'Budget Filing Data'!T92</f>
        <v>373787422.11854148</v>
      </c>
      <c r="AE98" s="478">
        <f>'Budget Filing Data'!U92</f>
        <v>913667.90544168942</v>
      </c>
      <c r="AF98" s="478">
        <f>'Budget Filing Data'!$V92</f>
        <v>71415.416597401505</v>
      </c>
      <c r="AG98" s="478">
        <f>'Budget Filing Data'!$W92</f>
        <v>4851.5765778953428</v>
      </c>
      <c r="AH98" s="479">
        <v>0</v>
      </c>
    </row>
    <row r="99" spans="3:34" hidden="1">
      <c r="C99" s="470" t="str">
        <f>'Budget Filing Data'!D93</f>
        <v>SDGE_SW_CSA_Natl_PA</v>
      </c>
      <c r="D99" s="470" t="str">
        <f>'Budget Filing Data'!E93</f>
        <v>SW Codes &amp; Standards Advocacy - National Codes &amp; Standards Advocacy (Utility)</v>
      </c>
      <c r="E99" s="471"/>
      <c r="F99" s="480"/>
      <c r="G99" s="472" t="str">
        <f>'Budget Filing Data'!J93</f>
        <v>IOU Core</v>
      </c>
      <c r="H99" s="472" t="str">
        <f>IF('Budget Filing Data'!H93="","",'Budget Filing Data'!H93)</f>
        <v>SW_CSA_Natl - Codes and Standards National Codes Advocacy</v>
      </c>
      <c r="I99" s="473" t="s">
        <v>24</v>
      </c>
      <c r="J99" s="472" t="str">
        <f>'Budget Filing Data'!G93</f>
        <v>Cross Cutting</v>
      </c>
      <c r="K99" s="472" t="str">
        <f>'Budget Filing Data'!I93</f>
        <v>Codes and Standards</v>
      </c>
      <c r="L99" s="472" t="str">
        <f>'Budget Filing Data'!L93</f>
        <v>Codes and Standards</v>
      </c>
      <c r="M99" s="472">
        <f>'Budget Filing Data'!B93</f>
        <v>2029</v>
      </c>
      <c r="N99" s="474">
        <f t="shared" si="1"/>
        <v>61722.652900000001</v>
      </c>
      <c r="O99" s="475">
        <f>'Budget Filing Data'!AQ93</f>
        <v>14332.4784</v>
      </c>
      <c r="P99" s="475">
        <f>'Budget Filing Data'!AR93</f>
        <v>0</v>
      </c>
      <c r="Q99" s="475">
        <f>'Budget Filing Data'!AS93</f>
        <v>47390.174500000001</v>
      </c>
      <c r="R99" s="475">
        <f>'Budget Filing Data'!AT93</f>
        <v>0</v>
      </c>
      <c r="S99" s="476">
        <f>'Budget Filing Data'!X93</f>
        <v>0</v>
      </c>
      <c r="T99" s="477">
        <f>IFERROR((('Budget Filing Data'!AF93+'Budget Filing Data'!AG93+'Budget Filing Data'!AY93+'Budget Filing Data'!AH93)/'Budget Filing Data'!AA93),"")</f>
        <v>0</v>
      </c>
      <c r="U99" s="477">
        <f>IFERROR((('Budget Filing Data'!AF93+'Budget Filing Data'!AG93+'Budget Filing Data'!AY93+'Budget Filing Data'!AH93)/'Budget Filing Data'!AB93),"")</f>
        <v>0</v>
      </c>
      <c r="V99" s="477">
        <f>IFERROR((('Budget Filing Data'!AF93+'Budget Filing Data'!AG93+'Budget Filing Data'!AY93+'Budget Filing Data'!AH93+'Budget Filing Data'!AW93+'Budget Filing Data'!AX93)/('Budget Filing Data'!AE93)),"")</f>
        <v>0</v>
      </c>
      <c r="W99" s="477">
        <f>IFERROR(('Budget Filing Data'!AI93+'Budget Filing Data'!AJ93+'Budget Filing Data'!AK93+'Budget Filing Data'!AH93)/('Budget Filing Data'!AC93),"")</f>
        <v>0</v>
      </c>
      <c r="X99" s="477">
        <f>IFERROR(('Budget Filing Data'!AL93+'Budget Filing Data'!AM93+'Budget Filing Data'!AN93+'Budget Filing Data'!AH93)/('Budget Filing Data'!AD93),"")</f>
        <v>0</v>
      </c>
      <c r="Y99" s="478">
        <f>'Budget Filing Data'!Q93</f>
        <v>0</v>
      </c>
      <c r="Z99" s="478">
        <f>'Budget Filing Data'!R93</f>
        <v>0</v>
      </c>
      <c r="AA99" s="478">
        <f>'Budget Filing Data'!S93</f>
        <v>0</v>
      </c>
      <c r="AB99" s="478">
        <f>'Budget Filing Data'!AO93</f>
        <v>0</v>
      </c>
      <c r="AC99" s="478">
        <f>'Budget Filing Data'!AP93</f>
        <v>0</v>
      </c>
      <c r="AD99" s="478">
        <f>'Budget Filing Data'!T93</f>
        <v>0</v>
      </c>
      <c r="AE99" s="478">
        <f>'Budget Filing Data'!U93</f>
        <v>0</v>
      </c>
      <c r="AF99" s="478">
        <f>'Budget Filing Data'!$V93</f>
        <v>0</v>
      </c>
      <c r="AG99" s="478">
        <f>'Budget Filing Data'!$W93</f>
        <v>0</v>
      </c>
      <c r="AH99" s="479">
        <v>0</v>
      </c>
    </row>
    <row r="100" spans="3:34" hidden="1">
      <c r="C100" s="470" t="str">
        <f>'Budget Filing Data'!D94</f>
        <v>SDGE_SW_CSA_Appl</v>
      </c>
      <c r="D100" s="470" t="str">
        <f>'Budget Filing Data'!E94</f>
        <v>SW Codes &amp; Standards Advocacy - State Appliance Standards</v>
      </c>
      <c r="E100" s="471" t="s">
        <v>42</v>
      </c>
      <c r="F100" s="471" t="s">
        <v>323</v>
      </c>
      <c r="G100" s="472" t="str">
        <f>'Budget Filing Data'!J94</f>
        <v>Third-Party Solicited</v>
      </c>
      <c r="H100" s="472" t="str">
        <f>IF('Budget Filing Data'!H94="","",'Budget Filing Data'!H94)</f>
        <v>SW_CSA_Appl - Codes and Standards Appliance Advocacy</v>
      </c>
      <c r="I100" s="473" t="s">
        <v>24</v>
      </c>
      <c r="J100" s="472" t="str">
        <f>'Budget Filing Data'!G94</f>
        <v>Cross Cutting</v>
      </c>
      <c r="K100" s="472" t="str">
        <f>'Budget Filing Data'!I94</f>
        <v>Codes and Standards</v>
      </c>
      <c r="L100" s="472" t="str">
        <f>'Budget Filing Data'!L94</f>
        <v>Codes and Standards</v>
      </c>
      <c r="M100" s="472">
        <f>'Budget Filing Data'!B94</f>
        <v>2029</v>
      </c>
      <c r="N100" s="474">
        <f t="shared" si="1"/>
        <v>333070.63510000001</v>
      </c>
      <c r="O100" s="475">
        <f>'Budget Filing Data'!AQ94</f>
        <v>0</v>
      </c>
      <c r="P100" s="475">
        <f>'Budget Filing Data'!AR94</f>
        <v>0</v>
      </c>
      <c r="Q100" s="475">
        <f>'Budget Filing Data'!AS94</f>
        <v>333070.63510000001</v>
      </c>
      <c r="R100" s="475">
        <f>'Budget Filing Data'!AT94</f>
        <v>0</v>
      </c>
      <c r="S100" s="476">
        <f>'Budget Filing Data'!X94</f>
        <v>12086942.058197586</v>
      </c>
      <c r="T100" s="477">
        <f>IFERROR((('Budget Filing Data'!AF94+'Budget Filing Data'!AG94+'Budget Filing Data'!AY94+'Budget Filing Data'!AH94)/'Budget Filing Data'!AA94),"")</f>
        <v>5.2741398935832304</v>
      </c>
      <c r="U100" s="477">
        <f>IFERROR((('Budget Filing Data'!AF94+'Budget Filing Data'!AG94+'Budget Filing Data'!AY94+'Budget Filing Data'!AH94)/'Budget Filing Data'!AB94),"")</f>
        <v>36.289425678636199</v>
      </c>
      <c r="V100" s="477">
        <f>IFERROR((('Budget Filing Data'!AF94+'Budget Filing Data'!AG94+'Budget Filing Data'!AY94+'Budget Filing Data'!AH94+'Budget Filing Data'!AW94+'Budget Filing Data'!AX94)/('Budget Filing Data'!AE94)),"")</f>
        <v>0.36449635452552631</v>
      </c>
      <c r="W100" s="477">
        <f>IFERROR(('Budget Filing Data'!AI94+'Budget Filing Data'!AJ94+'Budget Filing Data'!AK94+'Budget Filing Data'!AH94)/('Budget Filing Data'!AC94),"")</f>
        <v>7.3102733732657548</v>
      </c>
      <c r="X100" s="477">
        <f>IFERROR(('Budget Filing Data'!AL94+'Budget Filing Data'!AM94+'Budget Filing Data'!AN94+'Budget Filing Data'!AH94)/('Budget Filing Data'!AD94),"")</f>
        <v>7.3864035951044684</v>
      </c>
      <c r="Y100" s="478">
        <f>'Budget Filing Data'!Q94</f>
        <v>12505203.866624566</v>
      </c>
      <c r="Z100" s="478">
        <f>'Budget Filing Data'!R94</f>
        <v>1553.5429999881769</v>
      </c>
      <c r="AA100" s="478">
        <f>'Budget Filing Data'!S94</f>
        <v>41112.730369596757</v>
      </c>
      <c r="AB100" s="478">
        <f>'Budget Filing Data'!AO94</f>
        <v>2448.5729683974482</v>
      </c>
      <c r="AC100" s="478">
        <f>'Budget Filing Data'!AP94</f>
        <v>218.308598262559</v>
      </c>
      <c r="AD100" s="478">
        <f>'Budget Filing Data'!T94</f>
        <v>159338416.57700032</v>
      </c>
      <c r="AE100" s="478">
        <f>'Budget Filing Data'!U94</f>
        <v>489318.79802324396</v>
      </c>
      <c r="AF100" s="478">
        <f>'Budget Filing Data'!$V94</f>
        <v>32207.391641332022</v>
      </c>
      <c r="AG100" s="478">
        <f>'Budget Filing Data'!$W94</f>
        <v>2598.2828175034238</v>
      </c>
      <c r="AH100" s="479">
        <v>0</v>
      </c>
    </row>
    <row r="101" spans="3:34" hidden="1">
      <c r="C101" s="470" t="str">
        <f>'Budget Filing Data'!D95</f>
        <v>SDGE_SW_CSA_Appl_PA</v>
      </c>
      <c r="D101" s="470" t="str">
        <f>'Budget Filing Data'!E95</f>
        <v>SW Codes &amp; Standards Advocacy - State Appliance Standards (Utility)</v>
      </c>
      <c r="E101" s="471"/>
      <c r="F101" s="480"/>
      <c r="G101" s="472" t="str">
        <f>'Budget Filing Data'!J95</f>
        <v>IOU Core</v>
      </c>
      <c r="H101" s="472" t="str">
        <f>IF('Budget Filing Data'!H95="","",'Budget Filing Data'!H95)</f>
        <v>SW_CSA_Appl - Codes and Standards Appliance Advocacy</v>
      </c>
      <c r="I101" s="473" t="s">
        <v>24</v>
      </c>
      <c r="J101" s="472" t="str">
        <f>'Budget Filing Data'!G95</f>
        <v>Cross Cutting</v>
      </c>
      <c r="K101" s="472" t="str">
        <f>'Budget Filing Data'!I95</f>
        <v>Codes and Standards</v>
      </c>
      <c r="L101" s="472" t="str">
        <f>'Budget Filing Data'!L95</f>
        <v>Codes and Standards</v>
      </c>
      <c r="M101" s="472">
        <f>'Budget Filing Data'!B95</f>
        <v>2029</v>
      </c>
      <c r="N101" s="474">
        <f t="shared" si="1"/>
        <v>63238.108399999997</v>
      </c>
      <c r="O101" s="475">
        <f>'Budget Filing Data'!AQ95</f>
        <v>13892.140100000001</v>
      </c>
      <c r="P101" s="475">
        <f>'Budget Filing Data'!AR95</f>
        <v>0</v>
      </c>
      <c r="Q101" s="475">
        <f>'Budget Filing Data'!AS95</f>
        <v>49345.9683</v>
      </c>
      <c r="R101" s="475">
        <f>'Budget Filing Data'!AT95</f>
        <v>0</v>
      </c>
      <c r="S101" s="476">
        <f>'Budget Filing Data'!X95</f>
        <v>0</v>
      </c>
      <c r="T101" s="477">
        <f>IFERROR((('Budget Filing Data'!AF95+'Budget Filing Data'!AG95+'Budget Filing Data'!AY95+'Budget Filing Data'!AH95)/'Budget Filing Data'!AA95),"")</f>
        <v>0</v>
      </c>
      <c r="U101" s="477">
        <f>IFERROR((('Budget Filing Data'!AF95+'Budget Filing Data'!AG95+'Budget Filing Data'!AY95+'Budget Filing Data'!AH95)/'Budget Filing Data'!AB95),"")</f>
        <v>0</v>
      </c>
      <c r="V101" s="477">
        <f>IFERROR((('Budget Filing Data'!AF95+'Budget Filing Data'!AG95+'Budget Filing Data'!AY95+'Budget Filing Data'!AH95+'Budget Filing Data'!AW95+'Budget Filing Data'!AX95)/('Budget Filing Data'!AE95)),"")</f>
        <v>0</v>
      </c>
      <c r="W101" s="477">
        <f>IFERROR(('Budget Filing Data'!AI95+'Budget Filing Data'!AJ95+'Budget Filing Data'!AK95+'Budget Filing Data'!AH95)/('Budget Filing Data'!AC95),"")</f>
        <v>0</v>
      </c>
      <c r="X101" s="477">
        <f>IFERROR(('Budget Filing Data'!AL95+'Budget Filing Data'!AM95+'Budget Filing Data'!AN95+'Budget Filing Data'!AH95)/('Budget Filing Data'!AD95),"")</f>
        <v>0</v>
      </c>
      <c r="Y101" s="478">
        <f>'Budget Filing Data'!Q95</f>
        <v>0</v>
      </c>
      <c r="Z101" s="478">
        <f>'Budget Filing Data'!R95</f>
        <v>0</v>
      </c>
      <c r="AA101" s="478">
        <f>'Budget Filing Data'!S95</f>
        <v>0</v>
      </c>
      <c r="AB101" s="478">
        <f>'Budget Filing Data'!AO95</f>
        <v>0</v>
      </c>
      <c r="AC101" s="478">
        <f>'Budget Filing Data'!AP95</f>
        <v>0</v>
      </c>
      <c r="AD101" s="478">
        <f>'Budget Filing Data'!T95</f>
        <v>0</v>
      </c>
      <c r="AE101" s="478">
        <f>'Budget Filing Data'!U95</f>
        <v>0</v>
      </c>
      <c r="AF101" s="478">
        <f>'Budget Filing Data'!$V95</f>
        <v>0</v>
      </c>
      <c r="AG101" s="478">
        <f>'Budget Filing Data'!$W95</f>
        <v>0</v>
      </c>
      <c r="AH101" s="479">
        <v>0</v>
      </c>
    </row>
    <row r="102" spans="3:34" hidden="1">
      <c r="C102" s="470" t="str">
        <f>'Budget Filing Data'!D96</f>
        <v>SDGE_SW_CSA_Bldg</v>
      </c>
      <c r="D102" s="470" t="str">
        <f>'Budget Filing Data'!E96</f>
        <v>SW Codes &amp; Standards Advocacy - State Building Codes</v>
      </c>
      <c r="E102" s="471"/>
      <c r="F102" s="480"/>
      <c r="G102" s="472" t="str">
        <f>'Budget Filing Data'!J96</f>
        <v>Third-Party Solicited</v>
      </c>
      <c r="H102" s="472" t="str">
        <f>IF('Budget Filing Data'!H96="","",'Budget Filing Data'!H96)</f>
        <v>SW_CSA_Bldg - Codes and Standards Building Codes Advocacy</v>
      </c>
      <c r="I102" s="473" t="s">
        <v>24</v>
      </c>
      <c r="J102" s="472" t="str">
        <f>'Budget Filing Data'!G96</f>
        <v>Cross Cutting</v>
      </c>
      <c r="K102" s="472" t="str">
        <f>'Budget Filing Data'!I96</f>
        <v>Codes and Standards</v>
      </c>
      <c r="L102" s="472" t="str">
        <f>'Budget Filing Data'!L96</f>
        <v>Codes and Standards</v>
      </c>
      <c r="M102" s="472">
        <f>'Budget Filing Data'!B96</f>
        <v>2029</v>
      </c>
      <c r="N102" s="474">
        <f t="shared" si="1"/>
        <v>699685.34719999996</v>
      </c>
      <c r="O102" s="475">
        <f>'Budget Filing Data'!AQ96</f>
        <v>0</v>
      </c>
      <c r="P102" s="475">
        <f>'Budget Filing Data'!AR96</f>
        <v>0</v>
      </c>
      <c r="Q102" s="475">
        <f>'Budget Filing Data'!AS96</f>
        <v>699685.34719999996</v>
      </c>
      <c r="R102" s="475">
        <f>'Budget Filing Data'!AT96</f>
        <v>0</v>
      </c>
      <c r="S102" s="476">
        <f>'Budget Filing Data'!X96</f>
        <v>140261406.48294988</v>
      </c>
      <c r="T102" s="477">
        <f>IFERROR((('Budget Filing Data'!AF96+'Budget Filing Data'!AG96+'Budget Filing Data'!AY96+'Budget Filing Data'!AH96)/'Budget Filing Data'!AA96),"")</f>
        <v>1.6431734469470443</v>
      </c>
      <c r="U102" s="477">
        <f>IFERROR((('Budget Filing Data'!AF96+'Budget Filing Data'!AG96+'Budget Filing Data'!AY96+'Budget Filing Data'!AH96)/'Budget Filing Data'!AB96),"")</f>
        <v>200.46354699901627</v>
      </c>
      <c r="V102" s="477">
        <f>IFERROR((('Budget Filing Data'!AF96+'Budget Filing Data'!AG96+'Budget Filing Data'!AY96+'Budget Filing Data'!AH96+'Budget Filing Data'!AW96+'Budget Filing Data'!AX96)/('Budget Filing Data'!AE96)),"")</f>
        <v>0.55470145625241929</v>
      </c>
      <c r="W102" s="477">
        <f>IFERROR(('Budget Filing Data'!AI96+'Budget Filing Data'!AJ96+'Budget Filing Data'!AK96+'Budget Filing Data'!AH96)/('Budget Filing Data'!AC96),"")</f>
        <v>2.410720061264144</v>
      </c>
      <c r="X102" s="477">
        <f>IFERROR(('Budget Filing Data'!AL96+'Budget Filing Data'!AM96+'Budget Filing Data'!AN96+'Budget Filing Data'!AH96)/('Budget Filing Data'!AD96),"")</f>
        <v>2.4225864467899121</v>
      </c>
      <c r="Y102" s="478">
        <f>'Budget Filing Data'!Q96</f>
        <v>78112614.442610472</v>
      </c>
      <c r="Z102" s="478">
        <f>'Budget Filing Data'!R96</f>
        <v>14665.949618705105</v>
      </c>
      <c r="AA102" s="478">
        <f>'Budget Filing Data'!S96</f>
        <v>1475018.4534409707</v>
      </c>
      <c r="AB102" s="478">
        <f>'Budget Filing Data'!AO96</f>
        <v>12916.752926335537</v>
      </c>
      <c r="AC102" s="478">
        <f>'Budget Filing Data'!AP96</f>
        <v>7832.3479877715499</v>
      </c>
      <c r="AD102" s="478">
        <f>'Budget Filing Data'!T96</f>
        <v>1174782580.3095164</v>
      </c>
      <c r="AE102" s="478">
        <f>'Budget Filing Data'!U96</f>
        <v>22938769.825318642</v>
      </c>
      <c r="AF102" s="478">
        <f>'Budget Filing Data'!$V96</f>
        <v>190191.20057553891</v>
      </c>
      <c r="AG102" s="478">
        <f>'Budget Filing Data'!$W96</f>
        <v>121804.86777244187</v>
      </c>
      <c r="AH102" s="479">
        <v>0</v>
      </c>
    </row>
    <row r="103" spans="3:34" hidden="1">
      <c r="C103" s="470" t="str">
        <f>'Budget Filing Data'!D97</f>
        <v>SDGE_SW_CSA_Bldg_PA</v>
      </c>
      <c r="D103" s="470" t="str">
        <f>'Budget Filing Data'!E97</f>
        <v>SW Codes &amp; Standards Advocacy - State Building Codes (Utility)</v>
      </c>
      <c r="E103" s="471"/>
      <c r="F103" s="480"/>
      <c r="G103" s="472" t="str">
        <f>'Budget Filing Data'!J97</f>
        <v>IOU Core</v>
      </c>
      <c r="H103" s="472" t="str">
        <f>IF('Budget Filing Data'!H97="","",'Budget Filing Data'!H97)</f>
        <v>SW_CSA_Bldg - Codes and Standards Building Codes Advocacy</v>
      </c>
      <c r="I103" s="473" t="s">
        <v>24</v>
      </c>
      <c r="J103" s="472" t="str">
        <f>'Budget Filing Data'!G97</f>
        <v>Cross Cutting</v>
      </c>
      <c r="K103" s="472" t="str">
        <f>'Budget Filing Data'!I97</f>
        <v>Codes and Standards</v>
      </c>
      <c r="L103" s="472" t="str">
        <f>'Budget Filing Data'!L97</f>
        <v>Codes and Standards</v>
      </c>
      <c r="M103" s="472">
        <f>'Budget Filing Data'!B97</f>
        <v>2029</v>
      </c>
      <c r="N103" s="474">
        <f t="shared" si="1"/>
        <v>79349.012000000002</v>
      </c>
      <c r="O103" s="475">
        <f>'Budget Filing Data'!AQ97</f>
        <v>16914.216</v>
      </c>
      <c r="P103" s="475">
        <f>'Budget Filing Data'!AR97</f>
        <v>0</v>
      </c>
      <c r="Q103" s="475">
        <f>'Budget Filing Data'!AS97</f>
        <v>62434.796000000002</v>
      </c>
      <c r="R103" s="475">
        <f>'Budget Filing Data'!AT97</f>
        <v>0</v>
      </c>
      <c r="S103" s="476">
        <f>'Budget Filing Data'!X97</f>
        <v>0</v>
      </c>
      <c r="T103" s="477">
        <f>IFERROR((('Budget Filing Data'!AF97+'Budget Filing Data'!AG97+'Budget Filing Data'!AY97+'Budget Filing Data'!AH97)/'Budget Filing Data'!AA97),"")</f>
        <v>0</v>
      </c>
      <c r="U103" s="477">
        <f>IFERROR((('Budget Filing Data'!AF97+'Budget Filing Data'!AG97+'Budget Filing Data'!AY97+'Budget Filing Data'!AH97)/'Budget Filing Data'!AB97),"")</f>
        <v>0</v>
      </c>
      <c r="V103" s="477">
        <f>IFERROR((('Budget Filing Data'!AF97+'Budget Filing Data'!AG97+'Budget Filing Data'!AY97+'Budget Filing Data'!AH97+'Budget Filing Data'!AW97+'Budget Filing Data'!AX97)/('Budget Filing Data'!AE97)),"")</f>
        <v>0</v>
      </c>
      <c r="W103" s="477">
        <f>IFERROR(('Budget Filing Data'!AI97+'Budget Filing Data'!AJ97+'Budget Filing Data'!AK97+'Budget Filing Data'!AH97)/('Budget Filing Data'!AC97),"")</f>
        <v>0</v>
      </c>
      <c r="X103" s="477">
        <f>IFERROR(('Budget Filing Data'!AL97+'Budget Filing Data'!AM97+'Budget Filing Data'!AN97+'Budget Filing Data'!AH97)/('Budget Filing Data'!AD97),"")</f>
        <v>0</v>
      </c>
      <c r="Y103" s="478">
        <f>'Budget Filing Data'!Q97</f>
        <v>0</v>
      </c>
      <c r="Z103" s="478">
        <f>'Budget Filing Data'!R97</f>
        <v>0</v>
      </c>
      <c r="AA103" s="478">
        <f>'Budget Filing Data'!S97</f>
        <v>0</v>
      </c>
      <c r="AB103" s="478">
        <f>'Budget Filing Data'!AO97</f>
        <v>0</v>
      </c>
      <c r="AC103" s="478">
        <f>'Budget Filing Data'!AP97</f>
        <v>0</v>
      </c>
      <c r="AD103" s="478">
        <f>'Budget Filing Data'!T97</f>
        <v>0</v>
      </c>
      <c r="AE103" s="478">
        <f>'Budget Filing Data'!U97</f>
        <v>0</v>
      </c>
      <c r="AF103" s="478">
        <f>'Budget Filing Data'!$V97</f>
        <v>0</v>
      </c>
      <c r="AG103" s="478">
        <f>'Budget Filing Data'!$W97</f>
        <v>0</v>
      </c>
      <c r="AH103" s="479">
        <v>0</v>
      </c>
    </row>
    <row r="104" spans="3:34" hidden="1">
      <c r="C104" s="470" t="str">
        <f>'Budget Filing Data'!D98</f>
        <v>SDGE_SW_ETP_Elec</v>
      </c>
      <c r="D104" s="470" t="str">
        <f>'Budget Filing Data'!E98</f>
        <v>SW Emerging Technologies - Electric</v>
      </c>
      <c r="E104" s="471"/>
      <c r="F104" s="471"/>
      <c r="G104" s="472" t="str">
        <f>'Budget Filing Data'!J98</f>
        <v>Third-Party Solicited</v>
      </c>
      <c r="H104" s="472" t="str">
        <f>IF('Budget Filing Data'!H98="","",'Budget Filing Data'!H98)</f>
        <v>SW_ETP_Elec - Emerging Technology Programs - Electric</v>
      </c>
      <c r="I104" s="473" t="s">
        <v>15</v>
      </c>
      <c r="J104" s="472" t="str">
        <f>'Budget Filing Data'!G98</f>
        <v>Cross Cutting</v>
      </c>
      <c r="K104" s="472" t="str">
        <f>'Budget Filing Data'!I98</f>
        <v>Emerging Technologies</v>
      </c>
      <c r="L104" s="472" t="str">
        <f>'Budget Filing Data'!L98</f>
        <v>Market Support</v>
      </c>
      <c r="M104" s="472">
        <f>'Budget Filing Data'!B98</f>
        <v>2029</v>
      </c>
      <c r="N104" s="474">
        <f t="shared" si="1"/>
        <v>1547000</v>
      </c>
      <c r="O104" s="475">
        <f>'Budget Filing Data'!AQ98</f>
        <v>0</v>
      </c>
      <c r="P104" s="475">
        <f>'Budget Filing Data'!AR98</f>
        <v>0</v>
      </c>
      <c r="Q104" s="475">
        <f>'Budget Filing Data'!AS98</f>
        <v>1547000</v>
      </c>
      <c r="R104" s="475">
        <f>'Budget Filing Data'!AT98</f>
        <v>0</v>
      </c>
      <c r="S104" s="476">
        <f>'Budget Filing Data'!X98</f>
        <v>0</v>
      </c>
      <c r="T104" s="477">
        <f>IFERROR((('Budget Filing Data'!AF98+'Budget Filing Data'!AG98+'Budget Filing Data'!AY98+'Budget Filing Data'!AH98)/'Budget Filing Data'!AA98),"")</f>
        <v>0</v>
      </c>
      <c r="U104" s="477">
        <f>IFERROR((('Budget Filing Data'!AF98+'Budget Filing Data'!AG98+'Budget Filing Data'!AY98+'Budget Filing Data'!AH98)/'Budget Filing Data'!AB98),"")</f>
        <v>0</v>
      </c>
      <c r="V104" s="477">
        <f>IFERROR((('Budget Filing Data'!AF98+'Budget Filing Data'!AG98+'Budget Filing Data'!AY98+'Budget Filing Data'!AH98+'Budget Filing Data'!AW98+'Budget Filing Data'!AX98)/('Budget Filing Data'!AE98)),"")</f>
        <v>0</v>
      </c>
      <c r="W104" s="477">
        <f>IFERROR(('Budget Filing Data'!AI98+'Budget Filing Data'!AJ98+'Budget Filing Data'!AK98+'Budget Filing Data'!AH98)/('Budget Filing Data'!AC98),"")</f>
        <v>0</v>
      </c>
      <c r="X104" s="477">
        <f>IFERROR(('Budget Filing Data'!AL98+'Budget Filing Data'!AM98+'Budget Filing Data'!AN98+'Budget Filing Data'!AH98)/('Budget Filing Data'!AD98),"")</f>
        <v>0</v>
      </c>
      <c r="Y104" s="478">
        <f>'Budget Filing Data'!Q98</f>
        <v>0</v>
      </c>
      <c r="Z104" s="478">
        <f>'Budget Filing Data'!R98</f>
        <v>0</v>
      </c>
      <c r="AA104" s="478">
        <f>'Budget Filing Data'!S98</f>
        <v>0</v>
      </c>
      <c r="AB104" s="478">
        <f>'Budget Filing Data'!AO98</f>
        <v>0</v>
      </c>
      <c r="AC104" s="478">
        <f>'Budget Filing Data'!AP98</f>
        <v>0</v>
      </c>
      <c r="AD104" s="478">
        <f>'Budget Filing Data'!T98</f>
        <v>0</v>
      </c>
      <c r="AE104" s="478">
        <f>'Budget Filing Data'!U98</f>
        <v>0</v>
      </c>
      <c r="AF104" s="478">
        <f>'Budget Filing Data'!$V98</f>
        <v>0</v>
      </c>
      <c r="AG104" s="478">
        <f>'Budget Filing Data'!$W98</f>
        <v>0</v>
      </c>
      <c r="AH104" s="479">
        <v>0</v>
      </c>
    </row>
    <row r="105" spans="3:34" hidden="1">
      <c r="C105" s="470" t="str">
        <f>'Budget Filing Data'!D99</f>
        <v>SDGE_SW_ETP_Elec_PA</v>
      </c>
      <c r="D105" s="470" t="str">
        <f>'Budget Filing Data'!E99</f>
        <v>SW Emerging Technologies - Electric (Utility)</v>
      </c>
      <c r="E105" s="471" t="s">
        <v>37</v>
      </c>
      <c r="F105" s="471" t="s">
        <v>324</v>
      </c>
      <c r="G105" s="472" t="str">
        <f>'Budget Filing Data'!J99</f>
        <v>IOU Core</v>
      </c>
      <c r="H105" s="472" t="str">
        <f>IF('Budget Filing Data'!H99="","",'Budget Filing Data'!H99)</f>
        <v>SW_ETP_Elec - Emerging Technology Programs - Electric</v>
      </c>
      <c r="I105" s="473" t="s">
        <v>15</v>
      </c>
      <c r="J105" s="472" t="str">
        <f>'Budget Filing Data'!G99</f>
        <v>Cross Cutting</v>
      </c>
      <c r="K105" s="472" t="str">
        <f>'Budget Filing Data'!I99</f>
        <v>Emerging Technologies</v>
      </c>
      <c r="L105" s="472" t="str">
        <f>'Budget Filing Data'!L99</f>
        <v>Market Support</v>
      </c>
      <c r="M105" s="472">
        <f>'Budget Filing Data'!B99</f>
        <v>2029</v>
      </c>
      <c r="N105" s="474">
        <f t="shared" si="1"/>
        <v>101271.64969999999</v>
      </c>
      <c r="O105" s="475">
        <f>'Budget Filing Data'!AQ99</f>
        <v>24244.749100000001</v>
      </c>
      <c r="P105" s="475">
        <f>'Budget Filing Data'!AR99</f>
        <v>0</v>
      </c>
      <c r="Q105" s="475">
        <f>'Budget Filing Data'!AS99</f>
        <v>77026.900599999994</v>
      </c>
      <c r="R105" s="475">
        <f>'Budget Filing Data'!AT99</f>
        <v>0</v>
      </c>
      <c r="S105" s="476">
        <f>'Budget Filing Data'!X99</f>
        <v>0</v>
      </c>
      <c r="T105" s="477">
        <f>IFERROR((('Budget Filing Data'!AF99+'Budget Filing Data'!AG99+'Budget Filing Data'!AY99+'Budget Filing Data'!AH99)/'Budget Filing Data'!AA99),"")</f>
        <v>0</v>
      </c>
      <c r="U105" s="477">
        <f>IFERROR((('Budget Filing Data'!AF99+'Budget Filing Data'!AG99+'Budget Filing Data'!AY99+'Budget Filing Data'!AH99)/'Budget Filing Data'!AB99),"")</f>
        <v>0</v>
      </c>
      <c r="V105" s="477">
        <f>IFERROR((('Budget Filing Data'!AF99+'Budget Filing Data'!AG99+'Budget Filing Data'!AY99+'Budget Filing Data'!AH99+'Budget Filing Data'!AW99+'Budget Filing Data'!AX99)/('Budget Filing Data'!AE99)),"")</f>
        <v>0</v>
      </c>
      <c r="W105" s="477">
        <f>IFERROR(('Budget Filing Data'!AI99+'Budget Filing Data'!AJ99+'Budget Filing Data'!AK99+'Budget Filing Data'!AH99)/('Budget Filing Data'!AC99),"")</f>
        <v>0</v>
      </c>
      <c r="X105" s="477">
        <f>IFERROR(('Budget Filing Data'!AL99+'Budget Filing Data'!AM99+'Budget Filing Data'!AN99+'Budget Filing Data'!AH99)/('Budget Filing Data'!AD99),"")</f>
        <v>0</v>
      </c>
      <c r="Y105" s="478">
        <f>'Budget Filing Data'!Q99</f>
        <v>0</v>
      </c>
      <c r="Z105" s="478">
        <f>'Budget Filing Data'!R99</f>
        <v>0</v>
      </c>
      <c r="AA105" s="478">
        <f>'Budget Filing Data'!S99</f>
        <v>0</v>
      </c>
      <c r="AB105" s="478">
        <f>'Budget Filing Data'!AO99</f>
        <v>0</v>
      </c>
      <c r="AC105" s="478">
        <f>'Budget Filing Data'!AP99</f>
        <v>0</v>
      </c>
      <c r="AD105" s="478">
        <f>'Budget Filing Data'!T99</f>
        <v>0</v>
      </c>
      <c r="AE105" s="478">
        <f>'Budget Filing Data'!U99</f>
        <v>0</v>
      </c>
      <c r="AF105" s="478">
        <f>'Budget Filing Data'!$V99</f>
        <v>0</v>
      </c>
      <c r="AG105" s="478">
        <f>'Budget Filing Data'!$W99</f>
        <v>0</v>
      </c>
      <c r="AH105" s="479">
        <v>0</v>
      </c>
    </row>
    <row r="106" spans="3:34" hidden="1">
      <c r="C106" s="470" t="str">
        <f>'Budget Filing Data'!D100</f>
        <v>SDGE_SW_IP_Gov</v>
      </c>
      <c r="D106" s="470" t="str">
        <f>'Budget Filing Data'!E100</f>
        <v>SW Institutional Partnerships: DGS &amp; DoC</v>
      </c>
      <c r="E106" s="471"/>
      <c r="F106" s="480"/>
      <c r="G106" s="472" t="str">
        <f>'Budget Filing Data'!J100</f>
        <v>Third-Party Solicited</v>
      </c>
      <c r="H106" s="472" t="str">
        <f>IF('Budget Filing Data'!H100="","",'Budget Filing Data'!H100)</f>
        <v>SW_IP_Gov - Institutional Partnerships - Government</v>
      </c>
      <c r="I106" s="473" t="s">
        <v>24</v>
      </c>
      <c r="J106" s="472" t="str">
        <f>'Budget Filing Data'!G100</f>
        <v>Public</v>
      </c>
      <c r="K106" s="472" t="str">
        <f>'Budget Filing Data'!I100</f>
        <v>Government Partnerships</v>
      </c>
      <c r="L106" s="472" t="str">
        <f>'Budget Filing Data'!L100</f>
        <v>Resource Acquisition</v>
      </c>
      <c r="M106" s="472">
        <f>'Budget Filing Data'!B100</f>
        <v>2029</v>
      </c>
      <c r="N106" s="474">
        <f t="shared" si="1"/>
        <v>230942.56013499998</v>
      </c>
      <c r="O106" s="475">
        <f>'Budget Filing Data'!AQ100</f>
        <v>9523.2000000000007</v>
      </c>
      <c r="P106" s="475">
        <f>'Budget Filing Data'!AR100</f>
        <v>496</v>
      </c>
      <c r="Q106" s="475">
        <f>'Budget Filing Data'!AS100</f>
        <v>94754.1486</v>
      </c>
      <c r="R106" s="475">
        <f>'Budget Filing Data'!AT100</f>
        <v>126169.21153499999</v>
      </c>
      <c r="S106" s="476">
        <f>'Budget Filing Data'!X100</f>
        <v>286882.21087151073</v>
      </c>
      <c r="T106" s="477">
        <f>IFERROR((('Budget Filing Data'!AF100+'Budget Filing Data'!AG100+'Budget Filing Data'!AY100+'Budget Filing Data'!AH100)/'Budget Filing Data'!AA100),"")</f>
        <v>0.7247251835049402</v>
      </c>
      <c r="U106" s="477">
        <f>IFERROR((('Budget Filing Data'!AF100+'Budget Filing Data'!AG100+'Budget Filing Data'!AY100+'Budget Filing Data'!AH100)/'Budget Filing Data'!AB100),"")</f>
        <v>1.2361043753177836</v>
      </c>
      <c r="V106" s="477">
        <f>IFERROR((('Budget Filing Data'!AF100+'Budget Filing Data'!AG100+'Budget Filing Data'!AY100+'Budget Filing Data'!AH100+'Budget Filing Data'!AW100+'Budget Filing Data'!AX100)/('Budget Filing Data'!AE100)),"")</f>
        <v>0.50914064243888246</v>
      </c>
      <c r="W106" s="477">
        <f>IFERROR(('Budget Filing Data'!AI100+'Budget Filing Data'!AJ100+'Budget Filing Data'!AK100+'Budget Filing Data'!AH100)/('Budget Filing Data'!AC100),"")</f>
        <v>1.0009063276465293</v>
      </c>
      <c r="X106" s="477">
        <f>IFERROR(('Budget Filing Data'!AL100+'Budget Filing Data'!AM100+'Budget Filing Data'!AN100+'Budget Filing Data'!AH100)/('Budget Filing Data'!AD100),"")</f>
        <v>1.0020185836465265</v>
      </c>
      <c r="Y106" s="478">
        <f>'Budget Filing Data'!Q100</f>
        <v>170536.28773949217</v>
      </c>
      <c r="Z106" s="478">
        <f>'Budget Filing Data'!R100</f>
        <v>55.167840000163807</v>
      </c>
      <c r="AA106" s="478">
        <f>'Budget Filing Data'!S100</f>
        <v>11494.1567404092</v>
      </c>
      <c r="AB106" s="478">
        <f>'Budget Filing Data'!AO100</f>
        <v>23.992786594465581</v>
      </c>
      <c r="AC106" s="478">
        <f>'Budget Filing Data'!AP100</f>
        <v>61.033972291572837</v>
      </c>
      <c r="AD106" s="478">
        <f>'Budget Filing Data'!T100</f>
        <v>780999.32455588097</v>
      </c>
      <c r="AE106" s="478">
        <f>'Budget Filing Data'!U100</f>
        <v>152033.7541807075</v>
      </c>
      <c r="AF106" s="478">
        <f>'Budget Filing Data'!$V100</f>
        <v>154.71413215445105</v>
      </c>
      <c r="AG106" s="478">
        <f>'Budget Filing Data'!$W100</f>
        <v>807.29923469955645</v>
      </c>
      <c r="AH106" s="479">
        <v>0</v>
      </c>
    </row>
    <row r="107" spans="3:34" hidden="1">
      <c r="C107" s="470" t="str">
        <f>'Budget Filing Data'!D101</f>
        <v>SDGE_SW_IP_Gov_PA</v>
      </c>
      <c r="D107" s="470" t="str">
        <f>'Budget Filing Data'!E101</f>
        <v>SW Institutional Partnerships: DGS &amp; DoC (Utility)</v>
      </c>
      <c r="E107" s="471"/>
      <c r="F107" s="480"/>
      <c r="G107" s="472" t="str">
        <f>'Budget Filing Data'!J101</f>
        <v>IOU Core</v>
      </c>
      <c r="H107" s="472" t="str">
        <f>IF('Budget Filing Data'!H101="","",'Budget Filing Data'!H101)</f>
        <v>SW_IP_Gov - Institutional Partnerships - Government</v>
      </c>
      <c r="I107" s="473" t="s">
        <v>24</v>
      </c>
      <c r="J107" s="472" t="str">
        <f>'Budget Filing Data'!G101</f>
        <v>Public</v>
      </c>
      <c r="K107" s="472" t="str">
        <f>'Budget Filing Data'!I101</f>
        <v>Government Partnerships</v>
      </c>
      <c r="L107" s="472" t="str">
        <f>'Budget Filing Data'!L101</f>
        <v>Resource Acquisition</v>
      </c>
      <c r="M107" s="472">
        <f>'Budget Filing Data'!B101</f>
        <v>2029</v>
      </c>
      <c r="N107" s="474">
        <f t="shared" si="1"/>
        <v>3242.6624999999999</v>
      </c>
      <c r="O107" s="475">
        <f>'Budget Filing Data'!AQ101</f>
        <v>3242.6624999999999</v>
      </c>
      <c r="P107" s="475">
        <f>'Budget Filing Data'!AR101</f>
        <v>0</v>
      </c>
      <c r="Q107" s="475">
        <f>'Budget Filing Data'!AS101</f>
        <v>0</v>
      </c>
      <c r="R107" s="475">
        <f>'Budget Filing Data'!AT101</f>
        <v>0</v>
      </c>
      <c r="S107" s="476">
        <f>'Budget Filing Data'!X101</f>
        <v>0</v>
      </c>
      <c r="T107" s="477">
        <f>IFERROR((('Budget Filing Data'!AF101+'Budget Filing Data'!AG101+'Budget Filing Data'!AY101+'Budget Filing Data'!AH101)/'Budget Filing Data'!AA101),"")</f>
        <v>0</v>
      </c>
      <c r="U107" s="477">
        <f>IFERROR((('Budget Filing Data'!AF101+'Budget Filing Data'!AG101+'Budget Filing Data'!AY101+'Budget Filing Data'!AH101)/'Budget Filing Data'!AB101),"")</f>
        <v>0</v>
      </c>
      <c r="V107" s="477">
        <f>IFERROR((('Budget Filing Data'!AF101+'Budget Filing Data'!AG101+'Budget Filing Data'!AY101+'Budget Filing Data'!AH101+'Budget Filing Data'!AW101+'Budget Filing Data'!AX101)/('Budget Filing Data'!AE101)),"")</f>
        <v>0</v>
      </c>
      <c r="W107" s="477">
        <f>IFERROR(('Budget Filing Data'!AI101+'Budget Filing Data'!AJ101+'Budget Filing Data'!AK101+'Budget Filing Data'!AH101)/('Budget Filing Data'!AC101),"")</f>
        <v>0</v>
      </c>
      <c r="X107" s="477">
        <f>IFERROR(('Budget Filing Data'!AL101+'Budget Filing Data'!AM101+'Budget Filing Data'!AN101+'Budget Filing Data'!AH101)/('Budget Filing Data'!AD101),"")</f>
        <v>0</v>
      </c>
      <c r="Y107" s="478">
        <f>'Budget Filing Data'!Q101</f>
        <v>0</v>
      </c>
      <c r="Z107" s="478">
        <f>'Budget Filing Data'!R101</f>
        <v>0</v>
      </c>
      <c r="AA107" s="478">
        <f>'Budget Filing Data'!S101</f>
        <v>0</v>
      </c>
      <c r="AB107" s="478">
        <f>'Budget Filing Data'!AO101</f>
        <v>0</v>
      </c>
      <c r="AC107" s="478">
        <f>'Budget Filing Data'!AP101</f>
        <v>0</v>
      </c>
      <c r="AD107" s="478">
        <f>'Budget Filing Data'!T101</f>
        <v>0</v>
      </c>
      <c r="AE107" s="478">
        <f>'Budget Filing Data'!U101</f>
        <v>0</v>
      </c>
      <c r="AF107" s="478">
        <f>'Budget Filing Data'!$V101</f>
        <v>0</v>
      </c>
      <c r="AG107" s="478">
        <f>'Budget Filing Data'!$W101</f>
        <v>0</v>
      </c>
      <c r="AH107" s="479">
        <v>0</v>
      </c>
    </row>
    <row r="108" spans="3:34" hidden="1">
      <c r="C108" s="470" t="str">
        <f>'Budget Filing Data'!D102</f>
        <v>SDGE_SW_IP_Colleges</v>
      </c>
      <c r="D108" s="470" t="str">
        <f>'Budget Filing Data'!E102</f>
        <v>SW Higher Education</v>
      </c>
      <c r="E108" s="471" t="s">
        <v>42</v>
      </c>
      <c r="F108" s="471" t="s">
        <v>323</v>
      </c>
      <c r="G108" s="472" t="str">
        <f>'Budget Filing Data'!J102</f>
        <v>Third-Party Solicited</v>
      </c>
      <c r="H108" s="472" t="str">
        <f>IF('Budget Filing Data'!H102="","",'Budget Filing Data'!H102)</f>
        <v>SW_IP_Colleges - Institutional Partnerships - Colleges</v>
      </c>
      <c r="I108" s="473" t="s">
        <v>24</v>
      </c>
      <c r="J108" s="472" t="str">
        <f>'Budget Filing Data'!G102</f>
        <v>Public</v>
      </c>
      <c r="K108" s="472" t="str">
        <f>'Budget Filing Data'!I102</f>
        <v>Government Partnerships</v>
      </c>
      <c r="L108" s="472" t="str">
        <f>'Budget Filing Data'!L102</f>
        <v>Resource Acquisition</v>
      </c>
      <c r="M108" s="472">
        <f>'Budget Filing Data'!B102</f>
        <v>2029</v>
      </c>
      <c r="N108" s="474">
        <f t="shared" si="1"/>
        <v>495269.00910879998</v>
      </c>
      <c r="O108" s="475">
        <f>'Budget Filing Data'!AQ102</f>
        <v>0</v>
      </c>
      <c r="P108" s="475">
        <f>'Budget Filing Data'!AR102</f>
        <v>0</v>
      </c>
      <c r="Q108" s="475">
        <f>'Budget Filing Data'!AS102</f>
        <v>321200.315</v>
      </c>
      <c r="R108" s="475">
        <f>'Budget Filing Data'!AT102</f>
        <v>174068.6941088</v>
      </c>
      <c r="S108" s="476">
        <f>'Budget Filing Data'!X102</f>
        <v>834788.56382927299</v>
      </c>
      <c r="T108" s="477">
        <f>IFERROR((('Budget Filing Data'!AF102+'Budget Filing Data'!AG102+'Budget Filing Data'!AY102+'Budget Filing Data'!AH102)/'Budget Filing Data'!AA102),"")</f>
        <v>1.2402371330738198</v>
      </c>
      <c r="U108" s="477">
        <f>IFERROR((('Budget Filing Data'!AF102+'Budget Filing Data'!AG102+'Budget Filing Data'!AY102+'Budget Filing Data'!AH102)/'Budget Filing Data'!AB102),"")</f>
        <v>1.7189026308885582</v>
      </c>
      <c r="V108" s="477">
        <f>IFERROR((('Budget Filing Data'!AF102+'Budget Filing Data'!AG102+'Budget Filing Data'!AY102+'Budget Filing Data'!AH102+'Budget Filing Data'!AW102+'Budget Filing Data'!AX102)/('Budget Filing Data'!AE102)),"")</f>
        <v>0.3684132624868614</v>
      </c>
      <c r="W108" s="477">
        <f>IFERROR(('Budget Filing Data'!AI102+'Budget Filing Data'!AJ102+'Budget Filing Data'!AK102+'Budget Filing Data'!AH102)/('Budget Filing Data'!AC102),"")</f>
        <v>1.3810222518069861</v>
      </c>
      <c r="X108" s="477">
        <f>IFERROR(('Budget Filing Data'!AL102+'Budget Filing Data'!AM102+'Budget Filing Data'!AN102+'Budget Filing Data'!AH102)/('Budget Filing Data'!AD102),"")</f>
        <v>1.3810222518069861</v>
      </c>
      <c r="Y108" s="478">
        <f>'Budget Filing Data'!Q102</f>
        <v>958079.70754190197</v>
      </c>
      <c r="Z108" s="478">
        <f>'Budget Filing Data'!R102</f>
        <v>795.20614763922299</v>
      </c>
      <c r="AA108" s="478">
        <f>'Budget Filing Data'!S102</f>
        <v>0</v>
      </c>
      <c r="AB108" s="478">
        <f>'Budget Filing Data'!AO102</f>
        <v>146.95658886884701</v>
      </c>
      <c r="AC108" s="478">
        <f>'Budget Filing Data'!AP102</f>
        <v>0</v>
      </c>
      <c r="AD108" s="478">
        <f>'Budget Filing Data'!T102</f>
        <v>7664637.6603352204</v>
      </c>
      <c r="AE108" s="478">
        <f>'Budget Filing Data'!U102</f>
        <v>0</v>
      </c>
      <c r="AF108" s="478">
        <f>'Budget Filing Data'!$V102</f>
        <v>1202.6022476203</v>
      </c>
      <c r="AG108" s="478">
        <f>'Budget Filing Data'!$W102</f>
        <v>0</v>
      </c>
      <c r="AH108" s="479">
        <v>0</v>
      </c>
    </row>
    <row r="109" spans="3:34" ht="25.5" hidden="1">
      <c r="C109" s="470" t="str">
        <f>'Budget Filing Data'!D103</f>
        <v>SDGE_SW_IP_Colleges_PA</v>
      </c>
      <c r="D109" s="470" t="str">
        <f>'Budget Filing Data'!E103</f>
        <v>SW Higher Education (Utility)</v>
      </c>
      <c r="E109" s="471" t="s">
        <v>42</v>
      </c>
      <c r="F109" s="471" t="s">
        <v>325</v>
      </c>
      <c r="G109" s="472" t="str">
        <f>'Budget Filing Data'!J103</f>
        <v>IOU Core</v>
      </c>
      <c r="H109" s="472" t="str">
        <f>IF('Budget Filing Data'!H103="","",'Budget Filing Data'!H103)</f>
        <v>SW_IP_Colleges - Institutional Partnerships - Colleges</v>
      </c>
      <c r="I109" s="473" t="s">
        <v>24</v>
      </c>
      <c r="J109" s="472" t="str">
        <f>'Budget Filing Data'!G103</f>
        <v>Public</v>
      </c>
      <c r="K109" s="472" t="str">
        <f>'Budget Filing Data'!I103</f>
        <v>Government Partnerships</v>
      </c>
      <c r="L109" s="472" t="str">
        <f>'Budget Filing Data'!L103</f>
        <v>Resource Acquisition</v>
      </c>
      <c r="M109" s="472">
        <f>'Budget Filing Data'!B103</f>
        <v>2029</v>
      </c>
      <c r="N109" s="474">
        <f t="shared" si="1"/>
        <v>4861.7425000000003</v>
      </c>
      <c r="O109" s="475">
        <f>'Budget Filing Data'!AQ103</f>
        <v>4861.7425000000003</v>
      </c>
      <c r="P109" s="475">
        <f>'Budget Filing Data'!AR103</f>
        <v>0</v>
      </c>
      <c r="Q109" s="475">
        <f>'Budget Filing Data'!AS103</f>
        <v>0</v>
      </c>
      <c r="R109" s="475">
        <f>'Budget Filing Data'!AT103</f>
        <v>0</v>
      </c>
      <c r="S109" s="476">
        <f>'Budget Filing Data'!X103</f>
        <v>0</v>
      </c>
      <c r="T109" s="477">
        <f>IFERROR((('Budget Filing Data'!AF103+'Budget Filing Data'!AG103+'Budget Filing Data'!AY103+'Budget Filing Data'!AH103)/'Budget Filing Data'!AA103),"")</f>
        <v>0</v>
      </c>
      <c r="U109" s="477">
        <f>IFERROR((('Budget Filing Data'!AF103+'Budget Filing Data'!AG103+'Budget Filing Data'!AY103+'Budget Filing Data'!AH103)/'Budget Filing Data'!AB103),"")</f>
        <v>0</v>
      </c>
      <c r="V109" s="477">
        <f>IFERROR((('Budget Filing Data'!AF103+'Budget Filing Data'!AG103+'Budget Filing Data'!AY103+'Budget Filing Data'!AH103+'Budget Filing Data'!AW103+'Budget Filing Data'!AX103)/('Budget Filing Data'!AE103)),"")</f>
        <v>0</v>
      </c>
      <c r="W109" s="477">
        <f>IFERROR(('Budget Filing Data'!AI103+'Budget Filing Data'!AJ103+'Budget Filing Data'!AK103+'Budget Filing Data'!AH103)/('Budget Filing Data'!AC103),"")</f>
        <v>0</v>
      </c>
      <c r="X109" s="477">
        <f>IFERROR(('Budget Filing Data'!AL103+'Budget Filing Data'!AM103+'Budget Filing Data'!AN103+'Budget Filing Data'!AH103)/('Budget Filing Data'!AD103),"")</f>
        <v>0</v>
      </c>
      <c r="Y109" s="478">
        <f>'Budget Filing Data'!Q103</f>
        <v>0</v>
      </c>
      <c r="Z109" s="478">
        <f>'Budget Filing Data'!R103</f>
        <v>0</v>
      </c>
      <c r="AA109" s="478">
        <f>'Budget Filing Data'!S103</f>
        <v>0</v>
      </c>
      <c r="AB109" s="478">
        <f>'Budget Filing Data'!AO103</f>
        <v>0</v>
      </c>
      <c r="AC109" s="478">
        <f>'Budget Filing Data'!AP103</f>
        <v>0</v>
      </c>
      <c r="AD109" s="478">
        <f>'Budget Filing Data'!T103</f>
        <v>0</v>
      </c>
      <c r="AE109" s="478">
        <f>'Budget Filing Data'!U103</f>
        <v>0</v>
      </c>
      <c r="AF109" s="478">
        <f>'Budget Filing Data'!$V103</f>
        <v>0</v>
      </c>
      <c r="AG109" s="478">
        <f>'Budget Filing Data'!$W103</f>
        <v>0</v>
      </c>
      <c r="AH109" s="479">
        <v>0</v>
      </c>
    </row>
    <row r="110" spans="3:34" hidden="1">
      <c r="C110" s="470" t="str">
        <f>'Budget Filing Data'!D104</f>
        <v>SDGE_SW_MCWH</v>
      </c>
      <c r="D110" s="470" t="str">
        <f>'Budget Filing Data'!E104</f>
        <v>SW Midstream Commercial Water Heating</v>
      </c>
      <c r="E110" s="471"/>
      <c r="F110" s="480"/>
      <c r="G110" s="472" t="str">
        <f>'Budget Filing Data'!J104</f>
        <v>Third-Party Solicited</v>
      </c>
      <c r="H110" s="472" t="str">
        <f>IF('Budget Filing Data'!H104="","",'Budget Filing Data'!H104)</f>
        <v>SW_MCWH - Midstream Commercial Water Heating</v>
      </c>
      <c r="I110" s="473" t="s">
        <v>24</v>
      </c>
      <c r="J110" s="472" t="str">
        <f>'Budget Filing Data'!G104</f>
        <v>Commercial</v>
      </c>
      <c r="K110" s="472" t="str">
        <f>'Budget Filing Data'!I104</f>
        <v>Other</v>
      </c>
      <c r="L110" s="472" t="str">
        <f>'Budget Filing Data'!L104</f>
        <v>Resource Acquisition</v>
      </c>
      <c r="M110" s="472">
        <f>'Budget Filing Data'!B104</f>
        <v>2029</v>
      </c>
      <c r="N110" s="474">
        <f t="shared" si="1"/>
        <v>2427599.9999266239</v>
      </c>
      <c r="O110" s="475">
        <f>'Budget Filing Data'!AQ104</f>
        <v>284760.36629999999</v>
      </c>
      <c r="P110" s="475">
        <f>'Budget Filing Data'!AR104</f>
        <v>207222.9277</v>
      </c>
      <c r="Q110" s="475">
        <f>'Budget Filing Data'!AS104</f>
        <v>702690.96600000001</v>
      </c>
      <c r="R110" s="475">
        <f>'Budget Filing Data'!AT104</f>
        <v>1232925.7399266236</v>
      </c>
      <c r="S110" s="476">
        <f>'Budget Filing Data'!X104</f>
        <v>15195368.689699186</v>
      </c>
      <c r="T110" s="477">
        <f>IFERROR((('Budget Filing Data'!AF104+'Budget Filing Data'!AG104+'Budget Filing Data'!AY104+'Budget Filing Data'!AH104)/'Budget Filing Data'!AA104),"")</f>
        <v>4.1632057013486694</v>
      </c>
      <c r="U110" s="477">
        <f>IFERROR((('Budget Filing Data'!AF104+'Budget Filing Data'!AG104+'Budget Filing Data'!AY104+'Budget Filing Data'!AH104)/'Budget Filing Data'!AB104),"")</f>
        <v>4.953495698403116</v>
      </c>
      <c r="V110" s="477">
        <f>IFERROR((('Budget Filing Data'!AF104+'Budget Filing Data'!AG104+'Budget Filing Data'!AY104+'Budget Filing Data'!AH104+'Budget Filing Data'!AW104+'Budget Filing Data'!AX104)/('Budget Filing Data'!AE104)),"")</f>
        <v>1.2559836938822102</v>
      </c>
      <c r="W110" s="477">
        <f>IFERROR(('Budget Filing Data'!AI104+'Budget Filing Data'!AJ104+'Budget Filing Data'!AK104+'Budget Filing Data'!AH104)/('Budget Filing Data'!AC104),"")</f>
        <v>6.1774594156263261</v>
      </c>
      <c r="X110" s="477">
        <f>IFERROR(('Budget Filing Data'!AL104+'Budget Filing Data'!AM104+'Budget Filing Data'!AN104+'Budget Filing Data'!AH104)/('Budget Filing Data'!AD104),"")</f>
        <v>6.1786594415849478</v>
      </c>
      <c r="Y110" s="478">
        <f>'Budget Filing Data'!Q104</f>
        <v>-520731.14178689878</v>
      </c>
      <c r="Z110" s="478">
        <f>'Budget Filing Data'!R104</f>
        <v>-1.4474483183296509</v>
      </c>
      <c r="AA110" s="478">
        <f>'Budget Filing Data'!S104</f>
        <v>573622.42326910747</v>
      </c>
      <c r="AB110" s="478">
        <f>'Budget Filing Data'!AO104</f>
        <v>-81.062603596430179</v>
      </c>
      <c r="AC110" s="478">
        <f>'Budget Filing Data'!AP104</f>
        <v>3045.9350675589599</v>
      </c>
      <c r="AD110" s="478">
        <f>'Budget Filing Data'!T104</f>
        <v>-8894952.6766490564</v>
      </c>
      <c r="AE110" s="478">
        <f>'Budget Filing Data'!U104</f>
        <v>10475710.522140374</v>
      </c>
      <c r="AF110" s="478">
        <f>'Budget Filing Data'!$V104</f>
        <v>-1387.2321367265556</v>
      </c>
      <c r="AG110" s="478">
        <f>'Budget Filing Data'!$W104</f>
        <v>55626.022872565365</v>
      </c>
      <c r="AH110" s="479">
        <v>0</v>
      </c>
    </row>
    <row r="111" spans="3:34" ht="25.5" hidden="1">
      <c r="C111" s="470" t="str">
        <f>'Budget Filing Data'!D105</f>
        <v>SDGE_SW_MCWH_PA</v>
      </c>
      <c r="D111" s="470" t="str">
        <f>'Budget Filing Data'!E105</f>
        <v>SW Midstream Commercial Water Heating (Utility)</v>
      </c>
      <c r="E111" s="471" t="s">
        <v>42</v>
      </c>
      <c r="F111" s="471" t="s">
        <v>325</v>
      </c>
      <c r="G111" s="472" t="str">
        <f>'Budget Filing Data'!J105</f>
        <v>IOU Core</v>
      </c>
      <c r="H111" s="472" t="str">
        <f>IF('Budget Filing Data'!H105="","",'Budget Filing Data'!H105)</f>
        <v>SW_MCWH - Midstream Commercial Water Heating</v>
      </c>
      <c r="I111" s="473" t="s">
        <v>24</v>
      </c>
      <c r="J111" s="472" t="str">
        <f>'Budget Filing Data'!G105</f>
        <v>Commercial</v>
      </c>
      <c r="K111" s="472" t="str">
        <f>'Budget Filing Data'!I105</f>
        <v>Other</v>
      </c>
      <c r="L111" s="472" t="str">
        <f>'Budget Filing Data'!L105</f>
        <v>Resource Acquisition</v>
      </c>
      <c r="M111" s="472">
        <f>'Budget Filing Data'!B105</f>
        <v>2029</v>
      </c>
      <c r="N111" s="474">
        <f t="shared" si="1"/>
        <v>16697.822499999998</v>
      </c>
      <c r="O111" s="475">
        <f>'Budget Filing Data'!AQ105</f>
        <v>16697.822499999998</v>
      </c>
      <c r="P111" s="475">
        <f>'Budget Filing Data'!AR105</f>
        <v>0</v>
      </c>
      <c r="Q111" s="475">
        <f>'Budget Filing Data'!AS105</f>
        <v>0</v>
      </c>
      <c r="R111" s="475">
        <f>'Budget Filing Data'!AT105</f>
        <v>0</v>
      </c>
      <c r="S111" s="476">
        <f>'Budget Filing Data'!X105</f>
        <v>0</v>
      </c>
      <c r="T111" s="477">
        <f>IFERROR((('Budget Filing Data'!AF105+'Budget Filing Data'!AG105+'Budget Filing Data'!AY105+'Budget Filing Data'!AH105)/'Budget Filing Data'!AA105),"")</f>
        <v>0</v>
      </c>
      <c r="U111" s="477">
        <f>IFERROR((('Budget Filing Data'!AF105+'Budget Filing Data'!AG105+'Budget Filing Data'!AY105+'Budget Filing Data'!AH105)/'Budget Filing Data'!AB105),"")</f>
        <v>0</v>
      </c>
      <c r="V111" s="477">
        <f>IFERROR((('Budget Filing Data'!AF105+'Budget Filing Data'!AG105+'Budget Filing Data'!AY105+'Budget Filing Data'!AH105+'Budget Filing Data'!AW105+'Budget Filing Data'!AX105)/('Budget Filing Data'!AE105)),"")</f>
        <v>0</v>
      </c>
      <c r="W111" s="477">
        <f>IFERROR(('Budget Filing Data'!AI105+'Budget Filing Data'!AJ105+'Budget Filing Data'!AK105+'Budget Filing Data'!AH105)/('Budget Filing Data'!AC105),"")</f>
        <v>0</v>
      </c>
      <c r="X111" s="477">
        <f>IFERROR(('Budget Filing Data'!AL105+'Budget Filing Data'!AM105+'Budget Filing Data'!AN105+'Budget Filing Data'!AH105)/('Budget Filing Data'!AD105),"")</f>
        <v>0</v>
      </c>
      <c r="Y111" s="478">
        <f>'Budget Filing Data'!Q105</f>
        <v>0</v>
      </c>
      <c r="Z111" s="478">
        <f>'Budget Filing Data'!R105</f>
        <v>0</v>
      </c>
      <c r="AA111" s="478">
        <f>'Budget Filing Data'!S105</f>
        <v>0</v>
      </c>
      <c r="AB111" s="478">
        <f>'Budget Filing Data'!AO105</f>
        <v>0</v>
      </c>
      <c r="AC111" s="478">
        <f>'Budget Filing Data'!AP105</f>
        <v>0</v>
      </c>
      <c r="AD111" s="478">
        <f>'Budget Filing Data'!T105</f>
        <v>0</v>
      </c>
      <c r="AE111" s="478">
        <f>'Budget Filing Data'!U105</f>
        <v>0</v>
      </c>
      <c r="AF111" s="478">
        <f>'Budget Filing Data'!$V105</f>
        <v>0</v>
      </c>
      <c r="AG111" s="478">
        <f>'Budget Filing Data'!$W105</f>
        <v>0</v>
      </c>
      <c r="AH111" s="479">
        <v>0</v>
      </c>
    </row>
    <row r="112" spans="3:34" hidden="1">
      <c r="C112" s="470" t="str">
        <f>'Budget Filing Data'!D106</f>
        <v>SDGE_SW_FS</v>
      </c>
      <c r="D112" s="470" t="str">
        <f>'Budget Filing Data'!E106</f>
        <v>SW Foodservice Point of Sale Program</v>
      </c>
      <c r="E112" s="471"/>
      <c r="F112" s="480"/>
      <c r="G112" s="472" t="str">
        <f>'Budget Filing Data'!J106</f>
        <v>Third-Party Solicited</v>
      </c>
      <c r="H112" s="472" t="str">
        <f>IF('Budget Filing Data'!H106="","",'Budget Filing Data'!H106)</f>
        <v>SW_FS - Food Service</v>
      </c>
      <c r="I112" s="473" t="s">
        <v>24</v>
      </c>
      <c r="J112" s="472" t="str">
        <f>'Budget Filing Data'!G106</f>
        <v>Commercial</v>
      </c>
      <c r="K112" s="472" t="str">
        <f>'Budget Filing Data'!I106</f>
        <v>Other</v>
      </c>
      <c r="L112" s="472" t="str">
        <f>'Budget Filing Data'!L106</f>
        <v>Resource Acquisition</v>
      </c>
      <c r="M112" s="472">
        <f>'Budget Filing Data'!B106</f>
        <v>2029</v>
      </c>
      <c r="N112" s="474">
        <f t="shared" si="1"/>
        <v>2196399.9996000007</v>
      </c>
      <c r="O112" s="475">
        <f>'Budget Filing Data'!AQ106</f>
        <v>206005.6054</v>
      </c>
      <c r="P112" s="475">
        <f>'Budget Filing Data'!AR106</f>
        <v>157582.62880000001</v>
      </c>
      <c r="Q112" s="475">
        <f>'Budget Filing Data'!AS106</f>
        <v>948476.38939999999</v>
      </c>
      <c r="R112" s="475">
        <f>'Budget Filing Data'!AT106</f>
        <v>884335.37600000051</v>
      </c>
      <c r="S112" s="476">
        <f>'Budget Filing Data'!X106</f>
        <v>4344629.3740722081</v>
      </c>
      <c r="T112" s="477">
        <f>IFERROR((('Budget Filing Data'!AF106+'Budget Filing Data'!AG106+'Budget Filing Data'!AY106+'Budget Filing Data'!AH106)/'Budget Filing Data'!AA106),"")</f>
        <v>1.3795326944429527</v>
      </c>
      <c r="U112" s="477">
        <f>IFERROR((('Budget Filing Data'!AF106+'Budget Filing Data'!AG106+'Budget Filing Data'!AY106+'Budget Filing Data'!AH106)/'Budget Filing Data'!AB106),"")</f>
        <v>2.017969331386527</v>
      </c>
      <c r="V112" s="477">
        <f>IFERROR((('Budget Filing Data'!AF106+'Budget Filing Data'!AG106+'Budget Filing Data'!AY106+'Budget Filing Data'!AH106+'Budget Filing Data'!AW106+'Budget Filing Data'!AX106)/('Budget Filing Data'!AE106)),"")</f>
        <v>0.51059574915353712</v>
      </c>
      <c r="W112" s="477">
        <f>IFERROR(('Budget Filing Data'!AI106+'Budget Filing Data'!AJ106+'Budget Filing Data'!AK106+'Budget Filing Data'!AH106)/('Budget Filing Data'!AC106),"")</f>
        <v>1.8885510228096669</v>
      </c>
      <c r="X112" s="477">
        <f>IFERROR(('Budget Filing Data'!AL106+'Budget Filing Data'!AM106+'Budget Filing Data'!AN106+'Budget Filing Data'!AH106)/('Budget Filing Data'!AD106),"")</f>
        <v>1.8889556165975045</v>
      </c>
      <c r="Y112" s="478">
        <f>'Budget Filing Data'!Q106</f>
        <v>1160677.7886976984</v>
      </c>
      <c r="Z112" s="478">
        <f>'Budget Filing Data'!R106</f>
        <v>137.40503337997777</v>
      </c>
      <c r="AA112" s="478">
        <f>'Budget Filing Data'!S106</f>
        <v>150425.61283199998</v>
      </c>
      <c r="AB112" s="478">
        <f>'Budget Filing Data'!AO106</f>
        <v>156.9696919676322</v>
      </c>
      <c r="AC112" s="478">
        <f>'Budget Filing Data'!AP106</f>
        <v>798.76000413791962</v>
      </c>
      <c r="AD112" s="478">
        <f>'Budget Filing Data'!T106</f>
        <v>13972752.802772382</v>
      </c>
      <c r="AE112" s="478">
        <f>'Budget Filing Data'!U106</f>
        <v>1771571.6821440007</v>
      </c>
      <c r="AF112" s="478">
        <f>'Budget Filing Data'!$V106</f>
        <v>1921.5404811299688</v>
      </c>
      <c r="AG112" s="478">
        <f>'Budget Filing Data'!$W106</f>
        <v>9407.0456321846395</v>
      </c>
      <c r="AH112" s="479">
        <v>0</v>
      </c>
    </row>
    <row r="113" spans="3:34" ht="25.5" hidden="1">
      <c r="C113" s="470" t="str">
        <f>'Budget Filing Data'!D107</f>
        <v>SDGE_SW_FS_PA</v>
      </c>
      <c r="D113" s="470" t="str">
        <f>'Budget Filing Data'!E107</f>
        <v>SW Foodservice Point of Sale Program (Utility)</v>
      </c>
      <c r="E113" s="471" t="s">
        <v>42</v>
      </c>
      <c r="F113" s="471" t="s">
        <v>325</v>
      </c>
      <c r="G113" s="472" t="str">
        <f>'Budget Filing Data'!J107</f>
        <v>IOU Core</v>
      </c>
      <c r="H113" s="472" t="str">
        <f>IF('Budget Filing Data'!H107="","",'Budget Filing Data'!H107)</f>
        <v>SW_FS - Food Service</v>
      </c>
      <c r="I113" s="473" t="s">
        <v>24</v>
      </c>
      <c r="J113" s="472" t="str">
        <f>'Budget Filing Data'!G107</f>
        <v>Commercial</v>
      </c>
      <c r="K113" s="472" t="str">
        <f>'Budget Filing Data'!I107</f>
        <v>Other</v>
      </c>
      <c r="L113" s="472" t="str">
        <f>'Budget Filing Data'!L107</f>
        <v>Resource Acquisition</v>
      </c>
      <c r="M113" s="472">
        <f>'Budget Filing Data'!B107</f>
        <v>2029</v>
      </c>
      <c r="N113" s="474">
        <f t="shared" si="1"/>
        <v>15281.6525</v>
      </c>
      <c r="O113" s="475">
        <f>'Budget Filing Data'!AQ107</f>
        <v>15281.6525</v>
      </c>
      <c r="P113" s="475">
        <f>'Budget Filing Data'!AR107</f>
        <v>0</v>
      </c>
      <c r="Q113" s="475">
        <f>'Budget Filing Data'!AS107</f>
        <v>0</v>
      </c>
      <c r="R113" s="475">
        <f>'Budget Filing Data'!AT107</f>
        <v>0</v>
      </c>
      <c r="S113" s="476">
        <f>'Budget Filing Data'!X107</f>
        <v>0</v>
      </c>
      <c r="T113" s="477">
        <f>IFERROR((('Budget Filing Data'!AF107+'Budget Filing Data'!AG107+'Budget Filing Data'!AY107+'Budget Filing Data'!AH107)/'Budget Filing Data'!AA107),"")</f>
        <v>0</v>
      </c>
      <c r="U113" s="477">
        <f>IFERROR((('Budget Filing Data'!AF107+'Budget Filing Data'!AG107+'Budget Filing Data'!AY107+'Budget Filing Data'!AH107)/'Budget Filing Data'!AB107),"")</f>
        <v>0</v>
      </c>
      <c r="V113" s="477">
        <f>IFERROR((('Budget Filing Data'!AF107+'Budget Filing Data'!AG107+'Budget Filing Data'!AY107+'Budget Filing Data'!AH107+'Budget Filing Data'!AW107+'Budget Filing Data'!AX107)/('Budget Filing Data'!AE107)),"")</f>
        <v>0</v>
      </c>
      <c r="W113" s="477">
        <f>IFERROR(('Budget Filing Data'!AI107+'Budget Filing Data'!AJ107+'Budget Filing Data'!AK107+'Budget Filing Data'!AH107)/('Budget Filing Data'!AC107),"")</f>
        <v>0</v>
      </c>
      <c r="X113" s="477">
        <f>IFERROR(('Budget Filing Data'!AL107+'Budget Filing Data'!AM107+'Budget Filing Data'!AN107+'Budget Filing Data'!AH107)/('Budget Filing Data'!AD107),"")</f>
        <v>0</v>
      </c>
      <c r="Y113" s="478">
        <f>'Budget Filing Data'!Q107</f>
        <v>0</v>
      </c>
      <c r="Z113" s="478">
        <f>'Budget Filing Data'!R107</f>
        <v>0</v>
      </c>
      <c r="AA113" s="478">
        <f>'Budget Filing Data'!S107</f>
        <v>0</v>
      </c>
      <c r="AB113" s="478">
        <f>'Budget Filing Data'!AO107</f>
        <v>0</v>
      </c>
      <c r="AC113" s="478">
        <f>'Budget Filing Data'!AP107</f>
        <v>0</v>
      </c>
      <c r="AD113" s="478">
        <f>'Budget Filing Data'!T107</f>
        <v>0</v>
      </c>
      <c r="AE113" s="478">
        <f>'Budget Filing Data'!U107</f>
        <v>0</v>
      </c>
      <c r="AF113" s="478">
        <f>'Budget Filing Data'!$V107</f>
        <v>0</v>
      </c>
      <c r="AG113" s="478">
        <f>'Budget Filing Data'!$W107</f>
        <v>0</v>
      </c>
      <c r="AH113" s="479">
        <v>0</v>
      </c>
    </row>
    <row r="114" spans="3:34" hidden="1">
      <c r="C114" s="470" t="str">
        <f>'Budget Filing Data'!D108</f>
        <v>SDGE_SW_WET_CC</v>
      </c>
      <c r="D114" s="470" t="str">
        <f>'Budget Filing Data'!E108</f>
        <v>SW WET Career Connections</v>
      </c>
      <c r="E114" s="471"/>
      <c r="F114" s="480"/>
      <c r="G114" s="472" t="str">
        <f>'Budget Filing Data'!J108</f>
        <v>Third-Party Solicited</v>
      </c>
      <c r="H114" s="472" t="str">
        <f>IF('Budget Filing Data'!H108="","",'Budget Filing Data'!H108)</f>
        <v>SW_WET_CC - Workforce Education and Training - Career Connections</v>
      </c>
      <c r="I114" s="473" t="s">
        <v>15</v>
      </c>
      <c r="J114" s="472" t="str">
        <f>'Budget Filing Data'!G108</f>
        <v>Cross Cutting</v>
      </c>
      <c r="K114" s="472" t="str">
        <f>'Budget Filing Data'!I108</f>
        <v>Workforce Education and Training</v>
      </c>
      <c r="L114" s="472" t="str">
        <f>'Budget Filing Data'!L108</f>
        <v>Market Support</v>
      </c>
      <c r="M114" s="472">
        <f>'Budget Filing Data'!B108</f>
        <v>2029</v>
      </c>
      <c r="N114" s="474">
        <f t="shared" si="1"/>
        <v>109120</v>
      </c>
      <c r="O114" s="475">
        <f>'Budget Filing Data'!AQ108</f>
        <v>1091.2</v>
      </c>
      <c r="P114" s="475">
        <f>'Budget Filing Data'!AR108</f>
        <v>7638.4</v>
      </c>
      <c r="Q114" s="475">
        <f>'Budget Filing Data'!AS108</f>
        <v>100390.39999999999</v>
      </c>
      <c r="R114" s="475">
        <f>'Budget Filing Data'!AT108</f>
        <v>0</v>
      </c>
      <c r="S114" s="476">
        <f>'Budget Filing Data'!X108</f>
        <v>0</v>
      </c>
      <c r="T114" s="477">
        <f>IFERROR((('Budget Filing Data'!AF108+'Budget Filing Data'!AG108+'Budget Filing Data'!AY108+'Budget Filing Data'!AH108)/'Budget Filing Data'!AA108),"")</f>
        <v>0</v>
      </c>
      <c r="U114" s="477">
        <f>IFERROR((('Budget Filing Data'!AF108+'Budget Filing Data'!AG108+'Budget Filing Data'!AY108+'Budget Filing Data'!AH108)/'Budget Filing Data'!AB108),"")</f>
        <v>0</v>
      </c>
      <c r="V114" s="477">
        <f>IFERROR((('Budget Filing Data'!AF108+'Budget Filing Data'!AG108+'Budget Filing Data'!AY108+'Budget Filing Data'!AH108+'Budget Filing Data'!AW108+'Budget Filing Data'!AX108)/('Budget Filing Data'!AE108)),"")</f>
        <v>0</v>
      </c>
      <c r="W114" s="477">
        <f>IFERROR(('Budget Filing Data'!AI108+'Budget Filing Data'!AJ108+'Budget Filing Data'!AK108+'Budget Filing Data'!AH108)/('Budget Filing Data'!AC108),"")</f>
        <v>0</v>
      </c>
      <c r="X114" s="477">
        <f>IFERROR(('Budget Filing Data'!AL108+'Budget Filing Data'!AM108+'Budget Filing Data'!AN108+'Budget Filing Data'!AH108)/('Budget Filing Data'!AD108),"")</f>
        <v>0</v>
      </c>
      <c r="Y114" s="478">
        <f>'Budget Filing Data'!Q108</f>
        <v>0</v>
      </c>
      <c r="Z114" s="478">
        <f>'Budget Filing Data'!R108</f>
        <v>0</v>
      </c>
      <c r="AA114" s="478">
        <f>'Budget Filing Data'!S108</f>
        <v>0</v>
      </c>
      <c r="AB114" s="478">
        <f>'Budget Filing Data'!AO108</f>
        <v>0</v>
      </c>
      <c r="AC114" s="478">
        <f>'Budget Filing Data'!AP108</f>
        <v>0</v>
      </c>
      <c r="AD114" s="478">
        <f>'Budget Filing Data'!T108</f>
        <v>0</v>
      </c>
      <c r="AE114" s="478">
        <f>'Budget Filing Data'!U108</f>
        <v>0</v>
      </c>
      <c r="AF114" s="478">
        <f>'Budget Filing Data'!$V108</f>
        <v>0</v>
      </c>
      <c r="AG114" s="478">
        <f>'Budget Filing Data'!$W108</f>
        <v>0</v>
      </c>
      <c r="AH114" s="479">
        <v>0</v>
      </c>
    </row>
    <row r="115" spans="3:34" hidden="1">
      <c r="C115" s="470" t="str">
        <f>'Budget Filing Data'!D109</f>
        <v>SDGE_SW_WET_CC_PA</v>
      </c>
      <c r="D115" s="470" t="str">
        <f>'Budget Filing Data'!E109</f>
        <v>SW WET Career Connections (Utility)</v>
      </c>
      <c r="E115" s="471"/>
      <c r="F115" s="480"/>
      <c r="G115" s="472" t="str">
        <f>'Budget Filing Data'!J109</f>
        <v>IOU Core</v>
      </c>
      <c r="H115" s="472" t="str">
        <f>IF('Budget Filing Data'!H109="","",'Budget Filing Data'!H109)</f>
        <v>SW_WET_CC - Workforce Education and Training - Career Connections</v>
      </c>
      <c r="I115" s="473" t="s">
        <v>15</v>
      </c>
      <c r="J115" s="472" t="str">
        <f>'Budget Filing Data'!G109</f>
        <v>Cross Cutting</v>
      </c>
      <c r="K115" s="472" t="str">
        <f>'Budget Filing Data'!I109</f>
        <v>Workforce Education and Training</v>
      </c>
      <c r="L115" s="472" t="str">
        <f>'Budget Filing Data'!L109</f>
        <v>Market Support</v>
      </c>
      <c r="M115" s="472">
        <f>'Budget Filing Data'!B109</f>
        <v>2029</v>
      </c>
      <c r="N115" s="474">
        <f t="shared" si="1"/>
        <v>2496.4625000000001</v>
      </c>
      <c r="O115" s="475">
        <f>'Budget Filing Data'!AQ109</f>
        <v>2496.4625000000001</v>
      </c>
      <c r="P115" s="475">
        <f>'Budget Filing Data'!AR109</f>
        <v>0</v>
      </c>
      <c r="Q115" s="475">
        <f>'Budget Filing Data'!AS109</f>
        <v>0</v>
      </c>
      <c r="R115" s="475">
        <f>'Budget Filing Data'!AT109</f>
        <v>0</v>
      </c>
      <c r="S115" s="476">
        <f>'Budget Filing Data'!X109</f>
        <v>0</v>
      </c>
      <c r="T115" s="477">
        <f>IFERROR((('Budget Filing Data'!AF109+'Budget Filing Data'!AG109+'Budget Filing Data'!AY109+'Budget Filing Data'!AH109)/'Budget Filing Data'!AA109),"")</f>
        <v>0</v>
      </c>
      <c r="U115" s="477">
        <f>IFERROR((('Budget Filing Data'!AF109+'Budget Filing Data'!AG109+'Budget Filing Data'!AY109+'Budget Filing Data'!AH109)/'Budget Filing Data'!AB109),"")</f>
        <v>0</v>
      </c>
      <c r="V115" s="477">
        <f>IFERROR((('Budget Filing Data'!AF109+'Budget Filing Data'!AG109+'Budget Filing Data'!AY109+'Budget Filing Data'!AH109+'Budget Filing Data'!AW109+'Budget Filing Data'!AX109)/('Budget Filing Data'!AE109)),"")</f>
        <v>0</v>
      </c>
      <c r="W115" s="477">
        <f>IFERROR(('Budget Filing Data'!AI109+'Budget Filing Data'!AJ109+'Budget Filing Data'!AK109+'Budget Filing Data'!AH109)/('Budget Filing Data'!AC109),"")</f>
        <v>0</v>
      </c>
      <c r="X115" s="477">
        <f>IFERROR(('Budget Filing Data'!AL109+'Budget Filing Data'!AM109+'Budget Filing Data'!AN109+'Budget Filing Data'!AH109)/('Budget Filing Data'!AD109),"")</f>
        <v>0</v>
      </c>
      <c r="Y115" s="478">
        <f>'Budget Filing Data'!Q109</f>
        <v>0</v>
      </c>
      <c r="Z115" s="478">
        <f>'Budget Filing Data'!R109</f>
        <v>0</v>
      </c>
      <c r="AA115" s="478">
        <f>'Budget Filing Data'!S109</f>
        <v>0</v>
      </c>
      <c r="AB115" s="478">
        <f>'Budget Filing Data'!AO109</f>
        <v>0</v>
      </c>
      <c r="AC115" s="478">
        <f>'Budget Filing Data'!AP109</f>
        <v>0</v>
      </c>
      <c r="AD115" s="478">
        <f>'Budget Filing Data'!T109</f>
        <v>0</v>
      </c>
      <c r="AE115" s="478">
        <f>'Budget Filing Data'!U109</f>
        <v>0</v>
      </c>
      <c r="AF115" s="478">
        <f>'Budget Filing Data'!$V109</f>
        <v>0</v>
      </c>
      <c r="AG115" s="478">
        <f>'Budget Filing Data'!$W109</f>
        <v>0</v>
      </c>
      <c r="AH115" s="479">
        <v>0</v>
      </c>
    </row>
    <row r="116" spans="3:34" hidden="1">
      <c r="C116" s="470" t="str">
        <f>'Budget Filing Data'!D110</f>
        <v>SDGE_SW_WET_Work</v>
      </c>
      <c r="D116" s="470" t="str">
        <f>'Budget Filing Data'!E110</f>
        <v>SW WE&amp;T Career &amp; Workforce Readiness (CWR)</v>
      </c>
      <c r="E116" s="471"/>
      <c r="F116" s="480"/>
      <c r="G116" s="472" t="str">
        <f>'Budget Filing Data'!J110</f>
        <v>Third-Party Solicited</v>
      </c>
      <c r="H116" s="472" t="str">
        <f>IF('Budget Filing Data'!H110="","",'Budget Filing Data'!H110)</f>
        <v>SW_WET_Work - Workforce Education and Training Career &amp; Workforce Readiness</v>
      </c>
      <c r="I116" s="473" t="s">
        <v>15</v>
      </c>
      <c r="J116" s="472" t="str">
        <f>'Budget Filing Data'!G110</f>
        <v>Cross Cutting</v>
      </c>
      <c r="K116" s="472" t="str">
        <f>'Budget Filing Data'!I110</f>
        <v>Workforce Education and Training</v>
      </c>
      <c r="L116" s="472" t="str">
        <f>'Budget Filing Data'!L110</f>
        <v>Equity</v>
      </c>
      <c r="M116" s="472">
        <f>'Budget Filing Data'!B110</f>
        <v>2029</v>
      </c>
      <c r="N116" s="474">
        <f t="shared" si="1"/>
        <v>218240</v>
      </c>
      <c r="O116" s="475">
        <f>'Budget Filing Data'!AQ110</f>
        <v>21824</v>
      </c>
      <c r="P116" s="475">
        <f>'Budget Filing Data'!AR110</f>
        <v>13094.4</v>
      </c>
      <c r="Q116" s="475">
        <f>'Budget Filing Data'!AS110</f>
        <v>183321.60000000001</v>
      </c>
      <c r="R116" s="475">
        <f>'Budget Filing Data'!AT110</f>
        <v>0</v>
      </c>
      <c r="S116" s="476">
        <f>'Budget Filing Data'!X110</f>
        <v>0</v>
      </c>
      <c r="T116" s="477">
        <f>IFERROR((('Budget Filing Data'!AF110+'Budget Filing Data'!AG110+'Budget Filing Data'!AY110+'Budget Filing Data'!AH110)/'Budget Filing Data'!AA110),"")</f>
        <v>0</v>
      </c>
      <c r="U116" s="477">
        <f>IFERROR((('Budget Filing Data'!AF110+'Budget Filing Data'!AG110+'Budget Filing Data'!AY110+'Budget Filing Data'!AH110)/'Budget Filing Data'!AB110),"")</f>
        <v>0</v>
      </c>
      <c r="V116" s="477">
        <f>IFERROR((('Budget Filing Data'!AF110+'Budget Filing Data'!AG110+'Budget Filing Data'!AY110+'Budget Filing Data'!AH110+'Budget Filing Data'!AW110+'Budget Filing Data'!AX110)/('Budget Filing Data'!AE110)),"")</f>
        <v>0</v>
      </c>
      <c r="W116" s="477">
        <f>IFERROR(('Budget Filing Data'!AI110+'Budget Filing Data'!AJ110+'Budget Filing Data'!AK110+'Budget Filing Data'!AH110)/('Budget Filing Data'!AC110),"")</f>
        <v>0</v>
      </c>
      <c r="X116" s="477">
        <f>IFERROR(('Budget Filing Data'!AL110+'Budget Filing Data'!AM110+'Budget Filing Data'!AN110+'Budget Filing Data'!AH110)/('Budget Filing Data'!AD110),"")</f>
        <v>0</v>
      </c>
      <c r="Y116" s="478">
        <f>'Budget Filing Data'!Q110</f>
        <v>0</v>
      </c>
      <c r="Z116" s="478">
        <f>'Budget Filing Data'!R110</f>
        <v>0</v>
      </c>
      <c r="AA116" s="478">
        <f>'Budget Filing Data'!S110</f>
        <v>0</v>
      </c>
      <c r="AB116" s="478">
        <f>'Budget Filing Data'!AO110</f>
        <v>0</v>
      </c>
      <c r="AC116" s="478">
        <f>'Budget Filing Data'!AP110</f>
        <v>0</v>
      </c>
      <c r="AD116" s="478">
        <f>'Budget Filing Data'!T110</f>
        <v>0</v>
      </c>
      <c r="AE116" s="478">
        <f>'Budget Filing Data'!U110</f>
        <v>0</v>
      </c>
      <c r="AF116" s="478">
        <f>'Budget Filing Data'!$V110</f>
        <v>0</v>
      </c>
      <c r="AG116" s="478">
        <f>'Budget Filing Data'!$W110</f>
        <v>0</v>
      </c>
      <c r="AH116" s="479">
        <v>0</v>
      </c>
    </row>
    <row r="117" spans="3:34" hidden="1">
      <c r="C117" s="470" t="str">
        <f>'Budget Filing Data'!D111</f>
        <v>SDGE_SW_WET_Work_PA</v>
      </c>
      <c r="D117" s="470" t="str">
        <f>'Budget Filing Data'!E111</f>
        <v>SW WE&amp;T Career &amp; Workforce Readiness (CWR) (Utility)</v>
      </c>
      <c r="E117" s="471"/>
      <c r="F117" s="480"/>
      <c r="G117" s="472" t="str">
        <f>'Budget Filing Data'!J111</f>
        <v>IOU Core</v>
      </c>
      <c r="H117" s="472" t="str">
        <f>IF('Budget Filing Data'!H111="","",'Budget Filing Data'!H111)</f>
        <v>SW_WET_Work - Workforce Education and Training Career &amp; Workforce Readiness</v>
      </c>
      <c r="I117" s="473" t="s">
        <v>15</v>
      </c>
      <c r="J117" s="472" t="str">
        <f>'Budget Filing Data'!G111</f>
        <v>Cross Cutting</v>
      </c>
      <c r="K117" s="472" t="str">
        <f>'Budget Filing Data'!I111</f>
        <v>Workforce Education and Training</v>
      </c>
      <c r="L117" s="472" t="str">
        <f>'Budget Filing Data'!L111</f>
        <v>Equity</v>
      </c>
      <c r="M117" s="472">
        <f>'Budget Filing Data'!B111</f>
        <v>2029</v>
      </c>
      <c r="N117" s="474">
        <f t="shared" si="1"/>
        <v>3164.8525</v>
      </c>
      <c r="O117" s="475">
        <f>'Budget Filing Data'!AQ111</f>
        <v>3164.8525</v>
      </c>
      <c r="P117" s="475">
        <f>'Budget Filing Data'!AR111</f>
        <v>0</v>
      </c>
      <c r="Q117" s="475">
        <f>'Budget Filing Data'!AS111</f>
        <v>0</v>
      </c>
      <c r="R117" s="475">
        <f>'Budget Filing Data'!AT111</f>
        <v>0</v>
      </c>
      <c r="S117" s="476">
        <f>'Budget Filing Data'!X111</f>
        <v>0</v>
      </c>
      <c r="T117" s="477">
        <f>IFERROR((('Budget Filing Data'!AF111+'Budget Filing Data'!AG111+'Budget Filing Data'!AY111+'Budget Filing Data'!AH111)/'Budget Filing Data'!AA111),"")</f>
        <v>0</v>
      </c>
      <c r="U117" s="477">
        <f>IFERROR((('Budget Filing Data'!AF111+'Budget Filing Data'!AG111+'Budget Filing Data'!AY111+'Budget Filing Data'!AH111)/'Budget Filing Data'!AB111),"")</f>
        <v>0</v>
      </c>
      <c r="V117" s="477">
        <f>IFERROR((('Budget Filing Data'!AF111+'Budget Filing Data'!AG111+'Budget Filing Data'!AY111+'Budget Filing Data'!AH111+'Budget Filing Data'!AW111+'Budget Filing Data'!AX111)/('Budget Filing Data'!AE111)),"")</f>
        <v>0</v>
      </c>
      <c r="W117" s="477">
        <f>IFERROR(('Budget Filing Data'!AI111+'Budget Filing Data'!AJ111+'Budget Filing Data'!AK111+'Budget Filing Data'!AH111)/('Budget Filing Data'!AC111),"")</f>
        <v>0</v>
      </c>
      <c r="X117" s="477">
        <f>IFERROR(('Budget Filing Data'!AL111+'Budget Filing Data'!AM111+'Budget Filing Data'!AN111+'Budget Filing Data'!AH111)/('Budget Filing Data'!AD111),"")</f>
        <v>0</v>
      </c>
      <c r="Y117" s="478">
        <f>'Budget Filing Data'!Q111</f>
        <v>0</v>
      </c>
      <c r="Z117" s="478">
        <f>'Budget Filing Data'!R111</f>
        <v>0</v>
      </c>
      <c r="AA117" s="478">
        <f>'Budget Filing Data'!S111</f>
        <v>0</v>
      </c>
      <c r="AB117" s="478">
        <f>'Budget Filing Data'!AO111</f>
        <v>0</v>
      </c>
      <c r="AC117" s="478">
        <f>'Budget Filing Data'!AP111</f>
        <v>0</v>
      </c>
      <c r="AD117" s="478">
        <f>'Budget Filing Data'!T111</f>
        <v>0</v>
      </c>
      <c r="AE117" s="478">
        <f>'Budget Filing Data'!U111</f>
        <v>0</v>
      </c>
      <c r="AF117" s="478">
        <f>'Budget Filing Data'!$V111</f>
        <v>0</v>
      </c>
      <c r="AG117" s="478">
        <f>'Budget Filing Data'!$W111</f>
        <v>0</v>
      </c>
      <c r="AH117" s="479">
        <v>0</v>
      </c>
    </row>
    <row r="118" spans="3:34">
      <c r="C118" s="470" t="str">
        <f>'Budget Filing Data'!D112</f>
        <v>SDGE_SW_HVAC_QIQM</v>
      </c>
      <c r="D118" s="470" t="str">
        <f>'Budget Filing Data'!E112</f>
        <v>SW HVAC QI/QM Program</v>
      </c>
      <c r="E118" s="471"/>
      <c r="F118" s="480"/>
      <c r="G118" s="472" t="str">
        <f>'Budget Filing Data'!J112</f>
        <v>Third-Party Solicited</v>
      </c>
      <c r="H118" s="472" t="str">
        <f>IF('Budget Filing Data'!H112="","",'Budget Filing Data'!H112)</f>
        <v>SW_HVAC_QIQM - SW HVAC QI/QM Program</v>
      </c>
      <c r="I118" s="473" t="s">
        <v>15</v>
      </c>
      <c r="J118" s="472" t="str">
        <f>'Budget Filing Data'!G112</f>
        <v>Residential</v>
      </c>
      <c r="K118" s="472" t="str">
        <f>'Budget Filing Data'!I112</f>
        <v>Other</v>
      </c>
      <c r="L118" s="472" t="str">
        <f>'Budget Filing Data'!L112</f>
        <v>Market Support</v>
      </c>
      <c r="M118" s="472">
        <f>'Budget Filing Data'!B112</f>
        <v>2029</v>
      </c>
      <c r="N118" s="474">
        <f t="shared" si="1"/>
        <v>684480</v>
      </c>
      <c r="O118" s="475">
        <f>'Budget Filing Data'!AQ112</f>
        <v>34224</v>
      </c>
      <c r="P118" s="475">
        <f>'Budget Filing Data'!AR112</f>
        <v>34224</v>
      </c>
      <c r="Q118" s="475">
        <f>'Budget Filing Data'!AS112</f>
        <v>174964</v>
      </c>
      <c r="R118" s="475">
        <f>'Budget Filing Data'!AT112</f>
        <v>441068</v>
      </c>
      <c r="S118" s="476">
        <f>'Budget Filing Data'!X112</f>
        <v>0</v>
      </c>
      <c r="T118" s="477">
        <f>IFERROR((('Budget Filing Data'!AF112+'Budget Filing Data'!AG112+'Budget Filing Data'!AY112+'Budget Filing Data'!AH112)/'Budget Filing Data'!AA112),"")</f>
        <v>0</v>
      </c>
      <c r="U118" s="477">
        <f>IFERROR((('Budget Filing Data'!AF112+'Budget Filing Data'!AG112+'Budget Filing Data'!AY112+'Budget Filing Data'!AH112)/'Budget Filing Data'!AB112),"")</f>
        <v>0</v>
      </c>
      <c r="V118" s="477">
        <f>IFERROR((('Budget Filing Data'!AF112+'Budget Filing Data'!AG112+'Budget Filing Data'!AY112+'Budget Filing Data'!AH112+'Budget Filing Data'!AW112+'Budget Filing Data'!AX112)/('Budget Filing Data'!AE112)),"")</f>
        <v>0</v>
      </c>
      <c r="W118" s="477">
        <f>IFERROR(('Budget Filing Data'!AI112+'Budget Filing Data'!AJ112+'Budget Filing Data'!AK112+'Budget Filing Data'!AH112)/('Budget Filing Data'!AC112),"")</f>
        <v>0</v>
      </c>
      <c r="X118" s="477">
        <f>IFERROR(('Budget Filing Data'!AL112+'Budget Filing Data'!AM112+'Budget Filing Data'!AN112+'Budget Filing Data'!AH112)/('Budget Filing Data'!AD112),"")</f>
        <v>0</v>
      </c>
      <c r="Y118" s="478">
        <f>'Budget Filing Data'!Q112</f>
        <v>0</v>
      </c>
      <c r="Z118" s="478">
        <f>'Budget Filing Data'!R112</f>
        <v>0</v>
      </c>
      <c r="AA118" s="478">
        <f>'Budget Filing Data'!S112</f>
        <v>0</v>
      </c>
      <c r="AB118" s="478">
        <f>'Budget Filing Data'!AO112</f>
        <v>0</v>
      </c>
      <c r="AC118" s="478">
        <f>'Budget Filing Data'!AP112</f>
        <v>0</v>
      </c>
      <c r="AD118" s="478">
        <f>'Budget Filing Data'!T112</f>
        <v>0</v>
      </c>
      <c r="AE118" s="478">
        <f>'Budget Filing Data'!U112</f>
        <v>0</v>
      </c>
      <c r="AF118" s="478">
        <f>'Budget Filing Data'!$V112</f>
        <v>0</v>
      </c>
      <c r="AG118" s="478">
        <f>'Budget Filing Data'!$W112</f>
        <v>0</v>
      </c>
      <c r="AH118" s="479">
        <v>0</v>
      </c>
    </row>
    <row r="119" spans="3:34">
      <c r="C119" s="470" t="str">
        <f>'Budget Filing Data'!D113</f>
        <v>SDGE_SW_HVAC_QIQM_PA</v>
      </c>
      <c r="D119" s="470" t="str">
        <f>'Budget Filing Data'!E113</f>
        <v>SW HVAC QI/QM Program (Utility)</v>
      </c>
      <c r="E119" s="471"/>
      <c r="F119" s="480"/>
      <c r="G119" s="472" t="str">
        <f>'Budget Filing Data'!J113</f>
        <v>IOU Core</v>
      </c>
      <c r="H119" s="472" t="str">
        <f>IF('Budget Filing Data'!H113="","",'Budget Filing Data'!H113)</f>
        <v>SW_HVAC_QIQM - SW HVAC QI/QM Program</v>
      </c>
      <c r="I119" s="473" t="s">
        <v>15</v>
      </c>
      <c r="J119" s="472" t="str">
        <f>'Budget Filing Data'!G113</f>
        <v>Residential</v>
      </c>
      <c r="K119" s="472" t="str">
        <f>'Budget Filing Data'!I113</f>
        <v>Other</v>
      </c>
      <c r="L119" s="472" t="str">
        <f>'Budget Filing Data'!L113</f>
        <v>Market Support</v>
      </c>
      <c r="M119" s="472">
        <f>'Budget Filing Data'!B113</f>
        <v>2029</v>
      </c>
      <c r="N119" s="474">
        <f t="shared" si="1"/>
        <v>311895.95140000002</v>
      </c>
      <c r="O119" s="475">
        <f>'Budget Filing Data'!AQ113</f>
        <v>254671.24650000001</v>
      </c>
      <c r="P119" s="475">
        <f>'Budget Filing Data'!AR113</f>
        <v>750.59259999999995</v>
      </c>
      <c r="Q119" s="475">
        <f>'Budget Filing Data'!AS113</f>
        <v>56474.112300000001</v>
      </c>
      <c r="R119" s="475">
        <f>'Budget Filing Data'!AT113</f>
        <v>0</v>
      </c>
      <c r="S119" s="476">
        <f>'Budget Filing Data'!X113</f>
        <v>0</v>
      </c>
      <c r="T119" s="477">
        <f>IFERROR((('Budget Filing Data'!AF113+'Budget Filing Data'!AG113+'Budget Filing Data'!AY113+'Budget Filing Data'!AH113)/'Budget Filing Data'!AA113),"")</f>
        <v>0</v>
      </c>
      <c r="U119" s="477">
        <f>IFERROR((('Budget Filing Data'!AF113+'Budget Filing Data'!AG113+'Budget Filing Data'!AY113+'Budget Filing Data'!AH113)/'Budget Filing Data'!AB113),"")</f>
        <v>0</v>
      </c>
      <c r="V119" s="477">
        <f>IFERROR((('Budget Filing Data'!AF113+'Budget Filing Data'!AG113+'Budget Filing Data'!AY113+'Budget Filing Data'!AH113+'Budget Filing Data'!AW113+'Budget Filing Data'!AX113)/('Budget Filing Data'!AE113)),"")</f>
        <v>0</v>
      </c>
      <c r="W119" s="477">
        <f>IFERROR(('Budget Filing Data'!AI113+'Budget Filing Data'!AJ113+'Budget Filing Data'!AK113+'Budget Filing Data'!AH113)/('Budget Filing Data'!AC113),"")</f>
        <v>0</v>
      </c>
      <c r="X119" s="477">
        <f>IFERROR(('Budget Filing Data'!AL113+'Budget Filing Data'!AM113+'Budget Filing Data'!AN113+'Budget Filing Data'!AH113)/('Budget Filing Data'!AD113),"")</f>
        <v>0</v>
      </c>
      <c r="Y119" s="478">
        <f>'Budget Filing Data'!Q113</f>
        <v>0</v>
      </c>
      <c r="Z119" s="478">
        <f>'Budget Filing Data'!R113</f>
        <v>0</v>
      </c>
      <c r="AA119" s="478">
        <f>'Budget Filing Data'!S113</f>
        <v>0</v>
      </c>
      <c r="AB119" s="478">
        <f>'Budget Filing Data'!AO113</f>
        <v>0</v>
      </c>
      <c r="AC119" s="478">
        <f>'Budget Filing Data'!AP113</f>
        <v>0</v>
      </c>
      <c r="AD119" s="478">
        <f>'Budget Filing Data'!T113</f>
        <v>0</v>
      </c>
      <c r="AE119" s="478">
        <f>'Budget Filing Data'!U113</f>
        <v>0</v>
      </c>
      <c r="AF119" s="478">
        <f>'Budget Filing Data'!$V113</f>
        <v>0</v>
      </c>
      <c r="AG119" s="478">
        <f>'Budget Filing Data'!$W113</f>
        <v>0</v>
      </c>
      <c r="AH119" s="479">
        <v>0</v>
      </c>
    </row>
    <row r="120" spans="3:34" hidden="1">
      <c r="C120" s="470" t="str">
        <f>'Budget Filing Data'!D114</f>
        <v>SDGE_SW_ETP_Gas</v>
      </c>
      <c r="D120" s="470" t="str">
        <f>'Budget Filing Data'!E114</f>
        <v>SW Emerging Technologies - Gas</v>
      </c>
      <c r="E120" s="471"/>
      <c r="F120" s="471"/>
      <c r="G120" s="472" t="str">
        <f>'Budget Filing Data'!J114</f>
        <v>Third-Party Solicited</v>
      </c>
      <c r="H120" s="472" t="str">
        <f>IF('Budget Filing Data'!H114="","",'Budget Filing Data'!H114)</f>
        <v>SW_ETP_Gas - Emerging Technology Programs - Gas</v>
      </c>
      <c r="I120" s="473" t="s">
        <v>15</v>
      </c>
      <c r="J120" s="472" t="str">
        <f>'Budget Filing Data'!G114</f>
        <v>Cross Cutting</v>
      </c>
      <c r="K120" s="472" t="str">
        <f>'Budget Filing Data'!I114</f>
        <v>Emerging Technologies</v>
      </c>
      <c r="L120" s="472" t="str">
        <f>'Budget Filing Data'!L114</f>
        <v>Market Support</v>
      </c>
      <c r="M120" s="472">
        <f>'Budget Filing Data'!B114</f>
        <v>2029</v>
      </c>
      <c r="N120" s="474">
        <f t="shared" si="1"/>
        <v>495000</v>
      </c>
      <c r="O120" s="475">
        <f>'Budget Filing Data'!AQ114</f>
        <v>6600</v>
      </c>
      <c r="P120" s="475">
        <f>'Budget Filing Data'!AR114</f>
        <v>1914</v>
      </c>
      <c r="Q120" s="475">
        <f>'Budget Filing Data'!AS114</f>
        <v>486486</v>
      </c>
      <c r="R120" s="475">
        <f>'Budget Filing Data'!AT114</f>
        <v>0</v>
      </c>
      <c r="S120" s="476">
        <f>'Budget Filing Data'!X114</f>
        <v>0</v>
      </c>
      <c r="T120" s="477">
        <f>IFERROR((('Budget Filing Data'!AF114+'Budget Filing Data'!AG114+'Budget Filing Data'!AY114+'Budget Filing Data'!AH114)/'Budget Filing Data'!AA114),"")</f>
        <v>0</v>
      </c>
      <c r="U120" s="477">
        <f>IFERROR((('Budget Filing Data'!AF114+'Budget Filing Data'!AG114+'Budget Filing Data'!AY114+'Budget Filing Data'!AH114)/'Budget Filing Data'!AB114),"")</f>
        <v>0</v>
      </c>
      <c r="V120" s="477">
        <f>IFERROR((('Budget Filing Data'!AF114+'Budget Filing Data'!AG114+'Budget Filing Data'!AY114+'Budget Filing Data'!AH114+'Budget Filing Data'!AW114+'Budget Filing Data'!AX114)/('Budget Filing Data'!AE114)),"")</f>
        <v>0</v>
      </c>
      <c r="W120" s="477">
        <f>IFERROR(('Budget Filing Data'!AI114+'Budget Filing Data'!AJ114+'Budget Filing Data'!AK114+'Budget Filing Data'!AH114)/('Budget Filing Data'!AC114),"")</f>
        <v>0</v>
      </c>
      <c r="X120" s="477">
        <f>IFERROR(('Budget Filing Data'!AL114+'Budget Filing Data'!AM114+'Budget Filing Data'!AN114+'Budget Filing Data'!AH114)/('Budget Filing Data'!AD114),"")</f>
        <v>0</v>
      </c>
      <c r="Y120" s="478">
        <f>'Budget Filing Data'!Q114</f>
        <v>0</v>
      </c>
      <c r="Z120" s="478">
        <f>'Budget Filing Data'!R114</f>
        <v>0</v>
      </c>
      <c r="AA120" s="478">
        <f>'Budget Filing Data'!S114</f>
        <v>0</v>
      </c>
      <c r="AB120" s="478">
        <f>'Budget Filing Data'!AO114</f>
        <v>0</v>
      </c>
      <c r="AC120" s="478">
        <f>'Budget Filing Data'!AP114</f>
        <v>0</v>
      </c>
      <c r="AD120" s="478">
        <f>'Budget Filing Data'!T114</f>
        <v>0</v>
      </c>
      <c r="AE120" s="478">
        <f>'Budget Filing Data'!U114</f>
        <v>0</v>
      </c>
      <c r="AF120" s="478">
        <f>'Budget Filing Data'!$V114</f>
        <v>0</v>
      </c>
      <c r="AG120" s="478">
        <f>'Budget Filing Data'!$W114</f>
        <v>0</v>
      </c>
      <c r="AH120" s="479">
        <v>0</v>
      </c>
    </row>
    <row r="121" spans="3:34" hidden="1">
      <c r="C121" s="470" t="str">
        <f>'Budget Filing Data'!D115</f>
        <v>SDGE_SW_ETP_Gas_PA</v>
      </c>
      <c r="D121" s="470" t="str">
        <f>'Budget Filing Data'!E115</f>
        <v>SW Emerging Technologies - Gas (Utility)</v>
      </c>
      <c r="E121" s="471" t="s">
        <v>37</v>
      </c>
      <c r="F121" s="471" t="s">
        <v>324</v>
      </c>
      <c r="G121" s="472" t="str">
        <f>'Budget Filing Data'!J115</f>
        <v>IOU Core</v>
      </c>
      <c r="H121" s="472" t="str">
        <f>IF('Budget Filing Data'!H115="","",'Budget Filing Data'!H115)</f>
        <v>SW_ETP_Gas - Emerging Technology Programs - Gas</v>
      </c>
      <c r="I121" s="473" t="s">
        <v>15</v>
      </c>
      <c r="J121" s="472" t="str">
        <f>'Budget Filing Data'!G115</f>
        <v>Cross Cutting</v>
      </c>
      <c r="K121" s="472" t="str">
        <f>'Budget Filing Data'!I115</f>
        <v>Emerging Technologies</v>
      </c>
      <c r="L121" s="472" t="str">
        <f>'Budget Filing Data'!L115</f>
        <v>Market Support</v>
      </c>
      <c r="M121" s="472">
        <f>'Budget Filing Data'!B115</f>
        <v>2029</v>
      </c>
      <c r="N121" s="474">
        <f t="shared" si="1"/>
        <v>12987.813599999999</v>
      </c>
      <c r="O121" s="475">
        <f>'Budget Filing Data'!AQ115</f>
        <v>6319.6373999999996</v>
      </c>
      <c r="P121" s="475">
        <f>'Budget Filing Data'!AR115</f>
        <v>0</v>
      </c>
      <c r="Q121" s="475">
        <f>'Budget Filing Data'!AS115</f>
        <v>6668.1761999999999</v>
      </c>
      <c r="R121" s="475">
        <f>'Budget Filing Data'!AT115</f>
        <v>0</v>
      </c>
      <c r="S121" s="476">
        <f>'Budget Filing Data'!X115</f>
        <v>0</v>
      </c>
      <c r="T121" s="477">
        <f>IFERROR((('Budget Filing Data'!AF115+'Budget Filing Data'!AG115+'Budget Filing Data'!AY115+'Budget Filing Data'!AH115)/'Budget Filing Data'!AA115),"")</f>
        <v>0</v>
      </c>
      <c r="U121" s="477">
        <f>IFERROR((('Budget Filing Data'!AF115+'Budget Filing Data'!AG115+'Budget Filing Data'!AY115+'Budget Filing Data'!AH115)/'Budget Filing Data'!AB115),"")</f>
        <v>0</v>
      </c>
      <c r="V121" s="477">
        <f>IFERROR((('Budget Filing Data'!AF115+'Budget Filing Data'!AG115+'Budget Filing Data'!AY115+'Budget Filing Data'!AH115+'Budget Filing Data'!AW115+'Budget Filing Data'!AX115)/('Budget Filing Data'!AE115)),"")</f>
        <v>0</v>
      </c>
      <c r="W121" s="477">
        <f>IFERROR(('Budget Filing Data'!AI115+'Budget Filing Data'!AJ115+'Budget Filing Data'!AK115+'Budget Filing Data'!AH115)/('Budget Filing Data'!AC115),"")</f>
        <v>0</v>
      </c>
      <c r="X121" s="477">
        <f>IFERROR(('Budget Filing Data'!AL115+'Budget Filing Data'!AM115+'Budget Filing Data'!AN115+'Budget Filing Data'!AH115)/('Budget Filing Data'!AD115),"")</f>
        <v>0</v>
      </c>
      <c r="Y121" s="478">
        <f>'Budget Filing Data'!Q115</f>
        <v>0</v>
      </c>
      <c r="Z121" s="478">
        <f>'Budget Filing Data'!R115</f>
        <v>0</v>
      </c>
      <c r="AA121" s="478">
        <f>'Budget Filing Data'!S115</f>
        <v>0</v>
      </c>
      <c r="AB121" s="478">
        <f>'Budget Filing Data'!AO115</f>
        <v>0</v>
      </c>
      <c r="AC121" s="478">
        <f>'Budget Filing Data'!AP115</f>
        <v>0</v>
      </c>
      <c r="AD121" s="478">
        <f>'Budget Filing Data'!T115</f>
        <v>0</v>
      </c>
      <c r="AE121" s="478">
        <f>'Budget Filing Data'!U115</f>
        <v>0</v>
      </c>
      <c r="AF121" s="478">
        <f>'Budget Filing Data'!$V115</f>
        <v>0</v>
      </c>
      <c r="AG121" s="478">
        <f>'Budget Filing Data'!$W115</f>
        <v>0</v>
      </c>
      <c r="AH121" s="479">
        <v>0</v>
      </c>
    </row>
    <row r="122" spans="3:34" hidden="1">
      <c r="C122" s="470" t="str">
        <f>'Budget Filing Data'!D116</f>
        <v>SDGE_SW_NC_NonRes_Ag_electric</v>
      </c>
      <c r="D122" s="470" t="str">
        <f>'Budget Filing Data'!E116</f>
        <v>SW New Construction Non Residential - Agricultural - All Electric</v>
      </c>
      <c r="E122" s="471"/>
      <c r="F122" s="480"/>
      <c r="G122" s="472" t="str">
        <f>'Budget Filing Data'!J116</f>
        <v>Third-Party Solicited</v>
      </c>
      <c r="H122" s="472" t="str">
        <f>IF('Budget Filing Data'!H116="","",'Budget Filing Data'!H116)</f>
        <v>SW_NC_NonRes_Ag_electric - New Construction - NonResidential - All Electric</v>
      </c>
      <c r="I122" s="473" t="s">
        <v>24</v>
      </c>
      <c r="J122" s="472" t="str">
        <f>'Budget Filing Data'!G116</f>
        <v>Agricultural</v>
      </c>
      <c r="K122" s="472" t="str">
        <f>'Budget Filing Data'!I116</f>
        <v>New Construction</v>
      </c>
      <c r="L122" s="472" t="str">
        <f>'Budget Filing Data'!L116</f>
        <v>Market Support</v>
      </c>
      <c r="M122" s="472">
        <f>'Budget Filing Data'!B116</f>
        <v>2029</v>
      </c>
      <c r="N122" s="474">
        <f t="shared" si="1"/>
        <v>64653.152099999992</v>
      </c>
      <c r="O122" s="475">
        <f>'Budget Filing Data'!AQ116</f>
        <v>5592.3904000000002</v>
      </c>
      <c r="P122" s="475">
        <f>'Budget Filing Data'!AR116</f>
        <v>4194.2928000000002</v>
      </c>
      <c r="Q122" s="475">
        <f>'Budget Filing Data'!AS116</f>
        <v>18175.268899999999</v>
      </c>
      <c r="R122" s="475">
        <f>'Budget Filing Data'!AT116</f>
        <v>36691.199999999997</v>
      </c>
      <c r="S122" s="476">
        <f>'Budget Filing Data'!X116</f>
        <v>2850.8985845752286</v>
      </c>
      <c r="T122" s="477">
        <f>IFERROR((('Budget Filing Data'!AF116+'Budget Filing Data'!AG116+'Budget Filing Data'!AY116+'Budget Filing Data'!AH116)/'Budget Filing Data'!AA116),"")</f>
        <v>6.0602703133900072E-2</v>
      </c>
      <c r="U122" s="477">
        <f>IFERROR((('Budget Filing Data'!AF116+'Budget Filing Data'!AG116+'Budget Filing Data'!AY116+'Budget Filing Data'!AH116)/'Budget Filing Data'!AB116),"")</f>
        <v>4.549414180522119E-2</v>
      </c>
      <c r="V122" s="477">
        <f>IFERROR((('Budget Filing Data'!AF116+'Budget Filing Data'!AG116+'Budget Filing Data'!AY116+'Budget Filing Data'!AH116+'Budget Filing Data'!AW116+'Budget Filing Data'!AX116)/('Budget Filing Data'!AE116)),"")</f>
        <v>4.1347569488886821E-2</v>
      </c>
      <c r="W122" s="477">
        <f>IFERROR(('Budget Filing Data'!AI116+'Budget Filing Data'!AJ116+'Budget Filing Data'!AK116+'Budget Filing Data'!AH116)/('Budget Filing Data'!AC116),"")</f>
        <v>6.4343840318794643E-2</v>
      </c>
      <c r="X122" s="477">
        <f>IFERROR(('Budget Filing Data'!AL116+'Budget Filing Data'!AM116+'Budget Filing Data'!AN116+'Budget Filing Data'!AH116)/('Budget Filing Data'!AD116),"")</f>
        <v>6.4343840318794643E-2</v>
      </c>
      <c r="Y122" s="478">
        <f>'Budget Filing Data'!Q116</f>
        <v>1732.6399999999981</v>
      </c>
      <c r="Z122" s="478">
        <f>'Budget Filing Data'!R116</f>
        <v>7.4547199999999994E-2</v>
      </c>
      <c r="AA122" s="478">
        <f>'Budget Filing Data'!S116</f>
        <v>0</v>
      </c>
      <c r="AB122" s="478">
        <f>'Budget Filing Data'!AO116</f>
        <v>0.33158380673599996</v>
      </c>
      <c r="AC122" s="478">
        <f>'Budget Filing Data'!AP116</f>
        <v>0</v>
      </c>
      <c r="AD122" s="478">
        <f>'Budget Filing Data'!T116</f>
        <v>17326.39999999998</v>
      </c>
      <c r="AE122" s="478">
        <f>'Budget Filing Data'!U116</f>
        <v>0</v>
      </c>
      <c r="AF122" s="478">
        <f>'Budget Filing Data'!$V116</f>
        <v>3.2914200584719899</v>
      </c>
      <c r="AG122" s="478">
        <f>'Budget Filing Data'!$W116</f>
        <v>0</v>
      </c>
      <c r="AH122" s="479">
        <v>0</v>
      </c>
    </row>
    <row r="123" spans="3:34" hidden="1">
      <c r="C123" s="470" t="str">
        <f>'Budget Filing Data'!D117</f>
        <v>SDGE_SW_NC_NonRes_Ag_electric_PA</v>
      </c>
      <c r="D123" s="470" t="str">
        <f>'Budget Filing Data'!E117</f>
        <v>SW New Construction Non Residential - Agricultural - All Electric (Utility)</v>
      </c>
      <c r="E123" s="471"/>
      <c r="F123" s="480"/>
      <c r="G123" s="472" t="str">
        <f>'Budget Filing Data'!J117</f>
        <v>IOU Core</v>
      </c>
      <c r="H123" s="472" t="str">
        <f>IF('Budget Filing Data'!H117="","",'Budget Filing Data'!H117)</f>
        <v>SW_NC_NonRes_Ag_electric - New Construction - NonResidential - All Electric</v>
      </c>
      <c r="I123" s="473" t="s">
        <v>24</v>
      </c>
      <c r="J123" s="472" t="str">
        <f>'Budget Filing Data'!G117</f>
        <v>Agricultural</v>
      </c>
      <c r="K123" s="472" t="str">
        <f>'Budget Filing Data'!I117</f>
        <v>New Construction</v>
      </c>
      <c r="L123" s="472" t="str">
        <f>'Budget Filing Data'!L117</f>
        <v>Market Support</v>
      </c>
      <c r="M123" s="472">
        <f>'Budget Filing Data'!B117</f>
        <v>2029</v>
      </c>
      <c r="N123" s="474">
        <f t="shared" si="1"/>
        <v>578.82719999999995</v>
      </c>
      <c r="O123" s="475">
        <f>'Budget Filing Data'!AQ117</f>
        <v>578.82719999999995</v>
      </c>
      <c r="P123" s="475">
        <f>'Budget Filing Data'!AR117</f>
        <v>0</v>
      </c>
      <c r="Q123" s="475">
        <f>'Budget Filing Data'!AS117</f>
        <v>0</v>
      </c>
      <c r="R123" s="475">
        <f>'Budget Filing Data'!AT117</f>
        <v>0</v>
      </c>
      <c r="S123" s="476">
        <f>'Budget Filing Data'!X117</f>
        <v>0</v>
      </c>
      <c r="T123" s="477">
        <f>IFERROR((('Budget Filing Data'!AF117+'Budget Filing Data'!AG117+'Budget Filing Data'!AY117+'Budget Filing Data'!AH117)/'Budget Filing Data'!AA117),"")</f>
        <v>0</v>
      </c>
      <c r="U123" s="477">
        <f>IFERROR((('Budget Filing Data'!AF117+'Budget Filing Data'!AG117+'Budget Filing Data'!AY117+'Budget Filing Data'!AH117)/'Budget Filing Data'!AB117),"")</f>
        <v>0</v>
      </c>
      <c r="V123" s="477">
        <f>IFERROR((('Budget Filing Data'!AF117+'Budget Filing Data'!AG117+'Budget Filing Data'!AY117+'Budget Filing Data'!AH117+'Budget Filing Data'!AW117+'Budget Filing Data'!AX117)/('Budget Filing Data'!AE117)),"")</f>
        <v>0</v>
      </c>
      <c r="W123" s="477">
        <f>IFERROR(('Budget Filing Data'!AI117+'Budget Filing Data'!AJ117+'Budget Filing Data'!AK117+'Budget Filing Data'!AH117)/('Budget Filing Data'!AC117),"")</f>
        <v>0</v>
      </c>
      <c r="X123" s="477">
        <f>IFERROR(('Budget Filing Data'!AL117+'Budget Filing Data'!AM117+'Budget Filing Data'!AN117+'Budget Filing Data'!AH117)/('Budget Filing Data'!AD117),"")</f>
        <v>0</v>
      </c>
      <c r="Y123" s="478">
        <f>'Budget Filing Data'!Q117</f>
        <v>0</v>
      </c>
      <c r="Z123" s="478">
        <f>'Budget Filing Data'!R117</f>
        <v>0</v>
      </c>
      <c r="AA123" s="478">
        <f>'Budget Filing Data'!S117</f>
        <v>0</v>
      </c>
      <c r="AB123" s="478">
        <f>'Budget Filing Data'!AO117</f>
        <v>0</v>
      </c>
      <c r="AC123" s="478">
        <f>'Budget Filing Data'!AP117</f>
        <v>0</v>
      </c>
      <c r="AD123" s="478">
        <f>'Budget Filing Data'!T117</f>
        <v>0</v>
      </c>
      <c r="AE123" s="478">
        <f>'Budget Filing Data'!U117</f>
        <v>0</v>
      </c>
      <c r="AF123" s="478">
        <f>'Budget Filing Data'!$V117</f>
        <v>0</v>
      </c>
      <c r="AG123" s="478">
        <f>'Budget Filing Data'!$W117</f>
        <v>0</v>
      </c>
      <c r="AH123" s="479">
        <v>0</v>
      </c>
    </row>
    <row r="124" spans="3:34" hidden="1">
      <c r="C124" s="470" t="str">
        <f>'Budget Filing Data'!D118</f>
        <v>SDGE_SW_NC_NonRes_Com_electric</v>
      </c>
      <c r="D124" s="470" t="str">
        <f>'Budget Filing Data'!E118</f>
        <v>SW New Construction Non Residential - Commercial - All Electric</v>
      </c>
      <c r="E124" s="471"/>
      <c r="F124" s="471"/>
      <c r="G124" s="472" t="str">
        <f>'Budget Filing Data'!J118</f>
        <v>Third-Party Solicited</v>
      </c>
      <c r="H124" s="472" t="str">
        <f>IF('Budget Filing Data'!H118="","",'Budget Filing Data'!H118)</f>
        <v>SW_NC_NonRes_Com_electric - New Construction - NonResidential - All Electric</v>
      </c>
      <c r="I124" s="473" t="s">
        <v>24</v>
      </c>
      <c r="J124" s="472" t="str">
        <f>'Budget Filing Data'!G118</f>
        <v>Commercial</v>
      </c>
      <c r="K124" s="472" t="str">
        <f>'Budget Filing Data'!I118</f>
        <v>New Construction</v>
      </c>
      <c r="L124" s="472" t="str">
        <f>'Budget Filing Data'!L118</f>
        <v>Market Support</v>
      </c>
      <c r="M124" s="472">
        <f>'Budget Filing Data'!B118</f>
        <v>2029</v>
      </c>
      <c r="N124" s="474">
        <f t="shared" si="1"/>
        <v>413780.1739252999</v>
      </c>
      <c r="O124" s="475">
        <f>'Budget Filing Data'!AQ118</f>
        <v>35791.298799999997</v>
      </c>
      <c r="P124" s="475">
        <f>'Budget Filing Data'!AR118</f>
        <v>26843.474099999999</v>
      </c>
      <c r="Q124" s="475">
        <f>'Budget Filing Data'!AS118</f>
        <v>116321.7212</v>
      </c>
      <c r="R124" s="475">
        <f>'Budget Filing Data'!AT118</f>
        <v>234823.67982529989</v>
      </c>
      <c r="S124" s="476">
        <f>'Budget Filing Data'!X118</f>
        <v>194003.23647913348</v>
      </c>
      <c r="T124" s="477">
        <f>IFERROR((('Budget Filing Data'!AF118+'Budget Filing Data'!AG118+'Budget Filing Data'!AY118+'Budget Filing Data'!AH118)/'Budget Filing Data'!AA118),"")</f>
        <v>0.5660803020044779</v>
      </c>
      <c r="U124" s="477">
        <f>IFERROR((('Budget Filing Data'!AF118+'Budget Filing Data'!AG118+'Budget Filing Data'!AY118+'Budget Filing Data'!AH118)/'Budget Filing Data'!AB118),"")</f>
        <v>0.48503593366794717</v>
      </c>
      <c r="V124" s="477">
        <f>IFERROR((('Budget Filing Data'!AF118+'Budget Filing Data'!AG118+'Budget Filing Data'!AY118+'Budget Filing Data'!AH118+'Budget Filing Data'!AW118+'Budget Filing Data'!AX118)/('Budget Filing Data'!AE118)),"")</f>
        <v>0.22335276022362824</v>
      </c>
      <c r="W124" s="477">
        <f>IFERROR(('Budget Filing Data'!AI118+'Budget Filing Data'!AJ118+'Budget Filing Data'!AK118+'Budget Filing Data'!AH118)/('Budget Filing Data'!AC118),"")</f>
        <v>0.66687465499582455</v>
      </c>
      <c r="X124" s="477">
        <f>IFERROR(('Budget Filing Data'!AL118+'Budget Filing Data'!AM118+'Budget Filing Data'!AN118+'Budget Filing Data'!AH118)/('Budget Filing Data'!AD118),"")</f>
        <v>0.66689863918888448</v>
      </c>
      <c r="Y124" s="478">
        <f>'Budget Filing Data'!Q118</f>
        <v>160799.61515799965</v>
      </c>
      <c r="Z124" s="478">
        <f>'Budget Filing Data'!R118</f>
        <v>22.125716248999961</v>
      </c>
      <c r="AA124" s="478">
        <f>'Budget Filing Data'!S118</f>
        <v>384.8548704000001</v>
      </c>
      <c r="AB124" s="478">
        <f>'Budget Filing Data'!AO118</f>
        <v>24.727475766200982</v>
      </c>
      <c r="AC124" s="478">
        <f>'Budget Filing Data'!AP118</f>
        <v>2.0435793618239959</v>
      </c>
      <c r="AD124" s="478">
        <f>'Budget Filing Data'!T118</f>
        <v>2057186.0913239955</v>
      </c>
      <c r="AE124" s="478">
        <f>'Budget Filing Data'!U118</f>
        <v>5407.135624799992</v>
      </c>
      <c r="AF124" s="478">
        <f>'Budget Filing Data'!$V118</f>
        <v>316.37656109057906</v>
      </c>
      <c r="AG124" s="478">
        <f>'Budget Filing Data'!$W118</f>
        <v>28.711890167687962</v>
      </c>
      <c r="AH124" s="479">
        <v>0</v>
      </c>
    </row>
    <row r="125" spans="3:34" ht="25.5" hidden="1">
      <c r="C125" s="470" t="str">
        <f>'Budget Filing Data'!D119</f>
        <v>SDGE_SW_NC_NonRes_Com_electric_PA</v>
      </c>
      <c r="D125" s="470" t="str">
        <f>'Budget Filing Data'!E119</f>
        <v>SW New Construction Non Residential - Commercial - All Electric (Utility)</v>
      </c>
      <c r="E125" s="471" t="s">
        <v>42</v>
      </c>
      <c r="F125" s="471" t="s">
        <v>325</v>
      </c>
      <c r="G125" s="472" t="str">
        <f>'Budget Filing Data'!J119</f>
        <v>IOU Core</v>
      </c>
      <c r="H125" s="472" t="str">
        <f>IF('Budget Filing Data'!H119="","",'Budget Filing Data'!H119)</f>
        <v>SW_NC_NonRes_Com_electric - New Construction - NonResidential - All Electric</v>
      </c>
      <c r="I125" s="473" t="s">
        <v>24</v>
      </c>
      <c r="J125" s="472" t="str">
        <f>'Budget Filing Data'!G119</f>
        <v>Commercial</v>
      </c>
      <c r="K125" s="472" t="str">
        <f>'Budget Filing Data'!I119</f>
        <v>New Construction</v>
      </c>
      <c r="L125" s="472" t="str">
        <f>'Budget Filing Data'!L119</f>
        <v>Market Support</v>
      </c>
      <c r="M125" s="472">
        <f>'Budget Filing Data'!B119</f>
        <v>2029</v>
      </c>
      <c r="N125" s="474">
        <f t="shared" si="1"/>
        <v>2717.3272000000002</v>
      </c>
      <c r="O125" s="475">
        <f>'Budget Filing Data'!AQ119</f>
        <v>2717.3272000000002</v>
      </c>
      <c r="P125" s="475">
        <f>'Budget Filing Data'!AR119</f>
        <v>0</v>
      </c>
      <c r="Q125" s="475">
        <f>'Budget Filing Data'!AS119</f>
        <v>0</v>
      </c>
      <c r="R125" s="475">
        <f>'Budget Filing Data'!AT119</f>
        <v>0</v>
      </c>
      <c r="S125" s="476">
        <f>'Budget Filing Data'!X119</f>
        <v>0</v>
      </c>
      <c r="T125" s="477">
        <f>IFERROR((('Budget Filing Data'!AF119+'Budget Filing Data'!AG119+'Budget Filing Data'!AY119+'Budget Filing Data'!AH119)/'Budget Filing Data'!AA119),"")</f>
        <v>0</v>
      </c>
      <c r="U125" s="477">
        <f>IFERROR((('Budget Filing Data'!AF119+'Budget Filing Data'!AG119+'Budget Filing Data'!AY119+'Budget Filing Data'!AH119)/'Budget Filing Data'!AB119),"")</f>
        <v>0</v>
      </c>
      <c r="V125" s="477">
        <f>IFERROR((('Budget Filing Data'!AF119+'Budget Filing Data'!AG119+'Budget Filing Data'!AY119+'Budget Filing Data'!AH119+'Budget Filing Data'!AW119+'Budget Filing Data'!AX119)/('Budget Filing Data'!AE119)),"")</f>
        <v>0</v>
      </c>
      <c r="W125" s="477">
        <f>IFERROR(('Budget Filing Data'!AI119+'Budget Filing Data'!AJ119+'Budget Filing Data'!AK119+'Budget Filing Data'!AH119)/('Budget Filing Data'!AC119),"")</f>
        <v>0</v>
      </c>
      <c r="X125" s="477">
        <f>IFERROR(('Budget Filing Data'!AL119+'Budget Filing Data'!AM119+'Budget Filing Data'!AN119+'Budget Filing Data'!AH119)/('Budget Filing Data'!AD119),"")</f>
        <v>0</v>
      </c>
      <c r="Y125" s="478">
        <f>'Budget Filing Data'!Q119</f>
        <v>0</v>
      </c>
      <c r="Z125" s="478">
        <f>'Budget Filing Data'!R119</f>
        <v>0</v>
      </c>
      <c r="AA125" s="478">
        <f>'Budget Filing Data'!S119</f>
        <v>0</v>
      </c>
      <c r="AB125" s="478">
        <f>'Budget Filing Data'!AO119</f>
        <v>0</v>
      </c>
      <c r="AC125" s="478">
        <f>'Budget Filing Data'!AP119</f>
        <v>0</v>
      </c>
      <c r="AD125" s="478">
        <f>'Budget Filing Data'!T119</f>
        <v>0</v>
      </c>
      <c r="AE125" s="478">
        <f>'Budget Filing Data'!U119</f>
        <v>0</v>
      </c>
      <c r="AF125" s="478">
        <f>'Budget Filing Data'!$V119</f>
        <v>0</v>
      </c>
      <c r="AG125" s="478">
        <f>'Budget Filing Data'!$W119</f>
        <v>0</v>
      </c>
      <c r="AH125" s="479">
        <v>0</v>
      </c>
    </row>
    <row r="126" spans="3:34" hidden="1">
      <c r="C126" s="470" t="str">
        <f>'Budget Filing Data'!D120</f>
        <v>SDGE_SW_NC_NonRes_Ind_electric</v>
      </c>
      <c r="D126" s="470" t="str">
        <f>'Budget Filing Data'!E120</f>
        <v>SW New Construction Non Residential - Industrial - All Electric</v>
      </c>
      <c r="E126" s="471"/>
      <c r="F126" s="480"/>
      <c r="G126" s="472" t="str">
        <f>'Budget Filing Data'!J120</f>
        <v>Third-Party Solicited</v>
      </c>
      <c r="H126" s="472" t="str">
        <f>IF('Budget Filing Data'!H120="","",'Budget Filing Data'!H120)</f>
        <v>SW_NC_NonRes_Ind_electric - New Construction - NonResidential - All Electric</v>
      </c>
      <c r="I126" s="473" t="s">
        <v>24</v>
      </c>
      <c r="J126" s="472" t="str">
        <f>'Budget Filing Data'!G120</f>
        <v>Industrial</v>
      </c>
      <c r="K126" s="472" t="str">
        <f>'Budget Filing Data'!I120</f>
        <v>New Construction</v>
      </c>
      <c r="L126" s="472" t="str">
        <f>'Budget Filing Data'!L120</f>
        <v>Market Support</v>
      </c>
      <c r="M126" s="472">
        <f>'Budget Filing Data'!B120</f>
        <v>2029</v>
      </c>
      <c r="N126" s="474">
        <f t="shared" si="1"/>
        <v>64653.152099999992</v>
      </c>
      <c r="O126" s="475">
        <f>'Budget Filing Data'!AQ120</f>
        <v>5592.3904000000002</v>
      </c>
      <c r="P126" s="475">
        <f>'Budget Filing Data'!AR120</f>
        <v>4194.2928000000002</v>
      </c>
      <c r="Q126" s="475">
        <f>'Budget Filing Data'!AS120</f>
        <v>18175.268899999999</v>
      </c>
      <c r="R126" s="475">
        <f>'Budget Filing Data'!AT120</f>
        <v>36691.199999999997</v>
      </c>
      <c r="S126" s="476">
        <f>'Budget Filing Data'!X120</f>
        <v>1634.921680242639</v>
      </c>
      <c r="T126" s="477">
        <f>IFERROR((('Budget Filing Data'!AF120+'Budget Filing Data'!AG120+'Budget Filing Data'!AY120+'Budget Filing Data'!AH120)/'Budget Filing Data'!AA120),"")</f>
        <v>3.5420696672464697E-2</v>
      </c>
      <c r="U126" s="477">
        <f>IFERROR((('Budget Filing Data'!AF120+'Budget Filing Data'!AG120+'Budget Filing Data'!AY120+'Budget Filing Data'!AH120)/'Budget Filing Data'!AB120),"")</f>
        <v>2.6100256101486256E-2</v>
      </c>
      <c r="V126" s="477">
        <f>IFERROR((('Budget Filing Data'!AF120+'Budget Filing Data'!AG120+'Budget Filing Data'!AY120+'Budget Filing Data'!AH120+'Budget Filing Data'!AW120+'Budget Filing Data'!AX120)/('Budget Filing Data'!AE120)),"")</f>
        <v>2.4853528909456208E-2</v>
      </c>
      <c r="W126" s="477">
        <f>IFERROR(('Budget Filing Data'!AI120+'Budget Filing Data'!AJ120+'Budget Filing Data'!AK120+'Budget Filing Data'!AH120)/('Budget Filing Data'!AC120),"")</f>
        <v>3.7332123306206028E-2</v>
      </c>
      <c r="X126" s="477">
        <f>IFERROR(('Budget Filing Data'!AL120+'Budget Filing Data'!AM120+'Budget Filing Data'!AN120+'Budget Filing Data'!AH120)/('Budget Filing Data'!AD120),"")</f>
        <v>3.7332123306206028E-2</v>
      </c>
      <c r="Y126" s="478">
        <f>'Budget Filing Data'!Q120</f>
        <v>866.31999999999903</v>
      </c>
      <c r="Z126" s="478">
        <f>'Budget Filing Data'!R120</f>
        <v>3.7273599999999997E-2</v>
      </c>
      <c r="AA126" s="478">
        <f>'Budget Filing Data'!S120</f>
        <v>0</v>
      </c>
      <c r="AB126" s="478">
        <f>'Budget Filing Data'!AO120</f>
        <v>0.164355977968</v>
      </c>
      <c r="AC126" s="478">
        <f>'Budget Filing Data'!AP120</f>
        <v>0</v>
      </c>
      <c r="AD126" s="478">
        <f>'Budget Filing Data'!T120</f>
        <v>8663.1999999999898</v>
      </c>
      <c r="AE126" s="478">
        <f>'Budget Filing Data'!U120</f>
        <v>0</v>
      </c>
      <c r="AF126" s="478">
        <f>'Budget Filing Data'!$V120</f>
        <v>1.6476633642559999</v>
      </c>
      <c r="AG126" s="478">
        <f>'Budget Filing Data'!$W120</f>
        <v>0</v>
      </c>
      <c r="AH126" s="479">
        <v>0</v>
      </c>
    </row>
    <row r="127" spans="3:34" hidden="1">
      <c r="C127" s="470" t="str">
        <f>'Budget Filing Data'!D121</f>
        <v>SDGE_SW_NC_NonRes_Ind_electric_PA</v>
      </c>
      <c r="D127" s="470" t="str">
        <f>'Budget Filing Data'!E121</f>
        <v>SW New Construction Non Residential - Industrial - All Electric (Utility)</v>
      </c>
      <c r="E127" s="471"/>
      <c r="F127" s="480"/>
      <c r="G127" s="472" t="str">
        <f>'Budget Filing Data'!J121</f>
        <v>IOU Core</v>
      </c>
      <c r="H127" s="472" t="str">
        <f>IF('Budget Filing Data'!H121="","",'Budget Filing Data'!H121)</f>
        <v>SW_NC_NonRes_Ind_electric - New Construction - NonResidential - All Electric</v>
      </c>
      <c r="I127" s="473" t="s">
        <v>24</v>
      </c>
      <c r="J127" s="472" t="str">
        <f>'Budget Filing Data'!G121</f>
        <v>Industrial</v>
      </c>
      <c r="K127" s="472" t="str">
        <f>'Budget Filing Data'!I121</f>
        <v>New Construction</v>
      </c>
      <c r="L127" s="472" t="str">
        <f>'Budget Filing Data'!L121</f>
        <v>Market Support</v>
      </c>
      <c r="M127" s="472">
        <f>'Budget Filing Data'!B121</f>
        <v>2029</v>
      </c>
      <c r="N127" s="474">
        <f t="shared" si="1"/>
        <v>578.82719999999995</v>
      </c>
      <c r="O127" s="475">
        <f>'Budget Filing Data'!AQ121</f>
        <v>578.82719999999995</v>
      </c>
      <c r="P127" s="475">
        <f>'Budget Filing Data'!AR121</f>
        <v>0</v>
      </c>
      <c r="Q127" s="475">
        <f>'Budget Filing Data'!AS121</f>
        <v>0</v>
      </c>
      <c r="R127" s="475">
        <f>'Budget Filing Data'!AT121</f>
        <v>0</v>
      </c>
      <c r="S127" s="476">
        <f>'Budget Filing Data'!X121</f>
        <v>0</v>
      </c>
      <c r="T127" s="477">
        <f>IFERROR((('Budget Filing Data'!AF121+'Budget Filing Data'!AG121+'Budget Filing Data'!AY121+'Budget Filing Data'!AH121)/'Budget Filing Data'!AA121),"")</f>
        <v>0</v>
      </c>
      <c r="U127" s="477">
        <f>IFERROR((('Budget Filing Data'!AF121+'Budget Filing Data'!AG121+'Budget Filing Data'!AY121+'Budget Filing Data'!AH121)/'Budget Filing Data'!AB121),"")</f>
        <v>0</v>
      </c>
      <c r="V127" s="477">
        <f>IFERROR((('Budget Filing Data'!AF121+'Budget Filing Data'!AG121+'Budget Filing Data'!AY121+'Budget Filing Data'!AH121+'Budget Filing Data'!AW121+'Budget Filing Data'!AX121)/('Budget Filing Data'!AE121)),"")</f>
        <v>0</v>
      </c>
      <c r="W127" s="477">
        <f>IFERROR(('Budget Filing Data'!AI121+'Budget Filing Data'!AJ121+'Budget Filing Data'!AK121+'Budget Filing Data'!AH121)/('Budget Filing Data'!AC121),"")</f>
        <v>0</v>
      </c>
      <c r="X127" s="477">
        <f>IFERROR(('Budget Filing Data'!AL121+'Budget Filing Data'!AM121+'Budget Filing Data'!AN121+'Budget Filing Data'!AH121)/('Budget Filing Data'!AD121),"")</f>
        <v>0</v>
      </c>
      <c r="Y127" s="478">
        <f>'Budget Filing Data'!Q121</f>
        <v>0</v>
      </c>
      <c r="Z127" s="478">
        <f>'Budget Filing Data'!R121</f>
        <v>0</v>
      </c>
      <c r="AA127" s="478">
        <f>'Budget Filing Data'!S121</f>
        <v>0</v>
      </c>
      <c r="AB127" s="478">
        <f>'Budget Filing Data'!AO121</f>
        <v>0</v>
      </c>
      <c r="AC127" s="478">
        <f>'Budget Filing Data'!AP121</f>
        <v>0</v>
      </c>
      <c r="AD127" s="478">
        <f>'Budget Filing Data'!T121</f>
        <v>0</v>
      </c>
      <c r="AE127" s="478">
        <f>'Budget Filing Data'!U121</f>
        <v>0</v>
      </c>
      <c r="AF127" s="478">
        <f>'Budget Filing Data'!$V121</f>
        <v>0</v>
      </c>
      <c r="AG127" s="478">
        <f>'Budget Filing Data'!$W121</f>
        <v>0</v>
      </c>
      <c r="AH127" s="479">
        <v>0</v>
      </c>
    </row>
    <row r="128" spans="3:34" hidden="1">
      <c r="C128" s="470" t="str">
        <f>'Budget Filing Data'!D122</f>
        <v>SDGE_SW_NC_NonRes_Pub_electric</v>
      </c>
      <c r="D128" s="470" t="str">
        <f>'Budget Filing Data'!E122</f>
        <v>SW New Construction Non Residential - Public - All Electric</v>
      </c>
      <c r="E128" s="471"/>
      <c r="F128" s="480"/>
      <c r="G128" s="472" t="str">
        <f>'Budget Filing Data'!J122</f>
        <v>Third-Party Solicited</v>
      </c>
      <c r="H128" s="472" t="str">
        <f>IF('Budget Filing Data'!H122="","",'Budget Filing Data'!H122)</f>
        <v>SW_NC_NonRes_Pub_electric - New Construction - NonResidential - All Electric</v>
      </c>
      <c r="I128" s="473" t="s">
        <v>24</v>
      </c>
      <c r="J128" s="472" t="str">
        <f>'Budget Filing Data'!G122</f>
        <v>Public</v>
      </c>
      <c r="K128" s="472" t="str">
        <f>'Budget Filing Data'!I122</f>
        <v>New Construction</v>
      </c>
      <c r="L128" s="472" t="str">
        <f>'Budget Filing Data'!L122</f>
        <v>Market Support</v>
      </c>
      <c r="M128" s="472">
        <f>'Budget Filing Data'!B122</f>
        <v>2029</v>
      </c>
      <c r="N128" s="474">
        <f t="shared" si="1"/>
        <v>271543.23946870008</v>
      </c>
      <c r="O128" s="475">
        <f>'Budget Filing Data'!AQ122</f>
        <v>23488.039799999999</v>
      </c>
      <c r="P128" s="475">
        <f>'Budget Filing Data'!AR122</f>
        <v>17616.029900000001</v>
      </c>
      <c r="Q128" s="475">
        <f>'Budget Filing Data'!AS122</f>
        <v>76336.129499999995</v>
      </c>
      <c r="R128" s="475">
        <f>'Budget Filing Data'!AT122</f>
        <v>154103.04026870008</v>
      </c>
      <c r="S128" s="476">
        <f>'Budget Filing Data'!X122</f>
        <v>39517.636343593207</v>
      </c>
      <c r="T128" s="477">
        <f>IFERROR((('Budget Filing Data'!AF122+'Budget Filing Data'!AG122+'Budget Filing Data'!AY122+'Budget Filing Data'!AH122)/'Budget Filing Data'!AA122),"")</f>
        <v>0.19228100901123626</v>
      </c>
      <c r="U128" s="477">
        <f>IFERROR((('Budget Filing Data'!AF122+'Budget Filing Data'!AG122+'Budget Filing Data'!AY122+'Budget Filing Data'!AH122)/'Budget Filing Data'!AB122),"")</f>
        <v>0.15020084259417335</v>
      </c>
      <c r="V128" s="477">
        <f>IFERROR((('Budget Filing Data'!AF122+'Budget Filing Data'!AG122+'Budget Filing Data'!AY122+'Budget Filing Data'!AH122+'Budget Filing Data'!AW122+'Budget Filing Data'!AX122)/('Budget Filing Data'!AE122)),"")</f>
        <v>0.12241751240656484</v>
      </c>
      <c r="W128" s="477">
        <f>IFERROR(('Budget Filing Data'!AI122+'Budget Filing Data'!AJ122+'Budget Filing Data'!AK122+'Budget Filing Data'!AH122)/('Budget Filing Data'!AC122),"")</f>
        <v>0.20360650437806393</v>
      </c>
      <c r="X128" s="477">
        <f>IFERROR(('Budget Filing Data'!AL122+'Budget Filing Data'!AM122+'Budget Filing Data'!AN122+'Budget Filing Data'!AH122)/('Budget Filing Data'!AD122),"")</f>
        <v>0.20360695333753295</v>
      </c>
      <c r="Y128" s="478">
        <f>'Budget Filing Data'!Q122</f>
        <v>16105.393303999997</v>
      </c>
      <c r="Z128" s="478">
        <f>'Budget Filing Data'!R122</f>
        <v>2.4333389989999987</v>
      </c>
      <c r="AA128" s="478">
        <f>'Budget Filing Data'!S122</f>
        <v>-10.190762399999937</v>
      </c>
      <c r="AB128" s="478">
        <f>'Budget Filing Data'!AO122</f>
        <v>2.5196157642976287</v>
      </c>
      <c r="AC128" s="478">
        <f>'Budget Filing Data'!AP122</f>
        <v>-5.4112948344000329E-2</v>
      </c>
      <c r="AD128" s="478">
        <f>'Budget Filing Data'!T122</f>
        <v>203472.72035999983</v>
      </c>
      <c r="AE128" s="478">
        <f>'Budget Filing Data'!U122</f>
        <v>-32.758252799999823</v>
      </c>
      <c r="AF128" s="478">
        <f>'Budget Filing Data'!$V122</f>
        <v>31.515376420292835</v>
      </c>
      <c r="AG128" s="478">
        <f>'Budget Filing Data'!$W122</f>
        <v>-0.17394632236800056</v>
      </c>
      <c r="AH128" s="479">
        <v>0</v>
      </c>
    </row>
    <row r="129" spans="3:34" ht="25.5" hidden="1">
      <c r="C129" s="470" t="str">
        <f>'Budget Filing Data'!D123</f>
        <v>SDGE_SW_NC_NonRes_Pub_electric_PA</v>
      </c>
      <c r="D129" s="470" t="str">
        <f>'Budget Filing Data'!E123</f>
        <v>SW New Construction Non Residential - Public - All Electric (Utility)</v>
      </c>
      <c r="E129" s="471" t="s">
        <v>42</v>
      </c>
      <c r="F129" s="471" t="s">
        <v>325</v>
      </c>
      <c r="G129" s="472" t="str">
        <f>'Budget Filing Data'!J123</f>
        <v>IOU Core</v>
      </c>
      <c r="H129" s="472" t="str">
        <f>IF('Budget Filing Data'!H123="","",'Budget Filing Data'!H123)</f>
        <v>SW_NC_NonRes_Pub_electric - New Construction - NonResidential - All Electric</v>
      </c>
      <c r="I129" s="473" t="s">
        <v>24</v>
      </c>
      <c r="J129" s="472" t="str">
        <f>'Budget Filing Data'!G123</f>
        <v>Public</v>
      </c>
      <c r="K129" s="472" t="str">
        <f>'Budget Filing Data'!I123</f>
        <v>New Construction</v>
      </c>
      <c r="L129" s="472" t="str">
        <f>'Budget Filing Data'!L123</f>
        <v>Market Support</v>
      </c>
      <c r="M129" s="472">
        <f>'Budget Filing Data'!B123</f>
        <v>2029</v>
      </c>
      <c r="N129" s="474">
        <f t="shared" si="1"/>
        <v>1846.0871999999999</v>
      </c>
      <c r="O129" s="475">
        <f>'Budget Filing Data'!AQ123</f>
        <v>1846.0871999999999</v>
      </c>
      <c r="P129" s="475">
        <f>'Budget Filing Data'!AR123</f>
        <v>0</v>
      </c>
      <c r="Q129" s="475">
        <f>'Budget Filing Data'!AS123</f>
        <v>0</v>
      </c>
      <c r="R129" s="475">
        <f>'Budget Filing Data'!AT123</f>
        <v>0</v>
      </c>
      <c r="S129" s="476">
        <f>'Budget Filing Data'!X123</f>
        <v>0</v>
      </c>
      <c r="T129" s="477">
        <f>IFERROR((('Budget Filing Data'!AF123+'Budget Filing Data'!AG123+'Budget Filing Data'!AY123+'Budget Filing Data'!AH123)/'Budget Filing Data'!AA123),"")</f>
        <v>0</v>
      </c>
      <c r="U129" s="477">
        <f>IFERROR((('Budget Filing Data'!AF123+'Budget Filing Data'!AG123+'Budget Filing Data'!AY123+'Budget Filing Data'!AH123)/'Budget Filing Data'!AB123),"")</f>
        <v>0</v>
      </c>
      <c r="V129" s="477">
        <f>IFERROR((('Budget Filing Data'!AF123+'Budget Filing Data'!AG123+'Budget Filing Data'!AY123+'Budget Filing Data'!AH123+'Budget Filing Data'!AW123+'Budget Filing Data'!AX123)/('Budget Filing Data'!AE123)),"")</f>
        <v>0</v>
      </c>
      <c r="W129" s="477">
        <f>IFERROR(('Budget Filing Data'!AI123+'Budget Filing Data'!AJ123+'Budget Filing Data'!AK123+'Budget Filing Data'!AH123)/('Budget Filing Data'!AC123),"")</f>
        <v>0</v>
      </c>
      <c r="X129" s="477">
        <f>IFERROR(('Budget Filing Data'!AL123+'Budget Filing Data'!AM123+'Budget Filing Data'!AN123+'Budget Filing Data'!AH123)/('Budget Filing Data'!AD123),"")</f>
        <v>0</v>
      </c>
      <c r="Y129" s="478">
        <f>'Budget Filing Data'!Q123</f>
        <v>0</v>
      </c>
      <c r="Z129" s="478">
        <f>'Budget Filing Data'!R123</f>
        <v>0</v>
      </c>
      <c r="AA129" s="478">
        <f>'Budget Filing Data'!S123</f>
        <v>0</v>
      </c>
      <c r="AB129" s="478">
        <f>'Budget Filing Data'!AO123</f>
        <v>0</v>
      </c>
      <c r="AC129" s="478">
        <f>'Budget Filing Data'!AP123</f>
        <v>0</v>
      </c>
      <c r="AD129" s="478">
        <f>'Budget Filing Data'!T123</f>
        <v>0</v>
      </c>
      <c r="AE129" s="478">
        <f>'Budget Filing Data'!U123</f>
        <v>0</v>
      </c>
      <c r="AF129" s="478">
        <f>'Budget Filing Data'!$V123</f>
        <v>0</v>
      </c>
      <c r="AG129" s="478">
        <f>'Budget Filing Data'!$W123</f>
        <v>0</v>
      </c>
      <c r="AH129" s="479">
        <v>0</v>
      </c>
    </row>
    <row r="130" spans="3:34">
      <c r="C130" s="470" t="str">
        <f>'Budget Filing Data'!D124</f>
        <v>SDGE_SW_NC_NonRes_Res_electric</v>
      </c>
      <c r="D130" s="470" t="str">
        <f>'Budget Filing Data'!E124</f>
        <v>SW New Construction NonResidential - Residential - All Electric</v>
      </c>
      <c r="E130" s="471" t="s">
        <v>42</v>
      </c>
      <c r="F130" s="471" t="s">
        <v>323</v>
      </c>
      <c r="G130" s="472" t="str">
        <f>'Budget Filing Data'!J124</f>
        <v>Third-Party Solicited</v>
      </c>
      <c r="H130" s="472" t="str">
        <f>IF('Budget Filing Data'!H124="","",'Budget Filing Data'!H124)</f>
        <v>SW_NC_NonRes_Res_electric - New Construction - NonResidential - All Electric</v>
      </c>
      <c r="I130" s="473" t="s">
        <v>24</v>
      </c>
      <c r="J130" s="472" t="str">
        <f>'Budget Filing Data'!G124</f>
        <v>Residential</v>
      </c>
      <c r="K130" s="472" t="str">
        <f>'Budget Filing Data'!I124</f>
        <v>New Construction</v>
      </c>
      <c r="L130" s="472" t="str">
        <f>'Budget Filing Data'!L124</f>
        <v>Market Support</v>
      </c>
      <c r="M130" s="472">
        <f>'Budget Filing Data'!B124</f>
        <v>2029</v>
      </c>
      <c r="N130" s="474">
        <f t="shared" si="1"/>
        <v>478433.32561690238</v>
      </c>
      <c r="O130" s="475">
        <f>'Budget Filing Data'!AQ124</f>
        <v>41383.689299999998</v>
      </c>
      <c r="P130" s="475">
        <f>'Budget Filing Data'!AR124</f>
        <v>31037.766899999999</v>
      </c>
      <c r="Q130" s="475">
        <f>'Budget Filing Data'!AS124</f>
        <v>134496.9901</v>
      </c>
      <c r="R130" s="475">
        <f>'Budget Filing Data'!AT124</f>
        <v>271514.87931690237</v>
      </c>
      <c r="S130" s="476">
        <f>'Budget Filing Data'!X124</f>
        <v>395259.94942223513</v>
      </c>
      <c r="T130" s="477">
        <f>IFERROR((('Budget Filing Data'!AF124+'Budget Filing Data'!AG124+'Budget Filing Data'!AY124+'Budget Filing Data'!AH124)/'Budget Filing Data'!AA124),"")</f>
        <v>0.39529773223187464</v>
      </c>
      <c r="U130" s="477">
        <f>IFERROR((('Budget Filing Data'!AF124+'Budget Filing Data'!AG124+'Budget Filing Data'!AY124+'Budget Filing Data'!AH124)/'Budget Filing Data'!AB124),"")</f>
        <v>0.85046935075266072</v>
      </c>
      <c r="V130" s="477">
        <f>IFERROR((('Budget Filing Data'!AF124+'Budget Filing Data'!AG124+'Budget Filing Data'!AY124+'Budget Filing Data'!AH124+'Budget Filing Data'!AW124+'Budget Filing Data'!AX124)/('Budget Filing Data'!AE124)),"")</f>
        <v>0.39615706662682409</v>
      </c>
      <c r="W130" s="477">
        <f>IFERROR(('Budget Filing Data'!AI124+'Budget Filing Data'!AJ124+'Budget Filing Data'!AK124+'Budget Filing Data'!AH124)/('Budget Filing Data'!AC124),"")</f>
        <v>0.44214622705235368</v>
      </c>
      <c r="X130" s="477">
        <f>IFERROR(('Budget Filing Data'!AL124+'Budget Filing Data'!AM124+'Budget Filing Data'!AN124+'Budget Filing Data'!AH124)/('Budget Filing Data'!AD124),"")</f>
        <v>0.44215998174645121</v>
      </c>
      <c r="Y130" s="478">
        <f>'Budget Filing Data'!Q124</f>
        <v>117151.99764723457</v>
      </c>
      <c r="Z130" s="478">
        <f>'Budget Filing Data'!R124</f>
        <v>41.137502294031677</v>
      </c>
      <c r="AA130" s="478">
        <f>'Budget Filing Data'!S124</f>
        <v>623.64774981599942</v>
      </c>
      <c r="AB130" s="478">
        <f>'Budget Filing Data'!AO124</f>
        <v>24.714255322938293</v>
      </c>
      <c r="AC130" s="478">
        <f>'Budget Filing Data'!AP124</f>
        <v>3.311569551522954</v>
      </c>
      <c r="AD130" s="478">
        <f>'Budget Filing Data'!T124</f>
        <v>2007149.461872203</v>
      </c>
      <c r="AE130" s="478">
        <f>'Budget Filing Data'!U124</f>
        <v>6677.6875765599907</v>
      </c>
      <c r="AF130" s="478">
        <f>'Budget Filing Data'!$V124</f>
        <v>452.39537865076278</v>
      </c>
      <c r="AG130" s="478">
        <f>'Budget Filing Data'!$W124</f>
        <v>35.458521031533607</v>
      </c>
      <c r="AH130" s="479">
        <v>0</v>
      </c>
    </row>
    <row r="131" spans="3:34" ht="25.5">
      <c r="C131" s="470" t="str">
        <f>'Budget Filing Data'!D125</f>
        <v>SDGE_SW_NC_NonRes_Res_electric_PA</v>
      </c>
      <c r="D131" s="470" t="str">
        <f>'Budget Filing Data'!E125</f>
        <v>SW New Construction NonResidential - Residential - All Electric (Utility)</v>
      </c>
      <c r="E131" s="471" t="s">
        <v>42</v>
      </c>
      <c r="F131" s="471" t="s">
        <v>325</v>
      </c>
      <c r="G131" s="472" t="str">
        <f>'Budget Filing Data'!J125</f>
        <v>IOU Core</v>
      </c>
      <c r="H131" s="472" t="str">
        <f>IF('Budget Filing Data'!H125="","",'Budget Filing Data'!H125)</f>
        <v>SW_NC_NonRes_Res_electric - New Construction - NonResidential - All Electric</v>
      </c>
      <c r="I131" s="473" t="s">
        <v>24</v>
      </c>
      <c r="J131" s="472" t="str">
        <f>'Budget Filing Data'!G125</f>
        <v>Residential</v>
      </c>
      <c r="K131" s="472" t="str">
        <f>'Budget Filing Data'!I125</f>
        <v>New Construction</v>
      </c>
      <c r="L131" s="472" t="str">
        <f>'Budget Filing Data'!L125</f>
        <v>Market Support</v>
      </c>
      <c r="M131" s="472">
        <f>'Budget Filing Data'!B125</f>
        <v>2029</v>
      </c>
      <c r="N131" s="474">
        <f t="shared" si="1"/>
        <v>3113.3472000000002</v>
      </c>
      <c r="O131" s="475">
        <f>'Budget Filing Data'!AQ125</f>
        <v>3113.3472000000002</v>
      </c>
      <c r="P131" s="475">
        <f>'Budget Filing Data'!AR125</f>
        <v>0</v>
      </c>
      <c r="Q131" s="475">
        <f>'Budget Filing Data'!AS125</f>
        <v>0</v>
      </c>
      <c r="R131" s="475">
        <f>'Budget Filing Data'!AT125</f>
        <v>0</v>
      </c>
      <c r="S131" s="476">
        <f>'Budget Filing Data'!X125</f>
        <v>0</v>
      </c>
      <c r="T131" s="477">
        <f>IFERROR((('Budget Filing Data'!AF125+'Budget Filing Data'!AG125+'Budget Filing Data'!AY125+'Budget Filing Data'!AH125)/'Budget Filing Data'!AA125),"")</f>
        <v>0</v>
      </c>
      <c r="U131" s="477">
        <f>IFERROR((('Budget Filing Data'!AF125+'Budget Filing Data'!AG125+'Budget Filing Data'!AY125+'Budget Filing Data'!AH125)/'Budget Filing Data'!AB125),"")</f>
        <v>0</v>
      </c>
      <c r="V131" s="477">
        <f>IFERROR((('Budget Filing Data'!AF125+'Budget Filing Data'!AG125+'Budget Filing Data'!AY125+'Budget Filing Data'!AH125+'Budget Filing Data'!AW125+'Budget Filing Data'!AX125)/('Budget Filing Data'!AE125)),"")</f>
        <v>0</v>
      </c>
      <c r="W131" s="477">
        <f>IFERROR(('Budget Filing Data'!AI125+'Budget Filing Data'!AJ125+'Budget Filing Data'!AK125+'Budget Filing Data'!AH125)/('Budget Filing Data'!AC125),"")</f>
        <v>0</v>
      </c>
      <c r="X131" s="477">
        <f>IFERROR(('Budget Filing Data'!AL125+'Budget Filing Data'!AM125+'Budget Filing Data'!AN125+'Budget Filing Data'!AH125)/('Budget Filing Data'!AD125),"")</f>
        <v>0</v>
      </c>
      <c r="Y131" s="478">
        <f>'Budget Filing Data'!Q125</f>
        <v>0</v>
      </c>
      <c r="Z131" s="478">
        <f>'Budget Filing Data'!R125</f>
        <v>0</v>
      </c>
      <c r="AA131" s="478">
        <f>'Budget Filing Data'!S125</f>
        <v>0</v>
      </c>
      <c r="AB131" s="478">
        <f>'Budget Filing Data'!AO125</f>
        <v>0</v>
      </c>
      <c r="AC131" s="478">
        <f>'Budget Filing Data'!AP125</f>
        <v>0</v>
      </c>
      <c r="AD131" s="478">
        <f>'Budget Filing Data'!T125</f>
        <v>0</v>
      </c>
      <c r="AE131" s="478">
        <f>'Budget Filing Data'!U125</f>
        <v>0</v>
      </c>
      <c r="AF131" s="478">
        <f>'Budget Filing Data'!$V125</f>
        <v>0</v>
      </c>
      <c r="AG131" s="478">
        <f>'Budget Filing Data'!$W125</f>
        <v>0</v>
      </c>
      <c r="AH131" s="479">
        <v>0</v>
      </c>
    </row>
    <row r="132" spans="3:34" hidden="1">
      <c r="C132" s="470" t="str">
        <f>'Budget Filing Data'!D126</f>
        <v>SDGE_SW_NC_NonRes_Ag_mixed</v>
      </c>
      <c r="D132" s="470" t="str">
        <f>'Budget Filing Data'!E126</f>
        <v>SW New Construction Non Residential - Agricultural - Mixed Fuel</v>
      </c>
      <c r="E132" s="471"/>
      <c r="F132" s="480"/>
      <c r="G132" s="472" t="str">
        <f>'Budget Filing Data'!J126</f>
        <v>Third-Party Solicited</v>
      </c>
      <c r="H132" s="472" t="str">
        <f>IF('Budget Filing Data'!H126="","",'Budget Filing Data'!H126)</f>
        <v>SW_NC_NonRes_Ag_mixed - New Construction - NonResidential - Mixed Fuel</v>
      </c>
      <c r="I132" s="473" t="s">
        <v>24</v>
      </c>
      <c r="J132" s="472" t="str">
        <f>'Budget Filing Data'!G126</f>
        <v>Agricultural</v>
      </c>
      <c r="K132" s="472" t="str">
        <f>'Budget Filing Data'!I126</f>
        <v>New Construction</v>
      </c>
      <c r="L132" s="472" t="str">
        <f>'Budget Filing Data'!L126</f>
        <v>Market Support</v>
      </c>
      <c r="M132" s="472">
        <f>'Budget Filing Data'!B126</f>
        <v>2029</v>
      </c>
      <c r="N132" s="474">
        <f t="shared" si="1"/>
        <v>40327.35967012</v>
      </c>
      <c r="O132" s="475">
        <f>'Budget Filing Data'!AQ126</f>
        <v>3565.7599</v>
      </c>
      <c r="P132" s="475">
        <f>'Budget Filing Data'!AR126</f>
        <v>2674.3199</v>
      </c>
      <c r="Q132" s="475">
        <f>'Budget Filing Data'!AS126</f>
        <v>11588.7196</v>
      </c>
      <c r="R132" s="475">
        <f>'Budget Filing Data'!AT126</f>
        <v>22498.560270119997</v>
      </c>
      <c r="S132" s="476">
        <f>'Budget Filing Data'!X126</f>
        <v>16003.741524559809</v>
      </c>
      <c r="T132" s="477">
        <f>IFERROR((('Budget Filing Data'!AF126+'Budget Filing Data'!AG126+'Budget Filing Data'!AY126+'Budget Filing Data'!AH126)/'Budget Filing Data'!AA126),"")</f>
        <v>0.46832930151805446</v>
      </c>
      <c r="U132" s="477">
        <f>IFERROR((('Budget Filing Data'!AF126+'Budget Filing Data'!AG126+'Budget Filing Data'!AY126+'Budget Filing Data'!AH126)/'Budget Filing Data'!AB126),"")</f>
        <v>0.4113006797079497</v>
      </c>
      <c r="V132" s="477">
        <f>IFERROR((('Budget Filing Data'!AF126+'Budget Filing Data'!AG126+'Budget Filing Data'!AY126+'Budget Filing Data'!AH126+'Budget Filing Data'!AW126+'Budget Filing Data'!AX126)/('Budget Filing Data'!AE126)),"")</f>
        <v>0.18725995486964928</v>
      </c>
      <c r="W132" s="477">
        <f>IFERROR(('Budget Filing Data'!AI126+'Budget Filing Data'!AJ126+'Budget Filing Data'!AK126+'Budget Filing Data'!AH126)/('Budget Filing Data'!AC126),"")</f>
        <v>0.53799262380104984</v>
      </c>
      <c r="X132" s="477">
        <f>IFERROR(('Budget Filing Data'!AL126+'Budget Filing Data'!AM126+'Budget Filing Data'!AN126+'Budget Filing Data'!AH126)/('Budget Filing Data'!AD126),"")</f>
        <v>0.53799262380104984</v>
      </c>
      <c r="Y132" s="478">
        <f>'Budget Filing Data'!Q126</f>
        <v>15712.600175999987</v>
      </c>
      <c r="Z132" s="478">
        <f>'Budget Filing Data'!R126</f>
        <v>2.760703217999994</v>
      </c>
      <c r="AA132" s="478">
        <f>'Budget Filing Data'!S126</f>
        <v>0</v>
      </c>
      <c r="AB132" s="478">
        <f>'Budget Filing Data'!AO126</f>
        <v>2.5785029102795831</v>
      </c>
      <c r="AC132" s="478">
        <f>'Budget Filing Data'!AP126</f>
        <v>0</v>
      </c>
      <c r="AD132" s="478">
        <f>'Budget Filing Data'!T126</f>
        <v>200212.98751999991</v>
      </c>
      <c r="AE132" s="478">
        <f>'Budget Filing Data'!U126</f>
        <v>0</v>
      </c>
      <c r="AF132" s="478">
        <f>'Budget Filing Data'!$V126</f>
        <v>32.014711760977512</v>
      </c>
      <c r="AG132" s="478">
        <f>'Budget Filing Data'!$W126</f>
        <v>0</v>
      </c>
      <c r="AH132" s="479">
        <v>0</v>
      </c>
    </row>
    <row r="133" spans="3:34" hidden="1">
      <c r="C133" s="470" t="str">
        <f>'Budget Filing Data'!D127</f>
        <v>SDGE_SW_NC_NonRes_Ag_mixed_PA</v>
      </c>
      <c r="D133" s="470" t="str">
        <f>'Budget Filing Data'!E127</f>
        <v>SW New Construction Non Residential - Agricultural - Mixed Fuel (Utility)</v>
      </c>
      <c r="E133" s="471"/>
      <c r="F133" s="480"/>
      <c r="G133" s="472" t="str">
        <f>'Budget Filing Data'!J127</f>
        <v>IOU Core</v>
      </c>
      <c r="H133" s="472" t="str">
        <f>IF('Budget Filing Data'!H127="","",'Budget Filing Data'!H127)</f>
        <v>SW_NC_NonRes_Ag_mixed - New Construction - NonResidential - Mixed Fuel</v>
      </c>
      <c r="I133" s="473" t="s">
        <v>24</v>
      </c>
      <c r="J133" s="472" t="str">
        <f>'Budget Filing Data'!G127</f>
        <v>Agricultural</v>
      </c>
      <c r="K133" s="472" t="str">
        <f>'Budget Filing Data'!I127</f>
        <v>New Construction</v>
      </c>
      <c r="L133" s="472" t="str">
        <f>'Budget Filing Data'!L127</f>
        <v>Market Support</v>
      </c>
      <c r="M133" s="472">
        <f>'Budget Filing Data'!B127</f>
        <v>2029</v>
      </c>
      <c r="N133" s="474">
        <f t="shared" si="1"/>
        <v>429.8272</v>
      </c>
      <c r="O133" s="475">
        <f>'Budget Filing Data'!AQ127</f>
        <v>429.8272</v>
      </c>
      <c r="P133" s="475">
        <f>'Budget Filing Data'!AR127</f>
        <v>0</v>
      </c>
      <c r="Q133" s="475">
        <f>'Budget Filing Data'!AS127</f>
        <v>0</v>
      </c>
      <c r="R133" s="475">
        <f>'Budget Filing Data'!AT127</f>
        <v>0</v>
      </c>
      <c r="S133" s="476">
        <f>'Budget Filing Data'!X127</f>
        <v>0</v>
      </c>
      <c r="T133" s="477">
        <f>IFERROR((('Budget Filing Data'!AF127+'Budget Filing Data'!AG127+'Budget Filing Data'!AY127+'Budget Filing Data'!AH127)/'Budget Filing Data'!AA127),"")</f>
        <v>0</v>
      </c>
      <c r="U133" s="477">
        <f>IFERROR((('Budget Filing Data'!AF127+'Budget Filing Data'!AG127+'Budget Filing Data'!AY127+'Budget Filing Data'!AH127)/'Budget Filing Data'!AB127),"")</f>
        <v>0</v>
      </c>
      <c r="V133" s="477">
        <f>IFERROR((('Budget Filing Data'!AF127+'Budget Filing Data'!AG127+'Budget Filing Data'!AY127+'Budget Filing Data'!AH127+'Budget Filing Data'!AW127+'Budget Filing Data'!AX127)/('Budget Filing Data'!AE127)),"")</f>
        <v>0</v>
      </c>
      <c r="W133" s="477">
        <f>IFERROR(('Budget Filing Data'!AI127+'Budget Filing Data'!AJ127+'Budget Filing Data'!AK127+'Budget Filing Data'!AH127)/('Budget Filing Data'!AC127),"")</f>
        <v>0</v>
      </c>
      <c r="X133" s="477">
        <f>IFERROR(('Budget Filing Data'!AL127+'Budget Filing Data'!AM127+'Budget Filing Data'!AN127+'Budget Filing Data'!AH127)/('Budget Filing Data'!AD127),"")</f>
        <v>0</v>
      </c>
      <c r="Y133" s="478">
        <f>'Budget Filing Data'!Q127</f>
        <v>0</v>
      </c>
      <c r="Z133" s="478">
        <f>'Budget Filing Data'!R127</f>
        <v>0</v>
      </c>
      <c r="AA133" s="478">
        <f>'Budget Filing Data'!S127</f>
        <v>0</v>
      </c>
      <c r="AB133" s="478">
        <f>'Budget Filing Data'!AO127</f>
        <v>0</v>
      </c>
      <c r="AC133" s="478">
        <f>'Budget Filing Data'!AP127</f>
        <v>0</v>
      </c>
      <c r="AD133" s="478">
        <f>'Budget Filing Data'!T127</f>
        <v>0</v>
      </c>
      <c r="AE133" s="478">
        <f>'Budget Filing Data'!U127</f>
        <v>0</v>
      </c>
      <c r="AF133" s="478">
        <f>'Budget Filing Data'!$V127</f>
        <v>0</v>
      </c>
      <c r="AG133" s="478">
        <f>'Budget Filing Data'!$W127</f>
        <v>0</v>
      </c>
      <c r="AH133" s="479">
        <v>0</v>
      </c>
    </row>
    <row r="134" spans="3:34" hidden="1">
      <c r="C134" s="470" t="str">
        <f>'Budget Filing Data'!D128</f>
        <v>SDGE_SW_NC_NonRes_Com_mixed</v>
      </c>
      <c r="D134" s="470" t="str">
        <f>'Budget Filing Data'!E128</f>
        <v>SW New Construction Non Residential - Commercial - Mixed Fuel</v>
      </c>
      <c r="E134" s="471"/>
      <c r="F134" s="480"/>
      <c r="G134" s="472" t="str">
        <f>'Budget Filing Data'!J128</f>
        <v>Third-Party Solicited</v>
      </c>
      <c r="H134" s="472" t="str">
        <f>IF('Budget Filing Data'!H128="","",'Budget Filing Data'!H128)</f>
        <v>SW_NC_NonRes_Com_mixed - New Construction - NonResidential - Mixed Fuel</v>
      </c>
      <c r="I134" s="473" t="s">
        <v>24</v>
      </c>
      <c r="J134" s="472" t="str">
        <f>'Budget Filing Data'!G128</f>
        <v>Commercial</v>
      </c>
      <c r="K134" s="472" t="str">
        <f>'Budget Filing Data'!I128</f>
        <v>New Construction</v>
      </c>
      <c r="L134" s="472" t="str">
        <f>'Budget Filing Data'!L128</f>
        <v>Market Support</v>
      </c>
      <c r="M134" s="472">
        <f>'Budget Filing Data'!B128</f>
        <v>2029</v>
      </c>
      <c r="N134" s="474">
        <f t="shared" si="1"/>
        <v>258095.09928669999</v>
      </c>
      <c r="O134" s="475">
        <f>'Budget Filing Data'!AQ128</f>
        <v>22820.8632</v>
      </c>
      <c r="P134" s="475">
        <f>'Budget Filing Data'!AR128</f>
        <v>17115.647400000002</v>
      </c>
      <c r="Q134" s="475">
        <f>'Budget Filing Data'!AS128</f>
        <v>74167.805300000007</v>
      </c>
      <c r="R134" s="475">
        <f>'Budget Filing Data'!AT128</f>
        <v>143990.78338669997</v>
      </c>
      <c r="S134" s="476">
        <f>'Budget Filing Data'!X128</f>
        <v>63839.745524456252</v>
      </c>
      <c r="T134" s="477">
        <f>IFERROR((('Budget Filing Data'!AF128+'Budget Filing Data'!AG128+'Budget Filing Data'!AY128+'Budget Filing Data'!AH128)/'Budget Filing Data'!AA128),"")</f>
        <v>0.27429550185151735</v>
      </c>
      <c r="U134" s="477">
        <f>IFERROR((('Budget Filing Data'!AF128+'Budget Filing Data'!AG128+'Budget Filing Data'!AY128+'Budget Filing Data'!AH128)/'Budget Filing Data'!AB128),"")</f>
        <v>0.25543237632592675</v>
      </c>
      <c r="V134" s="477">
        <f>IFERROR((('Budget Filing Data'!AF128+'Budget Filing Data'!AG128+'Budget Filing Data'!AY128+'Budget Filing Data'!AH128+'Budget Filing Data'!AW128+'Budget Filing Data'!AX128)/('Budget Filing Data'!AE128)),"")</f>
        <v>0.14623877526748513</v>
      </c>
      <c r="W134" s="477">
        <f>IFERROR(('Budget Filing Data'!AI128+'Budget Filing Data'!AJ128+'Budget Filing Data'!AK128+'Budget Filing Data'!AH128)/('Budget Filing Data'!AC128),"")</f>
        <v>0.3334465349000002</v>
      </c>
      <c r="X134" s="477">
        <f>IFERROR(('Budget Filing Data'!AL128+'Budget Filing Data'!AM128+'Budget Filing Data'!AN128+'Budget Filing Data'!AH128)/('Budget Filing Data'!AD128),"")</f>
        <v>0.33348729940390476</v>
      </c>
      <c r="Y134" s="478">
        <f>'Budget Filing Data'!Q128</f>
        <v>37430.494517552448</v>
      </c>
      <c r="Z134" s="478">
        <f>'Budget Filing Data'!R128</f>
        <v>9.2904138761524973</v>
      </c>
      <c r="AA134" s="478">
        <f>'Budget Filing Data'!S128</f>
        <v>509.49172692000019</v>
      </c>
      <c r="AB134" s="478">
        <f>'Budget Filing Data'!AO128</f>
        <v>6.3650902516668486</v>
      </c>
      <c r="AC134" s="478">
        <f>'Budget Filing Data'!AP128</f>
        <v>2.7054010699452</v>
      </c>
      <c r="AD134" s="478">
        <f>'Budget Filing Data'!T128</f>
        <v>565384.14896372473</v>
      </c>
      <c r="AE134" s="478">
        <f>'Budget Filing Data'!U128</f>
        <v>6745.2788132399974</v>
      </c>
      <c r="AF134" s="478">
        <f>'Budget Filing Data'!$V128</f>
        <v>96.702108945400227</v>
      </c>
      <c r="AG134" s="478">
        <f>'Budget Filing Data'!$W128</f>
        <v>35.817430498304397</v>
      </c>
      <c r="AH134" s="479">
        <v>0</v>
      </c>
    </row>
    <row r="135" spans="3:34" ht="25.5" hidden="1">
      <c r="C135" s="470" t="str">
        <f>'Budget Filing Data'!D129</f>
        <v>SDGE_SW_NC_NonRes_Com_mixed_PA</v>
      </c>
      <c r="D135" s="470" t="str">
        <f>'Budget Filing Data'!E129</f>
        <v>SW New Construction Non Residential - Commercial - Mixed Fuel (Utility)</v>
      </c>
      <c r="E135" s="471" t="s">
        <v>42</v>
      </c>
      <c r="F135" s="471" t="s">
        <v>325</v>
      </c>
      <c r="G135" s="472" t="str">
        <f>'Budget Filing Data'!J129</f>
        <v>IOU Core</v>
      </c>
      <c r="H135" s="472" t="str">
        <f>IF('Budget Filing Data'!H129="","",'Budget Filing Data'!H129)</f>
        <v>SW_NC_NonRes_Com_mixed - New Construction - NonResidential - Mixed Fuel</v>
      </c>
      <c r="I135" s="473" t="s">
        <v>24</v>
      </c>
      <c r="J135" s="472" t="str">
        <f>'Budget Filing Data'!G129</f>
        <v>Commercial</v>
      </c>
      <c r="K135" s="472" t="str">
        <f>'Budget Filing Data'!I129</f>
        <v>New Construction</v>
      </c>
      <c r="L135" s="472" t="str">
        <f>'Budget Filing Data'!L129</f>
        <v>Market Support</v>
      </c>
      <c r="M135" s="472">
        <f>'Budget Filing Data'!B129</f>
        <v>2029</v>
      </c>
      <c r="N135" s="474">
        <f t="shared" si="1"/>
        <v>1763.7172</v>
      </c>
      <c r="O135" s="475">
        <f>'Budget Filing Data'!AQ129</f>
        <v>1763.7172</v>
      </c>
      <c r="P135" s="475">
        <f>'Budget Filing Data'!AR129</f>
        <v>0</v>
      </c>
      <c r="Q135" s="475">
        <f>'Budget Filing Data'!AS129</f>
        <v>0</v>
      </c>
      <c r="R135" s="475">
        <f>'Budget Filing Data'!AT129</f>
        <v>0</v>
      </c>
      <c r="S135" s="476">
        <f>'Budget Filing Data'!X129</f>
        <v>0</v>
      </c>
      <c r="T135" s="477">
        <f>IFERROR((('Budget Filing Data'!AF129+'Budget Filing Data'!AG129+'Budget Filing Data'!AY129+'Budget Filing Data'!AH129)/'Budget Filing Data'!AA129),"")</f>
        <v>0</v>
      </c>
      <c r="U135" s="477">
        <f>IFERROR((('Budget Filing Data'!AF129+'Budget Filing Data'!AG129+'Budget Filing Data'!AY129+'Budget Filing Data'!AH129)/'Budget Filing Data'!AB129),"")</f>
        <v>0</v>
      </c>
      <c r="V135" s="477">
        <f>IFERROR((('Budget Filing Data'!AF129+'Budget Filing Data'!AG129+'Budget Filing Data'!AY129+'Budget Filing Data'!AH129+'Budget Filing Data'!AW129+'Budget Filing Data'!AX129)/('Budget Filing Data'!AE129)),"")</f>
        <v>0</v>
      </c>
      <c r="W135" s="477">
        <f>IFERROR(('Budget Filing Data'!AI129+'Budget Filing Data'!AJ129+'Budget Filing Data'!AK129+'Budget Filing Data'!AH129)/('Budget Filing Data'!AC129),"")</f>
        <v>0</v>
      </c>
      <c r="X135" s="477">
        <f>IFERROR(('Budget Filing Data'!AL129+'Budget Filing Data'!AM129+'Budget Filing Data'!AN129+'Budget Filing Data'!AH129)/('Budget Filing Data'!AD129),"")</f>
        <v>0</v>
      </c>
      <c r="Y135" s="478">
        <f>'Budget Filing Data'!Q129</f>
        <v>0</v>
      </c>
      <c r="Z135" s="478">
        <f>'Budget Filing Data'!R129</f>
        <v>0</v>
      </c>
      <c r="AA135" s="478">
        <f>'Budget Filing Data'!S129</f>
        <v>0</v>
      </c>
      <c r="AB135" s="478">
        <f>'Budget Filing Data'!AO129</f>
        <v>0</v>
      </c>
      <c r="AC135" s="478">
        <f>'Budget Filing Data'!AP129</f>
        <v>0</v>
      </c>
      <c r="AD135" s="478">
        <f>'Budget Filing Data'!T129</f>
        <v>0</v>
      </c>
      <c r="AE135" s="478">
        <f>'Budget Filing Data'!U129</f>
        <v>0</v>
      </c>
      <c r="AF135" s="478">
        <f>'Budget Filing Data'!$V129</f>
        <v>0</v>
      </c>
      <c r="AG135" s="478">
        <f>'Budget Filing Data'!$W129</f>
        <v>0</v>
      </c>
      <c r="AH135" s="479">
        <v>0</v>
      </c>
    </row>
    <row r="136" spans="3:34" hidden="1">
      <c r="C136" s="470" t="str">
        <f>'Budget Filing Data'!D130</f>
        <v>SDGE_SW_NC_NonRes_Ind_mixed</v>
      </c>
      <c r="D136" s="470" t="str">
        <f>'Budget Filing Data'!E130</f>
        <v>SW New Construction Non Residential - Industrial - Mixed Fuel</v>
      </c>
      <c r="E136" s="471" t="s">
        <v>37</v>
      </c>
      <c r="F136" s="471" t="s">
        <v>323</v>
      </c>
      <c r="G136" s="472" t="str">
        <f>'Budget Filing Data'!J130</f>
        <v>Third-Party Solicited</v>
      </c>
      <c r="H136" s="472" t="str">
        <f>IF('Budget Filing Data'!H130="","",'Budget Filing Data'!H130)</f>
        <v>SW_NC_NonRes_Ind_mixed - New Construction - NonResidential - Mixed Fuel</v>
      </c>
      <c r="I136" s="473" t="s">
        <v>24</v>
      </c>
      <c r="J136" s="472" t="str">
        <f>'Budget Filing Data'!G130</f>
        <v>Industrial</v>
      </c>
      <c r="K136" s="472" t="str">
        <f>'Budget Filing Data'!I130</f>
        <v>New Construction</v>
      </c>
      <c r="L136" s="472" t="str">
        <f>'Budget Filing Data'!L130</f>
        <v>Market Support</v>
      </c>
      <c r="M136" s="472">
        <f>'Budget Filing Data'!B130</f>
        <v>2029</v>
      </c>
      <c r="N136" s="474">
        <f t="shared" si="1"/>
        <v>40327.360560000001</v>
      </c>
      <c r="O136" s="475">
        <f>'Budget Filing Data'!AQ130</f>
        <v>3565.7599</v>
      </c>
      <c r="P136" s="475">
        <f>'Budget Filing Data'!AR130</f>
        <v>2674.3199</v>
      </c>
      <c r="Q136" s="475">
        <f>'Budget Filing Data'!AS130</f>
        <v>11588.7196</v>
      </c>
      <c r="R136" s="475">
        <f>'Budget Filing Data'!AT130</f>
        <v>22498.561160000001</v>
      </c>
      <c r="S136" s="476">
        <f>'Budget Filing Data'!X130</f>
        <v>19614.637936388663</v>
      </c>
      <c r="T136" s="477">
        <f>IFERROR((('Budget Filing Data'!AF130+'Budget Filing Data'!AG130+'Budget Filing Data'!AY130+'Budget Filing Data'!AH130)/'Budget Filing Data'!AA130),"")</f>
        <v>0.64288374740775234</v>
      </c>
      <c r="U136" s="477">
        <f>IFERROR((('Budget Filing Data'!AF130+'Budget Filing Data'!AG130+'Budget Filing Data'!AY130+'Budget Filing Data'!AH130)/'Budget Filing Data'!AB130),"")</f>
        <v>0.5015088211056099</v>
      </c>
      <c r="V136" s="477">
        <f>IFERROR((('Budget Filing Data'!AF130+'Budget Filing Data'!AG130+'Budget Filing Data'!AY130+'Budget Filing Data'!AH130+'Budget Filing Data'!AW130+'Budget Filing Data'!AX130)/('Budget Filing Data'!AE130)),"")</f>
        <v>0.37535421263027968</v>
      </c>
      <c r="W136" s="477">
        <f>IFERROR(('Budget Filing Data'!AI130+'Budget Filing Data'!AJ130+'Budget Filing Data'!AK130+'Budget Filing Data'!AH130)/('Budget Filing Data'!AC130),"")</f>
        <v>0.97070087548842898</v>
      </c>
      <c r="X136" s="477">
        <f>IFERROR(('Budget Filing Data'!AL130+'Budget Filing Data'!AM130+'Budget Filing Data'!AN130+'Budget Filing Data'!AH130)/('Budget Filing Data'!AD130),"")</f>
        <v>0.97127579000215469</v>
      </c>
      <c r="Y136" s="478">
        <f>'Budget Filing Data'!Q130</f>
        <v>496.49599999999998</v>
      </c>
      <c r="Z136" s="478">
        <f>'Budget Filing Data'!R130</f>
        <v>0.10142859999999999</v>
      </c>
      <c r="AA136" s="478">
        <f>'Budget Filing Data'!S130</f>
        <v>909.82979999999998</v>
      </c>
      <c r="AB136" s="478">
        <f>'Budget Filing Data'!AO130</f>
        <v>6.9045832801400003E-2</v>
      </c>
      <c r="AC136" s="478">
        <f>'Budget Filing Data'!AP130</f>
        <v>4.8311962380000004</v>
      </c>
      <c r="AD136" s="478">
        <f>'Budget Filing Data'!T130</f>
        <v>6982.2479999999996</v>
      </c>
      <c r="AE136" s="478">
        <f>'Budget Filing Data'!U130</f>
        <v>13647.447</v>
      </c>
      <c r="AF136" s="478">
        <f>'Budget Filing Data'!$V130</f>
        <v>0.89005899518899789</v>
      </c>
      <c r="AG136" s="478">
        <f>'Budget Filing Data'!$W130</f>
        <v>72.467943570000003</v>
      </c>
      <c r="AH136" s="479">
        <v>0</v>
      </c>
    </row>
    <row r="137" spans="3:34" hidden="1">
      <c r="C137" s="470" t="str">
        <f>'Budget Filing Data'!D131</f>
        <v>SDGE_SW_NC_NonRes_Ind_mixed_PA</v>
      </c>
      <c r="D137" s="470" t="str">
        <f>'Budget Filing Data'!E131</f>
        <v>SW New Construction Non Residential - Industrial - Mixed Fuel (Utility)</v>
      </c>
      <c r="E137" s="471"/>
      <c r="F137" s="480"/>
      <c r="G137" s="472" t="str">
        <f>'Budget Filing Data'!J131</f>
        <v>IOU Core</v>
      </c>
      <c r="H137" s="472" t="str">
        <f>IF('Budget Filing Data'!H131="","",'Budget Filing Data'!H131)</f>
        <v>SW_NC_NonRes_Ind_mixed - New Construction - NonResidential - Mixed Fuel</v>
      </c>
      <c r="I137" s="473" t="s">
        <v>24</v>
      </c>
      <c r="J137" s="472" t="str">
        <f>'Budget Filing Data'!G131</f>
        <v>Industrial</v>
      </c>
      <c r="K137" s="472" t="str">
        <f>'Budget Filing Data'!I131</f>
        <v>New Construction</v>
      </c>
      <c r="L137" s="472" t="str">
        <f>'Budget Filing Data'!L131</f>
        <v>Market Support</v>
      </c>
      <c r="M137" s="472">
        <f>'Budget Filing Data'!B131</f>
        <v>2029</v>
      </c>
      <c r="N137" s="474">
        <f t="shared" si="1"/>
        <v>429.8272</v>
      </c>
      <c r="O137" s="475">
        <f>'Budget Filing Data'!AQ131</f>
        <v>429.8272</v>
      </c>
      <c r="P137" s="475">
        <f>'Budget Filing Data'!AR131</f>
        <v>0</v>
      </c>
      <c r="Q137" s="475">
        <f>'Budget Filing Data'!AS131</f>
        <v>0</v>
      </c>
      <c r="R137" s="475">
        <f>'Budget Filing Data'!AT131</f>
        <v>0</v>
      </c>
      <c r="S137" s="476">
        <f>'Budget Filing Data'!X131</f>
        <v>0</v>
      </c>
      <c r="T137" s="477">
        <f>IFERROR((('Budget Filing Data'!AF131+'Budget Filing Data'!AG131+'Budget Filing Data'!AY131+'Budget Filing Data'!AH131)/'Budget Filing Data'!AA131),"")</f>
        <v>0</v>
      </c>
      <c r="U137" s="477">
        <f>IFERROR((('Budget Filing Data'!AF131+'Budget Filing Data'!AG131+'Budget Filing Data'!AY131+'Budget Filing Data'!AH131)/'Budget Filing Data'!AB131),"")</f>
        <v>0</v>
      </c>
      <c r="V137" s="477">
        <f>IFERROR((('Budget Filing Data'!AF131+'Budget Filing Data'!AG131+'Budget Filing Data'!AY131+'Budget Filing Data'!AH131+'Budget Filing Data'!AW131+'Budget Filing Data'!AX131)/('Budget Filing Data'!AE131)),"")</f>
        <v>0</v>
      </c>
      <c r="W137" s="477">
        <f>IFERROR(('Budget Filing Data'!AI131+'Budget Filing Data'!AJ131+'Budget Filing Data'!AK131+'Budget Filing Data'!AH131)/('Budget Filing Data'!AC131),"")</f>
        <v>0</v>
      </c>
      <c r="X137" s="477">
        <f>IFERROR(('Budget Filing Data'!AL131+'Budget Filing Data'!AM131+'Budget Filing Data'!AN131+'Budget Filing Data'!AH131)/('Budget Filing Data'!AD131),"")</f>
        <v>0</v>
      </c>
      <c r="Y137" s="478">
        <f>'Budget Filing Data'!Q131</f>
        <v>0</v>
      </c>
      <c r="Z137" s="478">
        <f>'Budget Filing Data'!R131</f>
        <v>0</v>
      </c>
      <c r="AA137" s="478">
        <f>'Budget Filing Data'!S131</f>
        <v>0</v>
      </c>
      <c r="AB137" s="478">
        <f>'Budget Filing Data'!AO131</f>
        <v>0</v>
      </c>
      <c r="AC137" s="478">
        <f>'Budget Filing Data'!AP131</f>
        <v>0</v>
      </c>
      <c r="AD137" s="478">
        <f>'Budget Filing Data'!T131</f>
        <v>0</v>
      </c>
      <c r="AE137" s="478">
        <f>'Budget Filing Data'!U131</f>
        <v>0</v>
      </c>
      <c r="AF137" s="478">
        <f>'Budget Filing Data'!$V131</f>
        <v>0</v>
      </c>
      <c r="AG137" s="478">
        <f>'Budget Filing Data'!$W131</f>
        <v>0</v>
      </c>
      <c r="AH137" s="479">
        <v>0</v>
      </c>
    </row>
    <row r="138" spans="3:34" hidden="1">
      <c r="C138" s="470" t="str">
        <f>'Budget Filing Data'!D132</f>
        <v>SDGE_SW_NC_NonRes_Pub_mixed</v>
      </c>
      <c r="D138" s="470" t="str">
        <f>'Budget Filing Data'!E132</f>
        <v>SW New Construction Non Residential - Public - Mixed Fuel</v>
      </c>
      <c r="E138" s="471"/>
      <c r="F138" s="480"/>
      <c r="G138" s="472" t="str">
        <f>'Budget Filing Data'!J132</f>
        <v>Third-Party Solicited</v>
      </c>
      <c r="H138" s="472" t="str">
        <f>IF('Budget Filing Data'!H132="","",'Budget Filing Data'!H132)</f>
        <v>SW_NC_NonRes_Pub_mixed - New Construction - NonResidential - Mixed Fuel</v>
      </c>
      <c r="I138" s="473" t="s">
        <v>24</v>
      </c>
      <c r="J138" s="472" t="str">
        <f>'Budget Filing Data'!G132</f>
        <v>Public</v>
      </c>
      <c r="K138" s="472" t="str">
        <f>'Budget Filing Data'!I132</f>
        <v>New Construction</v>
      </c>
      <c r="L138" s="472" t="str">
        <f>'Budget Filing Data'!L132</f>
        <v>Market Support</v>
      </c>
      <c r="M138" s="472">
        <f>'Budget Filing Data'!B132</f>
        <v>2029</v>
      </c>
      <c r="N138" s="474">
        <f t="shared" si="1"/>
        <v>169374.90962399993</v>
      </c>
      <c r="O138" s="475">
        <f>'Budget Filing Data'!AQ132</f>
        <v>14976.191500000001</v>
      </c>
      <c r="P138" s="475">
        <f>'Budget Filing Data'!AR132</f>
        <v>11232.143599999999</v>
      </c>
      <c r="Q138" s="475">
        <f>'Budget Filing Data'!AS132</f>
        <v>48672.622300000003</v>
      </c>
      <c r="R138" s="475">
        <f>'Budget Filing Data'!AT132</f>
        <v>94493.952223999935</v>
      </c>
      <c r="S138" s="476">
        <f>'Budget Filing Data'!X132</f>
        <v>21900.901129597853</v>
      </c>
      <c r="T138" s="477">
        <f>IFERROR((('Budget Filing Data'!AF132+'Budget Filing Data'!AG132+'Budget Filing Data'!AY132+'Budget Filing Data'!AH132)/'Budget Filing Data'!AA132),"")</f>
        <v>0.16179672165817052</v>
      </c>
      <c r="U138" s="477">
        <f>IFERROR((('Budget Filing Data'!AF132+'Budget Filing Data'!AG132+'Budget Filing Data'!AY132+'Budget Filing Data'!AH132)/'Budget Filing Data'!AB132),"")</f>
        <v>0.1335725911126926</v>
      </c>
      <c r="V138" s="477">
        <f>IFERROR((('Budget Filing Data'!AF132+'Budget Filing Data'!AG132+'Budget Filing Data'!AY132+'Budget Filing Data'!AH132+'Budget Filing Data'!AW132+'Budget Filing Data'!AX132)/('Budget Filing Data'!AE132)),"")</f>
        <v>0.10812174212551336</v>
      </c>
      <c r="W138" s="477">
        <f>IFERROR(('Budget Filing Data'!AI132+'Budget Filing Data'!AJ132+'Budget Filing Data'!AK132+'Budget Filing Data'!AH132)/('Budget Filing Data'!AC132),"")</f>
        <v>0.17802222508993842</v>
      </c>
      <c r="X138" s="477">
        <f>IFERROR(('Budget Filing Data'!AL132+'Budget Filing Data'!AM132+'Budget Filing Data'!AN132+'Budget Filing Data'!AH132)/('Budget Filing Data'!AD132),"")</f>
        <v>0.17802730378741596</v>
      </c>
      <c r="Y138" s="478">
        <f>'Budget Filing Data'!Q132</f>
        <v>8193.4543599999943</v>
      </c>
      <c r="Z138" s="478">
        <f>'Budget Filing Data'!R132</f>
        <v>3.6692091799999957</v>
      </c>
      <c r="AA138" s="478">
        <f>'Budget Filing Data'!S132</f>
        <v>40.320720000000001</v>
      </c>
      <c r="AB138" s="478">
        <f>'Budget Filing Data'!AO132</f>
        <v>1.2607397385979737</v>
      </c>
      <c r="AC138" s="478">
        <f>'Budget Filing Data'!AP132</f>
        <v>0.21410302319999999</v>
      </c>
      <c r="AD138" s="478">
        <f>'Budget Filing Data'!T132</f>
        <v>121363.7661599999</v>
      </c>
      <c r="AE138" s="478">
        <f>'Budget Filing Data'!U132</f>
        <v>571.28544000000011</v>
      </c>
      <c r="AF138" s="478">
        <f>'Budget Filing Data'!$V132</f>
        <v>17.299705955862844</v>
      </c>
      <c r="AG138" s="478">
        <f>'Budget Filing Data'!$W132</f>
        <v>3.0335256864</v>
      </c>
      <c r="AH138" s="479">
        <v>0</v>
      </c>
    </row>
    <row r="139" spans="3:34" hidden="1">
      <c r="C139" s="470" t="str">
        <f>'Budget Filing Data'!D133</f>
        <v>SDGE_SW_NC_NonRes_Pub_mixed_PA</v>
      </c>
      <c r="D139" s="470" t="str">
        <f>'Budget Filing Data'!E133</f>
        <v>SW New Construction Non Residential - Public - Mixed Fuel (Utility)</v>
      </c>
      <c r="E139" s="471"/>
      <c r="F139" s="480"/>
      <c r="G139" s="472" t="str">
        <f>'Budget Filing Data'!J133</f>
        <v>IOU Core</v>
      </c>
      <c r="H139" s="472" t="str">
        <f>IF('Budget Filing Data'!H133="","",'Budget Filing Data'!H133)</f>
        <v>SW_NC_NonRes_Pub_mixed - New Construction - NonResidential - Mixed Fuel</v>
      </c>
      <c r="I139" s="473" t="s">
        <v>24</v>
      </c>
      <c r="J139" s="472" t="str">
        <f>'Budget Filing Data'!G133</f>
        <v>Public</v>
      </c>
      <c r="K139" s="472" t="str">
        <f>'Budget Filing Data'!I133</f>
        <v>New Construction</v>
      </c>
      <c r="L139" s="472" t="str">
        <f>'Budget Filing Data'!L133</f>
        <v>Market Support</v>
      </c>
      <c r="M139" s="472">
        <f>'Budget Filing Data'!B133</f>
        <v>2029</v>
      </c>
      <c r="N139" s="474">
        <f t="shared" si="1"/>
        <v>1220.2772</v>
      </c>
      <c r="O139" s="475">
        <f>'Budget Filing Data'!AQ133</f>
        <v>1220.2772</v>
      </c>
      <c r="P139" s="475">
        <f>'Budget Filing Data'!AR133</f>
        <v>0</v>
      </c>
      <c r="Q139" s="475">
        <f>'Budget Filing Data'!AS133</f>
        <v>0</v>
      </c>
      <c r="R139" s="475">
        <f>'Budget Filing Data'!AT133</f>
        <v>0</v>
      </c>
      <c r="S139" s="476">
        <f>'Budget Filing Data'!X133</f>
        <v>0</v>
      </c>
      <c r="T139" s="477">
        <f>IFERROR((('Budget Filing Data'!AF133+'Budget Filing Data'!AG133+'Budget Filing Data'!AY133+'Budget Filing Data'!AH133)/'Budget Filing Data'!AA133),"")</f>
        <v>0</v>
      </c>
      <c r="U139" s="477">
        <f>IFERROR((('Budget Filing Data'!AF133+'Budget Filing Data'!AG133+'Budget Filing Data'!AY133+'Budget Filing Data'!AH133)/'Budget Filing Data'!AB133),"")</f>
        <v>0</v>
      </c>
      <c r="V139" s="477">
        <f>IFERROR((('Budget Filing Data'!AF133+'Budget Filing Data'!AG133+'Budget Filing Data'!AY133+'Budget Filing Data'!AH133+'Budget Filing Data'!AW133+'Budget Filing Data'!AX133)/('Budget Filing Data'!AE133)),"")</f>
        <v>0</v>
      </c>
      <c r="W139" s="477">
        <f>IFERROR(('Budget Filing Data'!AI133+'Budget Filing Data'!AJ133+'Budget Filing Data'!AK133+'Budget Filing Data'!AH133)/('Budget Filing Data'!AC133),"")</f>
        <v>0</v>
      </c>
      <c r="X139" s="477">
        <f>IFERROR(('Budget Filing Data'!AL133+'Budget Filing Data'!AM133+'Budget Filing Data'!AN133+'Budget Filing Data'!AH133)/('Budget Filing Data'!AD133),"")</f>
        <v>0</v>
      </c>
      <c r="Y139" s="478">
        <f>'Budget Filing Data'!Q133</f>
        <v>0</v>
      </c>
      <c r="Z139" s="478">
        <f>'Budget Filing Data'!R133</f>
        <v>0</v>
      </c>
      <c r="AA139" s="478">
        <f>'Budget Filing Data'!S133</f>
        <v>0</v>
      </c>
      <c r="AB139" s="478">
        <f>'Budget Filing Data'!AO133</f>
        <v>0</v>
      </c>
      <c r="AC139" s="478">
        <f>'Budget Filing Data'!AP133</f>
        <v>0</v>
      </c>
      <c r="AD139" s="478">
        <f>'Budget Filing Data'!T133</f>
        <v>0</v>
      </c>
      <c r="AE139" s="478">
        <f>'Budget Filing Data'!U133</f>
        <v>0</v>
      </c>
      <c r="AF139" s="478">
        <f>'Budget Filing Data'!$V133</f>
        <v>0</v>
      </c>
      <c r="AG139" s="478">
        <f>'Budget Filing Data'!$W133</f>
        <v>0</v>
      </c>
      <c r="AH139" s="479">
        <v>0</v>
      </c>
    </row>
    <row r="140" spans="3:34">
      <c r="C140" s="470" t="str">
        <f>'Budget Filing Data'!D134</f>
        <v>SDGE_SW_NC_NonRes_Res_mixed</v>
      </c>
      <c r="D140" s="470" t="str">
        <f>'Budget Filing Data'!E134</f>
        <v>SW New Construction NonResidential - Residential - Mixed Fuel</v>
      </c>
      <c r="E140" s="471"/>
      <c r="F140" s="480"/>
      <c r="G140" s="472" t="str">
        <f>'Budget Filing Data'!J134</f>
        <v>Third-Party Solicited</v>
      </c>
      <c r="H140" s="472" t="str">
        <f>IF('Budget Filing Data'!H134="","",'Budget Filing Data'!H134)</f>
        <v>SW_NC_NonRes_Res_mixed - New Construction - NonResidential - Mixed Fuel</v>
      </c>
      <c r="I140" s="473" t="s">
        <v>24</v>
      </c>
      <c r="J140" s="472" t="str">
        <f>'Budget Filing Data'!G134</f>
        <v>Residential</v>
      </c>
      <c r="K140" s="472" t="str">
        <f>'Budget Filing Data'!I134</f>
        <v>New Construction</v>
      </c>
      <c r="L140" s="472" t="str">
        <f>'Budget Filing Data'!L134</f>
        <v>Market Support</v>
      </c>
      <c r="M140" s="472">
        <f>'Budget Filing Data'!B134</f>
        <v>2029</v>
      </c>
      <c r="N140" s="474">
        <f t="shared" si="1"/>
        <v>298422.45867898001</v>
      </c>
      <c r="O140" s="475">
        <f>'Budget Filing Data'!AQ134</f>
        <v>26386.623100000001</v>
      </c>
      <c r="P140" s="475">
        <f>'Budget Filing Data'!AR134</f>
        <v>19789.9673</v>
      </c>
      <c r="Q140" s="475">
        <f>'Budget Filing Data'!AS134</f>
        <v>85756.524900000004</v>
      </c>
      <c r="R140" s="475">
        <f>'Budget Filing Data'!AT134</f>
        <v>166489.34337898003</v>
      </c>
      <c r="S140" s="476">
        <f>'Budget Filing Data'!X134</f>
        <v>50321.994600130667</v>
      </c>
      <c r="T140" s="477">
        <f>IFERROR((('Budget Filing Data'!AF134+'Budget Filing Data'!AG134+'Budget Filing Data'!AY134+'Budget Filing Data'!AH134)/'Budget Filing Data'!AA134),"")</f>
        <v>4.9092263012499068E-2</v>
      </c>
      <c r="U140" s="477">
        <f>IFERROR((('Budget Filing Data'!AF134+'Budget Filing Data'!AG134+'Budget Filing Data'!AY134+'Budget Filing Data'!AH134)/'Budget Filing Data'!AB134),"")</f>
        <v>0.17378781193279991</v>
      </c>
      <c r="V140" s="477">
        <f>IFERROR((('Budget Filing Data'!AF134+'Budget Filing Data'!AG134+'Budget Filing Data'!AY134+'Budget Filing Data'!AH134+'Budget Filing Data'!AW134+'Budget Filing Data'!AX134)/('Budget Filing Data'!AE134)),"")</f>
        <v>0.11813010668295082</v>
      </c>
      <c r="W140" s="477">
        <f>IFERROR(('Budget Filing Data'!AI134+'Budget Filing Data'!AJ134+'Budget Filing Data'!AK134+'Budget Filing Data'!AH134)/('Budget Filing Data'!AC134),"")</f>
        <v>6.0954284636563862E-2</v>
      </c>
      <c r="X140" s="477">
        <f>IFERROR(('Budget Filing Data'!AL134+'Budget Filing Data'!AM134+'Budget Filing Data'!AN134+'Budget Filing Data'!AH134)/('Budget Filing Data'!AD134),"")</f>
        <v>6.0962430334624111E-2</v>
      </c>
      <c r="Y140" s="478">
        <f>'Budget Filing Data'!Q134</f>
        <v>27883.963958350469</v>
      </c>
      <c r="Z140" s="478">
        <f>'Budget Filing Data'!R134</f>
        <v>5.0977897014134941</v>
      </c>
      <c r="AA140" s="478">
        <f>'Budget Filing Data'!S134</f>
        <v>563.1964740599999</v>
      </c>
      <c r="AB140" s="478">
        <f>'Budget Filing Data'!AO134</f>
        <v>5.3561758299451174</v>
      </c>
      <c r="AC140" s="478">
        <f>'Budget Filing Data'!AP134</f>
        <v>2.9905732772586009</v>
      </c>
      <c r="AD140" s="478">
        <f>'Budget Filing Data'!T134</f>
        <v>427500.18923475477</v>
      </c>
      <c r="AE140" s="478">
        <f>'Budget Filing Data'!U134</f>
        <v>6032.0396927999982</v>
      </c>
      <c r="AF140" s="478">
        <f>'Budget Filing Data'!$V134</f>
        <v>91.247281270006908</v>
      </c>
      <c r="AG140" s="478">
        <f>'Budget Filing Data'!$W134</f>
        <v>32.030130768767989</v>
      </c>
      <c r="AH140" s="479">
        <v>0</v>
      </c>
    </row>
    <row r="141" spans="3:34">
      <c r="C141" s="470" t="str">
        <f>'Budget Filing Data'!D135</f>
        <v>SDGE_SW_NC_NonRes_Res_mixed_PA</v>
      </c>
      <c r="D141" s="470" t="str">
        <f>'Budget Filing Data'!E135</f>
        <v>SW New Construction NonResidential - Residential - Mixed Fuel (Utility)</v>
      </c>
      <c r="E141" s="471"/>
      <c r="F141" s="480"/>
      <c r="G141" s="472" t="str">
        <f>'Budget Filing Data'!J135</f>
        <v>IOU Core</v>
      </c>
      <c r="H141" s="472" t="str">
        <f>IF('Budget Filing Data'!H135="","",'Budget Filing Data'!H135)</f>
        <v>SW_NC_NonRes_Res_mixed - New Construction - NonResidential - Mixed Fuel</v>
      </c>
      <c r="I141" s="473" t="s">
        <v>24</v>
      </c>
      <c r="J141" s="472" t="str">
        <f>'Budget Filing Data'!G135</f>
        <v>Residential</v>
      </c>
      <c r="K141" s="472" t="str">
        <f>'Budget Filing Data'!I135</f>
        <v>New Construction</v>
      </c>
      <c r="L141" s="472" t="str">
        <f>'Budget Filing Data'!L135</f>
        <v>Market Support</v>
      </c>
      <c r="M141" s="472">
        <f>'Budget Filing Data'!B135</f>
        <v>2029</v>
      </c>
      <c r="N141" s="474">
        <f t="shared" si="1"/>
        <v>2010.7272</v>
      </c>
      <c r="O141" s="475">
        <f>'Budget Filing Data'!AQ135</f>
        <v>2010.7272</v>
      </c>
      <c r="P141" s="475">
        <f>'Budget Filing Data'!AR135</f>
        <v>0</v>
      </c>
      <c r="Q141" s="475">
        <f>'Budget Filing Data'!AS135</f>
        <v>0</v>
      </c>
      <c r="R141" s="475">
        <f>'Budget Filing Data'!AT135</f>
        <v>0</v>
      </c>
      <c r="S141" s="476">
        <f>'Budget Filing Data'!X135</f>
        <v>0</v>
      </c>
      <c r="T141" s="477">
        <f>IFERROR((('Budget Filing Data'!AF135+'Budget Filing Data'!AG135+'Budget Filing Data'!AY135+'Budget Filing Data'!AH135)/'Budget Filing Data'!AA135),"")</f>
        <v>0</v>
      </c>
      <c r="U141" s="477">
        <f>IFERROR((('Budget Filing Data'!AF135+'Budget Filing Data'!AG135+'Budget Filing Data'!AY135+'Budget Filing Data'!AH135)/'Budget Filing Data'!AB135),"")</f>
        <v>0</v>
      </c>
      <c r="V141" s="477">
        <f>IFERROR((('Budget Filing Data'!AF135+'Budget Filing Data'!AG135+'Budget Filing Data'!AY135+'Budget Filing Data'!AH135+'Budget Filing Data'!AW135+'Budget Filing Data'!AX135)/('Budget Filing Data'!AE135)),"")</f>
        <v>0</v>
      </c>
      <c r="W141" s="477">
        <f>IFERROR(('Budget Filing Data'!AI135+'Budget Filing Data'!AJ135+'Budget Filing Data'!AK135+'Budget Filing Data'!AH135)/('Budget Filing Data'!AC135),"")</f>
        <v>0</v>
      </c>
      <c r="X141" s="477">
        <f>IFERROR(('Budget Filing Data'!AL135+'Budget Filing Data'!AM135+'Budget Filing Data'!AN135+'Budget Filing Data'!AH135)/('Budget Filing Data'!AD135),"")</f>
        <v>0</v>
      </c>
      <c r="Y141" s="478">
        <f>'Budget Filing Data'!Q135</f>
        <v>0</v>
      </c>
      <c r="Z141" s="478">
        <f>'Budget Filing Data'!R135</f>
        <v>0</v>
      </c>
      <c r="AA141" s="478">
        <f>'Budget Filing Data'!S135</f>
        <v>0</v>
      </c>
      <c r="AB141" s="478">
        <f>'Budget Filing Data'!AO135</f>
        <v>0</v>
      </c>
      <c r="AC141" s="478">
        <f>'Budget Filing Data'!AP135</f>
        <v>0</v>
      </c>
      <c r="AD141" s="478">
        <f>'Budget Filing Data'!T135</f>
        <v>0</v>
      </c>
      <c r="AE141" s="478">
        <f>'Budget Filing Data'!U135</f>
        <v>0</v>
      </c>
      <c r="AF141" s="478">
        <f>'Budget Filing Data'!$V135</f>
        <v>0</v>
      </c>
      <c r="AG141" s="478">
        <f>'Budget Filing Data'!$W135</f>
        <v>0</v>
      </c>
      <c r="AH141" s="479">
        <v>0</v>
      </c>
    </row>
    <row r="142" spans="3:34">
      <c r="C142" s="470" t="str">
        <f>'Budget Filing Data'!D136</f>
        <v>SDGE_SW_NC_Res_electric</v>
      </c>
      <c r="D142" s="470" t="str">
        <f>'Budget Filing Data'!E136</f>
        <v>SW New Construction Residential - All Electric</v>
      </c>
      <c r="E142" s="471"/>
      <c r="F142" s="480"/>
      <c r="G142" s="472" t="str">
        <f>'Budget Filing Data'!J136</f>
        <v>Third-Party Solicited</v>
      </c>
      <c r="H142" s="472" t="str">
        <f>IF('Budget Filing Data'!H136="","",'Budget Filing Data'!H136)</f>
        <v>SW_NC_Res_electric - New Construction - Residential - All Electric</v>
      </c>
      <c r="I142" s="473" t="s">
        <v>24</v>
      </c>
      <c r="J142" s="472" t="str">
        <f>'Budget Filing Data'!G136</f>
        <v>Residential</v>
      </c>
      <c r="K142" s="472" t="str">
        <f>'Budget Filing Data'!I136</f>
        <v>New Construction</v>
      </c>
      <c r="L142" s="472" t="str">
        <f>'Budget Filing Data'!L136</f>
        <v>Market Support</v>
      </c>
      <c r="M142" s="472">
        <f>'Budget Filing Data'!B136</f>
        <v>2029</v>
      </c>
      <c r="N142" s="474">
        <f t="shared" si="1"/>
        <v>934300.27592000016</v>
      </c>
      <c r="O142" s="475">
        <f>'Budget Filing Data'!AQ136</f>
        <v>33813.962</v>
      </c>
      <c r="P142" s="475">
        <f>'Budget Filing Data'!AR136</f>
        <v>20020</v>
      </c>
      <c r="Q142" s="475">
        <f>'Budget Filing Data'!AS136</f>
        <v>368281.91399999999</v>
      </c>
      <c r="R142" s="475">
        <f>'Budget Filing Data'!AT136</f>
        <v>512184.39992000017</v>
      </c>
      <c r="S142" s="476">
        <f>'Budget Filing Data'!X136</f>
        <v>533736.12898485258</v>
      </c>
      <c r="T142" s="477">
        <f>IFERROR((('Budget Filing Data'!AF136+'Budget Filing Data'!AG136+'Budget Filing Data'!AY136+'Budget Filing Data'!AH136)/'Budget Filing Data'!AA136),"")</f>
        <v>0.60956300708411804</v>
      </c>
      <c r="U142" s="477">
        <f>IFERROR((('Budget Filing Data'!AF136+'Budget Filing Data'!AG136+'Budget Filing Data'!AY136+'Budget Filing Data'!AH136)/'Budget Filing Data'!AB136),"")</f>
        <v>0.63555085156052094</v>
      </c>
      <c r="V142" s="477">
        <f>IFERROR((('Budget Filing Data'!AF136+'Budget Filing Data'!AG136+'Budget Filing Data'!AY136+'Budget Filing Data'!AH136+'Budget Filing Data'!AW136+'Budget Filing Data'!AX136)/('Budget Filing Data'!AE136)),"")</f>
        <v>0.66521600666535641</v>
      </c>
      <c r="W142" s="477">
        <f>IFERROR(('Budget Filing Data'!AI136+'Budget Filing Data'!AJ136+'Budget Filing Data'!AK136+'Budget Filing Data'!AH136)/('Budget Filing Data'!AC136),"")</f>
        <v>0.74805742353110194</v>
      </c>
      <c r="X142" s="477">
        <f>IFERROR(('Budget Filing Data'!AL136+'Budget Filing Data'!AM136+'Budget Filing Data'!AN136+'Budget Filing Data'!AH136)/('Budget Filing Data'!AD136),"")</f>
        <v>0.74818794726040438</v>
      </c>
      <c r="Y142" s="478">
        <f>'Budget Filing Data'!Q136</f>
        <v>-92655.151719507587</v>
      </c>
      <c r="Z142" s="478">
        <f>'Budget Filing Data'!R136</f>
        <v>0</v>
      </c>
      <c r="AA142" s="478">
        <f>'Budget Filing Data'!S136</f>
        <v>14726.440984155941</v>
      </c>
      <c r="AB142" s="478">
        <f>'Budget Filing Data'!AO136</f>
        <v>-18.441919281118171</v>
      </c>
      <c r="AC142" s="478">
        <f>'Budget Filing Data'!AP136</f>
        <v>78.197401625867926</v>
      </c>
      <c r="AD142" s="478">
        <f>'Budget Filing Data'!T136</f>
        <v>-1074993.6666586371</v>
      </c>
      <c r="AE142" s="478">
        <f>'Budget Filing Data'!U136</f>
        <v>184306.07509305939</v>
      </c>
      <c r="AF142" s="478">
        <f>'Budget Filing Data'!$V136</f>
        <v>-232.00540966115193</v>
      </c>
      <c r="AG142" s="478">
        <f>'Budget Filing Data'!$W136</f>
        <v>978.66525874414424</v>
      </c>
      <c r="AH142" s="479">
        <v>0</v>
      </c>
    </row>
    <row r="143" spans="3:34" ht="25.5">
      <c r="C143" s="470" t="str">
        <f>'Budget Filing Data'!D137</f>
        <v>SDGE_SW_NC_Res_electric_PA</v>
      </c>
      <c r="D143" s="470" t="str">
        <f>'Budget Filing Data'!E137</f>
        <v>SW New Construction Residential - All Electric (Utility)</v>
      </c>
      <c r="E143" s="471" t="s">
        <v>42</v>
      </c>
      <c r="F143" s="471" t="s">
        <v>325</v>
      </c>
      <c r="G143" s="472" t="str">
        <f>'Budget Filing Data'!J137</f>
        <v>IOU Core</v>
      </c>
      <c r="H143" s="472" t="str">
        <f>IF('Budget Filing Data'!H137="","",'Budget Filing Data'!H137)</f>
        <v>SW_NC_Res_electric - New Construction - Residential - All Electric</v>
      </c>
      <c r="I143" s="473" t="s">
        <v>24</v>
      </c>
      <c r="J143" s="472" t="str">
        <f>'Budget Filing Data'!G137</f>
        <v>Residential</v>
      </c>
      <c r="K143" s="472" t="str">
        <f>'Budget Filing Data'!I137</f>
        <v>New Construction</v>
      </c>
      <c r="L143" s="472" t="str">
        <f>'Budget Filing Data'!L137</f>
        <v>Market Support</v>
      </c>
      <c r="M143" s="472">
        <f>'Budget Filing Data'!B137</f>
        <v>2029</v>
      </c>
      <c r="N143" s="474">
        <f t="shared" si="1"/>
        <v>7550.9324999999999</v>
      </c>
      <c r="O143" s="475">
        <f>'Budget Filing Data'!AQ137</f>
        <v>7550.9324999999999</v>
      </c>
      <c r="P143" s="475">
        <f>'Budget Filing Data'!AR137</f>
        <v>0</v>
      </c>
      <c r="Q143" s="475">
        <f>'Budget Filing Data'!AS137</f>
        <v>0</v>
      </c>
      <c r="R143" s="475">
        <f>'Budget Filing Data'!AT137</f>
        <v>0</v>
      </c>
      <c r="S143" s="476">
        <f>'Budget Filing Data'!X137</f>
        <v>0</v>
      </c>
      <c r="T143" s="477">
        <f>IFERROR((('Budget Filing Data'!AF137+'Budget Filing Data'!AG137+'Budget Filing Data'!AY137+'Budget Filing Data'!AH137)/'Budget Filing Data'!AA137),"")</f>
        <v>0</v>
      </c>
      <c r="U143" s="477">
        <f>IFERROR((('Budget Filing Data'!AF137+'Budget Filing Data'!AG137+'Budget Filing Data'!AY137+'Budget Filing Data'!AH137)/'Budget Filing Data'!AB137),"")</f>
        <v>0</v>
      </c>
      <c r="V143" s="477">
        <f>IFERROR((('Budget Filing Data'!AF137+'Budget Filing Data'!AG137+'Budget Filing Data'!AY137+'Budget Filing Data'!AH137+'Budget Filing Data'!AW137+'Budget Filing Data'!AX137)/('Budget Filing Data'!AE137)),"")</f>
        <v>0</v>
      </c>
      <c r="W143" s="477">
        <f>IFERROR(('Budget Filing Data'!AI137+'Budget Filing Data'!AJ137+'Budget Filing Data'!AK137+'Budget Filing Data'!AH137)/('Budget Filing Data'!AC137),"")</f>
        <v>0</v>
      </c>
      <c r="X143" s="477">
        <f>IFERROR(('Budget Filing Data'!AL137+'Budget Filing Data'!AM137+'Budget Filing Data'!AN137+'Budget Filing Data'!AH137)/('Budget Filing Data'!AD137),"")</f>
        <v>0</v>
      </c>
      <c r="Y143" s="478">
        <f>'Budget Filing Data'!Q137</f>
        <v>0</v>
      </c>
      <c r="Z143" s="478">
        <f>'Budget Filing Data'!R137</f>
        <v>0</v>
      </c>
      <c r="AA143" s="478">
        <f>'Budget Filing Data'!S137</f>
        <v>0</v>
      </c>
      <c r="AB143" s="478">
        <f>'Budget Filing Data'!AO137</f>
        <v>0</v>
      </c>
      <c r="AC143" s="478">
        <f>'Budget Filing Data'!AP137</f>
        <v>0</v>
      </c>
      <c r="AD143" s="478">
        <f>'Budget Filing Data'!T137</f>
        <v>0</v>
      </c>
      <c r="AE143" s="478">
        <f>'Budget Filing Data'!U137</f>
        <v>0</v>
      </c>
      <c r="AF143" s="478">
        <f>'Budget Filing Data'!$V137</f>
        <v>0</v>
      </c>
      <c r="AG143" s="478">
        <f>'Budget Filing Data'!$W137</f>
        <v>0</v>
      </c>
      <c r="AH143" s="479">
        <v>0</v>
      </c>
    </row>
    <row r="144" spans="3:34" ht="25.5" hidden="1">
      <c r="C144" s="470" t="str">
        <f>'Budget Filing Data'!D138</f>
        <v>SDGE4168</v>
      </c>
      <c r="D144" s="470" t="str">
        <f>'Budget Filing Data'!E138</f>
        <v>Lodging (Hotels/Motels)</v>
      </c>
      <c r="E144" s="471" t="s">
        <v>42</v>
      </c>
      <c r="F144" s="471" t="s">
        <v>321</v>
      </c>
      <c r="G144" s="472" t="str">
        <f>'Budget Filing Data'!J138</f>
        <v>Third-Party Solicited</v>
      </c>
      <c r="H144" s="472" t="str">
        <f>IF('Budget Filing Data'!H138="","",'Budget Filing Data'!H138)</f>
        <v/>
      </c>
      <c r="I144" s="473" t="s">
        <v>24</v>
      </c>
      <c r="J144" s="472" t="str">
        <f>'Budget Filing Data'!G138</f>
        <v>Commercial</v>
      </c>
      <c r="K144" s="472" t="str">
        <f>'Budget Filing Data'!I138</f>
        <v>Other</v>
      </c>
      <c r="L144" s="472" t="str">
        <f>'Budget Filing Data'!L138</f>
        <v>Resource Acquisition</v>
      </c>
      <c r="M144" s="472">
        <f>'Budget Filing Data'!B138</f>
        <v>2029</v>
      </c>
      <c r="N144" s="474">
        <f t="shared" ref="N144:N207" si="2">SUM(O144:R144)</f>
        <v>1830891.1329000001</v>
      </c>
      <c r="O144" s="475">
        <f>'Budget Filing Data'!AQ138</f>
        <v>245712.55469999998</v>
      </c>
      <c r="P144" s="475">
        <f>'Budget Filing Data'!AR138</f>
        <v>99720.592600000004</v>
      </c>
      <c r="Q144" s="475">
        <f>'Budget Filing Data'!AS138</f>
        <v>596461.20860000001</v>
      </c>
      <c r="R144" s="475">
        <f>'Budget Filing Data'!AT138</f>
        <v>888996.777</v>
      </c>
      <c r="S144" s="476">
        <f>'Budget Filing Data'!X138</f>
        <v>2421732.51569374</v>
      </c>
      <c r="T144" s="477">
        <f>IFERROR((('Budget Filing Data'!AF138+'Budget Filing Data'!AG138+'Budget Filing Data'!AY138+'Budget Filing Data'!AH138)/'Budget Filing Data'!AA138),"")</f>
        <v>1.1091843791524347</v>
      </c>
      <c r="U144" s="477">
        <f>IFERROR((('Budget Filing Data'!AF138+'Budget Filing Data'!AG138+'Budget Filing Data'!AY138+'Budget Filing Data'!AH138)/'Budget Filing Data'!AB138),"")</f>
        <v>1.3461121884025273</v>
      </c>
      <c r="V144" s="477">
        <f>IFERROR((('Budget Filing Data'!AF138+'Budget Filing Data'!AG138+'Budget Filing Data'!AY138+'Budget Filing Data'!AH138+'Budget Filing Data'!AW138+'Budget Filing Data'!AX138)/('Budget Filing Data'!AE138)),"")</f>
        <v>0.18831673988457953</v>
      </c>
      <c r="W144" s="477">
        <f>IFERROR(('Budget Filing Data'!AI138+'Budget Filing Data'!AJ138+'Budget Filing Data'!AK138+'Budget Filing Data'!AH138)/('Budget Filing Data'!AC138),"")</f>
        <v>1.2760529159211145</v>
      </c>
      <c r="X144" s="477">
        <f>IFERROR(('Budget Filing Data'!AL138+'Budget Filing Data'!AM138+'Budget Filing Data'!AN138+'Budget Filing Data'!AH138)/('Budget Filing Data'!AD138),"")</f>
        <v>1.2761139974022091</v>
      </c>
      <c r="Y144" s="478">
        <f>'Budget Filing Data'!Q138</f>
        <v>3000868.0320600001</v>
      </c>
      <c r="Z144" s="478">
        <f>'Budget Filing Data'!R138</f>
        <v>450.03268709999998</v>
      </c>
      <c r="AA144" s="478">
        <f>'Budget Filing Data'!S138</f>
        <v>6802.7720012549999</v>
      </c>
      <c r="AB144" s="478">
        <f>'Budget Filing Data'!AO138</f>
        <v>424.53400084274102</v>
      </c>
      <c r="AC144" s="478">
        <f>'Budget Filing Data'!AP138</f>
        <v>36.122719326663997</v>
      </c>
      <c r="AD144" s="478">
        <f>'Budget Filing Data'!T138</f>
        <v>33855312.998815797</v>
      </c>
      <c r="AE144" s="478">
        <f>'Budget Filing Data'!U138</f>
        <v>76747.785274638707</v>
      </c>
      <c r="AF144" s="478">
        <f>'Budget Filing Data'!$V138</f>
        <v>4865.4546847277497</v>
      </c>
      <c r="AG144" s="478">
        <f>'Budget Filing Data'!$W138</f>
        <v>407.53073980833199</v>
      </c>
      <c r="AH144" s="479">
        <v>0</v>
      </c>
    </row>
    <row r="145" spans="3:34" hidden="1">
      <c r="C145" s="470" t="str">
        <f>'Budget Filing Data'!D139</f>
        <v>SDGE4169</v>
      </c>
      <c r="D145" s="470" t="str">
        <f>'Budget Filing Data'!E139</f>
        <v>Groceries, Restaurants and Food Storage</v>
      </c>
      <c r="E145" s="471"/>
      <c r="F145" s="480"/>
      <c r="G145" s="472" t="str">
        <f>'Budget Filing Data'!J139</f>
        <v>Third-Party Solicited</v>
      </c>
      <c r="H145" s="472" t="str">
        <f>IF('Budget Filing Data'!H139="","",'Budget Filing Data'!H139)</f>
        <v/>
      </c>
      <c r="I145" s="473" t="s">
        <v>24</v>
      </c>
      <c r="J145" s="472" t="str">
        <f>'Budget Filing Data'!G139</f>
        <v>Commercial</v>
      </c>
      <c r="K145" s="472" t="str">
        <f>'Budget Filing Data'!I139</f>
        <v>Other</v>
      </c>
      <c r="L145" s="472" t="str">
        <f>'Budget Filing Data'!L139</f>
        <v>Resource Acquisition</v>
      </c>
      <c r="M145" s="472">
        <f>'Budget Filing Data'!B139</f>
        <v>2029</v>
      </c>
      <c r="N145" s="474">
        <f t="shared" si="2"/>
        <v>1992133.5134999999</v>
      </c>
      <c r="O145" s="475">
        <f>'Budget Filing Data'!AQ139</f>
        <v>180753.1317</v>
      </c>
      <c r="P145" s="475">
        <f>'Budget Filing Data'!AR139</f>
        <v>111402.5926</v>
      </c>
      <c r="Q145" s="475">
        <f>'Budget Filing Data'!AS139</f>
        <v>899829.97230000002</v>
      </c>
      <c r="R145" s="475">
        <f>'Budget Filing Data'!AT139</f>
        <v>800147.81689999998</v>
      </c>
      <c r="S145" s="476">
        <f>'Budget Filing Data'!X139</f>
        <v>2595629.63319377</v>
      </c>
      <c r="T145" s="477">
        <f>IFERROR((('Budget Filing Data'!AF139+'Budget Filing Data'!AG139+'Budget Filing Data'!AY139+'Budget Filing Data'!AH139)/'Budget Filing Data'!AA139),"")</f>
        <v>0.79108566652306733</v>
      </c>
      <c r="U145" s="477">
        <f>IFERROR((('Budget Filing Data'!AF139+'Budget Filing Data'!AG139+'Budget Filing Data'!AY139+'Budget Filing Data'!AH139)/'Budget Filing Data'!AB139),"")</f>
        <v>1.3219100701009674</v>
      </c>
      <c r="V145" s="477">
        <f>IFERROR((('Budget Filing Data'!AF139+'Budget Filing Data'!AG139+'Budget Filing Data'!AY139+'Budget Filing Data'!AH139+'Budget Filing Data'!AW139+'Budget Filing Data'!AX139)/('Budget Filing Data'!AE139)),"")</f>
        <v>0.14933827267425473</v>
      </c>
      <c r="W145" s="477">
        <f>IFERROR(('Budget Filing Data'!AI139+'Budget Filing Data'!AJ139+'Budget Filing Data'!AK139+'Budget Filing Data'!AH139)/('Budget Filing Data'!AC139),"")</f>
        <v>0.92864675975816635</v>
      </c>
      <c r="X145" s="477">
        <f>IFERROR(('Budget Filing Data'!AL139+'Budget Filing Data'!AM139+'Budget Filing Data'!AN139+'Budget Filing Data'!AH139)/('Budget Filing Data'!AD139),"")</f>
        <v>0.92867191656401316</v>
      </c>
      <c r="Y145" s="478">
        <f>'Budget Filing Data'!Q139</f>
        <v>3367379.0333733899</v>
      </c>
      <c r="Z145" s="478">
        <f>'Budget Filing Data'!R139</f>
        <v>507.89385279482599</v>
      </c>
      <c r="AA145" s="478">
        <f>'Budget Filing Data'!S139</f>
        <v>4214.1621779636598</v>
      </c>
      <c r="AB145" s="478">
        <f>'Budget Filing Data'!AO139</f>
        <v>348.40772478507103</v>
      </c>
      <c r="AC145" s="478">
        <f>'Budget Filing Data'!AP139</f>
        <v>22.377201164987</v>
      </c>
      <c r="AD145" s="478">
        <f>'Budget Filing Data'!T139</f>
        <v>50510685.5006008</v>
      </c>
      <c r="AE145" s="478">
        <f>'Budget Filing Data'!U139</f>
        <v>63212.432669454902</v>
      </c>
      <c r="AF145" s="478">
        <f>'Budget Filing Data'!$V139</f>
        <v>4481.8919014395697</v>
      </c>
      <c r="AG145" s="478">
        <f>'Budget Filing Data'!$W139</f>
        <v>335.65801747480498</v>
      </c>
      <c r="AH145" s="479">
        <v>0</v>
      </c>
    </row>
    <row r="146" spans="3:34" ht="25.5" hidden="1">
      <c r="C146" s="470" t="str">
        <f>'Budget Filing Data'!D140</f>
        <v>SDGE4170</v>
      </c>
      <c r="D146" s="470" t="str">
        <f>'Budget Filing Data'!E140</f>
        <v>Wholesale/Retail/Office, including Entertainment Services</v>
      </c>
      <c r="E146" s="471" t="s">
        <v>42</v>
      </c>
      <c r="F146" s="471" t="s">
        <v>321</v>
      </c>
      <c r="G146" s="472" t="str">
        <f>'Budget Filing Data'!J140</f>
        <v>Third-Party Solicited</v>
      </c>
      <c r="H146" s="472" t="str">
        <f>IF('Budget Filing Data'!H140="","",'Budget Filing Data'!H140)</f>
        <v/>
      </c>
      <c r="I146" s="473" t="s">
        <v>24</v>
      </c>
      <c r="J146" s="472" t="str">
        <f>'Budget Filing Data'!G140</f>
        <v>Commercial</v>
      </c>
      <c r="K146" s="472" t="str">
        <f>'Budget Filing Data'!I140</f>
        <v>Other</v>
      </c>
      <c r="L146" s="472" t="str">
        <f>'Budget Filing Data'!L140</f>
        <v>Resource Acquisition</v>
      </c>
      <c r="M146" s="472">
        <f>'Budget Filing Data'!B140</f>
        <v>2029</v>
      </c>
      <c r="N146" s="474">
        <f t="shared" si="2"/>
        <v>6162883.7760000005</v>
      </c>
      <c r="O146" s="475">
        <f>'Budget Filing Data'!AQ140</f>
        <v>403808.48230000003</v>
      </c>
      <c r="P146" s="475">
        <f>'Budget Filing Data'!AR140</f>
        <v>94350.592600000004</v>
      </c>
      <c r="Q146" s="475">
        <f>'Budget Filing Data'!AS140</f>
        <v>3071892.7211000002</v>
      </c>
      <c r="R146" s="475">
        <f>'Budget Filing Data'!AT140</f>
        <v>2592831.98</v>
      </c>
      <c r="S146" s="476">
        <f>'Budget Filing Data'!X140</f>
        <v>9549357.7972442098</v>
      </c>
      <c r="T146" s="477">
        <f>IFERROR((('Budget Filing Data'!AF140+'Budget Filing Data'!AG140+'Budget Filing Data'!AY140+'Budget Filing Data'!AH140)/'Budget Filing Data'!AA140),"")</f>
        <v>1.4493721585961228</v>
      </c>
      <c r="U146" s="477">
        <f>IFERROR((('Budget Filing Data'!AF140+'Budget Filing Data'!AG140+'Budget Filing Data'!AY140+'Budget Filing Data'!AH140)/'Budget Filing Data'!AB140),"")</f>
        <v>1.5698189677099852</v>
      </c>
      <c r="V146" s="477">
        <f>IFERROR((('Budget Filing Data'!AF140+'Budget Filing Data'!AG140+'Budget Filing Data'!AY140+'Budget Filing Data'!AH140+'Budget Filing Data'!AW140+'Budget Filing Data'!AX140)/('Budget Filing Data'!AE140)),"")</f>
        <v>0.51330441486024447</v>
      </c>
      <c r="W146" s="477">
        <f>IFERROR(('Budget Filing Data'!AI140+'Budget Filing Data'!AJ140+'Budget Filing Data'!AK140+'Budget Filing Data'!AH140)/('Budget Filing Data'!AC140),"")</f>
        <v>2.0168123620915592</v>
      </c>
      <c r="X146" s="477">
        <f>IFERROR(('Budget Filing Data'!AL140+'Budget Filing Data'!AM140+'Budget Filing Data'!AN140+'Budget Filing Data'!AH140)/('Budget Filing Data'!AD140),"")</f>
        <v>2.0178469745971999</v>
      </c>
      <c r="Y146" s="478">
        <f>'Budget Filing Data'!Q140</f>
        <v>2195096.4632941298</v>
      </c>
      <c r="Z146" s="478">
        <f>'Budget Filing Data'!R140</f>
        <v>264.53567251521599</v>
      </c>
      <c r="AA146" s="478">
        <f>'Budget Filing Data'!S140</f>
        <v>348571.34314620198</v>
      </c>
      <c r="AB146" s="478">
        <f>'Budget Filing Data'!AO140</f>
        <v>354.99661208483502</v>
      </c>
      <c r="AC146" s="478">
        <f>'Budget Filing Data'!AP140</f>
        <v>1850.9138321063299</v>
      </c>
      <c r="AD146" s="478">
        <f>'Budget Filing Data'!T140</f>
        <v>25162566.366457701</v>
      </c>
      <c r="AE146" s="478">
        <f>'Budget Filing Data'!U140</f>
        <v>3995701.1921923701</v>
      </c>
      <c r="AF146" s="478">
        <f>'Budget Filing Data'!$V140</f>
        <v>4203.9887649295997</v>
      </c>
      <c r="AG146" s="478">
        <f>'Budget Filing Data'!$W140</f>
        <v>21217.1733305415</v>
      </c>
      <c r="AH146" s="479">
        <v>0</v>
      </c>
    </row>
    <row r="147" spans="3:34" ht="25.5" hidden="1">
      <c r="C147" s="470" t="str">
        <f>'Budget Filing Data'!D141</f>
        <v>SDGE4171</v>
      </c>
      <c r="D147" s="470" t="str">
        <f>'Budget Filing Data'!E141</f>
        <v>Private Institutions/Healthcare</v>
      </c>
      <c r="E147" s="471" t="s">
        <v>42</v>
      </c>
      <c r="F147" s="471" t="s">
        <v>321</v>
      </c>
      <c r="G147" s="472" t="str">
        <f>'Budget Filing Data'!J141</f>
        <v>Third-Party Solicited</v>
      </c>
      <c r="H147" s="472" t="str">
        <f>IF('Budget Filing Data'!H141="","",'Budget Filing Data'!H141)</f>
        <v/>
      </c>
      <c r="I147" s="473" t="s">
        <v>24</v>
      </c>
      <c r="J147" s="472" t="str">
        <f>'Budget Filing Data'!G141</f>
        <v>Commercial</v>
      </c>
      <c r="K147" s="472" t="str">
        <f>'Budget Filing Data'!I141</f>
        <v>Other</v>
      </c>
      <c r="L147" s="472" t="str">
        <f>'Budget Filing Data'!L141</f>
        <v>Resource Acquisition</v>
      </c>
      <c r="M147" s="472">
        <f>'Budget Filing Data'!B141</f>
        <v>2029</v>
      </c>
      <c r="N147" s="474">
        <f t="shared" si="2"/>
        <v>1696116.5145</v>
      </c>
      <c r="O147" s="475">
        <f>'Budget Filing Data'!AQ141</f>
        <v>228262.24719999998</v>
      </c>
      <c r="P147" s="475">
        <f>'Budget Filing Data'!AR141</f>
        <v>92407.592600000004</v>
      </c>
      <c r="Q147" s="475">
        <f>'Budget Filing Data'!AS141</f>
        <v>484383.85470000003</v>
      </c>
      <c r="R147" s="475">
        <f>'Budget Filing Data'!AT141</f>
        <v>891062.82</v>
      </c>
      <c r="S147" s="476">
        <f>'Budget Filing Data'!X141</f>
        <v>3199945.4317229199</v>
      </c>
      <c r="T147" s="477">
        <f>IFERROR((('Budget Filing Data'!AF141+'Budget Filing Data'!AG141+'Budget Filing Data'!AY141+'Budget Filing Data'!AH141)/'Budget Filing Data'!AA141),"")</f>
        <v>1.3676336474845932</v>
      </c>
      <c r="U147" s="477">
        <f>IFERROR((('Budget Filing Data'!AF141+'Budget Filing Data'!AG141+'Budget Filing Data'!AY141+'Budget Filing Data'!AH141)/'Budget Filing Data'!AB141),"")</f>
        <v>1.922803352782452</v>
      </c>
      <c r="V147" s="477">
        <f>IFERROR((('Budget Filing Data'!AF141+'Budget Filing Data'!AG141+'Budget Filing Data'!AY141+'Budget Filing Data'!AH141+'Budget Filing Data'!AW141+'Budget Filing Data'!AX141)/('Budget Filing Data'!AE141)),"")</f>
        <v>0.27266291269472603</v>
      </c>
      <c r="W147" s="477">
        <f>IFERROR(('Budget Filing Data'!AI141+'Budget Filing Data'!AJ141+'Budget Filing Data'!AK141+'Budget Filing Data'!AH141)/('Budget Filing Data'!AC141),"")</f>
        <v>1.6568973526649611</v>
      </c>
      <c r="X147" s="477">
        <f>IFERROR(('Budget Filing Data'!AL141+'Budget Filing Data'!AM141+'Budget Filing Data'!AN141+'Budget Filing Data'!AH141)/('Budget Filing Data'!AD141),"")</f>
        <v>1.6575402551097886</v>
      </c>
      <c r="Y147" s="478">
        <f>'Budget Filing Data'!Q141</f>
        <v>3491157.4109100001</v>
      </c>
      <c r="Z147" s="478">
        <f>'Budget Filing Data'!R141</f>
        <v>319.16045750400002</v>
      </c>
      <c r="AA147" s="478">
        <f>'Budget Filing Data'!S141</f>
        <v>76807.979566649999</v>
      </c>
      <c r="AB147" s="478">
        <f>'Budget Filing Data'!AO141</f>
        <v>493.89543538440199</v>
      </c>
      <c r="AC147" s="478">
        <f>'Budget Filing Data'!AP141</f>
        <v>407.85037149891099</v>
      </c>
      <c r="AD147" s="478">
        <f>'Budget Filing Data'!T141</f>
        <v>27748982.900895402</v>
      </c>
      <c r="AE147" s="478">
        <f>'Budget Filing Data'!U141</f>
        <v>610497.62608433701</v>
      </c>
      <c r="AF147" s="478">
        <f>'Budget Filing Data'!$V141</f>
        <v>3945.89664494004</v>
      </c>
      <c r="AG147" s="478">
        <f>'Budget Filing Data'!$W141</f>
        <v>3241.7423945078299</v>
      </c>
      <c r="AH147" s="479">
        <v>0</v>
      </c>
    </row>
    <row r="148" spans="3:34">
      <c r="C148" s="470" t="str">
        <f>'Budget Filing Data'!D142</f>
        <v>SDGE4175</v>
      </c>
      <c r="D148" s="470" t="str">
        <f>'Budget Filing Data'!E142</f>
        <v>Local Residential Fuel-Substitution</v>
      </c>
      <c r="E148" s="471"/>
      <c r="F148" s="480"/>
      <c r="G148" s="472" t="str">
        <f>'Budget Filing Data'!J142</f>
        <v>IOU Core</v>
      </c>
      <c r="H148" s="472" t="str">
        <f>IF('Budget Filing Data'!H142="","",'Budget Filing Data'!H142)</f>
        <v/>
      </c>
      <c r="I148" s="473" t="s">
        <v>15</v>
      </c>
      <c r="J148" s="472" t="str">
        <f>'Budget Filing Data'!G142</f>
        <v>Residential</v>
      </c>
      <c r="K148" s="472" t="str">
        <f>'Budget Filing Data'!I142</f>
        <v>Other</v>
      </c>
      <c r="L148" s="472" t="str">
        <f>'Budget Filing Data'!L142</f>
        <v>Market Support</v>
      </c>
      <c r="M148" s="472">
        <f>'Budget Filing Data'!B142</f>
        <v>2029</v>
      </c>
      <c r="N148" s="474">
        <f t="shared" si="2"/>
        <v>1054405.1684000001</v>
      </c>
      <c r="O148" s="475">
        <f>'Budget Filing Data'!AQ142</f>
        <v>232480.95170000001</v>
      </c>
      <c r="P148" s="475">
        <f>'Budget Filing Data'!AR142</f>
        <v>104308.9626</v>
      </c>
      <c r="Q148" s="475">
        <f>'Budget Filing Data'!AS142</f>
        <v>651615.25410000002</v>
      </c>
      <c r="R148" s="475">
        <f>'Budget Filing Data'!AT142</f>
        <v>66000</v>
      </c>
      <c r="S148" s="476">
        <f>'Budget Filing Data'!X142</f>
        <v>0</v>
      </c>
      <c r="T148" s="477">
        <f>IFERROR((('Budget Filing Data'!AF142+'Budget Filing Data'!AG142+'Budget Filing Data'!AY142+'Budget Filing Data'!AH142)/'Budget Filing Data'!AA142),"")</f>
        <v>0</v>
      </c>
      <c r="U148" s="477">
        <f>IFERROR((('Budget Filing Data'!AF142+'Budget Filing Data'!AG142+'Budget Filing Data'!AY142+'Budget Filing Data'!AH142)/'Budget Filing Data'!AB142),"")</f>
        <v>0</v>
      </c>
      <c r="V148" s="477">
        <f>IFERROR((('Budget Filing Data'!AF142+'Budget Filing Data'!AG142+'Budget Filing Data'!AY142+'Budget Filing Data'!AH142+'Budget Filing Data'!AW142+'Budget Filing Data'!AX142)/('Budget Filing Data'!AE142)),"")</f>
        <v>0</v>
      </c>
      <c r="W148" s="477">
        <f>IFERROR(('Budget Filing Data'!AI142+'Budget Filing Data'!AJ142+'Budget Filing Data'!AK142+'Budget Filing Data'!AH142)/('Budget Filing Data'!AC142),"")</f>
        <v>0</v>
      </c>
      <c r="X148" s="477">
        <f>IFERROR(('Budget Filing Data'!AL142+'Budget Filing Data'!AM142+'Budget Filing Data'!AN142+'Budget Filing Data'!AH142)/('Budget Filing Data'!AD142),"")</f>
        <v>0</v>
      </c>
      <c r="Y148" s="478">
        <f>'Budget Filing Data'!Q142</f>
        <v>0</v>
      </c>
      <c r="Z148" s="478">
        <f>'Budget Filing Data'!R142</f>
        <v>0</v>
      </c>
      <c r="AA148" s="478">
        <f>'Budget Filing Data'!S142</f>
        <v>0</v>
      </c>
      <c r="AB148" s="478">
        <f>'Budget Filing Data'!AO142</f>
        <v>0</v>
      </c>
      <c r="AC148" s="478">
        <f>'Budget Filing Data'!AP142</f>
        <v>0</v>
      </c>
      <c r="AD148" s="478">
        <f>'Budget Filing Data'!T142</f>
        <v>0</v>
      </c>
      <c r="AE148" s="478">
        <f>'Budget Filing Data'!U142</f>
        <v>0</v>
      </c>
      <c r="AF148" s="478">
        <f>'Budget Filing Data'!$V142</f>
        <v>0</v>
      </c>
      <c r="AG148" s="478">
        <f>'Budget Filing Data'!$W142</f>
        <v>0</v>
      </c>
      <c r="AH148" s="479">
        <v>0</v>
      </c>
    </row>
    <row r="149" spans="3:34" hidden="1">
      <c r="C149" s="470" t="str">
        <f>'Budget Filing Data'!D143</f>
        <v>SDGE_CS_PortfolioSupport</v>
      </c>
      <c r="D149" s="470" t="str">
        <f>'Budget Filing Data'!E143</f>
        <v>Codes &amp; Standards Portfolio Support PA Costs</v>
      </c>
      <c r="E149" s="471"/>
      <c r="F149" s="480"/>
      <c r="G149" s="472" t="str">
        <f>'Budget Filing Data'!J143</f>
        <v>IOU Core</v>
      </c>
      <c r="H149" s="472" t="str">
        <f>IF('Budget Filing Data'!H143="","",'Budget Filing Data'!H143)</f>
        <v/>
      </c>
      <c r="I149" s="473" t="s">
        <v>24</v>
      </c>
      <c r="J149" s="472" t="str">
        <f>'Budget Filing Data'!G143</f>
        <v>Portfolio Support</v>
      </c>
      <c r="K149" s="472" t="str">
        <f>'Budget Filing Data'!I143</f>
        <v>Other</v>
      </c>
      <c r="L149" s="472" t="str">
        <f>'Budget Filing Data'!L143</f>
        <v>Codes and Standards</v>
      </c>
      <c r="M149" s="472">
        <f>'Budget Filing Data'!B143</f>
        <v>2029</v>
      </c>
      <c r="N149" s="474">
        <f t="shared" si="2"/>
        <v>198945.14910000001</v>
      </c>
      <c r="O149" s="475">
        <f>'Budget Filing Data'!AQ143</f>
        <v>198945.14910000001</v>
      </c>
      <c r="P149" s="475">
        <f>'Budget Filing Data'!AR143</f>
        <v>0</v>
      </c>
      <c r="Q149" s="475">
        <f>'Budget Filing Data'!AS143</f>
        <v>0</v>
      </c>
      <c r="R149" s="475">
        <f>'Budget Filing Data'!AT143</f>
        <v>0</v>
      </c>
      <c r="S149" s="476">
        <f>'Budget Filing Data'!X143</f>
        <v>0</v>
      </c>
      <c r="T149" s="477">
        <f>IFERROR((('Budget Filing Data'!AF143+'Budget Filing Data'!AG143+'Budget Filing Data'!AY143+'Budget Filing Data'!AH143)/'Budget Filing Data'!AA143),"")</f>
        <v>0</v>
      </c>
      <c r="U149" s="477">
        <f>IFERROR((('Budget Filing Data'!AF143+'Budget Filing Data'!AG143+'Budget Filing Data'!AY143+'Budget Filing Data'!AH143)/'Budget Filing Data'!AB143),"")</f>
        <v>0</v>
      </c>
      <c r="V149" s="477">
        <f>IFERROR((('Budget Filing Data'!AF143+'Budget Filing Data'!AG143+'Budget Filing Data'!AY143+'Budget Filing Data'!AH143+'Budget Filing Data'!AW143+'Budget Filing Data'!AX143)/('Budget Filing Data'!AE143)),"")</f>
        <v>0</v>
      </c>
      <c r="W149" s="477">
        <f>IFERROR(('Budget Filing Data'!AI143+'Budget Filing Data'!AJ143+'Budget Filing Data'!AK143+'Budget Filing Data'!AH143)/('Budget Filing Data'!AC143),"")</f>
        <v>0</v>
      </c>
      <c r="X149" s="477">
        <f>IFERROR(('Budget Filing Data'!AL143+'Budget Filing Data'!AM143+'Budget Filing Data'!AN143+'Budget Filing Data'!AH143)/('Budget Filing Data'!AD143),"")</f>
        <v>0</v>
      </c>
      <c r="Y149" s="478">
        <f>'Budget Filing Data'!Q143</f>
        <v>0</v>
      </c>
      <c r="Z149" s="478">
        <f>'Budget Filing Data'!R143</f>
        <v>0</v>
      </c>
      <c r="AA149" s="478">
        <f>'Budget Filing Data'!S143</f>
        <v>0</v>
      </c>
      <c r="AB149" s="478">
        <f>'Budget Filing Data'!AO143</f>
        <v>0</v>
      </c>
      <c r="AC149" s="478">
        <f>'Budget Filing Data'!AP143</f>
        <v>0</v>
      </c>
      <c r="AD149" s="478">
        <f>'Budget Filing Data'!T143</f>
        <v>0</v>
      </c>
      <c r="AE149" s="478">
        <f>'Budget Filing Data'!U143</f>
        <v>0</v>
      </c>
      <c r="AF149" s="478">
        <f>'Budget Filing Data'!$V143</f>
        <v>0</v>
      </c>
      <c r="AG149" s="478">
        <f>'Budget Filing Data'!$W143</f>
        <v>0</v>
      </c>
      <c r="AH149" s="479">
        <v>0</v>
      </c>
    </row>
    <row r="150" spans="3:34" hidden="1">
      <c r="C150" s="470" t="str">
        <f>'Budget Filing Data'!D144</f>
        <v>SDGE_Equity_PortfolioSupport</v>
      </c>
      <c r="D150" s="470" t="str">
        <f>'Budget Filing Data'!E144</f>
        <v>Equity Portfolio Support PA Costs</v>
      </c>
      <c r="E150" s="471" t="s">
        <v>37</v>
      </c>
      <c r="F150" s="471" t="s">
        <v>326</v>
      </c>
      <c r="G150" s="472" t="str">
        <f>'Budget Filing Data'!J144</f>
        <v>IOU Core</v>
      </c>
      <c r="H150" s="472" t="str">
        <f>IF('Budget Filing Data'!H144="","",'Budget Filing Data'!H144)</f>
        <v/>
      </c>
      <c r="I150" s="473" t="s">
        <v>24</v>
      </c>
      <c r="J150" s="472" t="str">
        <f>'Budget Filing Data'!G144</f>
        <v>Portfolio Support</v>
      </c>
      <c r="K150" s="472" t="str">
        <f>'Budget Filing Data'!I144</f>
        <v>Other</v>
      </c>
      <c r="L150" s="472" t="str">
        <f>'Budget Filing Data'!L144</f>
        <v>Equity</v>
      </c>
      <c r="M150" s="472">
        <f>'Budget Filing Data'!B144</f>
        <v>2029</v>
      </c>
      <c r="N150" s="474">
        <f t="shared" si="2"/>
        <v>9405.68</v>
      </c>
      <c r="O150" s="475">
        <f>'Budget Filing Data'!AQ144</f>
        <v>9405.68</v>
      </c>
      <c r="P150" s="475">
        <f>'Budget Filing Data'!AR144</f>
        <v>0</v>
      </c>
      <c r="Q150" s="475">
        <f>'Budget Filing Data'!AS144</f>
        <v>0</v>
      </c>
      <c r="R150" s="475">
        <f>'Budget Filing Data'!AT144</f>
        <v>0</v>
      </c>
      <c r="S150" s="476">
        <f>'Budget Filing Data'!X144</f>
        <v>0</v>
      </c>
      <c r="T150" s="477">
        <f>IFERROR((('Budget Filing Data'!AF144+'Budget Filing Data'!AG144+'Budget Filing Data'!AY144+'Budget Filing Data'!AH144)/'Budget Filing Data'!AA144),"")</f>
        <v>0</v>
      </c>
      <c r="U150" s="477">
        <f>IFERROR((('Budget Filing Data'!AF144+'Budget Filing Data'!AG144+'Budget Filing Data'!AY144+'Budget Filing Data'!AH144)/'Budget Filing Data'!AB144),"")</f>
        <v>0</v>
      </c>
      <c r="V150" s="477">
        <f>IFERROR((('Budget Filing Data'!AF144+'Budget Filing Data'!AG144+'Budget Filing Data'!AY144+'Budget Filing Data'!AH144+'Budget Filing Data'!AW144+'Budget Filing Data'!AX144)/('Budget Filing Data'!AE144)),"")</f>
        <v>0</v>
      </c>
      <c r="W150" s="477">
        <f>IFERROR(('Budget Filing Data'!AI144+'Budget Filing Data'!AJ144+'Budget Filing Data'!AK144+'Budget Filing Data'!AH144)/('Budget Filing Data'!AC144),"")</f>
        <v>0</v>
      </c>
      <c r="X150" s="477">
        <f>IFERROR(('Budget Filing Data'!AL144+'Budget Filing Data'!AM144+'Budget Filing Data'!AN144+'Budget Filing Data'!AH144)/('Budget Filing Data'!AD144),"")</f>
        <v>0</v>
      </c>
      <c r="Y150" s="478">
        <f>'Budget Filing Data'!Q144</f>
        <v>0</v>
      </c>
      <c r="Z150" s="478">
        <f>'Budget Filing Data'!R144</f>
        <v>0</v>
      </c>
      <c r="AA150" s="478">
        <f>'Budget Filing Data'!S144</f>
        <v>0</v>
      </c>
      <c r="AB150" s="478">
        <f>'Budget Filing Data'!AO144</f>
        <v>0</v>
      </c>
      <c r="AC150" s="478">
        <f>'Budget Filing Data'!AP144</f>
        <v>0</v>
      </c>
      <c r="AD150" s="478">
        <f>'Budget Filing Data'!T144</f>
        <v>0</v>
      </c>
      <c r="AE150" s="478">
        <f>'Budget Filing Data'!U144</f>
        <v>0</v>
      </c>
      <c r="AF150" s="478">
        <f>'Budget Filing Data'!$V144</f>
        <v>0</v>
      </c>
      <c r="AG150" s="478">
        <f>'Budget Filing Data'!$W144</f>
        <v>0</v>
      </c>
      <c r="AH150" s="479">
        <v>0</v>
      </c>
    </row>
    <row r="151" spans="3:34" hidden="1">
      <c r="C151" s="470" t="str">
        <f>'Budget Filing Data'!D145</f>
        <v>SDGE_MS_PortfolioSupport</v>
      </c>
      <c r="D151" s="470" t="str">
        <f>'Budget Filing Data'!E145</f>
        <v>Market Support Portfolio Support PA Costs</v>
      </c>
      <c r="E151" s="471" t="s">
        <v>37</v>
      </c>
      <c r="F151" s="471" t="s">
        <v>327</v>
      </c>
      <c r="G151" s="472" t="str">
        <f>'Budget Filing Data'!J145</f>
        <v>IOU Core</v>
      </c>
      <c r="H151" s="472" t="str">
        <f>IF('Budget Filing Data'!H145="","",'Budget Filing Data'!H145)</f>
        <v/>
      </c>
      <c r="I151" s="473" t="s">
        <v>24</v>
      </c>
      <c r="J151" s="472" t="str">
        <f>'Budget Filing Data'!G145</f>
        <v>Portfolio Support</v>
      </c>
      <c r="K151" s="472" t="str">
        <f>'Budget Filing Data'!I145</f>
        <v>Other</v>
      </c>
      <c r="L151" s="472" t="str">
        <f>'Budget Filing Data'!L145</f>
        <v>Market Support</v>
      </c>
      <c r="M151" s="472">
        <f>'Budget Filing Data'!B145</f>
        <v>2029</v>
      </c>
      <c r="N151" s="474">
        <f t="shared" si="2"/>
        <v>352662.57679999998</v>
      </c>
      <c r="O151" s="475">
        <f>'Budget Filing Data'!AQ145</f>
        <v>352662.57679999998</v>
      </c>
      <c r="P151" s="475">
        <f>'Budget Filing Data'!AR145</f>
        <v>0</v>
      </c>
      <c r="Q151" s="475">
        <f>'Budget Filing Data'!AS145</f>
        <v>0</v>
      </c>
      <c r="R151" s="475">
        <f>'Budget Filing Data'!AT145</f>
        <v>0</v>
      </c>
      <c r="S151" s="476">
        <f>'Budget Filing Data'!X145</f>
        <v>0</v>
      </c>
      <c r="T151" s="477">
        <f>IFERROR((('Budget Filing Data'!AF145+'Budget Filing Data'!AG145+'Budget Filing Data'!AY145+'Budget Filing Data'!AH145)/'Budget Filing Data'!AA145),"")</f>
        <v>0</v>
      </c>
      <c r="U151" s="477">
        <f>IFERROR((('Budget Filing Data'!AF145+'Budget Filing Data'!AG145+'Budget Filing Data'!AY145+'Budget Filing Data'!AH145)/'Budget Filing Data'!AB145),"")</f>
        <v>0</v>
      </c>
      <c r="V151" s="477">
        <f>IFERROR((('Budget Filing Data'!AF145+'Budget Filing Data'!AG145+'Budget Filing Data'!AY145+'Budget Filing Data'!AH145+'Budget Filing Data'!AW145+'Budget Filing Data'!AX145)/('Budget Filing Data'!AE145)),"")</f>
        <v>0</v>
      </c>
      <c r="W151" s="477">
        <f>IFERROR(('Budget Filing Data'!AI145+'Budget Filing Data'!AJ145+'Budget Filing Data'!AK145+'Budget Filing Data'!AH145)/('Budget Filing Data'!AC145),"")</f>
        <v>0</v>
      </c>
      <c r="X151" s="477">
        <f>IFERROR(('Budget Filing Data'!AL145+'Budget Filing Data'!AM145+'Budget Filing Data'!AN145+'Budget Filing Data'!AH145)/('Budget Filing Data'!AD145),"")</f>
        <v>0</v>
      </c>
      <c r="Y151" s="478">
        <f>'Budget Filing Data'!Q145</f>
        <v>0</v>
      </c>
      <c r="Z151" s="478">
        <f>'Budget Filing Data'!R145</f>
        <v>0</v>
      </c>
      <c r="AA151" s="478">
        <f>'Budget Filing Data'!S145</f>
        <v>0</v>
      </c>
      <c r="AB151" s="478">
        <f>'Budget Filing Data'!AO145</f>
        <v>0</v>
      </c>
      <c r="AC151" s="478">
        <f>'Budget Filing Data'!AP145</f>
        <v>0</v>
      </c>
      <c r="AD151" s="478">
        <f>'Budget Filing Data'!T145</f>
        <v>0</v>
      </c>
      <c r="AE151" s="478">
        <f>'Budget Filing Data'!U145</f>
        <v>0</v>
      </c>
      <c r="AF151" s="478">
        <f>'Budget Filing Data'!$V145</f>
        <v>0</v>
      </c>
      <c r="AG151" s="478">
        <f>'Budget Filing Data'!$W145</f>
        <v>0</v>
      </c>
      <c r="AH151" s="479">
        <v>0</v>
      </c>
    </row>
    <row r="152" spans="3:34" hidden="1">
      <c r="C152" s="470" t="str">
        <f>'Budget Filing Data'!D146</f>
        <v>SDGE_RA_PortfolioSupport</v>
      </c>
      <c r="D152" s="470" t="str">
        <f>'Budget Filing Data'!E146</f>
        <v>Resource Acquisition Portfolio Support PA Costs</v>
      </c>
      <c r="E152" s="471"/>
      <c r="F152" s="480"/>
      <c r="G152" s="472" t="str">
        <f>'Budget Filing Data'!J146</f>
        <v>IOU Core</v>
      </c>
      <c r="H152" s="472" t="str">
        <f>IF('Budget Filing Data'!H146="","",'Budget Filing Data'!H146)</f>
        <v/>
      </c>
      <c r="I152" s="473" t="s">
        <v>24</v>
      </c>
      <c r="J152" s="472" t="str">
        <f>'Budget Filing Data'!G146</f>
        <v>Portfolio Support</v>
      </c>
      <c r="K152" s="472" t="str">
        <f>'Budget Filing Data'!I146</f>
        <v>Other</v>
      </c>
      <c r="L152" s="472" t="str">
        <f>'Budget Filing Data'!L146</f>
        <v>Resource Acquisition</v>
      </c>
      <c r="M152" s="472">
        <f>'Budget Filing Data'!B146</f>
        <v>2029</v>
      </c>
      <c r="N152" s="474">
        <f t="shared" si="2"/>
        <v>2089823.9047000001</v>
      </c>
      <c r="O152" s="475">
        <f>'Budget Filing Data'!AQ146</f>
        <v>2089823.9047000001</v>
      </c>
      <c r="P152" s="475">
        <f>'Budget Filing Data'!AR146</f>
        <v>0</v>
      </c>
      <c r="Q152" s="475">
        <f>'Budget Filing Data'!AS146</f>
        <v>0</v>
      </c>
      <c r="R152" s="475">
        <f>'Budget Filing Data'!AT146</f>
        <v>0</v>
      </c>
      <c r="S152" s="476">
        <f>'Budget Filing Data'!X146</f>
        <v>0</v>
      </c>
      <c r="T152" s="477">
        <f>IFERROR((('Budget Filing Data'!AF146+'Budget Filing Data'!AG146+'Budget Filing Data'!AY146+'Budget Filing Data'!AH146)/'Budget Filing Data'!AA146),"")</f>
        <v>0</v>
      </c>
      <c r="U152" s="477">
        <f>IFERROR((('Budget Filing Data'!AF146+'Budget Filing Data'!AG146+'Budget Filing Data'!AY146+'Budget Filing Data'!AH146)/'Budget Filing Data'!AB146),"")</f>
        <v>0</v>
      </c>
      <c r="V152" s="477">
        <f>IFERROR((('Budget Filing Data'!AF146+'Budget Filing Data'!AG146+'Budget Filing Data'!AY146+'Budget Filing Data'!AH146+'Budget Filing Data'!AW146+'Budget Filing Data'!AX146)/('Budget Filing Data'!AE146)),"")</f>
        <v>0</v>
      </c>
      <c r="W152" s="477">
        <f>IFERROR(('Budget Filing Data'!AI146+'Budget Filing Data'!AJ146+'Budget Filing Data'!AK146+'Budget Filing Data'!AH146)/('Budget Filing Data'!AC146),"")</f>
        <v>0</v>
      </c>
      <c r="X152" s="477">
        <f>IFERROR(('Budget Filing Data'!AL146+'Budget Filing Data'!AM146+'Budget Filing Data'!AN146+'Budget Filing Data'!AH146)/('Budget Filing Data'!AD146),"")</f>
        <v>0</v>
      </c>
      <c r="Y152" s="478">
        <f>'Budget Filing Data'!Q146</f>
        <v>0</v>
      </c>
      <c r="Z152" s="478">
        <f>'Budget Filing Data'!R146</f>
        <v>0</v>
      </c>
      <c r="AA152" s="478">
        <f>'Budget Filing Data'!S146</f>
        <v>0</v>
      </c>
      <c r="AB152" s="478">
        <f>'Budget Filing Data'!AO146</f>
        <v>0</v>
      </c>
      <c r="AC152" s="478">
        <f>'Budget Filing Data'!AP146</f>
        <v>0</v>
      </c>
      <c r="AD152" s="478">
        <f>'Budget Filing Data'!T146</f>
        <v>0</v>
      </c>
      <c r="AE152" s="478">
        <f>'Budget Filing Data'!U146</f>
        <v>0</v>
      </c>
      <c r="AF152" s="478">
        <f>'Budget Filing Data'!$V146</f>
        <v>0</v>
      </c>
      <c r="AG152" s="478">
        <f>'Budget Filing Data'!$W146</f>
        <v>0</v>
      </c>
      <c r="AH152" s="479">
        <v>0</v>
      </c>
    </row>
    <row r="153" spans="3:34">
      <c r="C153" s="470" t="str">
        <f>'Budget Filing Data'!D147</f>
        <v>SDGE_SW_HESC</v>
      </c>
      <c r="D153" s="470" t="str">
        <f>'Budget Filing Data'!E147</f>
        <v>SW Home Energy Score California</v>
      </c>
      <c r="E153" s="471" t="s">
        <v>42</v>
      </c>
      <c r="F153" s="471" t="s">
        <v>323</v>
      </c>
      <c r="G153" s="472" t="str">
        <f>'Budget Filing Data'!J147</f>
        <v>REN/CCA</v>
      </c>
      <c r="H153" s="472" t="str">
        <f>IF('Budget Filing Data'!H147="","",'Budget Filing Data'!H147)</f>
        <v>SW_HESC - SW Home Energy Score California</v>
      </c>
      <c r="I153" s="473" t="s">
        <v>15</v>
      </c>
      <c r="J153" s="472" t="str">
        <f>'Budget Filing Data'!G147</f>
        <v>Residential</v>
      </c>
      <c r="K153" s="472" t="str">
        <f>'Budget Filing Data'!I147</f>
        <v>Market Transformation</v>
      </c>
      <c r="L153" s="472" t="str">
        <f>'Budget Filing Data'!L147</f>
        <v>Market Support</v>
      </c>
      <c r="M153" s="472">
        <f>'Budget Filing Data'!B147</f>
        <v>2029</v>
      </c>
      <c r="N153" s="474">
        <f t="shared" si="2"/>
        <v>522742.13760000002</v>
      </c>
      <c r="O153" s="475">
        <f>'Budget Filing Data'!AQ147</f>
        <v>16363.8336</v>
      </c>
      <c r="P153" s="475">
        <f>'Budget Filing Data'!AR147</f>
        <v>39680</v>
      </c>
      <c r="Q153" s="475">
        <f>'Budget Filing Data'!AS147</f>
        <v>107098.304</v>
      </c>
      <c r="R153" s="475">
        <f>'Budget Filing Data'!AT147</f>
        <v>359600</v>
      </c>
      <c r="S153" s="476">
        <f>'Budget Filing Data'!X147</f>
        <v>0</v>
      </c>
      <c r="T153" s="477">
        <f>IFERROR((('Budget Filing Data'!AF147+'Budget Filing Data'!AG147+'Budget Filing Data'!AY147+'Budget Filing Data'!AH147)/'Budget Filing Data'!AA147),"")</f>
        <v>0</v>
      </c>
      <c r="U153" s="477">
        <f>IFERROR((('Budget Filing Data'!AF147+'Budget Filing Data'!AG147+'Budget Filing Data'!AY147+'Budget Filing Data'!AH147)/'Budget Filing Data'!AB147),"")</f>
        <v>0</v>
      </c>
      <c r="V153" s="477">
        <f>IFERROR((('Budget Filing Data'!AF147+'Budget Filing Data'!AG147+'Budget Filing Data'!AY147+'Budget Filing Data'!AH147+'Budget Filing Data'!AW147+'Budget Filing Data'!AX147)/('Budget Filing Data'!AE147)),"")</f>
        <v>0</v>
      </c>
      <c r="W153" s="477">
        <f>IFERROR(('Budget Filing Data'!AI147+'Budget Filing Data'!AJ147+'Budget Filing Data'!AK147+'Budget Filing Data'!AH147)/('Budget Filing Data'!AC147),"")</f>
        <v>0</v>
      </c>
      <c r="X153" s="477">
        <f>IFERROR(('Budget Filing Data'!AL147+'Budget Filing Data'!AM147+'Budget Filing Data'!AN147+'Budget Filing Data'!AH147)/('Budget Filing Data'!AD147),"")</f>
        <v>0</v>
      </c>
      <c r="Y153" s="478">
        <f>'Budget Filing Data'!Q147</f>
        <v>0</v>
      </c>
      <c r="Z153" s="478">
        <f>'Budget Filing Data'!R147</f>
        <v>0</v>
      </c>
      <c r="AA153" s="478">
        <f>'Budget Filing Data'!S147</f>
        <v>0</v>
      </c>
      <c r="AB153" s="478">
        <f>'Budget Filing Data'!AO147</f>
        <v>0</v>
      </c>
      <c r="AC153" s="478">
        <f>'Budget Filing Data'!AP147</f>
        <v>0</v>
      </c>
      <c r="AD153" s="478">
        <f>'Budget Filing Data'!T147</f>
        <v>0</v>
      </c>
      <c r="AE153" s="478">
        <f>'Budget Filing Data'!U147</f>
        <v>0</v>
      </c>
      <c r="AF153" s="478">
        <f>'Budget Filing Data'!$V147</f>
        <v>0</v>
      </c>
      <c r="AG153" s="478">
        <f>'Budget Filing Data'!$W147</f>
        <v>0</v>
      </c>
      <c r="AH153" s="479">
        <v>0</v>
      </c>
    </row>
    <row r="154" spans="3:34" ht="38.25">
      <c r="C154" s="470" t="str">
        <f>'Budget Filing Data'!D148</f>
        <v>SDGE_SW_HESC_PA</v>
      </c>
      <c r="D154" s="470" t="str">
        <f>'Budget Filing Data'!E148</f>
        <v>SW Home Energy Score California (Utility)</v>
      </c>
      <c r="E154" s="471" t="s">
        <v>42</v>
      </c>
      <c r="F154" s="471" t="s">
        <v>328</v>
      </c>
      <c r="G154" s="472" t="str">
        <f>'Budget Filing Data'!J148</f>
        <v>IOU Core</v>
      </c>
      <c r="H154" s="472" t="str">
        <f>IF('Budget Filing Data'!H148="","",'Budget Filing Data'!H148)</f>
        <v>SW_HESC - SW Home Energy Score California</v>
      </c>
      <c r="I154" s="473" t="s">
        <v>15</v>
      </c>
      <c r="J154" s="472" t="str">
        <f>'Budget Filing Data'!G148</f>
        <v>Residential</v>
      </c>
      <c r="K154" s="472" t="str">
        <f>'Budget Filing Data'!I148</f>
        <v>Market Transformation</v>
      </c>
      <c r="L154" s="472" t="str">
        <f>'Budget Filing Data'!L148</f>
        <v>Market Support</v>
      </c>
      <c r="M154" s="472">
        <f>'Budget Filing Data'!B148</f>
        <v>2029</v>
      </c>
      <c r="N154" s="474">
        <f t="shared" si="2"/>
        <v>5088.1225000000004</v>
      </c>
      <c r="O154" s="475">
        <f>'Budget Filing Data'!AQ148</f>
        <v>5088.1225000000004</v>
      </c>
      <c r="P154" s="475">
        <f>'Budget Filing Data'!AR148</f>
        <v>0</v>
      </c>
      <c r="Q154" s="475">
        <f>'Budget Filing Data'!AS148</f>
        <v>0</v>
      </c>
      <c r="R154" s="475">
        <f>'Budget Filing Data'!AT148</f>
        <v>0</v>
      </c>
      <c r="S154" s="476">
        <f>'Budget Filing Data'!X148</f>
        <v>0</v>
      </c>
      <c r="T154" s="477">
        <f>IFERROR((('Budget Filing Data'!AF148+'Budget Filing Data'!AG148+'Budget Filing Data'!AY148+'Budget Filing Data'!AH148)/'Budget Filing Data'!AA148),"")</f>
        <v>0</v>
      </c>
      <c r="U154" s="477">
        <f>IFERROR((('Budget Filing Data'!AF148+'Budget Filing Data'!AG148+'Budget Filing Data'!AY148+'Budget Filing Data'!AH148)/'Budget Filing Data'!AB148),"")</f>
        <v>0</v>
      </c>
      <c r="V154" s="477">
        <f>IFERROR((('Budget Filing Data'!AF148+'Budget Filing Data'!AG148+'Budget Filing Data'!AY148+'Budget Filing Data'!AH148+'Budget Filing Data'!AW148+'Budget Filing Data'!AX148)/('Budget Filing Data'!AE148)),"")</f>
        <v>0</v>
      </c>
      <c r="W154" s="477">
        <f>IFERROR(('Budget Filing Data'!AI148+'Budget Filing Data'!AJ148+'Budget Filing Data'!AK148+'Budget Filing Data'!AH148)/('Budget Filing Data'!AC148),"")</f>
        <v>0</v>
      </c>
      <c r="X154" s="477">
        <f>IFERROR(('Budget Filing Data'!AL148+'Budget Filing Data'!AM148+'Budget Filing Data'!AN148+'Budget Filing Data'!AH148)/('Budget Filing Data'!AD148),"")</f>
        <v>0</v>
      </c>
      <c r="Y154" s="478">
        <f>'Budget Filing Data'!Q148</f>
        <v>0</v>
      </c>
      <c r="Z154" s="478">
        <f>'Budget Filing Data'!R148</f>
        <v>0</v>
      </c>
      <c r="AA154" s="478">
        <f>'Budget Filing Data'!S148</f>
        <v>0</v>
      </c>
      <c r="AB154" s="478">
        <f>'Budget Filing Data'!AO148</f>
        <v>0</v>
      </c>
      <c r="AC154" s="478">
        <f>'Budget Filing Data'!AP148</f>
        <v>0</v>
      </c>
      <c r="AD154" s="478">
        <f>'Budget Filing Data'!T148</f>
        <v>0</v>
      </c>
      <c r="AE154" s="478">
        <f>'Budget Filing Data'!U148</f>
        <v>0</v>
      </c>
      <c r="AF154" s="478">
        <f>'Budget Filing Data'!$V148</f>
        <v>0</v>
      </c>
      <c r="AG154" s="478">
        <f>'Budget Filing Data'!$W148</f>
        <v>0</v>
      </c>
      <c r="AH154" s="479">
        <v>0</v>
      </c>
    </row>
    <row r="155" spans="3:34" ht="25.5">
      <c r="C155" s="470" t="str">
        <f>'Budget Filing Data'!D149</f>
        <v>SDGE4201</v>
      </c>
      <c r="D155" s="470" t="str">
        <f>'Budget Filing Data'!E149</f>
        <v>Market Access Program - Residential</v>
      </c>
      <c r="E155" s="471" t="s">
        <v>42</v>
      </c>
      <c r="F155" s="471" t="s">
        <v>321</v>
      </c>
      <c r="G155" s="472" t="str">
        <f>'Budget Filing Data'!J149</f>
        <v>Third-Party Solicited</v>
      </c>
      <c r="H155" s="472" t="str">
        <f>IF('Budget Filing Data'!H149="","",'Budget Filing Data'!H149)</f>
        <v/>
      </c>
      <c r="I155" s="473" t="s">
        <v>24</v>
      </c>
      <c r="J155" s="472" t="str">
        <f>'Budget Filing Data'!G149</f>
        <v>Residential</v>
      </c>
      <c r="K155" s="472" t="str">
        <f>'Budget Filing Data'!I149</f>
        <v>Other</v>
      </c>
      <c r="L155" s="472" t="str">
        <f>'Budget Filing Data'!L149</f>
        <v>Resource Acquisition</v>
      </c>
      <c r="M155" s="472">
        <f>'Budget Filing Data'!B149</f>
        <v>2029</v>
      </c>
      <c r="N155" s="474">
        <f t="shared" si="2"/>
        <v>325723.50930000003</v>
      </c>
      <c r="O155" s="475">
        <f>'Budget Filing Data'!AQ149</f>
        <v>45012.5985</v>
      </c>
      <c r="P155" s="475">
        <f>'Budget Filing Data'!AR149</f>
        <v>17691.5926</v>
      </c>
      <c r="Q155" s="475">
        <f>'Budget Filing Data'!AS149</f>
        <v>85721.617899999997</v>
      </c>
      <c r="R155" s="475">
        <f>'Budget Filing Data'!AT149</f>
        <v>177297.7003</v>
      </c>
      <c r="S155" s="476">
        <f>'Budget Filing Data'!X149</f>
        <v>311322.03783959599</v>
      </c>
      <c r="T155" s="477">
        <f>IFERROR((('Budget Filing Data'!AF149+'Budget Filing Data'!AG149+'Budget Filing Data'!AY149+'Budget Filing Data'!AH149)/'Budget Filing Data'!AA149),"")</f>
        <v>0.84726496970116105</v>
      </c>
      <c r="U155" s="477">
        <f>IFERROR((('Budget Filing Data'!AF149+'Budget Filing Data'!AG149+'Budget Filing Data'!AY149+'Budget Filing Data'!AH149)/'Budget Filing Data'!AB149),"")</f>
        <v>0.97857907837685465</v>
      </c>
      <c r="V155" s="477">
        <f>IFERROR((('Budget Filing Data'!AF149+'Budget Filing Data'!AG149+'Budget Filing Data'!AY149+'Budget Filing Data'!AH149+'Budget Filing Data'!AW149+'Budget Filing Data'!AX149)/('Budget Filing Data'!AE149)),"")</f>
        <v>0.48547812917048494</v>
      </c>
      <c r="W155" s="477">
        <f>IFERROR(('Budget Filing Data'!AI149+'Budget Filing Data'!AJ149+'Budget Filing Data'!AK149+'Budget Filing Data'!AH149)/('Budget Filing Data'!AC149),"")</f>
        <v>1.2092900581707446</v>
      </c>
      <c r="X155" s="477">
        <f>IFERROR(('Budget Filing Data'!AL149+'Budget Filing Data'!AM149+'Budget Filing Data'!AN149+'Budget Filing Data'!AH149)/('Budget Filing Data'!AD149),"")</f>
        <v>1.209789323684243</v>
      </c>
      <c r="Y155" s="478">
        <f>'Budget Filing Data'!Q149</f>
        <v>48865.514542300698</v>
      </c>
      <c r="Z155" s="478">
        <f>'Budget Filing Data'!R149</f>
        <v>21.667349797378701</v>
      </c>
      <c r="AA155" s="478">
        <f>'Budget Filing Data'!S149</f>
        <v>11052.427637020801</v>
      </c>
      <c r="AB155" s="478">
        <f>'Budget Filing Data'!AO149</f>
        <v>13.061214516496999</v>
      </c>
      <c r="AC155" s="478">
        <f>'Budget Filing Data'!AP149</f>
        <v>58.688390752580503</v>
      </c>
      <c r="AD155" s="478">
        <f>'Budget Filing Data'!T149</f>
        <v>698307.74901529297</v>
      </c>
      <c r="AE155" s="478">
        <f>'Budget Filing Data'!U149</f>
        <v>157943.611904082</v>
      </c>
      <c r="AF155" s="478">
        <f>'Budget Filing Data'!$V149</f>
        <v>194.686909711309</v>
      </c>
      <c r="AG155" s="478">
        <f>'Budget Filing Data'!$W149</f>
        <v>838.680579210676</v>
      </c>
      <c r="AH155" s="479">
        <v>0</v>
      </c>
    </row>
    <row r="156" spans="3:34" ht="25.5" hidden="1">
      <c r="C156" s="470" t="str">
        <f>'Budget Filing Data'!D150</f>
        <v>SDGE4202</v>
      </c>
      <c r="D156" s="470" t="str">
        <f>'Budget Filing Data'!E150</f>
        <v>Market Access Program - Commercial</v>
      </c>
      <c r="E156" s="471" t="s">
        <v>42</v>
      </c>
      <c r="F156" s="471" t="s">
        <v>321</v>
      </c>
      <c r="G156" s="472" t="str">
        <f>'Budget Filing Data'!J150</f>
        <v>Third-Party Solicited</v>
      </c>
      <c r="H156" s="472" t="str">
        <f>IF('Budget Filing Data'!H150="","",'Budget Filing Data'!H150)</f>
        <v/>
      </c>
      <c r="I156" s="473" t="s">
        <v>24</v>
      </c>
      <c r="J156" s="472" t="str">
        <f>'Budget Filing Data'!G150</f>
        <v>Commercial</v>
      </c>
      <c r="K156" s="472" t="str">
        <f>'Budget Filing Data'!I150</f>
        <v>Other</v>
      </c>
      <c r="L156" s="472" t="str">
        <f>'Budget Filing Data'!L150</f>
        <v>Resource Acquisition</v>
      </c>
      <c r="M156" s="472">
        <f>'Budget Filing Data'!B150</f>
        <v>2029</v>
      </c>
      <c r="N156" s="474">
        <f t="shared" si="2"/>
        <v>2065569.9378</v>
      </c>
      <c r="O156" s="475">
        <f>'Budget Filing Data'!AQ150</f>
        <v>273106.71860000002</v>
      </c>
      <c r="P156" s="475">
        <f>'Budget Filing Data'!AR150</f>
        <v>109007.5926</v>
      </c>
      <c r="Q156" s="475">
        <f>'Budget Filing Data'!AS150</f>
        <v>529346.63260000001</v>
      </c>
      <c r="R156" s="475">
        <f>'Budget Filing Data'!AT150</f>
        <v>1154108.9939999999</v>
      </c>
      <c r="S156" s="476">
        <f>'Budget Filing Data'!X150</f>
        <v>2577284.5948139401</v>
      </c>
      <c r="T156" s="477">
        <f>IFERROR((('Budget Filing Data'!AF150+'Budget Filing Data'!AG150+'Budget Filing Data'!AY150+'Budget Filing Data'!AH150)/'Budget Filing Data'!AA150),"")</f>
        <v>1.2144597115149385</v>
      </c>
      <c r="U156" s="477">
        <f>IFERROR((('Budget Filing Data'!AF150+'Budget Filing Data'!AG150+'Budget Filing Data'!AY150+'Budget Filing Data'!AH150)/'Budget Filing Data'!AB150),"")</f>
        <v>1.2732095027312857</v>
      </c>
      <c r="V156" s="477">
        <f>IFERROR((('Budget Filing Data'!AF150+'Budget Filing Data'!AG150+'Budget Filing Data'!AY150+'Budget Filing Data'!AH150+'Budget Filing Data'!AW150+'Budget Filing Data'!AX150)/('Budget Filing Data'!AE150)),"")</f>
        <v>0.17639925696052947</v>
      </c>
      <c r="W156" s="477">
        <f>IFERROR(('Budget Filing Data'!AI150+'Budget Filing Data'!AJ150+'Budget Filing Data'!AK150+'Budget Filing Data'!AH150)/('Budget Filing Data'!AC150),"")</f>
        <v>1.399050363659426</v>
      </c>
      <c r="X156" s="477">
        <f>IFERROR(('Budget Filing Data'!AL150+'Budget Filing Data'!AM150+'Budget Filing Data'!AN150+'Budget Filing Data'!AH150)/('Budget Filing Data'!AD150),"")</f>
        <v>1.399050363659426</v>
      </c>
      <c r="Y156" s="478">
        <f>'Budget Filing Data'!Q150</f>
        <v>3036697.2080549998</v>
      </c>
      <c r="Z156" s="478">
        <f>'Budget Filing Data'!R150</f>
        <v>448.83195929999999</v>
      </c>
      <c r="AA156" s="478">
        <f>'Budget Filing Data'!S150</f>
        <v>0</v>
      </c>
      <c r="AB156" s="478">
        <f>'Budget Filing Data'!AO150</f>
        <v>429.60276870242399</v>
      </c>
      <c r="AC156" s="478">
        <f>'Budget Filing Data'!AP150</f>
        <v>0</v>
      </c>
      <c r="AD156" s="478">
        <f>'Budget Filing Data'!T150</f>
        <v>40238728.098439299</v>
      </c>
      <c r="AE156" s="478">
        <f>'Budget Filing Data'!U150</f>
        <v>0</v>
      </c>
      <c r="AF156" s="478">
        <f>'Budget Filing Data'!$V150</f>
        <v>5716.5375900117597</v>
      </c>
      <c r="AG156" s="478">
        <f>'Budget Filing Data'!$W150</f>
        <v>0</v>
      </c>
      <c r="AH156" s="479">
        <v>0</v>
      </c>
    </row>
    <row r="157" spans="3:34" ht="25.5" hidden="1">
      <c r="C157" s="470" t="str">
        <f>'Budget Filing Data'!D151</f>
        <v>SDGE_SW_HVAC_AE_NonRes</v>
      </c>
      <c r="D157" s="470" t="str">
        <f>'Budget Filing Data'!E151</f>
        <v>SW HVAC All Electric Non-Residential</v>
      </c>
      <c r="E157" s="471" t="s">
        <v>42</v>
      </c>
      <c r="F157" s="471" t="s">
        <v>329</v>
      </c>
      <c r="G157" s="472" t="str">
        <f>'Budget Filing Data'!J151</f>
        <v>Third-Party Solicited</v>
      </c>
      <c r="H157" s="472" t="str">
        <f>IF('Budget Filing Data'!H151="","",'Budget Filing Data'!H151)</f>
        <v>SW_HVAC_AE_NonRes - SW HVAC All Electric Non-Residential</v>
      </c>
      <c r="I157" s="473" t="s">
        <v>24</v>
      </c>
      <c r="J157" s="472" t="str">
        <f>'Budget Filing Data'!G151</f>
        <v>Commercial</v>
      </c>
      <c r="K157" s="472" t="str">
        <f>'Budget Filing Data'!I151</f>
        <v>Market Transformation</v>
      </c>
      <c r="L157" s="472" t="str">
        <f>'Budget Filing Data'!L151</f>
        <v>Resource Acquisition</v>
      </c>
      <c r="M157" s="472">
        <f>'Budget Filing Data'!B151</f>
        <v>2029</v>
      </c>
      <c r="N157" s="474">
        <f t="shared" si="2"/>
        <v>858176.59330000007</v>
      </c>
      <c r="O157" s="475">
        <f>'Budget Filing Data'!AQ151</f>
        <v>102981.1905</v>
      </c>
      <c r="P157" s="475">
        <f>'Budget Filing Data'!AR151</f>
        <v>68654.127399999998</v>
      </c>
      <c r="Q157" s="475">
        <f>'Budget Filing Data'!AS151</f>
        <v>454804.65210000001</v>
      </c>
      <c r="R157" s="475">
        <f>'Budget Filing Data'!AT151</f>
        <v>231736.62330000015</v>
      </c>
      <c r="S157" s="476">
        <f>'Budget Filing Data'!X151</f>
        <v>813781.53257392126</v>
      </c>
      <c r="T157" s="477">
        <f>IFERROR((('Budget Filing Data'!AF151+'Budget Filing Data'!AG151+'Budget Filing Data'!AY151+'Budget Filing Data'!AH151)/'Budget Filing Data'!AA151),"")</f>
        <v>1.0507361857648563</v>
      </c>
      <c r="U157" s="477">
        <f>IFERROR((('Budget Filing Data'!AF151+'Budget Filing Data'!AG151+'Budget Filing Data'!AY151+'Budget Filing Data'!AH151)/'Budget Filing Data'!AB151),"")</f>
        <v>0.96951128099739547</v>
      </c>
      <c r="V157" s="477">
        <f>IFERROR((('Budget Filing Data'!AF151+'Budget Filing Data'!AG151+'Budget Filing Data'!AY151+'Budget Filing Data'!AH151+'Budget Filing Data'!AW151+'Budget Filing Data'!AX151)/('Budget Filing Data'!AE151)),"")</f>
        <v>0.99768511467920507</v>
      </c>
      <c r="W157" s="477">
        <f>IFERROR(('Budget Filing Data'!AI151+'Budget Filing Data'!AJ151+'Budget Filing Data'!AK151+'Budget Filing Data'!AH151)/('Budget Filing Data'!AC151),"")</f>
        <v>1.6086052193608968</v>
      </c>
      <c r="X157" s="477">
        <f>IFERROR(('Budget Filing Data'!AL151+'Budget Filing Data'!AM151+'Budget Filing Data'!AN151+'Budget Filing Data'!AH151)/('Budget Filing Data'!AD151),"")</f>
        <v>1.608876822805072</v>
      </c>
      <c r="Y157" s="478">
        <f>'Budget Filing Data'!Q151</f>
        <v>-105353.36083999991</v>
      </c>
      <c r="Z157" s="478">
        <f>'Budget Filing Data'!R151</f>
        <v>7.3748952549999922</v>
      </c>
      <c r="AA157" s="478">
        <f>'Budget Filing Data'!S151</f>
        <v>27916.751946719982</v>
      </c>
      <c r="AB157" s="478">
        <f>'Budget Filing Data'!AO151</f>
        <v>-15.059728768689315</v>
      </c>
      <c r="AC157" s="478">
        <f>'Budget Filing Data'!AP151</f>
        <v>148.23795283708316</v>
      </c>
      <c r="AD157" s="478">
        <f>'Budget Filing Data'!T151</f>
        <v>-2225535.1118000015</v>
      </c>
      <c r="AE157" s="478">
        <f>'Budget Filing Data'!U151</f>
        <v>558335.0599008</v>
      </c>
      <c r="AF157" s="478">
        <f>'Budget Filing Data'!$V151</f>
        <v>-298.22266278304096</v>
      </c>
      <c r="AG157" s="478">
        <f>'Budget Filing Data'!$W151</f>
        <v>2964.7591680732457</v>
      </c>
      <c r="AH157" s="479">
        <v>0</v>
      </c>
    </row>
    <row r="158" spans="3:34" ht="38.25" hidden="1">
      <c r="C158" s="470" t="str">
        <f>'Budget Filing Data'!D152</f>
        <v>SDGE_SW_HVAC_AE_NonRes_PA</v>
      </c>
      <c r="D158" s="470" t="str">
        <f>'Budget Filing Data'!E152</f>
        <v>SW HVAC All Electric Non-Residential (Utility)</v>
      </c>
      <c r="E158" s="471" t="s">
        <v>42</v>
      </c>
      <c r="F158" s="471" t="s">
        <v>330</v>
      </c>
      <c r="G158" s="472" t="str">
        <f>'Budget Filing Data'!J152</f>
        <v>IOU Core</v>
      </c>
      <c r="H158" s="472" t="str">
        <f>IF('Budget Filing Data'!H152="","",'Budget Filing Data'!H152)</f>
        <v>SW_HVAC_AE_NonRes - SW HVAC All Electric Non-Residential</v>
      </c>
      <c r="I158" s="473" t="s">
        <v>24</v>
      </c>
      <c r="J158" s="472" t="str">
        <f>'Budget Filing Data'!G152</f>
        <v>Commercial</v>
      </c>
      <c r="K158" s="472" t="str">
        <f>'Budget Filing Data'!I152</f>
        <v>Market Transformation</v>
      </c>
      <c r="L158" s="472" t="str">
        <f>'Budget Filing Data'!L152</f>
        <v>Resource Acquisition</v>
      </c>
      <c r="M158" s="472">
        <f>'Budget Filing Data'!B152</f>
        <v>2029</v>
      </c>
      <c r="N158" s="474">
        <f t="shared" si="2"/>
        <v>7084.6525000000001</v>
      </c>
      <c r="O158" s="475">
        <f>'Budget Filing Data'!AQ152</f>
        <v>7084.6525000000001</v>
      </c>
      <c r="P158" s="475">
        <f>'Budget Filing Data'!AR152</f>
        <v>0</v>
      </c>
      <c r="Q158" s="475">
        <f>'Budget Filing Data'!AS152</f>
        <v>0</v>
      </c>
      <c r="R158" s="475">
        <f>'Budget Filing Data'!AT152</f>
        <v>0</v>
      </c>
      <c r="S158" s="476">
        <f>'Budget Filing Data'!X152</f>
        <v>0</v>
      </c>
      <c r="T158" s="477">
        <f>IFERROR((('Budget Filing Data'!AF152+'Budget Filing Data'!AG152+'Budget Filing Data'!AY152+'Budget Filing Data'!AH152)/'Budget Filing Data'!AA152),"")</f>
        <v>0</v>
      </c>
      <c r="U158" s="477">
        <f>IFERROR((('Budget Filing Data'!AF152+'Budget Filing Data'!AG152+'Budget Filing Data'!AY152+'Budget Filing Data'!AH152)/'Budget Filing Data'!AB152),"")</f>
        <v>0</v>
      </c>
      <c r="V158" s="477">
        <f>IFERROR((('Budget Filing Data'!AF152+'Budget Filing Data'!AG152+'Budget Filing Data'!AY152+'Budget Filing Data'!AH152+'Budget Filing Data'!AW152+'Budget Filing Data'!AX152)/('Budget Filing Data'!AE152)),"")</f>
        <v>0</v>
      </c>
      <c r="W158" s="477">
        <f>IFERROR(('Budget Filing Data'!AI152+'Budget Filing Data'!AJ152+'Budget Filing Data'!AK152+'Budget Filing Data'!AH152)/('Budget Filing Data'!AC152),"")</f>
        <v>0</v>
      </c>
      <c r="X158" s="477">
        <f>IFERROR(('Budget Filing Data'!AL152+'Budget Filing Data'!AM152+'Budget Filing Data'!AN152+'Budget Filing Data'!AH152)/('Budget Filing Data'!AD152),"")</f>
        <v>0</v>
      </c>
      <c r="Y158" s="478">
        <f>'Budget Filing Data'!Q152</f>
        <v>0</v>
      </c>
      <c r="Z158" s="478">
        <f>'Budget Filing Data'!R152</f>
        <v>0</v>
      </c>
      <c r="AA158" s="478">
        <f>'Budget Filing Data'!S152</f>
        <v>0</v>
      </c>
      <c r="AB158" s="478">
        <f>'Budget Filing Data'!AO152</f>
        <v>0</v>
      </c>
      <c r="AC158" s="478">
        <f>'Budget Filing Data'!AP152</f>
        <v>0</v>
      </c>
      <c r="AD158" s="478">
        <f>'Budget Filing Data'!T152</f>
        <v>0</v>
      </c>
      <c r="AE158" s="478">
        <f>'Budget Filing Data'!U152</f>
        <v>0</v>
      </c>
      <c r="AF158" s="478">
        <f>'Budget Filing Data'!$V152</f>
        <v>0</v>
      </c>
      <c r="AG158" s="478">
        <f>'Budget Filing Data'!$W152</f>
        <v>0</v>
      </c>
      <c r="AH158" s="479">
        <v>0</v>
      </c>
    </row>
    <row r="159" spans="3:34" ht="25.5" hidden="1">
      <c r="C159" s="470" t="str">
        <f>'Budget Filing Data'!D153</f>
        <v>SDGE_OtherPA_Admin</v>
      </c>
      <c r="D159" s="470" t="str">
        <f>'Budget Filing Data'!E153</f>
        <v>Other PA Collaboration</v>
      </c>
      <c r="E159" s="471" t="s">
        <v>48</v>
      </c>
      <c r="F159" s="471" t="s">
        <v>331</v>
      </c>
      <c r="G159" s="472" t="str">
        <f>'Budget Filing Data'!J153</f>
        <v>Non-Program</v>
      </c>
      <c r="H159" s="472" t="str">
        <f>IF('Budget Filing Data'!H153="","",'Budget Filing Data'!H153)</f>
        <v/>
      </c>
      <c r="I159" s="473" t="s">
        <v>15</v>
      </c>
      <c r="J159" s="472" t="str">
        <f>'Budget Filing Data'!G153</f>
        <v>Cross Cutting</v>
      </c>
      <c r="K159" s="472" t="str">
        <f>'Budget Filing Data'!I153</f>
        <v>Other</v>
      </c>
      <c r="L159" s="472" t="str">
        <f>'Budget Filing Data'!L153</f>
        <v>Market Support</v>
      </c>
      <c r="M159" s="472">
        <f>'Budget Filing Data'!B153</f>
        <v>2029</v>
      </c>
      <c r="N159" s="474">
        <f t="shared" si="2"/>
        <v>129420.14939999999</v>
      </c>
      <c r="O159" s="475">
        <f>'Budget Filing Data'!AQ153</f>
        <v>129420.14939999999</v>
      </c>
      <c r="P159" s="475">
        <f>'Budget Filing Data'!AR153</f>
        <v>0</v>
      </c>
      <c r="Q159" s="475">
        <f>'Budget Filing Data'!AS153</f>
        <v>0</v>
      </c>
      <c r="R159" s="475">
        <f>'Budget Filing Data'!AT153</f>
        <v>0</v>
      </c>
      <c r="S159" s="476">
        <f>'Budget Filing Data'!X153</f>
        <v>0</v>
      </c>
      <c r="T159" s="477">
        <f>IFERROR((('Budget Filing Data'!AF153+'Budget Filing Data'!AG153+'Budget Filing Data'!AY153+'Budget Filing Data'!AH153)/'Budget Filing Data'!AA153),"")</f>
        <v>0</v>
      </c>
      <c r="U159" s="477">
        <f>IFERROR((('Budget Filing Data'!AF153+'Budget Filing Data'!AG153+'Budget Filing Data'!AY153+'Budget Filing Data'!AH153)/'Budget Filing Data'!AB153),"")</f>
        <v>0</v>
      </c>
      <c r="V159" s="477">
        <f>IFERROR((('Budget Filing Data'!AF153+'Budget Filing Data'!AG153+'Budget Filing Data'!AY153+'Budget Filing Data'!AH153+'Budget Filing Data'!AW153+'Budget Filing Data'!AX153)/('Budget Filing Data'!AE153)),"")</f>
        <v>0</v>
      </c>
      <c r="W159" s="477">
        <f>IFERROR(('Budget Filing Data'!AI153+'Budget Filing Data'!AJ153+'Budget Filing Data'!AK153+'Budget Filing Data'!AH153)/('Budget Filing Data'!AC153),"")</f>
        <v>0</v>
      </c>
      <c r="X159" s="477">
        <f>IFERROR(('Budget Filing Data'!AL153+'Budget Filing Data'!AM153+'Budget Filing Data'!AN153+'Budget Filing Data'!AH153)/('Budget Filing Data'!AD153),"")</f>
        <v>0</v>
      </c>
      <c r="Y159" s="478">
        <f>'Budget Filing Data'!Q153</f>
        <v>0</v>
      </c>
      <c r="Z159" s="478">
        <f>'Budget Filing Data'!R153</f>
        <v>0</v>
      </c>
      <c r="AA159" s="478">
        <f>'Budget Filing Data'!S153</f>
        <v>0</v>
      </c>
      <c r="AB159" s="478">
        <f>'Budget Filing Data'!AO153</f>
        <v>0</v>
      </c>
      <c r="AC159" s="478">
        <f>'Budget Filing Data'!AP153</f>
        <v>0</v>
      </c>
      <c r="AD159" s="478">
        <f>'Budget Filing Data'!T153</f>
        <v>0</v>
      </c>
      <c r="AE159" s="478">
        <f>'Budget Filing Data'!U153</f>
        <v>0</v>
      </c>
      <c r="AF159" s="478">
        <f>'Budget Filing Data'!$V153</f>
        <v>0</v>
      </c>
      <c r="AG159" s="478">
        <f>'Budget Filing Data'!$W153</f>
        <v>0</v>
      </c>
      <c r="AH159" s="479">
        <v>0</v>
      </c>
    </row>
    <row r="160" spans="3:34" hidden="1">
      <c r="C160" s="470" t="str">
        <f>'Budget Filing Data'!D154</f>
        <v>SDGE3251</v>
      </c>
      <c r="D160" s="470" t="str">
        <f>'Budget Filing Data'!E154</f>
        <v>SW C&amp;S - Compliance Enhancement</v>
      </c>
      <c r="E160" s="471" t="s">
        <v>42</v>
      </c>
      <c r="F160" s="471" t="s">
        <v>319</v>
      </c>
      <c r="G160" s="472" t="str">
        <f>'Budget Filing Data'!J154</f>
        <v>IOU Core</v>
      </c>
      <c r="H160" s="472" t="str">
        <f>IF('Budget Filing Data'!H154="","",'Budget Filing Data'!H154)</f>
        <v/>
      </c>
      <c r="I160" s="473" t="s">
        <v>15</v>
      </c>
      <c r="J160" s="472" t="str">
        <f>'Budget Filing Data'!G154</f>
        <v>Cross Cutting</v>
      </c>
      <c r="K160" s="472" t="str">
        <f>'Budget Filing Data'!I154</f>
        <v>Codes and Standards</v>
      </c>
      <c r="L160" s="472" t="str">
        <f>'Budget Filing Data'!L154</f>
        <v>Codes and Standards</v>
      </c>
      <c r="M160" s="472">
        <f>'Budget Filing Data'!B154</f>
        <v>2030</v>
      </c>
      <c r="N160" s="474">
        <f t="shared" si="2"/>
        <v>1183526.1362000001</v>
      </c>
      <c r="O160" s="475">
        <f>'Budget Filing Data'!AQ154</f>
        <v>35261.916100000002</v>
      </c>
      <c r="P160" s="475">
        <f>'Budget Filing Data'!AR154</f>
        <v>0</v>
      </c>
      <c r="Q160" s="475">
        <f>'Budget Filing Data'!AS154</f>
        <v>1148264.2201</v>
      </c>
      <c r="R160" s="475">
        <f>'Budget Filing Data'!AT154</f>
        <v>0</v>
      </c>
      <c r="S160" s="476">
        <f>'Budget Filing Data'!X154</f>
        <v>0</v>
      </c>
      <c r="T160" s="477">
        <f>IFERROR((('Budget Filing Data'!AF154+'Budget Filing Data'!AG154+'Budget Filing Data'!AY154+'Budget Filing Data'!AH154)/'Budget Filing Data'!AA154),"")</f>
        <v>0</v>
      </c>
      <c r="U160" s="477">
        <f>IFERROR((('Budget Filing Data'!AF154+'Budget Filing Data'!AG154+'Budget Filing Data'!AY154+'Budget Filing Data'!AH154)/'Budget Filing Data'!AB154),"")</f>
        <v>0</v>
      </c>
      <c r="V160" s="477">
        <f>IFERROR((('Budget Filing Data'!AF154+'Budget Filing Data'!AG154+'Budget Filing Data'!AY154+'Budget Filing Data'!AH154+'Budget Filing Data'!AW154+'Budget Filing Data'!AX154)/('Budget Filing Data'!AE154)),"")</f>
        <v>0</v>
      </c>
      <c r="W160" s="477">
        <f>IFERROR(('Budget Filing Data'!AI154+'Budget Filing Data'!AJ154+'Budget Filing Data'!AK154+'Budget Filing Data'!AH154)/('Budget Filing Data'!AC154),"")</f>
        <v>0</v>
      </c>
      <c r="X160" s="477">
        <f>IFERROR(('Budget Filing Data'!AL154+'Budget Filing Data'!AM154+'Budget Filing Data'!AN154+'Budget Filing Data'!AH154)/('Budget Filing Data'!AD154),"")</f>
        <v>0</v>
      </c>
      <c r="Y160" s="478">
        <f>'Budget Filing Data'!Q154</f>
        <v>0</v>
      </c>
      <c r="Z160" s="478">
        <f>'Budget Filing Data'!R154</f>
        <v>0</v>
      </c>
      <c r="AA160" s="478">
        <f>'Budget Filing Data'!S154</f>
        <v>0</v>
      </c>
      <c r="AB160" s="478">
        <f>'Budget Filing Data'!AO154</f>
        <v>0</v>
      </c>
      <c r="AC160" s="478">
        <f>'Budget Filing Data'!AP154</f>
        <v>0</v>
      </c>
      <c r="AD160" s="478">
        <f>'Budget Filing Data'!T154</f>
        <v>0</v>
      </c>
      <c r="AE160" s="478">
        <f>'Budget Filing Data'!U154</f>
        <v>0</v>
      </c>
      <c r="AF160" s="478">
        <f>'Budget Filing Data'!$V154</f>
        <v>0</v>
      </c>
      <c r="AG160" s="478">
        <f>'Budget Filing Data'!$W154</f>
        <v>0</v>
      </c>
      <c r="AH160" s="479">
        <v>0</v>
      </c>
    </row>
    <row r="161" spans="3:34" hidden="1">
      <c r="C161" s="470" t="str">
        <f>'Budget Filing Data'!D155</f>
        <v>SDGE3252</v>
      </c>
      <c r="D161" s="470" t="str">
        <f>'Budget Filing Data'!E155</f>
        <v>SW C&amp;S - Reach Codes</v>
      </c>
      <c r="E161" s="471" t="s">
        <v>42</v>
      </c>
      <c r="F161" s="471" t="s">
        <v>319</v>
      </c>
      <c r="G161" s="472" t="str">
        <f>'Budget Filing Data'!J155</f>
        <v>IOU Core</v>
      </c>
      <c r="H161" s="472" t="str">
        <f>IF('Budget Filing Data'!H155="","",'Budget Filing Data'!H155)</f>
        <v/>
      </c>
      <c r="I161" s="473" t="s">
        <v>15</v>
      </c>
      <c r="J161" s="472" t="str">
        <f>'Budget Filing Data'!G155</f>
        <v>Cross Cutting</v>
      </c>
      <c r="K161" s="472" t="str">
        <f>'Budget Filing Data'!I155</f>
        <v>Codes and Standards</v>
      </c>
      <c r="L161" s="472" t="str">
        <f>'Budget Filing Data'!L155</f>
        <v>Codes and Standards</v>
      </c>
      <c r="M161" s="472">
        <f>'Budget Filing Data'!B155</f>
        <v>2030</v>
      </c>
      <c r="N161" s="474">
        <f t="shared" si="2"/>
        <v>1108886.9911</v>
      </c>
      <c r="O161" s="475">
        <f>'Budget Filing Data'!AQ155</f>
        <v>24149.9702</v>
      </c>
      <c r="P161" s="475">
        <f>'Budget Filing Data'!AR155</f>
        <v>0</v>
      </c>
      <c r="Q161" s="475">
        <f>'Budget Filing Data'!AS155</f>
        <v>1084737.0208999999</v>
      </c>
      <c r="R161" s="475">
        <f>'Budget Filing Data'!AT155</f>
        <v>0</v>
      </c>
      <c r="S161" s="476">
        <f>'Budget Filing Data'!X155</f>
        <v>0</v>
      </c>
      <c r="T161" s="477">
        <f>IFERROR((('Budget Filing Data'!AF155+'Budget Filing Data'!AG155+'Budget Filing Data'!AY155+'Budget Filing Data'!AH155)/'Budget Filing Data'!AA155),"")</f>
        <v>0</v>
      </c>
      <c r="U161" s="477">
        <f>IFERROR((('Budget Filing Data'!AF155+'Budget Filing Data'!AG155+'Budget Filing Data'!AY155+'Budget Filing Data'!AH155)/'Budget Filing Data'!AB155),"")</f>
        <v>0</v>
      </c>
      <c r="V161" s="477">
        <f>IFERROR((('Budget Filing Data'!AF155+'Budget Filing Data'!AG155+'Budget Filing Data'!AY155+'Budget Filing Data'!AH155+'Budget Filing Data'!AW155+'Budget Filing Data'!AX155)/('Budget Filing Data'!AE155)),"")</f>
        <v>0</v>
      </c>
      <c r="W161" s="477">
        <f>IFERROR(('Budget Filing Data'!AI155+'Budget Filing Data'!AJ155+'Budget Filing Data'!AK155+'Budget Filing Data'!AH155)/('Budget Filing Data'!AC155),"")</f>
        <v>0</v>
      </c>
      <c r="X161" s="477">
        <f>IFERROR(('Budget Filing Data'!AL155+'Budget Filing Data'!AM155+'Budget Filing Data'!AN155+'Budget Filing Data'!AH155)/('Budget Filing Data'!AD155),"")</f>
        <v>0</v>
      </c>
      <c r="Y161" s="478">
        <f>'Budget Filing Data'!Q155</f>
        <v>0</v>
      </c>
      <c r="Z161" s="478">
        <f>'Budget Filing Data'!R155</f>
        <v>0</v>
      </c>
      <c r="AA161" s="478">
        <f>'Budget Filing Data'!S155</f>
        <v>0</v>
      </c>
      <c r="AB161" s="478">
        <f>'Budget Filing Data'!AO155</f>
        <v>0</v>
      </c>
      <c r="AC161" s="478">
        <f>'Budget Filing Data'!AP155</f>
        <v>0</v>
      </c>
      <c r="AD161" s="478">
        <f>'Budget Filing Data'!T155</f>
        <v>0</v>
      </c>
      <c r="AE161" s="478">
        <f>'Budget Filing Data'!U155</f>
        <v>0</v>
      </c>
      <c r="AF161" s="478">
        <f>'Budget Filing Data'!$V155</f>
        <v>0</v>
      </c>
      <c r="AG161" s="478">
        <f>'Budget Filing Data'!$W155</f>
        <v>0</v>
      </c>
      <c r="AH161" s="479">
        <v>0</v>
      </c>
    </row>
    <row r="162" spans="3:34" hidden="1">
      <c r="C162" s="470" t="str">
        <f>'Budget Filing Data'!D156</f>
        <v>SDGE3253</v>
      </c>
      <c r="D162" s="470" t="str">
        <f>'Budget Filing Data'!E156</f>
        <v>SW C&amp;S - Planning Coordination</v>
      </c>
      <c r="E162" s="471" t="s">
        <v>42</v>
      </c>
      <c r="F162" s="471" t="s">
        <v>319</v>
      </c>
      <c r="G162" s="472" t="str">
        <f>'Budget Filing Data'!J156</f>
        <v>IOU Core</v>
      </c>
      <c r="H162" s="472" t="str">
        <f>IF('Budget Filing Data'!H156="","",'Budget Filing Data'!H156)</f>
        <v/>
      </c>
      <c r="I162" s="473" t="s">
        <v>15</v>
      </c>
      <c r="J162" s="472" t="str">
        <f>'Budget Filing Data'!G156</f>
        <v>Cross Cutting</v>
      </c>
      <c r="K162" s="472" t="str">
        <f>'Budget Filing Data'!I156</f>
        <v>Codes and Standards</v>
      </c>
      <c r="L162" s="472" t="str">
        <f>'Budget Filing Data'!L156</f>
        <v>Codes and Standards</v>
      </c>
      <c r="M162" s="472">
        <f>'Budget Filing Data'!B156</f>
        <v>2030</v>
      </c>
      <c r="N162" s="474">
        <f t="shared" si="2"/>
        <v>820265.33100000001</v>
      </c>
      <c r="O162" s="475">
        <f>'Budget Filing Data'!AQ156</f>
        <v>20970.623200000002</v>
      </c>
      <c r="P162" s="475">
        <f>'Budget Filing Data'!AR156</f>
        <v>0</v>
      </c>
      <c r="Q162" s="475">
        <f>'Budget Filing Data'!AS156</f>
        <v>799294.70779999997</v>
      </c>
      <c r="R162" s="475">
        <f>'Budget Filing Data'!AT156</f>
        <v>0</v>
      </c>
      <c r="S162" s="476">
        <f>'Budget Filing Data'!X156</f>
        <v>0</v>
      </c>
      <c r="T162" s="477">
        <f>IFERROR((('Budget Filing Data'!AF156+'Budget Filing Data'!AG156+'Budget Filing Data'!AY156+'Budget Filing Data'!AH156)/'Budget Filing Data'!AA156),"")</f>
        <v>0</v>
      </c>
      <c r="U162" s="477">
        <f>IFERROR((('Budget Filing Data'!AF156+'Budget Filing Data'!AG156+'Budget Filing Data'!AY156+'Budget Filing Data'!AH156)/'Budget Filing Data'!AB156),"")</f>
        <v>0</v>
      </c>
      <c r="V162" s="477">
        <f>IFERROR((('Budget Filing Data'!AF156+'Budget Filing Data'!AG156+'Budget Filing Data'!AY156+'Budget Filing Data'!AH156+'Budget Filing Data'!AW156+'Budget Filing Data'!AX156)/('Budget Filing Data'!AE156)),"")</f>
        <v>0</v>
      </c>
      <c r="W162" s="477">
        <f>IFERROR(('Budget Filing Data'!AI156+'Budget Filing Data'!AJ156+'Budget Filing Data'!AK156+'Budget Filing Data'!AH156)/('Budget Filing Data'!AC156),"")</f>
        <v>0</v>
      </c>
      <c r="X162" s="477">
        <f>IFERROR(('Budget Filing Data'!AL156+'Budget Filing Data'!AM156+'Budget Filing Data'!AN156+'Budget Filing Data'!AH156)/('Budget Filing Data'!AD156),"")</f>
        <v>0</v>
      </c>
      <c r="Y162" s="478">
        <f>'Budget Filing Data'!Q156</f>
        <v>0</v>
      </c>
      <c r="Z162" s="478">
        <f>'Budget Filing Data'!R156</f>
        <v>0</v>
      </c>
      <c r="AA162" s="478">
        <f>'Budget Filing Data'!S156</f>
        <v>0</v>
      </c>
      <c r="AB162" s="478">
        <f>'Budget Filing Data'!AO156</f>
        <v>0</v>
      </c>
      <c r="AC162" s="478">
        <f>'Budget Filing Data'!AP156</f>
        <v>0</v>
      </c>
      <c r="AD162" s="478">
        <f>'Budget Filing Data'!T156</f>
        <v>0</v>
      </c>
      <c r="AE162" s="478">
        <f>'Budget Filing Data'!U156</f>
        <v>0</v>
      </c>
      <c r="AF162" s="478">
        <f>'Budget Filing Data'!$V156</f>
        <v>0</v>
      </c>
      <c r="AG162" s="478">
        <f>'Budget Filing Data'!$W156</f>
        <v>0</v>
      </c>
      <c r="AH162" s="479">
        <v>0</v>
      </c>
    </row>
    <row r="163" spans="3:34" hidden="1">
      <c r="C163" s="470" t="str">
        <f>'Budget Filing Data'!D157</f>
        <v>SDGE3262</v>
      </c>
      <c r="D163" s="470" t="str">
        <f>'Budget Filing Data'!E157</f>
        <v>SW-FIN-On-Bill Finance</v>
      </c>
      <c r="E163" s="471"/>
      <c r="F163" s="480"/>
      <c r="G163" s="472" t="str">
        <f>'Budget Filing Data'!J157</f>
        <v>IOU Core</v>
      </c>
      <c r="H163" s="472" t="str">
        <f>IF('Budget Filing Data'!H157="","",'Budget Filing Data'!H157)</f>
        <v/>
      </c>
      <c r="I163" s="473" t="s">
        <v>15</v>
      </c>
      <c r="J163" s="472" t="str">
        <f>'Budget Filing Data'!G157</f>
        <v>Commercial</v>
      </c>
      <c r="K163" s="472" t="str">
        <f>'Budget Filing Data'!I157</f>
        <v>Financing</v>
      </c>
      <c r="L163" s="472" t="str">
        <f>'Budget Filing Data'!L157</f>
        <v>Market Support</v>
      </c>
      <c r="M163" s="472">
        <f>'Budget Filing Data'!B157</f>
        <v>2030</v>
      </c>
      <c r="N163" s="474">
        <f t="shared" si="2"/>
        <v>115799.84099999999</v>
      </c>
      <c r="O163" s="475">
        <f>'Budget Filing Data'!AQ157</f>
        <v>45845.427799999998</v>
      </c>
      <c r="P163" s="475">
        <f>'Budget Filing Data'!AR157</f>
        <v>773.11030000000005</v>
      </c>
      <c r="Q163" s="475">
        <f>'Budget Filing Data'!AS157</f>
        <v>69181.302899999995</v>
      </c>
      <c r="R163" s="475">
        <f>'Budget Filing Data'!AT157</f>
        <v>0</v>
      </c>
      <c r="S163" s="476">
        <f>'Budget Filing Data'!X157</f>
        <v>0</v>
      </c>
      <c r="T163" s="477">
        <f>IFERROR((('Budget Filing Data'!AF157+'Budget Filing Data'!AG157+'Budget Filing Data'!AY157+'Budget Filing Data'!AH157)/'Budget Filing Data'!AA157),"")</f>
        <v>0</v>
      </c>
      <c r="U163" s="477">
        <f>IFERROR((('Budget Filing Data'!AF157+'Budget Filing Data'!AG157+'Budget Filing Data'!AY157+'Budget Filing Data'!AH157)/'Budget Filing Data'!AB157),"")</f>
        <v>0</v>
      </c>
      <c r="V163" s="477">
        <f>IFERROR((('Budget Filing Data'!AF157+'Budget Filing Data'!AG157+'Budget Filing Data'!AY157+'Budget Filing Data'!AH157+'Budget Filing Data'!AW157+'Budget Filing Data'!AX157)/('Budget Filing Data'!AE157)),"")</f>
        <v>0</v>
      </c>
      <c r="W163" s="477">
        <f>IFERROR(('Budget Filing Data'!AI157+'Budget Filing Data'!AJ157+'Budget Filing Data'!AK157+'Budget Filing Data'!AH157)/('Budget Filing Data'!AC157),"")</f>
        <v>0</v>
      </c>
      <c r="X163" s="477">
        <f>IFERROR(('Budget Filing Data'!AL157+'Budget Filing Data'!AM157+'Budget Filing Data'!AN157+'Budget Filing Data'!AH157)/('Budget Filing Data'!AD157),"")</f>
        <v>0</v>
      </c>
      <c r="Y163" s="478">
        <f>'Budget Filing Data'!Q157</f>
        <v>0</v>
      </c>
      <c r="Z163" s="478">
        <f>'Budget Filing Data'!R157</f>
        <v>0</v>
      </c>
      <c r="AA163" s="478">
        <f>'Budget Filing Data'!S157</f>
        <v>0</v>
      </c>
      <c r="AB163" s="478">
        <f>'Budget Filing Data'!AO157</f>
        <v>0</v>
      </c>
      <c r="AC163" s="478">
        <f>'Budget Filing Data'!AP157</f>
        <v>0</v>
      </c>
      <c r="AD163" s="478">
        <f>'Budget Filing Data'!T157</f>
        <v>0</v>
      </c>
      <c r="AE163" s="478">
        <f>'Budget Filing Data'!U157</f>
        <v>0</v>
      </c>
      <c r="AF163" s="478">
        <f>'Budget Filing Data'!$V157</f>
        <v>0</v>
      </c>
      <c r="AG163" s="478">
        <f>'Budget Filing Data'!$W157</f>
        <v>0</v>
      </c>
      <c r="AH163" s="479">
        <v>0</v>
      </c>
    </row>
    <row r="164" spans="3:34" hidden="1">
      <c r="C164" s="470" t="str">
        <f>'Budget Filing Data'!D158</f>
        <v>SDGE3280</v>
      </c>
      <c r="D164" s="470" t="str">
        <f>'Budget Filing Data'!E158</f>
        <v>3P-IDEEA</v>
      </c>
      <c r="E164" s="471" t="s">
        <v>37</v>
      </c>
      <c r="F164" s="471" t="s">
        <v>320</v>
      </c>
      <c r="G164" s="472" t="str">
        <f>'Budget Filing Data'!J158</f>
        <v>Non-Program</v>
      </c>
      <c r="H164" s="472" t="str">
        <f>IF('Budget Filing Data'!H158="","",'Budget Filing Data'!H158)</f>
        <v/>
      </c>
      <c r="I164" s="473" t="s">
        <v>15</v>
      </c>
      <c r="J164" s="472" t="str">
        <f>'Budget Filing Data'!G158</f>
        <v>Cross Cutting</v>
      </c>
      <c r="K164" s="472" t="str">
        <f>'Budget Filing Data'!I158</f>
        <v>Market Education Outreach</v>
      </c>
      <c r="L164" s="472" t="str">
        <f>'Budget Filing Data'!L158</f>
        <v>Market Support</v>
      </c>
      <c r="M164" s="472">
        <f>'Budget Filing Data'!B158</f>
        <v>2030</v>
      </c>
      <c r="N164" s="474">
        <f t="shared" si="2"/>
        <v>159023.57999999999</v>
      </c>
      <c r="O164" s="475">
        <f>'Budget Filing Data'!AQ158</f>
        <v>159023.57999999999</v>
      </c>
      <c r="P164" s="475">
        <f>'Budget Filing Data'!AR158</f>
        <v>0</v>
      </c>
      <c r="Q164" s="475">
        <f>'Budget Filing Data'!AS158</f>
        <v>0</v>
      </c>
      <c r="R164" s="475">
        <f>'Budget Filing Data'!AT158</f>
        <v>0</v>
      </c>
      <c r="S164" s="476">
        <f>'Budget Filing Data'!X158</f>
        <v>0</v>
      </c>
      <c r="T164" s="477">
        <f>IFERROR((('Budget Filing Data'!AF158+'Budget Filing Data'!AG158+'Budget Filing Data'!AY158+'Budget Filing Data'!AH158)/'Budget Filing Data'!AA158),"")</f>
        <v>0</v>
      </c>
      <c r="U164" s="477">
        <f>IFERROR((('Budget Filing Data'!AF158+'Budget Filing Data'!AG158+'Budget Filing Data'!AY158+'Budget Filing Data'!AH158)/'Budget Filing Data'!AB158),"")</f>
        <v>0</v>
      </c>
      <c r="V164" s="477">
        <f>IFERROR((('Budget Filing Data'!AF158+'Budget Filing Data'!AG158+'Budget Filing Data'!AY158+'Budget Filing Data'!AH158+'Budget Filing Data'!AW158+'Budget Filing Data'!AX158)/('Budget Filing Data'!AE158)),"")</f>
        <v>0</v>
      </c>
      <c r="W164" s="477">
        <f>IFERROR(('Budget Filing Data'!AI158+'Budget Filing Data'!AJ158+'Budget Filing Data'!AK158+'Budget Filing Data'!AH158)/('Budget Filing Data'!AC158),"")</f>
        <v>0</v>
      </c>
      <c r="X164" s="477">
        <f>IFERROR(('Budget Filing Data'!AL158+'Budget Filing Data'!AM158+'Budget Filing Data'!AN158+'Budget Filing Data'!AH158)/('Budget Filing Data'!AD158),"")</f>
        <v>0</v>
      </c>
      <c r="Y164" s="478">
        <f>'Budget Filing Data'!Q158</f>
        <v>0</v>
      </c>
      <c r="Z164" s="478">
        <f>'Budget Filing Data'!R158</f>
        <v>0</v>
      </c>
      <c r="AA164" s="478">
        <f>'Budget Filing Data'!S158</f>
        <v>0</v>
      </c>
      <c r="AB164" s="478">
        <f>'Budget Filing Data'!AO158</f>
        <v>0</v>
      </c>
      <c r="AC164" s="478">
        <f>'Budget Filing Data'!AP158</f>
        <v>0</v>
      </c>
      <c r="AD164" s="478">
        <f>'Budget Filing Data'!T158</f>
        <v>0</v>
      </c>
      <c r="AE164" s="478">
        <f>'Budget Filing Data'!U158</f>
        <v>0</v>
      </c>
      <c r="AF164" s="478">
        <f>'Budget Filing Data'!$V158</f>
        <v>0</v>
      </c>
      <c r="AG164" s="478">
        <f>'Budget Filing Data'!$W158</f>
        <v>0</v>
      </c>
      <c r="AH164" s="479">
        <v>0</v>
      </c>
    </row>
    <row r="165" spans="3:34" hidden="1">
      <c r="C165" s="470" t="str">
        <f>'Budget Filing Data'!D159</f>
        <v>SDGE3281</v>
      </c>
      <c r="D165" s="470" t="str">
        <f>'Budget Filing Data'!E159</f>
        <v>EM&amp;V-Evaluation Measurement &amp; Verification</v>
      </c>
      <c r="E165" s="471"/>
      <c r="F165" s="471"/>
      <c r="G165" s="472" t="str">
        <f>'Budget Filing Data'!J159</f>
        <v>Non-Program</v>
      </c>
      <c r="H165" s="472" t="str">
        <f>IF('Budget Filing Data'!H159="","",'Budget Filing Data'!H159)</f>
        <v/>
      </c>
      <c r="I165" s="473" t="s">
        <v>24</v>
      </c>
      <c r="J165" s="472" t="str">
        <f>'Budget Filing Data'!G159</f>
        <v>Cross Cutting</v>
      </c>
      <c r="K165" s="472" t="str">
        <f>'Budget Filing Data'!I159</f>
        <v>Evaluation Measurement and Verification</v>
      </c>
      <c r="L165" s="472" t="str">
        <f>'Budget Filing Data'!L159</f>
        <v>Evaluation, Measurement, and Verification</v>
      </c>
      <c r="M165" s="472">
        <f>'Budget Filing Data'!B159</f>
        <v>2030</v>
      </c>
      <c r="N165" s="474">
        <f t="shared" si="2"/>
        <v>2751062.3849999998</v>
      </c>
      <c r="O165" s="475">
        <f>'Budget Filing Data'!AQ159</f>
        <v>2751062.3849999998</v>
      </c>
      <c r="P165" s="475">
        <f>'Budget Filing Data'!AR159</f>
        <v>0</v>
      </c>
      <c r="Q165" s="475">
        <f>'Budget Filing Data'!AS159</f>
        <v>0</v>
      </c>
      <c r="R165" s="475">
        <f>'Budget Filing Data'!AT159</f>
        <v>0</v>
      </c>
      <c r="S165" s="476">
        <f>'Budget Filing Data'!X159</f>
        <v>0</v>
      </c>
      <c r="T165" s="477">
        <f>IFERROR((('Budget Filing Data'!AF159+'Budget Filing Data'!AG159+'Budget Filing Data'!AY159+'Budget Filing Data'!AH159)/'Budget Filing Data'!AA159),"")</f>
        <v>0</v>
      </c>
      <c r="U165" s="477">
        <f>IFERROR((('Budget Filing Data'!AF159+'Budget Filing Data'!AG159+'Budget Filing Data'!AY159+'Budget Filing Data'!AH159)/'Budget Filing Data'!AB159),"")</f>
        <v>0</v>
      </c>
      <c r="V165" s="477">
        <f>IFERROR((('Budget Filing Data'!AF159+'Budget Filing Data'!AG159+'Budget Filing Data'!AY159+'Budget Filing Data'!AH159+'Budget Filing Data'!AW159+'Budget Filing Data'!AX159)/('Budget Filing Data'!AE159)),"")</f>
        <v>0</v>
      </c>
      <c r="W165" s="477">
        <f>IFERROR(('Budget Filing Data'!AI159+'Budget Filing Data'!AJ159+'Budget Filing Data'!AK159+'Budget Filing Data'!AH159)/('Budget Filing Data'!AC159),"")</f>
        <v>0</v>
      </c>
      <c r="X165" s="477">
        <f>IFERROR(('Budget Filing Data'!AL159+'Budget Filing Data'!AM159+'Budget Filing Data'!AN159+'Budget Filing Data'!AH159)/('Budget Filing Data'!AD159),"")</f>
        <v>0</v>
      </c>
      <c r="Y165" s="478">
        <f>'Budget Filing Data'!Q159</f>
        <v>0</v>
      </c>
      <c r="Z165" s="478">
        <f>'Budget Filing Data'!R159</f>
        <v>0</v>
      </c>
      <c r="AA165" s="478">
        <f>'Budget Filing Data'!S159</f>
        <v>0</v>
      </c>
      <c r="AB165" s="478">
        <f>'Budget Filing Data'!AO159</f>
        <v>0</v>
      </c>
      <c r="AC165" s="478">
        <f>'Budget Filing Data'!AP159</f>
        <v>0</v>
      </c>
      <c r="AD165" s="478">
        <f>'Budget Filing Data'!T159</f>
        <v>0</v>
      </c>
      <c r="AE165" s="478">
        <f>'Budget Filing Data'!U159</f>
        <v>0</v>
      </c>
      <c r="AF165" s="478">
        <f>'Budget Filing Data'!$V159</f>
        <v>0</v>
      </c>
      <c r="AG165" s="478">
        <f>'Budget Filing Data'!$W159</f>
        <v>0</v>
      </c>
      <c r="AH165" s="479">
        <v>0</v>
      </c>
    </row>
    <row r="166" spans="3:34" ht="25.5">
      <c r="C166" s="470" t="str">
        <f>'Budget Filing Data'!D160</f>
        <v>SDGE4001</v>
      </c>
      <c r="D166" s="470" t="str">
        <f>'Budget Filing Data'!E160</f>
        <v>Single Family Program</v>
      </c>
      <c r="E166" s="471" t="s">
        <v>42</v>
      </c>
      <c r="F166" s="471" t="s">
        <v>321</v>
      </c>
      <c r="G166" s="472" t="str">
        <f>'Budget Filing Data'!J160</f>
        <v>Third-Party Solicited</v>
      </c>
      <c r="H166" s="472" t="str">
        <f>IF('Budget Filing Data'!H160="","",'Budget Filing Data'!H160)</f>
        <v/>
      </c>
      <c r="I166" s="473" t="s">
        <v>24</v>
      </c>
      <c r="J166" s="472" t="str">
        <f>'Budget Filing Data'!G160</f>
        <v>Residential</v>
      </c>
      <c r="K166" s="472" t="str">
        <f>'Budget Filing Data'!I160</f>
        <v>Other</v>
      </c>
      <c r="L166" s="472" t="str">
        <f>'Budget Filing Data'!L160</f>
        <v>Resource Acquisition</v>
      </c>
      <c r="M166" s="472">
        <f>'Budget Filing Data'!B160</f>
        <v>2030</v>
      </c>
      <c r="N166" s="474">
        <f t="shared" si="2"/>
        <v>5493186.5539999995</v>
      </c>
      <c r="O166" s="475">
        <f>'Budget Filing Data'!AQ160</f>
        <v>302683.82400000002</v>
      </c>
      <c r="P166" s="475">
        <f>'Budget Filing Data'!AR160</f>
        <v>150773.1103</v>
      </c>
      <c r="Q166" s="475">
        <f>'Budget Filing Data'!AS160</f>
        <v>389729.62070000003</v>
      </c>
      <c r="R166" s="475">
        <f>'Budget Filing Data'!AT160</f>
        <v>4649999.9989999998</v>
      </c>
      <c r="S166" s="476">
        <f>'Budget Filing Data'!X160</f>
        <v>5558574.0407582102</v>
      </c>
      <c r="T166" s="477">
        <f>IFERROR((('Budget Filing Data'!AF160+'Budget Filing Data'!AG160+'Budget Filing Data'!AY160+'Budget Filing Data'!AH160)/'Budget Filing Data'!AA160),"")</f>
        <v>1.0422508757810156</v>
      </c>
      <c r="U166" s="477">
        <f>IFERROR((('Budget Filing Data'!AF160+'Budget Filing Data'!AG160+'Budget Filing Data'!AY160+'Budget Filing Data'!AH160)/'Budget Filing Data'!AB160),"")</f>
        <v>1.0435355580316781</v>
      </c>
      <c r="V166" s="477">
        <f>IFERROR((('Budget Filing Data'!AF160+'Budget Filing Data'!AG160+'Budget Filing Data'!AY160+'Budget Filing Data'!AH160+'Budget Filing Data'!AW160+'Budget Filing Data'!AX160)/('Budget Filing Data'!AE160)),"")</f>
        <v>0.46614770118656401</v>
      </c>
      <c r="W166" s="477">
        <f>IFERROR(('Budget Filing Data'!AI160+'Budget Filing Data'!AJ160+'Budget Filing Data'!AK160+'Budget Filing Data'!AH160)/('Budget Filing Data'!AC160),"")</f>
        <v>1.1104377438611708</v>
      </c>
      <c r="X166" s="477">
        <f>IFERROR(('Budget Filing Data'!AL160+'Budget Filing Data'!AM160+'Budget Filing Data'!AN160+'Budget Filing Data'!AH160)/('Budget Filing Data'!AD160),"")</f>
        <v>1.1104377438611708</v>
      </c>
      <c r="Y166" s="478">
        <f>'Budget Filing Data'!Q160</f>
        <v>2077667.23191271</v>
      </c>
      <c r="Z166" s="478">
        <f>'Budget Filing Data'!R160</f>
        <v>1978.0668126908399</v>
      </c>
      <c r="AA166" s="478">
        <f>'Budget Filing Data'!S160</f>
        <v>27449.8186071665</v>
      </c>
      <c r="AB166" s="478">
        <f>'Budget Filing Data'!AO160</f>
        <v>543.86911325340202</v>
      </c>
      <c r="AC166" s="478">
        <f>'Budget Filing Data'!AP160</f>
        <v>145.75853680405399</v>
      </c>
      <c r="AD166" s="478">
        <f>'Budget Filing Data'!T160</f>
        <v>17666539.521323901</v>
      </c>
      <c r="AE166" s="478">
        <f>'Budget Filing Data'!U160</f>
        <v>233407.59185494599</v>
      </c>
      <c r="AF166" s="478">
        <f>'Budget Filing Data'!$V160</f>
        <v>4817.2669939486004</v>
      </c>
      <c r="AG166" s="478">
        <f>'Budget Filing Data'!$W160</f>
        <v>1239.39431274976</v>
      </c>
      <c r="AH166" s="479">
        <v>6056.6613066983609</v>
      </c>
    </row>
    <row r="167" spans="3:34">
      <c r="C167" s="470" t="str">
        <f>'Budget Filing Data'!D161</f>
        <v>SDGE4002</v>
      </c>
      <c r="D167" s="470" t="str">
        <f>'Budget Filing Data'!E161</f>
        <v>Multi Family Program</v>
      </c>
      <c r="E167" s="471"/>
      <c r="F167" s="471"/>
      <c r="G167" s="472" t="str">
        <f>'Budget Filing Data'!J161</f>
        <v>Third-Party Solicited</v>
      </c>
      <c r="H167" s="472" t="str">
        <f>IF('Budget Filing Data'!H161="","",'Budget Filing Data'!H161)</f>
        <v/>
      </c>
      <c r="I167" s="473" t="s">
        <v>24</v>
      </c>
      <c r="J167" s="472" t="str">
        <f>'Budget Filing Data'!G161</f>
        <v>Residential</v>
      </c>
      <c r="K167" s="472" t="str">
        <f>'Budget Filing Data'!I161</f>
        <v>Other</v>
      </c>
      <c r="L167" s="472" t="str">
        <f>'Budget Filing Data'!L161</f>
        <v>Resource Acquisition</v>
      </c>
      <c r="M167" s="472">
        <f>'Budget Filing Data'!B161</f>
        <v>2030</v>
      </c>
      <c r="N167" s="474">
        <f t="shared" si="2"/>
        <v>10985772.3335</v>
      </c>
      <c r="O167" s="475">
        <f>'Budget Filing Data'!AQ161</f>
        <v>603900.74190000002</v>
      </c>
      <c r="P167" s="475">
        <f>'Budget Filing Data'!AR161</f>
        <v>300773.1103</v>
      </c>
      <c r="Q167" s="475">
        <f>'Budget Filing Data'!AS161</f>
        <v>781098.48230000003</v>
      </c>
      <c r="R167" s="475">
        <f>'Budget Filing Data'!AT161</f>
        <v>9299999.9989999998</v>
      </c>
      <c r="S167" s="476">
        <f>'Budget Filing Data'!X161</f>
        <v>12812151.4456199</v>
      </c>
      <c r="T167" s="477">
        <f>IFERROR((('Budget Filing Data'!AF161+'Budget Filing Data'!AG161+'Budget Filing Data'!AY161+'Budget Filing Data'!AH161)/'Budget Filing Data'!AA161),"")</f>
        <v>1.1994641248702393</v>
      </c>
      <c r="U167" s="477">
        <f>IFERROR((('Budget Filing Data'!AF161+'Budget Filing Data'!AG161+'Budget Filing Data'!AY161+'Budget Filing Data'!AH161)/'Budget Filing Data'!AB161),"")</f>
        <v>1.2027086015191906</v>
      </c>
      <c r="V167" s="477">
        <f>IFERROR((('Budget Filing Data'!AF161+'Budget Filing Data'!AG161+'Budget Filing Data'!AY161+'Budget Filing Data'!AH161+'Budget Filing Data'!AW161+'Budget Filing Data'!AX161)/('Budget Filing Data'!AE161)),"")</f>
        <v>0.48915509183859524</v>
      </c>
      <c r="W167" s="477">
        <f>IFERROR(('Budget Filing Data'!AI161+'Budget Filing Data'!AJ161+'Budget Filing Data'!AK161+'Budget Filing Data'!AH161)/('Budget Filing Data'!AC161),"")</f>
        <v>1.5153801043481687</v>
      </c>
      <c r="X167" s="477">
        <f>IFERROR(('Budget Filing Data'!AL161+'Budget Filing Data'!AM161+'Budget Filing Data'!AN161+'Budget Filing Data'!AH161)/('Budget Filing Data'!AD161),"")</f>
        <v>1.5153801043481687</v>
      </c>
      <c r="Y167" s="478">
        <f>'Budget Filing Data'!Q161</f>
        <v>2564570.0741466</v>
      </c>
      <c r="Z167" s="478">
        <f>'Budget Filing Data'!R161</f>
        <v>3835.52181231656</v>
      </c>
      <c r="AA167" s="478">
        <f>'Budget Filing Data'!S161</f>
        <v>421945.92287074198</v>
      </c>
      <c r="AB167" s="478">
        <f>'Budget Filing Data'!AO161</f>
        <v>563.85559735328604</v>
      </c>
      <c r="AC167" s="478">
        <f>'Budget Filing Data'!AP161</f>
        <v>2240.5328504436402</v>
      </c>
      <c r="AD167" s="478">
        <f>'Budget Filing Data'!T161</f>
        <v>22924112.299959701</v>
      </c>
      <c r="AE167" s="478">
        <f>'Budget Filing Data'!U161</f>
        <v>3771679.2447629999</v>
      </c>
      <c r="AF167" s="478">
        <f>'Budget Filing Data'!$V161</f>
        <v>5378.7398614840704</v>
      </c>
      <c r="AG167" s="478">
        <f>'Budget Filing Data'!$W161</f>
        <v>20027.616789691499</v>
      </c>
      <c r="AH167" s="479">
        <v>25406.356651175571</v>
      </c>
    </row>
    <row r="168" spans="3:34" hidden="1">
      <c r="C168" s="470" t="str">
        <f>'Budget Filing Data'!D162</f>
        <v>SDGE4006</v>
      </c>
      <c r="D168" s="470" t="str">
        <f>'Budget Filing Data'!E162</f>
        <v>Industrial Sector Program</v>
      </c>
      <c r="E168" s="471" t="s">
        <v>42</v>
      </c>
      <c r="F168" s="471" t="s">
        <v>322</v>
      </c>
      <c r="G168" s="472" t="str">
        <f>'Budget Filing Data'!J162</f>
        <v>Third-Party Solicited</v>
      </c>
      <c r="H168" s="472" t="str">
        <f>IF('Budget Filing Data'!H162="","",'Budget Filing Data'!H162)</f>
        <v/>
      </c>
      <c r="I168" s="473" t="s">
        <v>24</v>
      </c>
      <c r="J168" s="472" t="str">
        <f>'Budget Filing Data'!G162</f>
        <v>Industrial</v>
      </c>
      <c r="K168" s="472" t="str">
        <f>'Budget Filing Data'!I162</f>
        <v>Other</v>
      </c>
      <c r="L168" s="472" t="str">
        <f>'Budget Filing Data'!L162</f>
        <v>Resource Acquisition</v>
      </c>
      <c r="M168" s="472">
        <f>'Budget Filing Data'!B162</f>
        <v>2030</v>
      </c>
      <c r="N168" s="474">
        <f t="shared" si="2"/>
        <v>9331065.4805000015</v>
      </c>
      <c r="O168" s="475">
        <f>'Budget Filing Data'!AQ162</f>
        <v>827423.86379999993</v>
      </c>
      <c r="P168" s="475">
        <f>'Budget Filing Data'!AR162</f>
        <v>408017.00030000001</v>
      </c>
      <c r="Q168" s="475">
        <f>'Budget Filing Data'!AS162</f>
        <v>6343582.6164000006</v>
      </c>
      <c r="R168" s="475">
        <f>'Budget Filing Data'!AT162</f>
        <v>1752042</v>
      </c>
      <c r="S168" s="476">
        <f>'Budget Filing Data'!X162</f>
        <v>9690327.2633387502</v>
      </c>
      <c r="T168" s="477">
        <f>IFERROR((('Budget Filing Data'!AF162+'Budget Filing Data'!AG162+'Budget Filing Data'!AY162+'Budget Filing Data'!AH162)/'Budget Filing Data'!AA162),"")</f>
        <v>1.0810143123630676</v>
      </c>
      <c r="U168" s="477">
        <f>IFERROR((('Budget Filing Data'!AF162+'Budget Filing Data'!AG162+'Budget Filing Data'!AY162+'Budget Filing Data'!AH162)/'Budget Filing Data'!AB162),"")</f>
        <v>1.0489858576382607</v>
      </c>
      <c r="V168" s="477">
        <f>IFERROR((('Budget Filing Data'!AF162+'Budget Filing Data'!AG162+'Budget Filing Data'!AY162+'Budget Filing Data'!AH162+'Budget Filing Data'!AW162+'Budget Filing Data'!AX162)/('Budget Filing Data'!AE162)),"")</f>
        <v>0.2251974234030053</v>
      </c>
      <c r="W168" s="477">
        <f>IFERROR(('Budget Filing Data'!AI162+'Budget Filing Data'!AJ162+'Budget Filing Data'!AK162+'Budget Filing Data'!AH162)/('Budget Filing Data'!AC162),"")</f>
        <v>1.4745585808877106</v>
      </c>
      <c r="X168" s="477">
        <f>IFERROR(('Budget Filing Data'!AL162+'Budget Filing Data'!AM162+'Budget Filing Data'!AN162+'Budget Filing Data'!AH162)/('Budget Filing Data'!AD162),"")</f>
        <v>1.4652681262197911</v>
      </c>
      <c r="Y168" s="478">
        <f>'Budget Filing Data'!Q162</f>
        <v>18000000</v>
      </c>
      <c r="Z168" s="478">
        <f>'Budget Filing Data'!R162</f>
        <v>2316.42</v>
      </c>
      <c r="AA168" s="478">
        <f>'Budget Filing Data'!S162</f>
        <v>173250</v>
      </c>
      <c r="AB168" s="478">
        <f>'Budget Filing Data'!AO162</f>
        <v>3614.9412375000002</v>
      </c>
      <c r="AC168" s="478">
        <f>'Budget Filing Data'!AP162</f>
        <v>919.95749999999998</v>
      </c>
      <c r="AD168" s="478">
        <f>'Budget Filing Data'!T162</f>
        <v>90000000</v>
      </c>
      <c r="AE168" s="478">
        <f>'Budget Filing Data'!U162</f>
        <v>866250</v>
      </c>
      <c r="AF168" s="478">
        <f>'Budget Filing Data'!$V162</f>
        <v>18996.179152500001</v>
      </c>
      <c r="AG168" s="478">
        <f>'Budget Filing Data'!$W162</f>
        <v>4599.7875000000004</v>
      </c>
      <c r="AH168" s="479">
        <v>0</v>
      </c>
    </row>
    <row r="169" spans="3:34">
      <c r="C169" s="470" t="str">
        <f>'Budget Filing Data'!D163</f>
        <v>SDGE4040</v>
      </c>
      <c r="D169" s="470" t="str">
        <f>'Budget Filing Data'!E163</f>
        <v>IDSM Local Residential Behavioral Program (EE)</v>
      </c>
      <c r="E169" s="471"/>
      <c r="F169" s="480"/>
      <c r="G169" s="472" t="str">
        <f>'Budget Filing Data'!J163</f>
        <v>Third-Party Solicited</v>
      </c>
      <c r="H169" s="472" t="str">
        <f>IF('Budget Filing Data'!H163="","",'Budget Filing Data'!H163)</f>
        <v/>
      </c>
      <c r="I169" s="473" t="s">
        <v>24</v>
      </c>
      <c r="J169" s="472" t="str">
        <f>'Budget Filing Data'!G163</f>
        <v>Residential</v>
      </c>
      <c r="K169" s="472" t="str">
        <f>'Budget Filing Data'!I163</f>
        <v>Other</v>
      </c>
      <c r="L169" s="472" t="str">
        <f>'Budget Filing Data'!L163</f>
        <v>Resource Acquisition</v>
      </c>
      <c r="M169" s="472">
        <f>'Budget Filing Data'!B163</f>
        <v>2030</v>
      </c>
      <c r="N169" s="474">
        <f t="shared" si="2"/>
        <v>3703147.1912000002</v>
      </c>
      <c r="O169" s="475">
        <f>'Budget Filing Data'!AQ163</f>
        <v>453782.1704</v>
      </c>
      <c r="P169" s="475">
        <f>'Budget Filing Data'!AR163</f>
        <v>18554.648000000001</v>
      </c>
      <c r="Q169" s="475">
        <f>'Budget Filing Data'!AS163</f>
        <v>3230810.3728</v>
      </c>
      <c r="R169" s="475">
        <f>'Budget Filing Data'!AT163</f>
        <v>0</v>
      </c>
      <c r="S169" s="476">
        <f>'Budget Filing Data'!X163</f>
        <v>9179088.3709854446</v>
      </c>
      <c r="T169" s="477">
        <f>IFERROR((('Budget Filing Data'!AF163+'Budget Filing Data'!AG163+'Budget Filing Data'!AY163+'Budget Filing Data'!AH163)/'Budget Filing Data'!AA163),"")</f>
        <v>2.478726309555888</v>
      </c>
      <c r="U169" s="477">
        <f>IFERROR((('Budget Filing Data'!AF163+'Budget Filing Data'!AG163+'Budget Filing Data'!AY163+'Budget Filing Data'!AH163)/'Budget Filing Data'!AB163),"")</f>
        <v>2.478726309555888</v>
      </c>
      <c r="V169" s="477">
        <f>IFERROR((('Budget Filing Data'!AF163+'Budget Filing Data'!AG163+'Budget Filing Data'!AY163+'Budget Filing Data'!AH163+'Budget Filing Data'!AW163+'Budget Filing Data'!AX163)/('Budget Filing Data'!AE163)),"")</f>
        <v>0.29055680149725482</v>
      </c>
      <c r="W169" s="477">
        <f>IFERROR(('Budget Filing Data'!AI163+'Budget Filing Data'!AJ163+'Budget Filing Data'!AK163+'Budget Filing Data'!AH163)/('Budget Filing Data'!AC163),"")</f>
        <v>2.6451182329148133</v>
      </c>
      <c r="X169" s="477">
        <f>IFERROR(('Budget Filing Data'!AL163+'Budget Filing Data'!AM163+'Budget Filing Data'!AN163+'Budget Filing Data'!AH163)/('Budget Filing Data'!AD163),"")</f>
        <v>2.6451182329148133</v>
      </c>
      <c r="Y169" s="478">
        <f>'Budget Filing Data'!Q163</f>
        <v>64700951.579999998</v>
      </c>
      <c r="Z169" s="478">
        <f>'Budget Filing Data'!R163</f>
        <v>5500</v>
      </c>
      <c r="AA169" s="478">
        <f>'Budget Filing Data'!S163</f>
        <v>531249.89179999998</v>
      </c>
      <c r="AB169" s="478">
        <f>'Budget Filing Data'!AO163</f>
        <v>11113.161610236381</v>
      </c>
      <c r="AC169" s="478">
        <f>'Budget Filing Data'!AP163</f>
        <v>2820.9369254580001</v>
      </c>
      <c r="AD169" s="478">
        <f>'Budget Filing Data'!T163</f>
        <v>64700951.579999998</v>
      </c>
      <c r="AE169" s="478">
        <f>'Budget Filing Data'!U163</f>
        <v>531249.89179999998</v>
      </c>
      <c r="AF169" s="478">
        <f>'Budget Filing Data'!$V163</f>
        <v>11113.161610236381</v>
      </c>
      <c r="AG169" s="478">
        <f>'Budget Filing Data'!$W163</f>
        <v>2820.9369254580001</v>
      </c>
      <c r="AH169" s="479">
        <v>0</v>
      </c>
    </row>
    <row r="170" spans="3:34" hidden="1">
      <c r="C170" s="470" t="str">
        <f>'Budget Filing Data'!D164</f>
        <v>SDGE_SW_CSA_Natl</v>
      </c>
      <c r="D170" s="470" t="str">
        <f>'Budget Filing Data'!E164</f>
        <v>SW Codes &amp; Standards Advocacy - National Codes &amp; Standards Advocacy</v>
      </c>
      <c r="E170" s="471"/>
      <c r="F170" s="480"/>
      <c r="G170" s="472" t="str">
        <f>'Budget Filing Data'!J164</f>
        <v>Third-Party Solicited</v>
      </c>
      <c r="H170" s="472" t="str">
        <f>IF('Budget Filing Data'!H164="","",'Budget Filing Data'!H164)</f>
        <v>SW_CSA_Natl - Codes and Standards National Codes Advocacy</v>
      </c>
      <c r="I170" s="473" t="s">
        <v>24</v>
      </c>
      <c r="J170" s="472" t="str">
        <f>'Budget Filing Data'!G164</f>
        <v>Cross Cutting</v>
      </c>
      <c r="K170" s="472" t="str">
        <f>'Budget Filing Data'!I164</f>
        <v>Codes and Standards</v>
      </c>
      <c r="L170" s="472" t="str">
        <f>'Budget Filing Data'!L164</f>
        <v>Codes and Standards</v>
      </c>
      <c r="M170" s="472">
        <f>'Budget Filing Data'!B164</f>
        <v>2030</v>
      </c>
      <c r="N170" s="474">
        <f t="shared" si="2"/>
        <v>423899.28909999999</v>
      </c>
      <c r="O170" s="475">
        <f>'Budget Filing Data'!AQ164</f>
        <v>0</v>
      </c>
      <c r="P170" s="475">
        <f>'Budget Filing Data'!AR164</f>
        <v>0</v>
      </c>
      <c r="Q170" s="475">
        <f>'Budget Filing Data'!AS164</f>
        <v>423899.28909999999</v>
      </c>
      <c r="R170" s="475">
        <f>'Budget Filing Data'!AT164</f>
        <v>0</v>
      </c>
      <c r="S170" s="476">
        <f>'Budget Filing Data'!X164</f>
        <v>24847194.674228147</v>
      </c>
      <c r="T170" s="477">
        <f>IFERROR((('Budget Filing Data'!AF164+'Budget Filing Data'!AG164+'Budget Filing Data'!AY164+'Budget Filing Data'!AH164)/'Budget Filing Data'!AA164),"")</f>
        <v>1.7072396634377143</v>
      </c>
      <c r="U170" s="477">
        <f>IFERROR((('Budget Filing Data'!AF164+'Budget Filing Data'!AG164+'Budget Filing Data'!AY164+'Budget Filing Data'!AH164)/'Budget Filing Data'!AB164),"")</f>
        <v>58.615796990323823</v>
      </c>
      <c r="V170" s="477">
        <f>IFERROR((('Budget Filing Data'!AF164+'Budget Filing Data'!AG164+'Budget Filing Data'!AY164+'Budget Filing Data'!AH164+'Budget Filing Data'!AW164+'Budget Filing Data'!AX164)/('Budget Filing Data'!AE164)),"")</f>
        <v>0.42203776188148545</v>
      </c>
      <c r="W170" s="477">
        <f>IFERROR(('Budget Filing Data'!AI164+'Budget Filing Data'!AJ164+'Budget Filing Data'!AK164+'Budget Filing Data'!AH164)/('Budget Filing Data'!AC164),"")</f>
        <v>2.4164298506561561</v>
      </c>
      <c r="X170" s="477">
        <f>IFERROR(('Budget Filing Data'!AL164+'Budget Filing Data'!AM164+'Budget Filing Data'!AN164+'Budget Filing Data'!AH164)/('Budget Filing Data'!AD164),"")</f>
        <v>2.4197282575539254</v>
      </c>
      <c r="Y170" s="478">
        <f>'Budget Filing Data'!Q164</f>
        <v>23844687.781132497</v>
      </c>
      <c r="Z170" s="478">
        <f>'Budget Filing Data'!R164</f>
        <v>9579.5635311843598</v>
      </c>
      <c r="AA170" s="478">
        <f>'Budget Filing Data'!S164</f>
        <v>30724.850640214594</v>
      </c>
      <c r="AB170" s="478">
        <f>'Budget Filing Data'!AO164</f>
        <v>4343.3592654624808</v>
      </c>
      <c r="AC170" s="478">
        <f>'Budget Filing Data'!AP164</f>
        <v>163.14895689953977</v>
      </c>
      <c r="AD170" s="478">
        <f>'Budget Filing Data'!T164</f>
        <v>353436955.77642</v>
      </c>
      <c r="AE170" s="478">
        <f>'Budget Filing Data'!U164</f>
        <v>879567.02834441245</v>
      </c>
      <c r="AF170" s="478">
        <f>'Budget Filing Data'!$V164</f>
        <v>66706.869612216673</v>
      </c>
      <c r="AG170" s="478">
        <f>'Budget Filing Data'!$W164</f>
        <v>4670.5009205088309</v>
      </c>
      <c r="AH170" s="479">
        <v>0</v>
      </c>
    </row>
    <row r="171" spans="3:34" hidden="1">
      <c r="C171" s="470" t="str">
        <f>'Budget Filing Data'!D165</f>
        <v>SDGE_SW_CSA_Natl_PA</v>
      </c>
      <c r="D171" s="470" t="str">
        <f>'Budget Filing Data'!E165</f>
        <v>SW Codes &amp; Standards Advocacy - National Codes &amp; Standards Advocacy (Utility)</v>
      </c>
      <c r="E171" s="471"/>
      <c r="F171" s="480"/>
      <c r="G171" s="472" t="str">
        <f>'Budget Filing Data'!J165</f>
        <v>IOU Core</v>
      </c>
      <c r="H171" s="472" t="str">
        <f>IF('Budget Filing Data'!H165="","",'Budget Filing Data'!H165)</f>
        <v>SW_CSA_Natl - Codes and Standards National Codes Advocacy</v>
      </c>
      <c r="I171" s="473" t="s">
        <v>24</v>
      </c>
      <c r="J171" s="472" t="str">
        <f>'Budget Filing Data'!G165</f>
        <v>Cross Cutting</v>
      </c>
      <c r="K171" s="472" t="str">
        <f>'Budget Filing Data'!I165</f>
        <v>Codes and Standards</v>
      </c>
      <c r="L171" s="472" t="str">
        <f>'Budget Filing Data'!L165</f>
        <v>Codes and Standards</v>
      </c>
      <c r="M171" s="472">
        <f>'Budget Filing Data'!B165</f>
        <v>2030</v>
      </c>
      <c r="N171" s="474">
        <f t="shared" si="2"/>
        <v>63484.8482</v>
      </c>
      <c r="O171" s="475">
        <f>'Budget Filing Data'!AQ165</f>
        <v>14672.967699999999</v>
      </c>
      <c r="P171" s="475">
        <f>'Budget Filing Data'!AR165</f>
        <v>0</v>
      </c>
      <c r="Q171" s="475">
        <f>'Budget Filing Data'!AS165</f>
        <v>48811.880499999999</v>
      </c>
      <c r="R171" s="475">
        <f>'Budget Filing Data'!AT165</f>
        <v>0</v>
      </c>
      <c r="S171" s="476">
        <f>'Budget Filing Data'!X165</f>
        <v>0</v>
      </c>
      <c r="T171" s="477">
        <f>IFERROR((('Budget Filing Data'!AF165+'Budget Filing Data'!AG165+'Budget Filing Data'!AY165+'Budget Filing Data'!AH165)/'Budget Filing Data'!AA165),"")</f>
        <v>0</v>
      </c>
      <c r="U171" s="477">
        <f>IFERROR((('Budget Filing Data'!AF165+'Budget Filing Data'!AG165+'Budget Filing Data'!AY165+'Budget Filing Data'!AH165)/'Budget Filing Data'!AB165),"")</f>
        <v>0</v>
      </c>
      <c r="V171" s="477">
        <f>IFERROR((('Budget Filing Data'!AF165+'Budget Filing Data'!AG165+'Budget Filing Data'!AY165+'Budget Filing Data'!AH165+'Budget Filing Data'!AW165+'Budget Filing Data'!AX165)/('Budget Filing Data'!AE165)),"")</f>
        <v>0</v>
      </c>
      <c r="W171" s="477">
        <f>IFERROR(('Budget Filing Data'!AI165+'Budget Filing Data'!AJ165+'Budget Filing Data'!AK165+'Budget Filing Data'!AH165)/('Budget Filing Data'!AC165),"")</f>
        <v>0</v>
      </c>
      <c r="X171" s="477">
        <f>IFERROR(('Budget Filing Data'!AL165+'Budget Filing Data'!AM165+'Budget Filing Data'!AN165+'Budget Filing Data'!AH165)/('Budget Filing Data'!AD165),"")</f>
        <v>0</v>
      </c>
      <c r="Y171" s="478">
        <f>'Budget Filing Data'!Q165</f>
        <v>0</v>
      </c>
      <c r="Z171" s="478">
        <f>'Budget Filing Data'!R165</f>
        <v>0</v>
      </c>
      <c r="AA171" s="478">
        <f>'Budget Filing Data'!S165</f>
        <v>0</v>
      </c>
      <c r="AB171" s="478">
        <f>'Budget Filing Data'!AO165</f>
        <v>0</v>
      </c>
      <c r="AC171" s="478">
        <f>'Budget Filing Data'!AP165</f>
        <v>0</v>
      </c>
      <c r="AD171" s="478">
        <f>'Budget Filing Data'!T165</f>
        <v>0</v>
      </c>
      <c r="AE171" s="478">
        <f>'Budget Filing Data'!U165</f>
        <v>0</v>
      </c>
      <c r="AF171" s="478">
        <f>'Budget Filing Data'!$V165</f>
        <v>0</v>
      </c>
      <c r="AG171" s="478">
        <f>'Budget Filing Data'!$W165</f>
        <v>0</v>
      </c>
      <c r="AH171" s="479">
        <v>0</v>
      </c>
    </row>
    <row r="172" spans="3:34" hidden="1">
      <c r="C172" s="470" t="str">
        <f>'Budget Filing Data'!D166</f>
        <v>SDGE_SW_CSA_Appl</v>
      </c>
      <c r="D172" s="470" t="str">
        <f>'Budget Filing Data'!E166</f>
        <v>SW Codes &amp; Standards Advocacy - State Appliance Standards</v>
      </c>
      <c r="E172" s="471" t="s">
        <v>42</v>
      </c>
      <c r="F172" s="471" t="s">
        <v>323</v>
      </c>
      <c r="G172" s="472" t="str">
        <f>'Budget Filing Data'!J166</f>
        <v>Third-Party Solicited</v>
      </c>
      <c r="H172" s="472" t="str">
        <f>IF('Budget Filing Data'!H166="","",'Budget Filing Data'!H166)</f>
        <v>SW_CSA_Appl - Codes and Standards Appliance Advocacy</v>
      </c>
      <c r="I172" s="473" t="s">
        <v>24</v>
      </c>
      <c r="J172" s="472" t="str">
        <f>'Budget Filing Data'!G166</f>
        <v>Cross Cutting</v>
      </c>
      <c r="K172" s="472" t="str">
        <f>'Budget Filing Data'!I166</f>
        <v>Codes and Standards</v>
      </c>
      <c r="L172" s="472" t="str">
        <f>'Budget Filing Data'!L166</f>
        <v>Codes and Standards</v>
      </c>
      <c r="M172" s="472">
        <f>'Budget Filing Data'!B166</f>
        <v>2030</v>
      </c>
      <c r="N172" s="474">
        <f t="shared" si="2"/>
        <v>333070.63510000001</v>
      </c>
      <c r="O172" s="475">
        <f>'Budget Filing Data'!AQ166</f>
        <v>0</v>
      </c>
      <c r="P172" s="475">
        <f>'Budget Filing Data'!AR166</f>
        <v>0</v>
      </c>
      <c r="Q172" s="475">
        <f>'Budget Filing Data'!AS166</f>
        <v>333070.63510000001</v>
      </c>
      <c r="R172" s="475">
        <f>'Budget Filing Data'!AT166</f>
        <v>0</v>
      </c>
      <c r="S172" s="476">
        <f>'Budget Filing Data'!X166</f>
        <v>14276423.070180621</v>
      </c>
      <c r="T172" s="477">
        <f>IFERROR((('Budget Filing Data'!AF166+'Budget Filing Data'!AG166+'Budget Filing Data'!AY166+'Budget Filing Data'!AH166)/'Budget Filing Data'!AA166),"")</f>
        <v>6.7235947770295663</v>
      </c>
      <c r="U172" s="477">
        <f>IFERROR((('Budget Filing Data'!AF166+'Budget Filing Data'!AG166+'Budget Filing Data'!AY166+'Budget Filing Data'!AH166)/'Budget Filing Data'!AB166),"")</f>
        <v>42.863049352562555</v>
      </c>
      <c r="V172" s="477">
        <f>IFERROR((('Budget Filing Data'!AF166+'Budget Filing Data'!AG166+'Budget Filing Data'!AY166+'Budget Filing Data'!AH166+'Budget Filing Data'!AW166+'Budget Filing Data'!AX166)/('Budget Filing Data'!AE166)),"")</f>
        <v>0.36927175688764491</v>
      </c>
      <c r="W172" s="477">
        <f>IFERROR(('Budget Filing Data'!AI166+'Budget Filing Data'!AJ166+'Budget Filing Data'!AK166+'Budget Filing Data'!AH166)/('Budget Filing Data'!AC166),"")</f>
        <v>9.3058863524472137</v>
      </c>
      <c r="X172" s="477">
        <f>IFERROR(('Budget Filing Data'!AL166+'Budget Filing Data'!AM166+'Budget Filing Data'!AN166+'Budget Filing Data'!AH166)/('Budget Filing Data'!AD166),"")</f>
        <v>9.315210999882888</v>
      </c>
      <c r="Y172" s="478">
        <f>'Budget Filing Data'!Q166</f>
        <v>13913783.375455735</v>
      </c>
      <c r="Z172" s="478">
        <f>'Budget Filing Data'!R166</f>
        <v>1582.8377031505731</v>
      </c>
      <c r="AA172" s="478">
        <f>'Budget Filing Data'!S166</f>
        <v>41367.335390077802</v>
      </c>
      <c r="AB172" s="478">
        <f>'Budget Filing Data'!AO166</f>
        <v>2661.7889083615864</v>
      </c>
      <c r="AC172" s="478">
        <f>'Budget Filing Data'!AP166</f>
        <v>219.66055092131285</v>
      </c>
      <c r="AD172" s="478">
        <f>'Budget Filing Data'!T166</f>
        <v>182921800.68970713</v>
      </c>
      <c r="AE172" s="478">
        <f>'Budget Filing Data'!U166</f>
        <v>495243.85915734706</v>
      </c>
      <c r="AF172" s="478">
        <f>'Budget Filing Data'!$V166</f>
        <v>37444.797639554839</v>
      </c>
      <c r="AG172" s="478">
        <f>'Budget Filing Data'!$W166</f>
        <v>2629.7448921255004</v>
      </c>
      <c r="AH172" s="479">
        <v>0</v>
      </c>
    </row>
    <row r="173" spans="3:34" hidden="1">
      <c r="C173" s="470" t="str">
        <f>'Budget Filing Data'!D167</f>
        <v>SDGE_SW_CSA_Appl_PA</v>
      </c>
      <c r="D173" s="470" t="str">
        <f>'Budget Filing Data'!E167</f>
        <v>SW Codes &amp; Standards Advocacy - State Appliance Standards (Utility)</v>
      </c>
      <c r="E173" s="471"/>
      <c r="F173" s="480"/>
      <c r="G173" s="472" t="str">
        <f>'Budget Filing Data'!J167</f>
        <v>IOU Core</v>
      </c>
      <c r="H173" s="472" t="str">
        <f>IF('Budget Filing Data'!H167="","",'Budget Filing Data'!H167)</f>
        <v>SW_CSA_Appl - Codes and Standards Appliance Advocacy</v>
      </c>
      <c r="I173" s="473" t="s">
        <v>24</v>
      </c>
      <c r="J173" s="472" t="str">
        <f>'Budget Filing Data'!G167</f>
        <v>Cross Cutting</v>
      </c>
      <c r="K173" s="472" t="str">
        <f>'Budget Filing Data'!I167</f>
        <v>Codes and Standards</v>
      </c>
      <c r="L173" s="472" t="str">
        <f>'Budget Filing Data'!L167</f>
        <v>Codes and Standards</v>
      </c>
      <c r="M173" s="472">
        <f>'Budget Filing Data'!B167</f>
        <v>2030</v>
      </c>
      <c r="N173" s="474">
        <f t="shared" si="2"/>
        <v>65064.948199999999</v>
      </c>
      <c r="O173" s="475">
        <f>'Budget Filing Data'!AQ167</f>
        <v>14238.6</v>
      </c>
      <c r="P173" s="475">
        <f>'Budget Filing Data'!AR167</f>
        <v>0</v>
      </c>
      <c r="Q173" s="475">
        <f>'Budget Filing Data'!AS167</f>
        <v>50826.3482</v>
      </c>
      <c r="R173" s="475">
        <f>'Budget Filing Data'!AT167</f>
        <v>0</v>
      </c>
      <c r="S173" s="476">
        <f>'Budget Filing Data'!X167</f>
        <v>0</v>
      </c>
      <c r="T173" s="477">
        <f>IFERROR((('Budget Filing Data'!AF167+'Budget Filing Data'!AG167+'Budget Filing Data'!AY167+'Budget Filing Data'!AH167)/'Budget Filing Data'!AA167),"")</f>
        <v>0</v>
      </c>
      <c r="U173" s="477">
        <f>IFERROR((('Budget Filing Data'!AF167+'Budget Filing Data'!AG167+'Budget Filing Data'!AY167+'Budget Filing Data'!AH167)/'Budget Filing Data'!AB167),"")</f>
        <v>0</v>
      </c>
      <c r="V173" s="477">
        <f>IFERROR((('Budget Filing Data'!AF167+'Budget Filing Data'!AG167+'Budget Filing Data'!AY167+'Budget Filing Data'!AH167+'Budget Filing Data'!AW167+'Budget Filing Data'!AX167)/('Budget Filing Data'!AE167)),"")</f>
        <v>0</v>
      </c>
      <c r="W173" s="477">
        <f>IFERROR(('Budget Filing Data'!AI167+'Budget Filing Data'!AJ167+'Budget Filing Data'!AK167+'Budget Filing Data'!AH167)/('Budget Filing Data'!AC167),"")</f>
        <v>0</v>
      </c>
      <c r="X173" s="477">
        <f>IFERROR(('Budget Filing Data'!AL167+'Budget Filing Data'!AM167+'Budget Filing Data'!AN167+'Budget Filing Data'!AH167)/('Budget Filing Data'!AD167),"")</f>
        <v>0</v>
      </c>
      <c r="Y173" s="478">
        <f>'Budget Filing Data'!Q167</f>
        <v>0</v>
      </c>
      <c r="Z173" s="478">
        <f>'Budget Filing Data'!R167</f>
        <v>0</v>
      </c>
      <c r="AA173" s="478">
        <f>'Budget Filing Data'!S167</f>
        <v>0</v>
      </c>
      <c r="AB173" s="478">
        <f>'Budget Filing Data'!AO167</f>
        <v>0</v>
      </c>
      <c r="AC173" s="478">
        <f>'Budget Filing Data'!AP167</f>
        <v>0</v>
      </c>
      <c r="AD173" s="478">
        <f>'Budget Filing Data'!T167</f>
        <v>0</v>
      </c>
      <c r="AE173" s="478">
        <f>'Budget Filing Data'!U167</f>
        <v>0</v>
      </c>
      <c r="AF173" s="478">
        <f>'Budget Filing Data'!$V167</f>
        <v>0</v>
      </c>
      <c r="AG173" s="478">
        <f>'Budget Filing Data'!$W167</f>
        <v>0</v>
      </c>
      <c r="AH173" s="479">
        <v>0</v>
      </c>
    </row>
    <row r="174" spans="3:34" hidden="1">
      <c r="C174" s="470" t="str">
        <f>'Budget Filing Data'!D168</f>
        <v>SDGE_SW_CSA_Bldg</v>
      </c>
      <c r="D174" s="470" t="str">
        <f>'Budget Filing Data'!E168</f>
        <v>SW Codes &amp; Standards Advocacy - State Building Codes</v>
      </c>
      <c r="E174" s="471"/>
      <c r="F174" s="480"/>
      <c r="G174" s="472" t="str">
        <f>'Budget Filing Data'!J168</f>
        <v>Third-Party Solicited</v>
      </c>
      <c r="H174" s="472" t="str">
        <f>IF('Budget Filing Data'!H168="","",'Budget Filing Data'!H168)</f>
        <v>SW_CSA_Bldg - Codes and Standards Building Codes Advocacy</v>
      </c>
      <c r="I174" s="473" t="s">
        <v>24</v>
      </c>
      <c r="J174" s="472" t="str">
        <f>'Budget Filing Data'!G168</f>
        <v>Cross Cutting</v>
      </c>
      <c r="K174" s="472" t="str">
        <f>'Budget Filing Data'!I168</f>
        <v>Codes and Standards</v>
      </c>
      <c r="L174" s="472" t="str">
        <f>'Budget Filing Data'!L168</f>
        <v>Codes and Standards</v>
      </c>
      <c r="M174" s="472">
        <f>'Budget Filing Data'!B168</f>
        <v>2030</v>
      </c>
      <c r="N174" s="474">
        <f t="shared" si="2"/>
        <v>699685.34719999996</v>
      </c>
      <c r="O174" s="475">
        <f>'Budget Filing Data'!AQ168</f>
        <v>0</v>
      </c>
      <c r="P174" s="475">
        <f>'Budget Filing Data'!AR168</f>
        <v>0</v>
      </c>
      <c r="Q174" s="475">
        <f>'Budget Filing Data'!AS168</f>
        <v>699685.34719999996</v>
      </c>
      <c r="R174" s="475">
        <f>'Budget Filing Data'!AT168</f>
        <v>0</v>
      </c>
      <c r="S174" s="476">
        <f>'Budget Filing Data'!X168</f>
        <v>138753752.98984447</v>
      </c>
      <c r="T174" s="477">
        <f>IFERROR((('Budget Filing Data'!AF168+'Budget Filing Data'!AG168+'Budget Filing Data'!AY168+'Budget Filing Data'!AH168)/'Budget Filing Data'!AA168),"")</f>
        <v>1.7546001954737054</v>
      </c>
      <c r="U174" s="477">
        <f>IFERROR((('Budget Filing Data'!AF168+'Budget Filing Data'!AG168+'Budget Filing Data'!AY168+'Budget Filing Data'!AH168)/'Budget Filing Data'!AB168),"")</f>
        <v>198.30878772166545</v>
      </c>
      <c r="V174" s="477">
        <f>IFERROR((('Budget Filing Data'!AF168+'Budget Filing Data'!AG168+'Budget Filing Data'!AY168+'Budget Filing Data'!AH168+'Budget Filing Data'!AW168+'Budget Filing Data'!AX168)/('Budget Filing Data'!AE168)),"")</f>
        <v>0.58551338130388275</v>
      </c>
      <c r="W174" s="477">
        <f>IFERROR(('Budget Filing Data'!AI168+'Budget Filing Data'!AJ168+'Budget Filing Data'!AK168+'Budget Filing Data'!AH168)/('Budget Filing Data'!AC168),"")</f>
        <v>2.5731509052279158</v>
      </c>
      <c r="X174" s="477">
        <f>IFERROR(('Budget Filing Data'!AL168+'Budget Filing Data'!AM168+'Budget Filing Data'!AN168+'Budget Filing Data'!AH168)/('Budget Filing Data'!AD168),"")</f>
        <v>2.574824960132104</v>
      </c>
      <c r="Y174" s="478">
        <f>'Budget Filing Data'!Q168</f>
        <v>69303463.559986189</v>
      </c>
      <c r="Z174" s="478">
        <f>'Budget Filing Data'!R168</f>
        <v>13462.263945042667</v>
      </c>
      <c r="AA174" s="478">
        <f>'Budget Filing Data'!S168</f>
        <v>1462358.1095014145</v>
      </c>
      <c r="AB174" s="478">
        <f>'Budget Filing Data'!AO168</f>
        <v>10933.830389421961</v>
      </c>
      <c r="AC174" s="478">
        <f>'Budget Filing Data'!AP168</f>
        <v>7765.1215614525127</v>
      </c>
      <c r="AD174" s="478">
        <f>'Budget Filing Data'!T168</f>
        <v>1046970546.657648</v>
      </c>
      <c r="AE174" s="478">
        <f>'Budget Filing Data'!U168</f>
        <v>22733507.791516453</v>
      </c>
      <c r="AF174" s="478">
        <f>'Budget Filing Data'!$V168</f>
        <v>168761.90289352246</v>
      </c>
      <c r="AG174" s="478">
        <f>'Budget Filing Data'!$W168</f>
        <v>120714.92637295242</v>
      </c>
      <c r="AH174" s="479">
        <v>0</v>
      </c>
    </row>
    <row r="175" spans="3:34" hidden="1">
      <c r="C175" s="470" t="str">
        <f>'Budget Filing Data'!D169</f>
        <v>SDGE_SW_CSA_Bldg_PA</v>
      </c>
      <c r="D175" s="470" t="str">
        <f>'Budget Filing Data'!E169</f>
        <v>SW Codes &amp; Standards Advocacy - State Building Codes (Utility)</v>
      </c>
      <c r="E175" s="471"/>
      <c r="F175" s="480"/>
      <c r="G175" s="472" t="str">
        <f>'Budget Filing Data'!J169</f>
        <v>IOU Core</v>
      </c>
      <c r="H175" s="472" t="str">
        <f>IF('Budget Filing Data'!H169="","",'Budget Filing Data'!H169)</f>
        <v>SW_CSA_Bldg - Codes and Standards Building Codes Advocacy</v>
      </c>
      <c r="I175" s="473" t="s">
        <v>24</v>
      </c>
      <c r="J175" s="472" t="str">
        <f>'Budget Filing Data'!G169</f>
        <v>Cross Cutting</v>
      </c>
      <c r="K175" s="472" t="str">
        <f>'Budget Filing Data'!I169</f>
        <v>Codes and Standards</v>
      </c>
      <c r="L175" s="472" t="str">
        <f>'Budget Filing Data'!L169</f>
        <v>Codes and Standards</v>
      </c>
      <c r="M175" s="472">
        <f>'Budget Filing Data'!B169</f>
        <v>2030</v>
      </c>
      <c r="N175" s="474">
        <f t="shared" si="2"/>
        <v>81581.790600000008</v>
      </c>
      <c r="O175" s="475">
        <f>'Budget Filing Data'!AQ169</f>
        <v>17273.9496</v>
      </c>
      <c r="P175" s="475">
        <f>'Budget Filing Data'!AR169</f>
        <v>0</v>
      </c>
      <c r="Q175" s="475">
        <f>'Budget Filing Data'!AS169</f>
        <v>64307.841</v>
      </c>
      <c r="R175" s="475">
        <f>'Budget Filing Data'!AT169</f>
        <v>0</v>
      </c>
      <c r="S175" s="476">
        <f>'Budget Filing Data'!X169</f>
        <v>0</v>
      </c>
      <c r="T175" s="477">
        <f>IFERROR((('Budget Filing Data'!AF169+'Budget Filing Data'!AG169+'Budget Filing Data'!AY169+'Budget Filing Data'!AH169)/'Budget Filing Data'!AA169),"")</f>
        <v>0</v>
      </c>
      <c r="U175" s="477">
        <f>IFERROR((('Budget Filing Data'!AF169+'Budget Filing Data'!AG169+'Budget Filing Data'!AY169+'Budget Filing Data'!AH169)/'Budget Filing Data'!AB169),"")</f>
        <v>0</v>
      </c>
      <c r="V175" s="477">
        <f>IFERROR((('Budget Filing Data'!AF169+'Budget Filing Data'!AG169+'Budget Filing Data'!AY169+'Budget Filing Data'!AH169+'Budget Filing Data'!AW169+'Budget Filing Data'!AX169)/('Budget Filing Data'!AE169)),"")</f>
        <v>0</v>
      </c>
      <c r="W175" s="477">
        <f>IFERROR(('Budget Filing Data'!AI169+'Budget Filing Data'!AJ169+'Budget Filing Data'!AK169+'Budget Filing Data'!AH169)/('Budget Filing Data'!AC169),"")</f>
        <v>0</v>
      </c>
      <c r="X175" s="477">
        <f>IFERROR(('Budget Filing Data'!AL169+'Budget Filing Data'!AM169+'Budget Filing Data'!AN169+'Budget Filing Data'!AH169)/('Budget Filing Data'!AD169),"")</f>
        <v>0</v>
      </c>
      <c r="Y175" s="478">
        <f>'Budget Filing Data'!Q169</f>
        <v>0</v>
      </c>
      <c r="Z175" s="478">
        <f>'Budget Filing Data'!R169</f>
        <v>0</v>
      </c>
      <c r="AA175" s="478">
        <f>'Budget Filing Data'!S169</f>
        <v>0</v>
      </c>
      <c r="AB175" s="478">
        <f>'Budget Filing Data'!AO169</f>
        <v>0</v>
      </c>
      <c r="AC175" s="478">
        <f>'Budget Filing Data'!AP169</f>
        <v>0</v>
      </c>
      <c r="AD175" s="478">
        <f>'Budget Filing Data'!T169</f>
        <v>0</v>
      </c>
      <c r="AE175" s="478">
        <f>'Budget Filing Data'!U169</f>
        <v>0</v>
      </c>
      <c r="AF175" s="478">
        <f>'Budget Filing Data'!$V169</f>
        <v>0</v>
      </c>
      <c r="AG175" s="478">
        <f>'Budget Filing Data'!$W169</f>
        <v>0</v>
      </c>
      <c r="AH175" s="479">
        <v>0</v>
      </c>
    </row>
    <row r="176" spans="3:34" hidden="1">
      <c r="C176" s="470" t="str">
        <f>'Budget Filing Data'!D170</f>
        <v>SDGE_SW_ETP_Elec</v>
      </c>
      <c r="D176" s="470" t="str">
        <f>'Budget Filing Data'!E170</f>
        <v>SW Emerging Technologies - Electric</v>
      </c>
      <c r="E176" s="471"/>
      <c r="F176" s="471"/>
      <c r="G176" s="472" t="str">
        <f>'Budget Filing Data'!J170</f>
        <v>Third-Party Solicited</v>
      </c>
      <c r="H176" s="472" t="str">
        <f>IF('Budget Filing Data'!H170="","",'Budget Filing Data'!H170)</f>
        <v>SW_ETP_Elec - Emerging Technology Programs - Electric</v>
      </c>
      <c r="I176" s="473" t="s">
        <v>15</v>
      </c>
      <c r="J176" s="472" t="str">
        <f>'Budget Filing Data'!G170</f>
        <v>Cross Cutting</v>
      </c>
      <c r="K176" s="472" t="str">
        <f>'Budget Filing Data'!I170</f>
        <v>Emerging Technologies</v>
      </c>
      <c r="L176" s="472" t="str">
        <f>'Budget Filing Data'!L170</f>
        <v>Market Support</v>
      </c>
      <c r="M176" s="472">
        <f>'Budget Filing Data'!B170</f>
        <v>2030</v>
      </c>
      <c r="N176" s="474">
        <f t="shared" si="2"/>
        <v>1547000</v>
      </c>
      <c r="O176" s="475">
        <f>'Budget Filing Data'!AQ170</f>
        <v>0</v>
      </c>
      <c r="P176" s="475">
        <f>'Budget Filing Data'!AR170</f>
        <v>0</v>
      </c>
      <c r="Q176" s="475">
        <f>'Budget Filing Data'!AS170</f>
        <v>1547000</v>
      </c>
      <c r="R176" s="475">
        <f>'Budget Filing Data'!AT170</f>
        <v>0</v>
      </c>
      <c r="S176" s="476">
        <f>'Budget Filing Data'!X170</f>
        <v>0</v>
      </c>
      <c r="T176" s="477">
        <f>IFERROR((('Budget Filing Data'!AF170+'Budget Filing Data'!AG170+'Budget Filing Data'!AY170+'Budget Filing Data'!AH170)/'Budget Filing Data'!AA170),"")</f>
        <v>0</v>
      </c>
      <c r="U176" s="477">
        <f>IFERROR((('Budget Filing Data'!AF170+'Budget Filing Data'!AG170+'Budget Filing Data'!AY170+'Budget Filing Data'!AH170)/'Budget Filing Data'!AB170),"")</f>
        <v>0</v>
      </c>
      <c r="V176" s="477">
        <f>IFERROR((('Budget Filing Data'!AF170+'Budget Filing Data'!AG170+'Budget Filing Data'!AY170+'Budget Filing Data'!AH170+'Budget Filing Data'!AW170+'Budget Filing Data'!AX170)/('Budget Filing Data'!AE170)),"")</f>
        <v>0</v>
      </c>
      <c r="W176" s="477">
        <f>IFERROR(('Budget Filing Data'!AI170+'Budget Filing Data'!AJ170+'Budget Filing Data'!AK170+'Budget Filing Data'!AH170)/('Budget Filing Data'!AC170),"")</f>
        <v>0</v>
      </c>
      <c r="X176" s="477">
        <f>IFERROR(('Budget Filing Data'!AL170+'Budget Filing Data'!AM170+'Budget Filing Data'!AN170+'Budget Filing Data'!AH170)/('Budget Filing Data'!AD170),"")</f>
        <v>0</v>
      </c>
      <c r="Y176" s="478">
        <f>'Budget Filing Data'!Q170</f>
        <v>0</v>
      </c>
      <c r="Z176" s="478">
        <f>'Budget Filing Data'!R170</f>
        <v>0</v>
      </c>
      <c r="AA176" s="478">
        <f>'Budget Filing Data'!S170</f>
        <v>0</v>
      </c>
      <c r="AB176" s="478">
        <f>'Budget Filing Data'!AO170</f>
        <v>0</v>
      </c>
      <c r="AC176" s="478">
        <f>'Budget Filing Data'!AP170</f>
        <v>0</v>
      </c>
      <c r="AD176" s="478">
        <f>'Budget Filing Data'!T170</f>
        <v>0</v>
      </c>
      <c r="AE176" s="478">
        <f>'Budget Filing Data'!U170</f>
        <v>0</v>
      </c>
      <c r="AF176" s="478">
        <f>'Budget Filing Data'!$V170</f>
        <v>0</v>
      </c>
      <c r="AG176" s="478">
        <f>'Budget Filing Data'!$W170</f>
        <v>0</v>
      </c>
      <c r="AH176" s="479">
        <v>0</v>
      </c>
    </row>
    <row r="177" spans="3:34" hidden="1">
      <c r="C177" s="470" t="str">
        <f>'Budget Filing Data'!D171</f>
        <v>SDGE_SW_ETP_Elec_PA</v>
      </c>
      <c r="D177" s="470" t="str">
        <f>'Budget Filing Data'!E171</f>
        <v>SW Emerging Technologies - Electric (Utility)</v>
      </c>
      <c r="E177" s="471" t="s">
        <v>37</v>
      </c>
      <c r="F177" s="471" t="s">
        <v>324</v>
      </c>
      <c r="G177" s="472" t="str">
        <f>'Budget Filing Data'!J171</f>
        <v>IOU Core</v>
      </c>
      <c r="H177" s="472" t="str">
        <f>IF('Budget Filing Data'!H171="","",'Budget Filing Data'!H171)</f>
        <v>SW_ETP_Elec - Emerging Technology Programs - Electric</v>
      </c>
      <c r="I177" s="473" t="s">
        <v>15</v>
      </c>
      <c r="J177" s="472" t="str">
        <f>'Budget Filing Data'!G171</f>
        <v>Cross Cutting</v>
      </c>
      <c r="K177" s="472" t="str">
        <f>'Budget Filing Data'!I171</f>
        <v>Emerging Technologies</v>
      </c>
      <c r="L177" s="472" t="str">
        <f>'Budget Filing Data'!L171</f>
        <v>Market Support</v>
      </c>
      <c r="M177" s="472">
        <f>'Budget Filing Data'!B171</f>
        <v>2030</v>
      </c>
      <c r="N177" s="474">
        <f t="shared" si="2"/>
        <v>103983.24589999999</v>
      </c>
      <c r="O177" s="475">
        <f>'Budget Filing Data'!AQ171</f>
        <v>24645.537100000001</v>
      </c>
      <c r="P177" s="475">
        <f>'Budget Filing Data'!AR171</f>
        <v>0</v>
      </c>
      <c r="Q177" s="475">
        <f>'Budget Filing Data'!AS171</f>
        <v>79337.708799999993</v>
      </c>
      <c r="R177" s="475">
        <f>'Budget Filing Data'!AT171</f>
        <v>0</v>
      </c>
      <c r="S177" s="476">
        <f>'Budget Filing Data'!X171</f>
        <v>0</v>
      </c>
      <c r="T177" s="477">
        <f>IFERROR((('Budget Filing Data'!AF171+'Budget Filing Data'!AG171+'Budget Filing Data'!AY171+'Budget Filing Data'!AH171)/'Budget Filing Data'!AA171),"")</f>
        <v>0</v>
      </c>
      <c r="U177" s="477">
        <f>IFERROR((('Budget Filing Data'!AF171+'Budget Filing Data'!AG171+'Budget Filing Data'!AY171+'Budget Filing Data'!AH171)/'Budget Filing Data'!AB171),"")</f>
        <v>0</v>
      </c>
      <c r="V177" s="477">
        <f>IFERROR((('Budget Filing Data'!AF171+'Budget Filing Data'!AG171+'Budget Filing Data'!AY171+'Budget Filing Data'!AH171+'Budget Filing Data'!AW171+'Budget Filing Data'!AX171)/('Budget Filing Data'!AE171)),"")</f>
        <v>0</v>
      </c>
      <c r="W177" s="477">
        <f>IFERROR(('Budget Filing Data'!AI171+'Budget Filing Data'!AJ171+'Budget Filing Data'!AK171+'Budget Filing Data'!AH171)/('Budget Filing Data'!AC171),"")</f>
        <v>0</v>
      </c>
      <c r="X177" s="477">
        <f>IFERROR(('Budget Filing Data'!AL171+'Budget Filing Data'!AM171+'Budget Filing Data'!AN171+'Budget Filing Data'!AH171)/('Budget Filing Data'!AD171),"")</f>
        <v>0</v>
      </c>
      <c r="Y177" s="478">
        <f>'Budget Filing Data'!Q171</f>
        <v>0</v>
      </c>
      <c r="Z177" s="478">
        <f>'Budget Filing Data'!R171</f>
        <v>0</v>
      </c>
      <c r="AA177" s="478">
        <f>'Budget Filing Data'!S171</f>
        <v>0</v>
      </c>
      <c r="AB177" s="478">
        <f>'Budget Filing Data'!AO171</f>
        <v>0</v>
      </c>
      <c r="AC177" s="478">
        <f>'Budget Filing Data'!AP171</f>
        <v>0</v>
      </c>
      <c r="AD177" s="478">
        <f>'Budget Filing Data'!T171</f>
        <v>0</v>
      </c>
      <c r="AE177" s="478">
        <f>'Budget Filing Data'!U171</f>
        <v>0</v>
      </c>
      <c r="AF177" s="478">
        <f>'Budget Filing Data'!$V171</f>
        <v>0</v>
      </c>
      <c r="AG177" s="478">
        <f>'Budget Filing Data'!$W171</f>
        <v>0</v>
      </c>
      <c r="AH177" s="479">
        <v>0</v>
      </c>
    </row>
    <row r="178" spans="3:34" hidden="1">
      <c r="C178" s="470" t="str">
        <f>'Budget Filing Data'!D172</f>
        <v>SDGE_SW_IP_Gov</v>
      </c>
      <c r="D178" s="470" t="str">
        <f>'Budget Filing Data'!E172</f>
        <v>SW Institutional Partnerships: DGS &amp; DoC</v>
      </c>
      <c r="E178" s="471"/>
      <c r="F178" s="480"/>
      <c r="G178" s="472" t="str">
        <f>'Budget Filing Data'!J172</f>
        <v>Third-Party Solicited</v>
      </c>
      <c r="H178" s="472" t="str">
        <f>IF('Budget Filing Data'!H172="","",'Budget Filing Data'!H172)</f>
        <v>SW_IP_Gov - Institutional Partnerships - Government</v>
      </c>
      <c r="I178" s="473" t="s">
        <v>24</v>
      </c>
      <c r="J178" s="472" t="str">
        <f>'Budget Filing Data'!G172</f>
        <v>Public</v>
      </c>
      <c r="K178" s="472" t="str">
        <f>'Budget Filing Data'!I172</f>
        <v>Government Partnerships</v>
      </c>
      <c r="L178" s="472" t="str">
        <f>'Budget Filing Data'!L172</f>
        <v>Resource Acquisition</v>
      </c>
      <c r="M178" s="472">
        <f>'Budget Filing Data'!B172</f>
        <v>2030</v>
      </c>
      <c r="N178" s="474">
        <f t="shared" si="2"/>
        <v>230942.55994899999</v>
      </c>
      <c r="O178" s="475">
        <f>'Budget Filing Data'!AQ172</f>
        <v>9523.2000000000007</v>
      </c>
      <c r="P178" s="475">
        <f>'Budget Filing Data'!AR172</f>
        <v>496</v>
      </c>
      <c r="Q178" s="475">
        <f>'Budget Filing Data'!AS172</f>
        <v>60207.756600000001</v>
      </c>
      <c r="R178" s="475">
        <f>'Budget Filing Data'!AT172</f>
        <v>160715.60334899998</v>
      </c>
      <c r="S178" s="476">
        <f>'Budget Filing Data'!X172</f>
        <v>392627.83194939158</v>
      </c>
      <c r="T178" s="477">
        <f>IFERROR((('Budget Filing Data'!AF172+'Budget Filing Data'!AG172+'Budget Filing Data'!AY172+'Budget Filing Data'!AH172)/'Budget Filing Data'!AA172),"")</f>
        <v>0.60083780797759478</v>
      </c>
      <c r="U178" s="477">
        <f>IFERROR((('Budget Filing Data'!AF172+'Budget Filing Data'!AG172+'Budget Filing Data'!AY172+'Budget Filing Data'!AH172)/'Budget Filing Data'!AB172),"")</f>
        <v>1.6694534226321518</v>
      </c>
      <c r="V178" s="477">
        <f>IFERROR((('Budget Filing Data'!AF172+'Budget Filing Data'!AG172+'Budget Filing Data'!AY172+'Budget Filing Data'!AH172+'Budget Filing Data'!AW172+'Budget Filing Data'!AX172)/('Budget Filing Data'!AE172)),"")</f>
        <v>0.5635603953176479</v>
      </c>
      <c r="W178" s="477">
        <f>IFERROR(('Budget Filing Data'!AI172+'Budget Filing Data'!AJ172+'Budget Filing Data'!AK172+'Budget Filing Data'!AH172)/('Budget Filing Data'!AC172),"")</f>
        <v>0.80871510736695806</v>
      </c>
      <c r="X178" s="477">
        <f>IFERROR(('Budget Filing Data'!AL172+'Budget Filing Data'!AM172+'Budget Filing Data'!AN172+'Budget Filing Data'!AH172)/('Budget Filing Data'!AD172),"")</f>
        <v>0.80828997759280818</v>
      </c>
      <c r="Y178" s="478">
        <f>'Budget Filing Data'!Q172</f>
        <v>317273.13799514057</v>
      </c>
      <c r="Z178" s="478">
        <f>'Budget Filing Data'!R172</f>
        <v>70.027230000300264</v>
      </c>
      <c r="AA178" s="478">
        <f>'Budget Filing Data'!S172</f>
        <v>8647.1477404395773</v>
      </c>
      <c r="AB178" s="478">
        <f>'Budget Filing Data'!AO172</f>
        <v>40.165303930402601</v>
      </c>
      <c r="AC178" s="478">
        <f>'Budget Filing Data'!AP172</f>
        <v>45.916354501734148</v>
      </c>
      <c r="AD178" s="478">
        <f>'Budget Filing Data'!T172</f>
        <v>1687955.3599817138</v>
      </c>
      <c r="AE178" s="478">
        <f>'Budget Filing Data'!U172</f>
        <v>137365.66536879129</v>
      </c>
      <c r="AF178" s="478">
        <f>'Budget Filing Data'!$V172</f>
        <v>242.32098078445586</v>
      </c>
      <c r="AG178" s="478">
        <f>'Budget Filing Data'!$W172</f>
        <v>729.41168310828152</v>
      </c>
      <c r="AH178" s="479">
        <v>0</v>
      </c>
    </row>
    <row r="179" spans="3:34" hidden="1">
      <c r="C179" s="470" t="str">
        <f>'Budget Filing Data'!D173</f>
        <v>SDGE_SW_IP_Gov_PA</v>
      </c>
      <c r="D179" s="470" t="str">
        <f>'Budget Filing Data'!E173</f>
        <v>SW Institutional Partnerships: DGS &amp; DoC (Utility)</v>
      </c>
      <c r="E179" s="471"/>
      <c r="F179" s="480"/>
      <c r="G179" s="472" t="str">
        <f>'Budget Filing Data'!J173</f>
        <v>IOU Core</v>
      </c>
      <c r="H179" s="472" t="str">
        <f>IF('Budget Filing Data'!H173="","",'Budget Filing Data'!H173)</f>
        <v>SW_IP_Gov - Institutional Partnerships - Government</v>
      </c>
      <c r="I179" s="473" t="s">
        <v>24</v>
      </c>
      <c r="J179" s="472" t="str">
        <f>'Budget Filing Data'!G173</f>
        <v>Public</v>
      </c>
      <c r="K179" s="472" t="str">
        <f>'Budget Filing Data'!I173</f>
        <v>Government Partnerships</v>
      </c>
      <c r="L179" s="472" t="str">
        <f>'Budget Filing Data'!L173</f>
        <v>Resource Acquisition</v>
      </c>
      <c r="M179" s="472">
        <f>'Budget Filing Data'!B173</f>
        <v>2030</v>
      </c>
      <c r="N179" s="474">
        <f t="shared" si="2"/>
        <v>3291.1947</v>
      </c>
      <c r="O179" s="475">
        <f>'Budget Filing Data'!AQ173</f>
        <v>3291.1947</v>
      </c>
      <c r="P179" s="475">
        <f>'Budget Filing Data'!AR173</f>
        <v>0</v>
      </c>
      <c r="Q179" s="475">
        <f>'Budget Filing Data'!AS173</f>
        <v>0</v>
      </c>
      <c r="R179" s="475">
        <f>'Budget Filing Data'!AT173</f>
        <v>0</v>
      </c>
      <c r="S179" s="476">
        <f>'Budget Filing Data'!X173</f>
        <v>0</v>
      </c>
      <c r="T179" s="477">
        <f>IFERROR((('Budget Filing Data'!AF173+'Budget Filing Data'!AG173+'Budget Filing Data'!AY173+'Budget Filing Data'!AH173)/'Budget Filing Data'!AA173),"")</f>
        <v>0</v>
      </c>
      <c r="U179" s="477">
        <f>IFERROR((('Budget Filing Data'!AF173+'Budget Filing Data'!AG173+'Budget Filing Data'!AY173+'Budget Filing Data'!AH173)/'Budget Filing Data'!AB173),"")</f>
        <v>0</v>
      </c>
      <c r="V179" s="477">
        <f>IFERROR((('Budget Filing Data'!AF173+'Budget Filing Data'!AG173+'Budget Filing Data'!AY173+'Budget Filing Data'!AH173+'Budget Filing Data'!AW173+'Budget Filing Data'!AX173)/('Budget Filing Data'!AE173)),"")</f>
        <v>0</v>
      </c>
      <c r="W179" s="477">
        <f>IFERROR(('Budget Filing Data'!AI173+'Budget Filing Data'!AJ173+'Budget Filing Data'!AK173+'Budget Filing Data'!AH173)/('Budget Filing Data'!AC173),"")</f>
        <v>0</v>
      </c>
      <c r="X179" s="477">
        <f>IFERROR(('Budget Filing Data'!AL173+'Budget Filing Data'!AM173+'Budget Filing Data'!AN173+'Budget Filing Data'!AH173)/('Budget Filing Data'!AD173),"")</f>
        <v>0</v>
      </c>
      <c r="Y179" s="478">
        <f>'Budget Filing Data'!Q173</f>
        <v>0</v>
      </c>
      <c r="Z179" s="478">
        <f>'Budget Filing Data'!R173</f>
        <v>0</v>
      </c>
      <c r="AA179" s="478">
        <f>'Budget Filing Data'!S173</f>
        <v>0</v>
      </c>
      <c r="AB179" s="478">
        <f>'Budget Filing Data'!AO173</f>
        <v>0</v>
      </c>
      <c r="AC179" s="478">
        <f>'Budget Filing Data'!AP173</f>
        <v>0</v>
      </c>
      <c r="AD179" s="478">
        <f>'Budget Filing Data'!T173</f>
        <v>0</v>
      </c>
      <c r="AE179" s="478">
        <f>'Budget Filing Data'!U173</f>
        <v>0</v>
      </c>
      <c r="AF179" s="478">
        <f>'Budget Filing Data'!$V173</f>
        <v>0</v>
      </c>
      <c r="AG179" s="478">
        <f>'Budget Filing Data'!$W173</f>
        <v>0</v>
      </c>
      <c r="AH179" s="479">
        <v>0</v>
      </c>
    </row>
    <row r="180" spans="3:34" hidden="1">
      <c r="C180" s="470" t="str">
        <f>'Budget Filing Data'!D174</f>
        <v>SDGE_SW_IP_Colleges</v>
      </c>
      <c r="D180" s="470" t="str">
        <f>'Budget Filing Data'!E174</f>
        <v>SW Higher Education</v>
      </c>
      <c r="E180" s="471" t="s">
        <v>42</v>
      </c>
      <c r="F180" s="471" t="s">
        <v>323</v>
      </c>
      <c r="G180" s="472" t="str">
        <f>'Budget Filing Data'!J174</f>
        <v>Third-Party Solicited</v>
      </c>
      <c r="H180" s="472" t="str">
        <f>IF('Budget Filing Data'!H174="","",'Budget Filing Data'!H174)</f>
        <v>SW_IP_Colleges - Institutional Partnerships - Colleges</v>
      </c>
      <c r="I180" s="473" t="s">
        <v>24</v>
      </c>
      <c r="J180" s="472" t="str">
        <f>'Budget Filing Data'!G174</f>
        <v>Public</v>
      </c>
      <c r="K180" s="472" t="str">
        <f>'Budget Filing Data'!I174</f>
        <v>Government Partnerships</v>
      </c>
      <c r="L180" s="472" t="str">
        <f>'Budget Filing Data'!L174</f>
        <v>Resource Acquisition</v>
      </c>
      <c r="M180" s="472">
        <f>'Budget Filing Data'!B174</f>
        <v>2030</v>
      </c>
      <c r="N180" s="474">
        <f t="shared" si="2"/>
        <v>522456.612196</v>
      </c>
      <c r="O180" s="475">
        <f>'Budget Filing Data'!AQ174</f>
        <v>0</v>
      </c>
      <c r="P180" s="475">
        <f>'Budget Filing Data'!AR174</f>
        <v>0</v>
      </c>
      <c r="Q180" s="475">
        <f>'Budget Filing Data'!AS174</f>
        <v>334326.9117</v>
      </c>
      <c r="R180" s="475">
        <f>'Budget Filing Data'!AT174</f>
        <v>188129.700496</v>
      </c>
      <c r="S180" s="476">
        <f>'Budget Filing Data'!X174</f>
        <v>947724.24510118295</v>
      </c>
      <c r="T180" s="477">
        <f>IFERROR((('Budget Filing Data'!AF174+'Budget Filing Data'!AG174+'Budget Filing Data'!AY174+'Budget Filing Data'!AH174)/'Budget Filing Data'!AA174),"")</f>
        <v>1.2331789784013247</v>
      </c>
      <c r="U180" s="477">
        <f>IFERROR((('Budget Filing Data'!AF174+'Budget Filing Data'!AG174+'Budget Filing Data'!AY174+'Budget Filing Data'!AH174)/'Budget Filing Data'!AB174),"")</f>
        <v>1.8507969207491082</v>
      </c>
      <c r="V180" s="477">
        <f>IFERROR((('Budget Filing Data'!AF174+'Budget Filing Data'!AG174+'Budget Filing Data'!AY174+'Budget Filing Data'!AH174+'Budget Filing Data'!AW174+'Budget Filing Data'!AX174)/('Budget Filing Data'!AE174)),"")</f>
        <v>0.38120235735079311</v>
      </c>
      <c r="W180" s="477">
        <f>IFERROR(('Budget Filing Data'!AI174+'Budget Filing Data'!AJ174+'Budget Filing Data'!AK174+'Budget Filing Data'!AH174)/('Budget Filing Data'!AC174),"")</f>
        <v>1.3695636445417294</v>
      </c>
      <c r="X180" s="477">
        <f>IFERROR(('Budget Filing Data'!AL174+'Budget Filing Data'!AM174+'Budget Filing Data'!AN174+'Budget Filing Data'!AH174)/('Budget Filing Data'!AD174),"")</f>
        <v>1.3695636445417294</v>
      </c>
      <c r="Y180" s="478">
        <f>'Budget Filing Data'!Q174</f>
        <v>1035471.9402817599</v>
      </c>
      <c r="Z180" s="478">
        <f>'Budget Filing Data'!R174</f>
        <v>859.44170003618001</v>
      </c>
      <c r="AA180" s="478">
        <f>'Budget Filing Data'!S174</f>
        <v>0</v>
      </c>
      <c r="AB180" s="478">
        <f>'Budget Filing Data'!AO174</f>
        <v>154.65757126451501</v>
      </c>
      <c r="AC180" s="478">
        <f>'Budget Filing Data'!AP174</f>
        <v>0</v>
      </c>
      <c r="AD180" s="478">
        <f>'Budget Filing Data'!T174</f>
        <v>8283775.5222541802</v>
      </c>
      <c r="AE180" s="478">
        <f>'Budget Filing Data'!U174</f>
        <v>0</v>
      </c>
      <c r="AF180" s="478">
        <f>'Budget Filing Data'!$V174</f>
        <v>1312.34626465774</v>
      </c>
      <c r="AG180" s="478">
        <f>'Budget Filing Data'!$W174</f>
        <v>0</v>
      </c>
      <c r="AH180" s="479">
        <v>0</v>
      </c>
    </row>
    <row r="181" spans="3:34" ht="25.5" hidden="1">
      <c r="C181" s="470" t="str">
        <f>'Budget Filing Data'!D175</f>
        <v>SDGE_SW_IP_Colleges_PA</v>
      </c>
      <c r="D181" s="470" t="str">
        <f>'Budget Filing Data'!E175</f>
        <v>SW Higher Education (Utility)</v>
      </c>
      <c r="E181" s="471" t="s">
        <v>42</v>
      </c>
      <c r="F181" s="471" t="s">
        <v>325</v>
      </c>
      <c r="G181" s="472" t="str">
        <f>'Budget Filing Data'!J175</f>
        <v>IOU Core</v>
      </c>
      <c r="H181" s="472" t="str">
        <f>IF('Budget Filing Data'!H175="","",'Budget Filing Data'!H175)</f>
        <v>SW_IP_Colleges - Institutional Partnerships - Colleges</v>
      </c>
      <c r="I181" s="473" t="s">
        <v>24</v>
      </c>
      <c r="J181" s="472" t="str">
        <f>'Budget Filing Data'!G175</f>
        <v>Public</v>
      </c>
      <c r="K181" s="472" t="str">
        <f>'Budget Filing Data'!I175</f>
        <v>Government Partnerships</v>
      </c>
      <c r="L181" s="472" t="str">
        <f>'Budget Filing Data'!L175</f>
        <v>Resource Acquisition</v>
      </c>
      <c r="M181" s="472">
        <f>'Budget Filing Data'!B175</f>
        <v>2030</v>
      </c>
      <c r="N181" s="474">
        <f t="shared" si="2"/>
        <v>5068.8347000000003</v>
      </c>
      <c r="O181" s="475">
        <f>'Budget Filing Data'!AQ175</f>
        <v>5068.8347000000003</v>
      </c>
      <c r="P181" s="475">
        <f>'Budget Filing Data'!AR175</f>
        <v>0</v>
      </c>
      <c r="Q181" s="475">
        <f>'Budget Filing Data'!AS175</f>
        <v>0</v>
      </c>
      <c r="R181" s="475">
        <f>'Budget Filing Data'!AT175</f>
        <v>0</v>
      </c>
      <c r="S181" s="476">
        <f>'Budget Filing Data'!X175</f>
        <v>0</v>
      </c>
      <c r="T181" s="477">
        <f>IFERROR((('Budget Filing Data'!AF175+'Budget Filing Data'!AG175+'Budget Filing Data'!AY175+'Budget Filing Data'!AH175)/'Budget Filing Data'!AA175),"")</f>
        <v>0</v>
      </c>
      <c r="U181" s="477">
        <f>IFERROR((('Budget Filing Data'!AF175+'Budget Filing Data'!AG175+'Budget Filing Data'!AY175+'Budget Filing Data'!AH175)/'Budget Filing Data'!AB175),"")</f>
        <v>0</v>
      </c>
      <c r="V181" s="477">
        <f>IFERROR((('Budget Filing Data'!AF175+'Budget Filing Data'!AG175+'Budget Filing Data'!AY175+'Budget Filing Data'!AH175+'Budget Filing Data'!AW175+'Budget Filing Data'!AX175)/('Budget Filing Data'!AE175)),"")</f>
        <v>0</v>
      </c>
      <c r="W181" s="477">
        <f>IFERROR(('Budget Filing Data'!AI175+'Budget Filing Data'!AJ175+'Budget Filing Data'!AK175+'Budget Filing Data'!AH175)/('Budget Filing Data'!AC175),"")</f>
        <v>0</v>
      </c>
      <c r="X181" s="477">
        <f>IFERROR(('Budget Filing Data'!AL175+'Budget Filing Data'!AM175+'Budget Filing Data'!AN175+'Budget Filing Data'!AH175)/('Budget Filing Data'!AD175),"")</f>
        <v>0</v>
      </c>
      <c r="Y181" s="478">
        <f>'Budget Filing Data'!Q175</f>
        <v>0</v>
      </c>
      <c r="Z181" s="478">
        <f>'Budget Filing Data'!R175</f>
        <v>0</v>
      </c>
      <c r="AA181" s="478">
        <f>'Budget Filing Data'!S175</f>
        <v>0</v>
      </c>
      <c r="AB181" s="478">
        <f>'Budget Filing Data'!AO175</f>
        <v>0</v>
      </c>
      <c r="AC181" s="478">
        <f>'Budget Filing Data'!AP175</f>
        <v>0</v>
      </c>
      <c r="AD181" s="478">
        <f>'Budget Filing Data'!T175</f>
        <v>0</v>
      </c>
      <c r="AE181" s="478">
        <f>'Budget Filing Data'!U175</f>
        <v>0</v>
      </c>
      <c r="AF181" s="478">
        <f>'Budget Filing Data'!$V175</f>
        <v>0</v>
      </c>
      <c r="AG181" s="478">
        <f>'Budget Filing Data'!$W175</f>
        <v>0</v>
      </c>
      <c r="AH181" s="479">
        <v>0</v>
      </c>
    </row>
    <row r="182" spans="3:34" hidden="1">
      <c r="C182" s="470" t="str">
        <f>'Budget Filing Data'!D176</f>
        <v>SDGE_SW_MCWH</v>
      </c>
      <c r="D182" s="470" t="str">
        <f>'Budget Filing Data'!E176</f>
        <v>SW Midstream Commercial Water Heating</v>
      </c>
      <c r="E182" s="471"/>
      <c r="F182" s="480"/>
      <c r="G182" s="472" t="str">
        <f>'Budget Filing Data'!J176</f>
        <v>Third-Party Solicited</v>
      </c>
      <c r="H182" s="472" t="str">
        <f>IF('Budget Filing Data'!H176="","",'Budget Filing Data'!H176)</f>
        <v>SW_MCWH - Midstream Commercial Water Heating</v>
      </c>
      <c r="I182" s="473" t="s">
        <v>24</v>
      </c>
      <c r="J182" s="472" t="str">
        <f>'Budget Filing Data'!G176</f>
        <v>Commercial</v>
      </c>
      <c r="K182" s="472" t="str">
        <f>'Budget Filing Data'!I176</f>
        <v>Other</v>
      </c>
      <c r="L182" s="472" t="str">
        <f>'Budget Filing Data'!L176</f>
        <v>Resource Acquisition</v>
      </c>
      <c r="M182" s="472">
        <f>'Budget Filing Data'!B176</f>
        <v>2030</v>
      </c>
      <c r="N182" s="474">
        <f t="shared" si="2"/>
        <v>2427599.9999266239</v>
      </c>
      <c r="O182" s="475">
        <f>'Budget Filing Data'!AQ176</f>
        <v>284760.36629999999</v>
      </c>
      <c r="P182" s="475">
        <f>'Budget Filing Data'!AR176</f>
        <v>207222.9277</v>
      </c>
      <c r="Q182" s="475">
        <f>'Budget Filing Data'!AS176</f>
        <v>702690.96600000001</v>
      </c>
      <c r="R182" s="475">
        <f>'Budget Filing Data'!AT176</f>
        <v>1232925.7399266236</v>
      </c>
      <c r="S182" s="476">
        <f>'Budget Filing Data'!X176</f>
        <v>16051603.945387021</v>
      </c>
      <c r="T182" s="477">
        <f>IFERROR((('Budget Filing Data'!AF176+'Budget Filing Data'!AG176+'Budget Filing Data'!AY176+'Budget Filing Data'!AH176)/'Budget Filing Data'!AA176),"")</f>
        <v>4.3589830928545092</v>
      </c>
      <c r="U182" s="477">
        <f>IFERROR((('Budget Filing Data'!AF176+'Budget Filing Data'!AG176+'Budget Filing Data'!AY176+'Budget Filing Data'!AH176)/'Budget Filing Data'!AB176),"")</f>
        <v>5.1789120860287197</v>
      </c>
      <c r="V182" s="477">
        <f>IFERROR((('Budget Filing Data'!AF176+'Budget Filing Data'!AG176+'Budget Filing Data'!AY176+'Budget Filing Data'!AH176+'Budget Filing Data'!AW176+'Budget Filing Data'!AX176)/('Budget Filing Data'!AE176)),"")</f>
        <v>1.3069446089545262</v>
      </c>
      <c r="W182" s="477">
        <f>IFERROR(('Budget Filing Data'!AI176+'Budget Filing Data'!AJ176+'Budget Filing Data'!AK176+'Budget Filing Data'!AH176)/('Budget Filing Data'!AC176),"")</f>
        <v>6.4375313378911203</v>
      </c>
      <c r="X182" s="477">
        <f>IFERROR(('Budget Filing Data'!AL176+'Budget Filing Data'!AM176+'Budget Filing Data'!AN176+'Budget Filing Data'!AH176)/('Budget Filing Data'!AD176),"")</f>
        <v>6.4375313378911203</v>
      </c>
      <c r="Y182" s="478">
        <f>'Budget Filing Data'!Q176</f>
        <v>-520731.14178689878</v>
      </c>
      <c r="Z182" s="478">
        <f>'Budget Filing Data'!R176</f>
        <v>-1.4474483183296512</v>
      </c>
      <c r="AA182" s="478">
        <f>'Budget Filing Data'!S176</f>
        <v>573622.42326910736</v>
      </c>
      <c r="AB182" s="478">
        <f>'Budget Filing Data'!AO176</f>
        <v>-79.141472822715428</v>
      </c>
      <c r="AC182" s="478">
        <f>'Budget Filing Data'!AP176</f>
        <v>3045.9350675589594</v>
      </c>
      <c r="AD182" s="478">
        <f>'Budget Filing Data'!T176</f>
        <v>-8894952.6766490564</v>
      </c>
      <c r="AE182" s="478">
        <f>'Budget Filing Data'!U176</f>
        <v>10475710.522140376</v>
      </c>
      <c r="AF182" s="478">
        <f>'Budget Filing Data'!$V176</f>
        <v>-1376.7773126365087</v>
      </c>
      <c r="AG182" s="478">
        <f>'Budget Filing Data'!$W176</f>
        <v>55626.022872565358</v>
      </c>
      <c r="AH182" s="479">
        <v>0</v>
      </c>
    </row>
    <row r="183" spans="3:34" ht="25.5" hidden="1">
      <c r="C183" s="470" t="str">
        <f>'Budget Filing Data'!D177</f>
        <v>SDGE_SW_MCWH_PA</v>
      </c>
      <c r="D183" s="470" t="str">
        <f>'Budget Filing Data'!E177</f>
        <v>SW Midstream Commercial Water Heating (Utility)</v>
      </c>
      <c r="E183" s="471" t="s">
        <v>42</v>
      </c>
      <c r="F183" s="471" t="s">
        <v>325</v>
      </c>
      <c r="G183" s="472" t="str">
        <f>'Budget Filing Data'!J177</f>
        <v>IOU Core</v>
      </c>
      <c r="H183" s="472" t="str">
        <f>IF('Budget Filing Data'!H177="","",'Budget Filing Data'!H177)</f>
        <v>SW_MCWH - Midstream Commercial Water Heating</v>
      </c>
      <c r="I183" s="473" t="s">
        <v>24</v>
      </c>
      <c r="J183" s="472" t="str">
        <f>'Budget Filing Data'!G177</f>
        <v>Commercial</v>
      </c>
      <c r="K183" s="472" t="str">
        <f>'Budget Filing Data'!I177</f>
        <v>Other</v>
      </c>
      <c r="L183" s="472" t="str">
        <f>'Budget Filing Data'!L177</f>
        <v>Resource Acquisition</v>
      </c>
      <c r="M183" s="472">
        <f>'Budget Filing Data'!B177</f>
        <v>2030</v>
      </c>
      <c r="N183" s="474">
        <f t="shared" si="2"/>
        <v>16686.314699999999</v>
      </c>
      <c r="O183" s="475">
        <f>'Budget Filing Data'!AQ177</f>
        <v>16686.314699999999</v>
      </c>
      <c r="P183" s="475">
        <f>'Budget Filing Data'!AR177</f>
        <v>0</v>
      </c>
      <c r="Q183" s="475">
        <f>'Budget Filing Data'!AS177</f>
        <v>0</v>
      </c>
      <c r="R183" s="475">
        <f>'Budget Filing Data'!AT177</f>
        <v>0</v>
      </c>
      <c r="S183" s="476">
        <f>'Budget Filing Data'!X177</f>
        <v>0</v>
      </c>
      <c r="T183" s="477">
        <f>IFERROR((('Budget Filing Data'!AF177+'Budget Filing Data'!AG177+'Budget Filing Data'!AY177+'Budget Filing Data'!AH177)/'Budget Filing Data'!AA177),"")</f>
        <v>0</v>
      </c>
      <c r="U183" s="477">
        <f>IFERROR((('Budget Filing Data'!AF177+'Budget Filing Data'!AG177+'Budget Filing Data'!AY177+'Budget Filing Data'!AH177)/'Budget Filing Data'!AB177),"")</f>
        <v>0</v>
      </c>
      <c r="V183" s="477">
        <f>IFERROR((('Budget Filing Data'!AF177+'Budget Filing Data'!AG177+'Budget Filing Data'!AY177+'Budget Filing Data'!AH177+'Budget Filing Data'!AW177+'Budget Filing Data'!AX177)/('Budget Filing Data'!AE177)),"")</f>
        <v>0</v>
      </c>
      <c r="W183" s="477">
        <f>IFERROR(('Budget Filing Data'!AI177+'Budget Filing Data'!AJ177+'Budget Filing Data'!AK177+'Budget Filing Data'!AH177)/('Budget Filing Data'!AC177),"")</f>
        <v>0</v>
      </c>
      <c r="X183" s="477">
        <f>IFERROR(('Budget Filing Data'!AL177+'Budget Filing Data'!AM177+'Budget Filing Data'!AN177+'Budget Filing Data'!AH177)/('Budget Filing Data'!AD177),"")</f>
        <v>0</v>
      </c>
      <c r="Y183" s="478">
        <f>'Budget Filing Data'!Q177</f>
        <v>0</v>
      </c>
      <c r="Z183" s="478">
        <f>'Budget Filing Data'!R177</f>
        <v>0</v>
      </c>
      <c r="AA183" s="478">
        <f>'Budget Filing Data'!S177</f>
        <v>0</v>
      </c>
      <c r="AB183" s="478">
        <f>'Budget Filing Data'!AO177</f>
        <v>0</v>
      </c>
      <c r="AC183" s="478">
        <f>'Budget Filing Data'!AP177</f>
        <v>0</v>
      </c>
      <c r="AD183" s="478">
        <f>'Budget Filing Data'!T177</f>
        <v>0</v>
      </c>
      <c r="AE183" s="478">
        <f>'Budget Filing Data'!U177</f>
        <v>0</v>
      </c>
      <c r="AF183" s="478">
        <f>'Budget Filing Data'!$V177</f>
        <v>0</v>
      </c>
      <c r="AG183" s="478">
        <f>'Budget Filing Data'!$W177</f>
        <v>0</v>
      </c>
      <c r="AH183" s="479">
        <v>0</v>
      </c>
    </row>
    <row r="184" spans="3:34" hidden="1">
      <c r="C184" s="470" t="str">
        <f>'Budget Filing Data'!D178</f>
        <v>SDGE_SW_FS</v>
      </c>
      <c r="D184" s="470" t="str">
        <f>'Budget Filing Data'!E178</f>
        <v>SW Foodservice Point of Sale Program</v>
      </c>
      <c r="E184" s="471"/>
      <c r="F184" s="480"/>
      <c r="G184" s="472" t="str">
        <f>'Budget Filing Data'!J178</f>
        <v>Third-Party Solicited</v>
      </c>
      <c r="H184" s="472" t="str">
        <f>IF('Budget Filing Data'!H178="","",'Budget Filing Data'!H178)</f>
        <v>SW_FS - Food Service</v>
      </c>
      <c r="I184" s="473" t="s">
        <v>24</v>
      </c>
      <c r="J184" s="472" t="str">
        <f>'Budget Filing Data'!G178</f>
        <v>Commercial</v>
      </c>
      <c r="K184" s="472" t="str">
        <f>'Budget Filing Data'!I178</f>
        <v>Other</v>
      </c>
      <c r="L184" s="472" t="str">
        <f>'Budget Filing Data'!L178</f>
        <v>Resource Acquisition</v>
      </c>
      <c r="M184" s="472">
        <f>'Budget Filing Data'!B178</f>
        <v>2030</v>
      </c>
      <c r="N184" s="474">
        <f t="shared" si="2"/>
        <v>2196400</v>
      </c>
      <c r="O184" s="475">
        <f>'Budget Filing Data'!AQ178</f>
        <v>205286.0239</v>
      </c>
      <c r="P184" s="475">
        <f>'Budget Filing Data'!AR178</f>
        <v>160655.91450000001</v>
      </c>
      <c r="Q184" s="475">
        <f>'Budget Filing Data'!AS178</f>
        <v>916786.29559999995</v>
      </c>
      <c r="R184" s="475">
        <f>'Budget Filing Data'!AT178</f>
        <v>913671.76600000029</v>
      </c>
      <c r="S184" s="476">
        <f>'Budget Filing Data'!X178</f>
        <v>4705376.5214637537</v>
      </c>
      <c r="T184" s="477">
        <f>IFERROR((('Budget Filing Data'!AF178+'Budget Filing Data'!AG178+'Budget Filing Data'!AY178+'Budget Filing Data'!AH178)/'Budget Filing Data'!AA178),"")</f>
        <v>1.4773342717754727</v>
      </c>
      <c r="U184" s="477">
        <f>IFERROR((('Budget Filing Data'!AF178+'Budget Filing Data'!AG178+'Budget Filing Data'!AY178+'Budget Filing Data'!AH178)/'Budget Filing Data'!AB178),"")</f>
        <v>2.1859061149319383</v>
      </c>
      <c r="V184" s="477">
        <f>IFERROR((('Budget Filing Data'!AF178+'Budget Filing Data'!AG178+'Budget Filing Data'!AY178+'Budget Filing Data'!AH178+'Budget Filing Data'!AW178+'Budget Filing Data'!AX178)/('Budget Filing Data'!AE178)),"")</f>
        <v>0.52889249867035415</v>
      </c>
      <c r="W184" s="477">
        <f>IFERROR(('Budget Filing Data'!AI178+'Budget Filing Data'!AJ178+'Budget Filing Data'!AK178+'Budget Filing Data'!AH178)/('Budget Filing Data'!AC178),"")</f>
        <v>2.0150089834608007</v>
      </c>
      <c r="X184" s="477">
        <f>IFERROR(('Budget Filing Data'!AL178+'Budget Filing Data'!AM178+'Budget Filing Data'!AN178+'Budget Filing Data'!AH178)/('Budget Filing Data'!AD178),"")</f>
        <v>2.0150089834608007</v>
      </c>
      <c r="Y184" s="478">
        <f>'Budget Filing Data'!Q178</f>
        <v>1199957.1265135992</v>
      </c>
      <c r="Z184" s="478">
        <f>'Budget Filing Data'!R178</f>
        <v>142.43993965754274</v>
      </c>
      <c r="AA184" s="478">
        <f>'Budget Filing Data'!S178</f>
        <v>155457.58166399991</v>
      </c>
      <c r="AB184" s="478">
        <f>'Budget Filing Data'!AO178</f>
        <v>155.21098081541425</v>
      </c>
      <c r="AC184" s="478">
        <f>'Budget Filing Data'!AP178</f>
        <v>825.47975863583997</v>
      </c>
      <c r="AD184" s="478">
        <f>'Budget Filing Data'!T178</f>
        <v>14445914.191363188</v>
      </c>
      <c r="AE184" s="478">
        <f>'Budget Filing Data'!U178</f>
        <v>1831236.9007679999</v>
      </c>
      <c r="AF184" s="478">
        <f>'Budget Filing Data'!$V178</f>
        <v>1976.4046458534847</v>
      </c>
      <c r="AG184" s="478">
        <f>'Budget Filing Data'!$W178</f>
        <v>9723.8679430780867</v>
      </c>
      <c r="AH184" s="479">
        <v>0</v>
      </c>
    </row>
    <row r="185" spans="3:34" ht="25.5" hidden="1">
      <c r="C185" s="470" t="str">
        <f>'Budget Filing Data'!D179</f>
        <v>SDGE_SW_FS_PA</v>
      </c>
      <c r="D185" s="470" t="str">
        <f>'Budget Filing Data'!E179</f>
        <v>SW Foodservice Point of Sale Program (Utility)</v>
      </c>
      <c r="E185" s="471" t="s">
        <v>42</v>
      </c>
      <c r="F185" s="471" t="s">
        <v>325</v>
      </c>
      <c r="G185" s="472" t="str">
        <f>'Budget Filing Data'!J179</f>
        <v>IOU Core</v>
      </c>
      <c r="H185" s="472" t="str">
        <f>IF('Budget Filing Data'!H179="","",'Budget Filing Data'!H179)</f>
        <v>SW_FS - Food Service</v>
      </c>
      <c r="I185" s="473" t="s">
        <v>24</v>
      </c>
      <c r="J185" s="472" t="str">
        <f>'Budget Filing Data'!G179</f>
        <v>Commercial</v>
      </c>
      <c r="K185" s="472" t="str">
        <f>'Budget Filing Data'!I179</f>
        <v>Other</v>
      </c>
      <c r="L185" s="472" t="str">
        <f>'Budget Filing Data'!L179</f>
        <v>Resource Acquisition</v>
      </c>
      <c r="M185" s="472">
        <f>'Budget Filing Data'!B179</f>
        <v>2030</v>
      </c>
      <c r="N185" s="474">
        <f t="shared" si="2"/>
        <v>15276.4647</v>
      </c>
      <c r="O185" s="475">
        <f>'Budget Filing Data'!AQ179</f>
        <v>15276.4647</v>
      </c>
      <c r="P185" s="475">
        <f>'Budget Filing Data'!AR179</f>
        <v>0</v>
      </c>
      <c r="Q185" s="475">
        <f>'Budget Filing Data'!AS179</f>
        <v>0</v>
      </c>
      <c r="R185" s="475">
        <f>'Budget Filing Data'!AT179</f>
        <v>0</v>
      </c>
      <c r="S185" s="476">
        <f>'Budget Filing Data'!X179</f>
        <v>0</v>
      </c>
      <c r="T185" s="477">
        <f>IFERROR((('Budget Filing Data'!AF179+'Budget Filing Data'!AG179+'Budget Filing Data'!AY179+'Budget Filing Data'!AH179)/'Budget Filing Data'!AA179),"")</f>
        <v>0</v>
      </c>
      <c r="U185" s="477">
        <f>IFERROR((('Budget Filing Data'!AF179+'Budget Filing Data'!AG179+'Budget Filing Data'!AY179+'Budget Filing Data'!AH179)/'Budget Filing Data'!AB179),"")</f>
        <v>0</v>
      </c>
      <c r="V185" s="477">
        <f>IFERROR((('Budget Filing Data'!AF179+'Budget Filing Data'!AG179+'Budget Filing Data'!AY179+'Budget Filing Data'!AH179+'Budget Filing Data'!AW179+'Budget Filing Data'!AX179)/('Budget Filing Data'!AE179)),"")</f>
        <v>0</v>
      </c>
      <c r="W185" s="477">
        <f>IFERROR(('Budget Filing Data'!AI179+'Budget Filing Data'!AJ179+'Budget Filing Data'!AK179+'Budget Filing Data'!AH179)/('Budget Filing Data'!AC179),"")</f>
        <v>0</v>
      </c>
      <c r="X185" s="477">
        <f>IFERROR(('Budget Filing Data'!AL179+'Budget Filing Data'!AM179+'Budget Filing Data'!AN179+'Budget Filing Data'!AH179)/('Budget Filing Data'!AD179),"")</f>
        <v>0</v>
      </c>
      <c r="Y185" s="478">
        <f>'Budget Filing Data'!Q179</f>
        <v>0</v>
      </c>
      <c r="Z185" s="478">
        <f>'Budget Filing Data'!R179</f>
        <v>0</v>
      </c>
      <c r="AA185" s="478">
        <f>'Budget Filing Data'!S179</f>
        <v>0</v>
      </c>
      <c r="AB185" s="478">
        <f>'Budget Filing Data'!AO179</f>
        <v>0</v>
      </c>
      <c r="AC185" s="478">
        <f>'Budget Filing Data'!AP179</f>
        <v>0</v>
      </c>
      <c r="AD185" s="478">
        <f>'Budget Filing Data'!T179</f>
        <v>0</v>
      </c>
      <c r="AE185" s="478">
        <f>'Budget Filing Data'!U179</f>
        <v>0</v>
      </c>
      <c r="AF185" s="478">
        <f>'Budget Filing Data'!$V179</f>
        <v>0</v>
      </c>
      <c r="AG185" s="478">
        <f>'Budget Filing Data'!$W179</f>
        <v>0</v>
      </c>
      <c r="AH185" s="479">
        <v>0</v>
      </c>
    </row>
    <row r="186" spans="3:34" hidden="1">
      <c r="C186" s="470" t="str">
        <f>'Budget Filing Data'!D180</f>
        <v>SDGE_SW_WET_CC</v>
      </c>
      <c r="D186" s="470" t="str">
        <f>'Budget Filing Data'!E180</f>
        <v>SW WET Career Connections</v>
      </c>
      <c r="E186" s="471"/>
      <c r="F186" s="480"/>
      <c r="G186" s="472" t="str">
        <f>'Budget Filing Data'!J180</f>
        <v>Third-Party Solicited</v>
      </c>
      <c r="H186" s="472" t="str">
        <f>IF('Budget Filing Data'!H180="","",'Budget Filing Data'!H180)</f>
        <v>SW_WET_CC - Workforce Education and Training - Career Connections</v>
      </c>
      <c r="I186" s="473" t="s">
        <v>15</v>
      </c>
      <c r="J186" s="472" t="str">
        <f>'Budget Filing Data'!G180</f>
        <v>Cross Cutting</v>
      </c>
      <c r="K186" s="472" t="str">
        <f>'Budget Filing Data'!I180</f>
        <v>Workforce Education and Training</v>
      </c>
      <c r="L186" s="472" t="str">
        <f>'Budget Filing Data'!L180</f>
        <v>Market Support</v>
      </c>
      <c r="M186" s="472">
        <f>'Budget Filing Data'!B180</f>
        <v>2030</v>
      </c>
      <c r="N186" s="474">
        <f t="shared" si="2"/>
        <v>109120</v>
      </c>
      <c r="O186" s="475">
        <f>'Budget Filing Data'!AQ180</f>
        <v>1091.2</v>
      </c>
      <c r="P186" s="475">
        <f>'Budget Filing Data'!AR180</f>
        <v>7638.4</v>
      </c>
      <c r="Q186" s="475">
        <f>'Budget Filing Data'!AS180</f>
        <v>100390.39999999999</v>
      </c>
      <c r="R186" s="475">
        <f>'Budget Filing Data'!AT180</f>
        <v>0</v>
      </c>
      <c r="S186" s="476">
        <f>'Budget Filing Data'!X180</f>
        <v>0</v>
      </c>
      <c r="T186" s="477">
        <f>IFERROR((('Budget Filing Data'!AF180+'Budget Filing Data'!AG180+'Budget Filing Data'!AY180+'Budget Filing Data'!AH180)/'Budget Filing Data'!AA180),"")</f>
        <v>0</v>
      </c>
      <c r="U186" s="477">
        <f>IFERROR((('Budget Filing Data'!AF180+'Budget Filing Data'!AG180+'Budget Filing Data'!AY180+'Budget Filing Data'!AH180)/'Budget Filing Data'!AB180),"")</f>
        <v>0</v>
      </c>
      <c r="V186" s="477">
        <f>IFERROR((('Budget Filing Data'!AF180+'Budget Filing Data'!AG180+'Budget Filing Data'!AY180+'Budget Filing Data'!AH180+'Budget Filing Data'!AW180+'Budget Filing Data'!AX180)/('Budget Filing Data'!AE180)),"")</f>
        <v>0</v>
      </c>
      <c r="W186" s="477">
        <f>IFERROR(('Budget Filing Data'!AI180+'Budget Filing Data'!AJ180+'Budget Filing Data'!AK180+'Budget Filing Data'!AH180)/('Budget Filing Data'!AC180),"")</f>
        <v>0</v>
      </c>
      <c r="X186" s="477">
        <f>IFERROR(('Budget Filing Data'!AL180+'Budget Filing Data'!AM180+'Budget Filing Data'!AN180+'Budget Filing Data'!AH180)/('Budget Filing Data'!AD180),"")</f>
        <v>0</v>
      </c>
      <c r="Y186" s="478">
        <f>'Budget Filing Data'!Q180</f>
        <v>0</v>
      </c>
      <c r="Z186" s="478">
        <f>'Budget Filing Data'!R180</f>
        <v>0</v>
      </c>
      <c r="AA186" s="478">
        <f>'Budget Filing Data'!S180</f>
        <v>0</v>
      </c>
      <c r="AB186" s="478">
        <f>'Budget Filing Data'!AO180</f>
        <v>0</v>
      </c>
      <c r="AC186" s="478">
        <f>'Budget Filing Data'!AP180</f>
        <v>0</v>
      </c>
      <c r="AD186" s="478">
        <f>'Budget Filing Data'!T180</f>
        <v>0</v>
      </c>
      <c r="AE186" s="478">
        <f>'Budget Filing Data'!U180</f>
        <v>0</v>
      </c>
      <c r="AF186" s="478">
        <f>'Budget Filing Data'!$V180</f>
        <v>0</v>
      </c>
      <c r="AG186" s="478">
        <f>'Budget Filing Data'!$W180</f>
        <v>0</v>
      </c>
      <c r="AH186" s="479">
        <v>0</v>
      </c>
    </row>
    <row r="187" spans="3:34" hidden="1">
      <c r="C187" s="470" t="str">
        <f>'Budget Filing Data'!D181</f>
        <v>SDGE_SW_WET_CC_PA</v>
      </c>
      <c r="D187" s="470" t="str">
        <f>'Budget Filing Data'!E181</f>
        <v>SW WET Career Connections (Utility)</v>
      </c>
      <c r="E187" s="471"/>
      <c r="F187" s="480"/>
      <c r="G187" s="472" t="str">
        <f>'Budget Filing Data'!J181</f>
        <v>IOU Core</v>
      </c>
      <c r="H187" s="472" t="str">
        <f>IF('Budget Filing Data'!H181="","",'Budget Filing Data'!H181)</f>
        <v>SW_WET_CC - Workforce Education and Training - Career Connections</v>
      </c>
      <c r="I187" s="473" t="s">
        <v>15</v>
      </c>
      <c r="J187" s="472" t="str">
        <f>'Budget Filing Data'!G181</f>
        <v>Cross Cutting</v>
      </c>
      <c r="K187" s="472" t="str">
        <f>'Budget Filing Data'!I181</f>
        <v>Workforce Education and Training</v>
      </c>
      <c r="L187" s="472" t="str">
        <f>'Budget Filing Data'!L181</f>
        <v>Market Support</v>
      </c>
      <c r="M187" s="472">
        <f>'Budget Filing Data'!B181</f>
        <v>2030</v>
      </c>
      <c r="N187" s="474">
        <f t="shared" si="2"/>
        <v>2548.3247000000001</v>
      </c>
      <c r="O187" s="475">
        <f>'Budget Filing Data'!AQ181</f>
        <v>2548.3247000000001</v>
      </c>
      <c r="P187" s="475">
        <f>'Budget Filing Data'!AR181</f>
        <v>0</v>
      </c>
      <c r="Q187" s="475">
        <f>'Budget Filing Data'!AS181</f>
        <v>0</v>
      </c>
      <c r="R187" s="475">
        <f>'Budget Filing Data'!AT181</f>
        <v>0</v>
      </c>
      <c r="S187" s="476">
        <f>'Budget Filing Data'!X181</f>
        <v>0</v>
      </c>
      <c r="T187" s="477">
        <f>IFERROR((('Budget Filing Data'!AF181+'Budget Filing Data'!AG181+'Budget Filing Data'!AY181+'Budget Filing Data'!AH181)/'Budget Filing Data'!AA181),"")</f>
        <v>0</v>
      </c>
      <c r="U187" s="477">
        <f>IFERROR((('Budget Filing Data'!AF181+'Budget Filing Data'!AG181+'Budget Filing Data'!AY181+'Budget Filing Data'!AH181)/'Budget Filing Data'!AB181),"")</f>
        <v>0</v>
      </c>
      <c r="V187" s="477">
        <f>IFERROR((('Budget Filing Data'!AF181+'Budget Filing Data'!AG181+'Budget Filing Data'!AY181+'Budget Filing Data'!AH181+'Budget Filing Data'!AW181+'Budget Filing Data'!AX181)/('Budget Filing Data'!AE181)),"")</f>
        <v>0</v>
      </c>
      <c r="W187" s="477">
        <f>IFERROR(('Budget Filing Data'!AI181+'Budget Filing Data'!AJ181+'Budget Filing Data'!AK181+'Budget Filing Data'!AH181)/('Budget Filing Data'!AC181),"")</f>
        <v>0</v>
      </c>
      <c r="X187" s="477">
        <f>IFERROR(('Budget Filing Data'!AL181+'Budget Filing Data'!AM181+'Budget Filing Data'!AN181+'Budget Filing Data'!AH181)/('Budget Filing Data'!AD181),"")</f>
        <v>0</v>
      </c>
      <c r="Y187" s="478">
        <f>'Budget Filing Data'!Q181</f>
        <v>0</v>
      </c>
      <c r="Z187" s="478">
        <f>'Budget Filing Data'!R181</f>
        <v>0</v>
      </c>
      <c r="AA187" s="478">
        <f>'Budget Filing Data'!S181</f>
        <v>0</v>
      </c>
      <c r="AB187" s="478">
        <f>'Budget Filing Data'!AO181</f>
        <v>0</v>
      </c>
      <c r="AC187" s="478">
        <f>'Budget Filing Data'!AP181</f>
        <v>0</v>
      </c>
      <c r="AD187" s="478">
        <f>'Budget Filing Data'!T181</f>
        <v>0</v>
      </c>
      <c r="AE187" s="478">
        <f>'Budget Filing Data'!U181</f>
        <v>0</v>
      </c>
      <c r="AF187" s="478">
        <f>'Budget Filing Data'!$V181</f>
        <v>0</v>
      </c>
      <c r="AG187" s="478">
        <f>'Budget Filing Data'!$W181</f>
        <v>0</v>
      </c>
      <c r="AH187" s="479">
        <v>0</v>
      </c>
    </row>
    <row r="188" spans="3:34" hidden="1">
      <c r="C188" s="470" t="str">
        <f>'Budget Filing Data'!D182</f>
        <v>SDGE_SW_WET_Work</v>
      </c>
      <c r="D188" s="470" t="str">
        <f>'Budget Filing Data'!E182</f>
        <v>SW WE&amp;T Career &amp; Workforce Readiness (CWR)</v>
      </c>
      <c r="E188" s="471"/>
      <c r="F188" s="480"/>
      <c r="G188" s="472" t="str">
        <f>'Budget Filing Data'!J182</f>
        <v>Third-Party Solicited</v>
      </c>
      <c r="H188" s="472" t="str">
        <f>IF('Budget Filing Data'!H182="","",'Budget Filing Data'!H182)</f>
        <v>SW_WET_Work - Workforce Education and Training Career &amp; Workforce Readiness</v>
      </c>
      <c r="I188" s="473" t="s">
        <v>15</v>
      </c>
      <c r="J188" s="472" t="str">
        <f>'Budget Filing Data'!G182</f>
        <v>Cross Cutting</v>
      </c>
      <c r="K188" s="472" t="str">
        <f>'Budget Filing Data'!I182</f>
        <v>Workforce Education and Training</v>
      </c>
      <c r="L188" s="472" t="str">
        <f>'Budget Filing Data'!L182</f>
        <v>Equity</v>
      </c>
      <c r="M188" s="472">
        <f>'Budget Filing Data'!B182</f>
        <v>2030</v>
      </c>
      <c r="N188" s="474">
        <f t="shared" si="2"/>
        <v>218240</v>
      </c>
      <c r="O188" s="475">
        <f>'Budget Filing Data'!AQ182</f>
        <v>21824</v>
      </c>
      <c r="P188" s="475">
        <f>'Budget Filing Data'!AR182</f>
        <v>13094.4</v>
      </c>
      <c r="Q188" s="475">
        <f>'Budget Filing Data'!AS182</f>
        <v>183321.60000000001</v>
      </c>
      <c r="R188" s="475">
        <f>'Budget Filing Data'!AT182</f>
        <v>0</v>
      </c>
      <c r="S188" s="476">
        <f>'Budget Filing Data'!X182</f>
        <v>0</v>
      </c>
      <c r="T188" s="477">
        <f>IFERROR((('Budget Filing Data'!AF182+'Budget Filing Data'!AG182+'Budget Filing Data'!AY182+'Budget Filing Data'!AH182)/'Budget Filing Data'!AA182),"")</f>
        <v>0</v>
      </c>
      <c r="U188" s="477">
        <f>IFERROR((('Budget Filing Data'!AF182+'Budget Filing Data'!AG182+'Budget Filing Data'!AY182+'Budget Filing Data'!AH182)/'Budget Filing Data'!AB182),"")</f>
        <v>0</v>
      </c>
      <c r="V188" s="477">
        <f>IFERROR((('Budget Filing Data'!AF182+'Budget Filing Data'!AG182+'Budget Filing Data'!AY182+'Budget Filing Data'!AH182+'Budget Filing Data'!AW182+'Budget Filing Data'!AX182)/('Budget Filing Data'!AE182)),"")</f>
        <v>0</v>
      </c>
      <c r="W188" s="477">
        <f>IFERROR(('Budget Filing Data'!AI182+'Budget Filing Data'!AJ182+'Budget Filing Data'!AK182+'Budget Filing Data'!AH182)/('Budget Filing Data'!AC182),"")</f>
        <v>0</v>
      </c>
      <c r="X188" s="477">
        <f>IFERROR(('Budget Filing Data'!AL182+'Budget Filing Data'!AM182+'Budget Filing Data'!AN182+'Budget Filing Data'!AH182)/('Budget Filing Data'!AD182),"")</f>
        <v>0</v>
      </c>
      <c r="Y188" s="478">
        <f>'Budget Filing Data'!Q182</f>
        <v>0</v>
      </c>
      <c r="Z188" s="478">
        <f>'Budget Filing Data'!R182</f>
        <v>0</v>
      </c>
      <c r="AA188" s="478">
        <f>'Budget Filing Data'!S182</f>
        <v>0</v>
      </c>
      <c r="AB188" s="478">
        <f>'Budget Filing Data'!AO182</f>
        <v>0</v>
      </c>
      <c r="AC188" s="478">
        <f>'Budget Filing Data'!AP182</f>
        <v>0</v>
      </c>
      <c r="AD188" s="478">
        <f>'Budget Filing Data'!T182</f>
        <v>0</v>
      </c>
      <c r="AE188" s="478">
        <f>'Budget Filing Data'!U182</f>
        <v>0</v>
      </c>
      <c r="AF188" s="478">
        <f>'Budget Filing Data'!$V182</f>
        <v>0</v>
      </c>
      <c r="AG188" s="478">
        <f>'Budget Filing Data'!$W182</f>
        <v>0</v>
      </c>
      <c r="AH188" s="479">
        <v>0</v>
      </c>
    </row>
    <row r="189" spans="3:34" hidden="1">
      <c r="C189" s="470" t="str">
        <f>'Budget Filing Data'!D183</f>
        <v>SDGE_SW_WET_Work_PA</v>
      </c>
      <c r="D189" s="470" t="str">
        <f>'Budget Filing Data'!E183</f>
        <v>SW WE&amp;T Career &amp; Workforce Readiness (CWR) (Utility)</v>
      </c>
      <c r="E189" s="471"/>
      <c r="F189" s="480"/>
      <c r="G189" s="472" t="str">
        <f>'Budget Filing Data'!J183</f>
        <v>IOU Core</v>
      </c>
      <c r="H189" s="472" t="str">
        <f>IF('Budget Filing Data'!H183="","",'Budget Filing Data'!H183)</f>
        <v>SW_WET_Work - Workforce Education and Training Career &amp; Workforce Readiness</v>
      </c>
      <c r="I189" s="473" t="s">
        <v>15</v>
      </c>
      <c r="J189" s="472" t="str">
        <f>'Budget Filing Data'!G183</f>
        <v>Cross Cutting</v>
      </c>
      <c r="K189" s="472" t="str">
        <f>'Budget Filing Data'!I183</f>
        <v>Workforce Education and Training</v>
      </c>
      <c r="L189" s="472" t="str">
        <f>'Budget Filing Data'!L183</f>
        <v>Equity</v>
      </c>
      <c r="M189" s="472">
        <f>'Budget Filing Data'!B183</f>
        <v>2030</v>
      </c>
      <c r="N189" s="474">
        <f t="shared" si="2"/>
        <v>3213.7347</v>
      </c>
      <c r="O189" s="475">
        <f>'Budget Filing Data'!AQ183</f>
        <v>3213.7347</v>
      </c>
      <c r="P189" s="475">
        <f>'Budget Filing Data'!AR183</f>
        <v>0</v>
      </c>
      <c r="Q189" s="475">
        <f>'Budget Filing Data'!AS183</f>
        <v>0</v>
      </c>
      <c r="R189" s="475">
        <f>'Budget Filing Data'!AT183</f>
        <v>0</v>
      </c>
      <c r="S189" s="476">
        <f>'Budget Filing Data'!X183</f>
        <v>0</v>
      </c>
      <c r="T189" s="477">
        <f>IFERROR((('Budget Filing Data'!AF183+'Budget Filing Data'!AG183+'Budget Filing Data'!AY183+'Budget Filing Data'!AH183)/'Budget Filing Data'!AA183),"")</f>
        <v>0</v>
      </c>
      <c r="U189" s="477">
        <f>IFERROR((('Budget Filing Data'!AF183+'Budget Filing Data'!AG183+'Budget Filing Data'!AY183+'Budget Filing Data'!AH183)/'Budget Filing Data'!AB183),"")</f>
        <v>0</v>
      </c>
      <c r="V189" s="477">
        <f>IFERROR((('Budget Filing Data'!AF183+'Budget Filing Data'!AG183+'Budget Filing Data'!AY183+'Budget Filing Data'!AH183+'Budget Filing Data'!AW183+'Budget Filing Data'!AX183)/('Budget Filing Data'!AE183)),"")</f>
        <v>0</v>
      </c>
      <c r="W189" s="477">
        <f>IFERROR(('Budget Filing Data'!AI183+'Budget Filing Data'!AJ183+'Budget Filing Data'!AK183+'Budget Filing Data'!AH183)/('Budget Filing Data'!AC183),"")</f>
        <v>0</v>
      </c>
      <c r="X189" s="477">
        <f>IFERROR(('Budget Filing Data'!AL183+'Budget Filing Data'!AM183+'Budget Filing Data'!AN183+'Budget Filing Data'!AH183)/('Budget Filing Data'!AD183),"")</f>
        <v>0</v>
      </c>
      <c r="Y189" s="478">
        <f>'Budget Filing Data'!Q183</f>
        <v>0</v>
      </c>
      <c r="Z189" s="478">
        <f>'Budget Filing Data'!R183</f>
        <v>0</v>
      </c>
      <c r="AA189" s="478">
        <f>'Budget Filing Data'!S183</f>
        <v>0</v>
      </c>
      <c r="AB189" s="478">
        <f>'Budget Filing Data'!AO183</f>
        <v>0</v>
      </c>
      <c r="AC189" s="478">
        <f>'Budget Filing Data'!AP183</f>
        <v>0</v>
      </c>
      <c r="AD189" s="478">
        <f>'Budget Filing Data'!T183</f>
        <v>0</v>
      </c>
      <c r="AE189" s="478">
        <f>'Budget Filing Data'!U183</f>
        <v>0</v>
      </c>
      <c r="AF189" s="478">
        <f>'Budget Filing Data'!$V183</f>
        <v>0</v>
      </c>
      <c r="AG189" s="478">
        <f>'Budget Filing Data'!$W183</f>
        <v>0</v>
      </c>
      <c r="AH189" s="479">
        <v>0</v>
      </c>
    </row>
    <row r="190" spans="3:34">
      <c r="C190" s="470" t="str">
        <f>'Budget Filing Data'!D184</f>
        <v>SDGE_SW_HVAC_QIQM</v>
      </c>
      <c r="D190" s="470" t="str">
        <f>'Budget Filing Data'!E184</f>
        <v>SW HVAC QI/QM Program</v>
      </c>
      <c r="E190" s="471"/>
      <c r="F190" s="480"/>
      <c r="G190" s="472" t="str">
        <f>'Budget Filing Data'!J184</f>
        <v>Third-Party Solicited</v>
      </c>
      <c r="H190" s="472" t="str">
        <f>IF('Budget Filing Data'!H184="","",'Budget Filing Data'!H184)</f>
        <v>SW_HVAC_QIQM - SW HVAC QI/QM Program</v>
      </c>
      <c r="I190" s="473" t="s">
        <v>15</v>
      </c>
      <c r="J190" s="472" t="str">
        <f>'Budget Filing Data'!G184</f>
        <v>Residential</v>
      </c>
      <c r="K190" s="472" t="str">
        <f>'Budget Filing Data'!I184</f>
        <v>Other</v>
      </c>
      <c r="L190" s="472" t="str">
        <f>'Budget Filing Data'!L184</f>
        <v>Market Support</v>
      </c>
      <c r="M190" s="472">
        <f>'Budget Filing Data'!B184</f>
        <v>2030</v>
      </c>
      <c r="N190" s="474">
        <f t="shared" si="2"/>
        <v>684480</v>
      </c>
      <c r="O190" s="475">
        <f>'Budget Filing Data'!AQ184</f>
        <v>34224</v>
      </c>
      <c r="P190" s="475">
        <f>'Budget Filing Data'!AR184</f>
        <v>34224</v>
      </c>
      <c r="Q190" s="475">
        <f>'Budget Filing Data'!AS184</f>
        <v>174964</v>
      </c>
      <c r="R190" s="475">
        <f>'Budget Filing Data'!AT184</f>
        <v>441068</v>
      </c>
      <c r="S190" s="476">
        <f>'Budget Filing Data'!X184</f>
        <v>0</v>
      </c>
      <c r="T190" s="477">
        <f>IFERROR((('Budget Filing Data'!AF184+'Budget Filing Data'!AG184+'Budget Filing Data'!AY184+'Budget Filing Data'!AH184)/'Budget Filing Data'!AA184),"")</f>
        <v>0</v>
      </c>
      <c r="U190" s="477">
        <f>IFERROR((('Budget Filing Data'!AF184+'Budget Filing Data'!AG184+'Budget Filing Data'!AY184+'Budget Filing Data'!AH184)/'Budget Filing Data'!AB184),"")</f>
        <v>0</v>
      </c>
      <c r="V190" s="477">
        <f>IFERROR((('Budget Filing Data'!AF184+'Budget Filing Data'!AG184+'Budget Filing Data'!AY184+'Budget Filing Data'!AH184+'Budget Filing Data'!AW184+'Budget Filing Data'!AX184)/('Budget Filing Data'!AE184)),"")</f>
        <v>0</v>
      </c>
      <c r="W190" s="477">
        <f>IFERROR(('Budget Filing Data'!AI184+'Budget Filing Data'!AJ184+'Budget Filing Data'!AK184+'Budget Filing Data'!AH184)/('Budget Filing Data'!AC184),"")</f>
        <v>0</v>
      </c>
      <c r="X190" s="477">
        <f>IFERROR(('Budget Filing Data'!AL184+'Budget Filing Data'!AM184+'Budget Filing Data'!AN184+'Budget Filing Data'!AH184)/('Budget Filing Data'!AD184),"")</f>
        <v>0</v>
      </c>
      <c r="Y190" s="478">
        <f>'Budget Filing Data'!Q184</f>
        <v>0</v>
      </c>
      <c r="Z190" s="478">
        <f>'Budget Filing Data'!R184</f>
        <v>0</v>
      </c>
      <c r="AA190" s="478">
        <f>'Budget Filing Data'!S184</f>
        <v>0</v>
      </c>
      <c r="AB190" s="478">
        <f>'Budget Filing Data'!AO184</f>
        <v>0</v>
      </c>
      <c r="AC190" s="478">
        <f>'Budget Filing Data'!AP184</f>
        <v>0</v>
      </c>
      <c r="AD190" s="478">
        <f>'Budget Filing Data'!T184</f>
        <v>0</v>
      </c>
      <c r="AE190" s="478">
        <f>'Budget Filing Data'!U184</f>
        <v>0</v>
      </c>
      <c r="AF190" s="478">
        <f>'Budget Filing Data'!$V184</f>
        <v>0</v>
      </c>
      <c r="AG190" s="478">
        <f>'Budget Filing Data'!$W184</f>
        <v>0</v>
      </c>
      <c r="AH190" s="479">
        <v>0</v>
      </c>
    </row>
    <row r="191" spans="3:34">
      <c r="C191" s="470" t="str">
        <f>'Budget Filing Data'!D185</f>
        <v>SDGE_SW_HVAC_QIQM_PA</v>
      </c>
      <c r="D191" s="470" t="str">
        <f>'Budget Filing Data'!E185</f>
        <v>SW HVAC QI/QM Program (Utility)</v>
      </c>
      <c r="E191" s="471"/>
      <c r="F191" s="480"/>
      <c r="G191" s="472" t="str">
        <f>'Budget Filing Data'!J185</f>
        <v>IOU Core</v>
      </c>
      <c r="H191" s="472" t="str">
        <f>IF('Budget Filing Data'!H185="","",'Budget Filing Data'!H185)</f>
        <v>SW_HVAC_QIQM - SW HVAC QI/QM Program</v>
      </c>
      <c r="I191" s="473" t="s">
        <v>15</v>
      </c>
      <c r="J191" s="472" t="str">
        <f>'Budget Filing Data'!G185</f>
        <v>Residential</v>
      </c>
      <c r="K191" s="472" t="str">
        <f>'Budget Filing Data'!I185</f>
        <v>Other</v>
      </c>
      <c r="L191" s="472" t="str">
        <f>'Budget Filing Data'!L185</f>
        <v>Market Support</v>
      </c>
      <c r="M191" s="472">
        <f>'Budget Filing Data'!B185</f>
        <v>2030</v>
      </c>
      <c r="N191" s="474">
        <f t="shared" si="2"/>
        <v>319573.75040000002</v>
      </c>
      <c r="O191" s="475">
        <f>'Budget Filing Data'!AQ185</f>
        <v>260854.87330000001</v>
      </c>
      <c r="P191" s="475">
        <f>'Budget Filing Data'!AR185</f>
        <v>773.11030000000005</v>
      </c>
      <c r="Q191" s="475">
        <f>'Budget Filing Data'!AS185</f>
        <v>57945.766799999998</v>
      </c>
      <c r="R191" s="475">
        <f>'Budget Filing Data'!AT185</f>
        <v>0</v>
      </c>
      <c r="S191" s="476">
        <f>'Budget Filing Data'!X185</f>
        <v>0</v>
      </c>
      <c r="T191" s="477">
        <f>IFERROR((('Budget Filing Data'!AF185+'Budget Filing Data'!AG185+'Budget Filing Data'!AY185+'Budget Filing Data'!AH185)/'Budget Filing Data'!AA185),"")</f>
        <v>0</v>
      </c>
      <c r="U191" s="477">
        <f>IFERROR((('Budget Filing Data'!AF185+'Budget Filing Data'!AG185+'Budget Filing Data'!AY185+'Budget Filing Data'!AH185)/'Budget Filing Data'!AB185),"")</f>
        <v>0</v>
      </c>
      <c r="V191" s="477">
        <f>IFERROR((('Budget Filing Data'!AF185+'Budget Filing Data'!AG185+'Budget Filing Data'!AY185+'Budget Filing Data'!AH185+'Budget Filing Data'!AW185+'Budget Filing Data'!AX185)/('Budget Filing Data'!AE185)),"")</f>
        <v>0</v>
      </c>
      <c r="W191" s="477">
        <f>IFERROR(('Budget Filing Data'!AI185+'Budget Filing Data'!AJ185+'Budget Filing Data'!AK185+'Budget Filing Data'!AH185)/('Budget Filing Data'!AC185),"")</f>
        <v>0</v>
      </c>
      <c r="X191" s="477">
        <f>IFERROR(('Budget Filing Data'!AL185+'Budget Filing Data'!AM185+'Budget Filing Data'!AN185+'Budget Filing Data'!AH185)/('Budget Filing Data'!AD185),"")</f>
        <v>0</v>
      </c>
      <c r="Y191" s="478">
        <f>'Budget Filing Data'!Q185</f>
        <v>0</v>
      </c>
      <c r="Z191" s="478">
        <f>'Budget Filing Data'!R185</f>
        <v>0</v>
      </c>
      <c r="AA191" s="478">
        <f>'Budget Filing Data'!S185</f>
        <v>0</v>
      </c>
      <c r="AB191" s="478">
        <f>'Budget Filing Data'!AO185</f>
        <v>0</v>
      </c>
      <c r="AC191" s="478">
        <f>'Budget Filing Data'!AP185</f>
        <v>0</v>
      </c>
      <c r="AD191" s="478">
        <f>'Budget Filing Data'!T185</f>
        <v>0</v>
      </c>
      <c r="AE191" s="478">
        <f>'Budget Filing Data'!U185</f>
        <v>0</v>
      </c>
      <c r="AF191" s="478">
        <f>'Budget Filing Data'!$V185</f>
        <v>0</v>
      </c>
      <c r="AG191" s="478">
        <f>'Budget Filing Data'!$W185</f>
        <v>0</v>
      </c>
      <c r="AH191" s="479">
        <v>0</v>
      </c>
    </row>
    <row r="192" spans="3:34" hidden="1">
      <c r="C192" s="470" t="str">
        <f>'Budget Filing Data'!D186</f>
        <v>SDGE_SW_ETP_Gas</v>
      </c>
      <c r="D192" s="470" t="str">
        <f>'Budget Filing Data'!E186</f>
        <v>SW Emerging Technologies - Gas</v>
      </c>
      <c r="E192" s="471"/>
      <c r="F192" s="471"/>
      <c r="G192" s="472" t="str">
        <f>'Budget Filing Data'!J186</f>
        <v>Third-Party Solicited</v>
      </c>
      <c r="H192" s="472" t="str">
        <f>IF('Budget Filing Data'!H186="","",'Budget Filing Data'!H186)</f>
        <v>SW_ETP_Gas - Emerging Technology Programs - Gas</v>
      </c>
      <c r="I192" s="473" t="s">
        <v>15</v>
      </c>
      <c r="J192" s="472" t="str">
        <f>'Budget Filing Data'!G186</f>
        <v>Cross Cutting</v>
      </c>
      <c r="K192" s="472" t="str">
        <f>'Budget Filing Data'!I186</f>
        <v>Emerging Technologies</v>
      </c>
      <c r="L192" s="472" t="str">
        <f>'Budget Filing Data'!L186</f>
        <v>Market Support</v>
      </c>
      <c r="M192" s="472">
        <f>'Budget Filing Data'!B186</f>
        <v>2030</v>
      </c>
      <c r="N192" s="474">
        <f t="shared" si="2"/>
        <v>495000</v>
      </c>
      <c r="O192" s="475">
        <f>'Budget Filing Data'!AQ186</f>
        <v>6600</v>
      </c>
      <c r="P192" s="475">
        <f>'Budget Filing Data'!AR186</f>
        <v>1914</v>
      </c>
      <c r="Q192" s="475">
        <f>'Budget Filing Data'!AS186</f>
        <v>486486</v>
      </c>
      <c r="R192" s="475">
        <f>'Budget Filing Data'!AT186</f>
        <v>0</v>
      </c>
      <c r="S192" s="476">
        <f>'Budget Filing Data'!X186</f>
        <v>0</v>
      </c>
      <c r="T192" s="477">
        <f>IFERROR((('Budget Filing Data'!AF186+'Budget Filing Data'!AG186+'Budget Filing Data'!AY186+'Budget Filing Data'!AH186)/'Budget Filing Data'!AA186),"")</f>
        <v>0</v>
      </c>
      <c r="U192" s="477">
        <f>IFERROR((('Budget Filing Data'!AF186+'Budget Filing Data'!AG186+'Budget Filing Data'!AY186+'Budget Filing Data'!AH186)/'Budget Filing Data'!AB186),"")</f>
        <v>0</v>
      </c>
      <c r="V192" s="477">
        <f>IFERROR((('Budget Filing Data'!AF186+'Budget Filing Data'!AG186+'Budget Filing Data'!AY186+'Budget Filing Data'!AH186+'Budget Filing Data'!AW186+'Budget Filing Data'!AX186)/('Budget Filing Data'!AE186)),"")</f>
        <v>0</v>
      </c>
      <c r="W192" s="477">
        <f>IFERROR(('Budget Filing Data'!AI186+'Budget Filing Data'!AJ186+'Budget Filing Data'!AK186+'Budget Filing Data'!AH186)/('Budget Filing Data'!AC186),"")</f>
        <v>0</v>
      </c>
      <c r="X192" s="477">
        <f>IFERROR(('Budget Filing Data'!AL186+'Budget Filing Data'!AM186+'Budget Filing Data'!AN186+'Budget Filing Data'!AH186)/('Budget Filing Data'!AD186),"")</f>
        <v>0</v>
      </c>
      <c r="Y192" s="478">
        <f>'Budget Filing Data'!Q186</f>
        <v>0</v>
      </c>
      <c r="Z192" s="478">
        <f>'Budget Filing Data'!R186</f>
        <v>0</v>
      </c>
      <c r="AA192" s="478">
        <f>'Budget Filing Data'!S186</f>
        <v>0</v>
      </c>
      <c r="AB192" s="478">
        <f>'Budget Filing Data'!AO186</f>
        <v>0</v>
      </c>
      <c r="AC192" s="478">
        <f>'Budget Filing Data'!AP186</f>
        <v>0</v>
      </c>
      <c r="AD192" s="478">
        <f>'Budget Filing Data'!T186</f>
        <v>0</v>
      </c>
      <c r="AE192" s="478">
        <f>'Budget Filing Data'!U186</f>
        <v>0</v>
      </c>
      <c r="AF192" s="478">
        <f>'Budget Filing Data'!$V186</f>
        <v>0</v>
      </c>
      <c r="AG192" s="478">
        <f>'Budget Filing Data'!$W186</f>
        <v>0</v>
      </c>
      <c r="AH192" s="479">
        <v>0</v>
      </c>
    </row>
    <row r="193" spans="3:34" hidden="1">
      <c r="C193" s="470" t="str">
        <f>'Budget Filing Data'!D187</f>
        <v>SDGE_SW_ETP_Gas_PA</v>
      </c>
      <c r="D193" s="470" t="str">
        <f>'Budget Filing Data'!E187</f>
        <v>SW Emerging Technologies - Gas (Utility)</v>
      </c>
      <c r="E193" s="471" t="s">
        <v>37</v>
      </c>
      <c r="F193" s="471" t="s">
        <v>324</v>
      </c>
      <c r="G193" s="472" t="str">
        <f>'Budget Filing Data'!J187</f>
        <v>IOU Core</v>
      </c>
      <c r="H193" s="472" t="str">
        <f>IF('Budget Filing Data'!H187="","",'Budget Filing Data'!H187)</f>
        <v>SW_ETP_Gas - Emerging Technology Programs - Gas</v>
      </c>
      <c r="I193" s="473" t="s">
        <v>15</v>
      </c>
      <c r="J193" s="472" t="str">
        <f>'Budget Filing Data'!G187</f>
        <v>Cross Cutting</v>
      </c>
      <c r="K193" s="472" t="str">
        <f>'Budget Filing Data'!I187</f>
        <v>Emerging Technologies</v>
      </c>
      <c r="L193" s="472" t="str">
        <f>'Budget Filing Data'!L187</f>
        <v>Market Support</v>
      </c>
      <c r="M193" s="472">
        <f>'Budget Filing Data'!B187</f>
        <v>2030</v>
      </c>
      <c r="N193" s="474">
        <f t="shared" si="2"/>
        <v>13272.9576</v>
      </c>
      <c r="O193" s="475">
        <f>'Budget Filing Data'!AQ187</f>
        <v>6404.7359999999999</v>
      </c>
      <c r="P193" s="475">
        <f>'Budget Filing Data'!AR187</f>
        <v>0</v>
      </c>
      <c r="Q193" s="475">
        <f>'Budget Filing Data'!AS187</f>
        <v>6868.2215999999999</v>
      </c>
      <c r="R193" s="475">
        <f>'Budget Filing Data'!AT187</f>
        <v>0</v>
      </c>
      <c r="S193" s="476">
        <f>'Budget Filing Data'!X187</f>
        <v>0</v>
      </c>
      <c r="T193" s="477">
        <f>IFERROR((('Budget Filing Data'!AF187+'Budget Filing Data'!AG187+'Budget Filing Data'!AY187+'Budget Filing Data'!AH187)/'Budget Filing Data'!AA187),"")</f>
        <v>0</v>
      </c>
      <c r="U193" s="477">
        <f>IFERROR((('Budget Filing Data'!AF187+'Budget Filing Data'!AG187+'Budget Filing Data'!AY187+'Budget Filing Data'!AH187)/'Budget Filing Data'!AB187),"")</f>
        <v>0</v>
      </c>
      <c r="V193" s="477">
        <f>IFERROR((('Budget Filing Data'!AF187+'Budget Filing Data'!AG187+'Budget Filing Data'!AY187+'Budget Filing Data'!AH187+'Budget Filing Data'!AW187+'Budget Filing Data'!AX187)/('Budget Filing Data'!AE187)),"")</f>
        <v>0</v>
      </c>
      <c r="W193" s="477">
        <f>IFERROR(('Budget Filing Data'!AI187+'Budget Filing Data'!AJ187+'Budget Filing Data'!AK187+'Budget Filing Data'!AH187)/('Budget Filing Data'!AC187),"")</f>
        <v>0</v>
      </c>
      <c r="X193" s="477">
        <f>IFERROR(('Budget Filing Data'!AL187+'Budget Filing Data'!AM187+'Budget Filing Data'!AN187+'Budget Filing Data'!AH187)/('Budget Filing Data'!AD187),"")</f>
        <v>0</v>
      </c>
      <c r="Y193" s="478">
        <f>'Budget Filing Data'!Q187</f>
        <v>0</v>
      </c>
      <c r="Z193" s="478">
        <f>'Budget Filing Data'!R187</f>
        <v>0</v>
      </c>
      <c r="AA193" s="478">
        <f>'Budget Filing Data'!S187</f>
        <v>0</v>
      </c>
      <c r="AB193" s="478">
        <f>'Budget Filing Data'!AO187</f>
        <v>0</v>
      </c>
      <c r="AC193" s="478">
        <f>'Budget Filing Data'!AP187</f>
        <v>0</v>
      </c>
      <c r="AD193" s="478">
        <f>'Budget Filing Data'!T187</f>
        <v>0</v>
      </c>
      <c r="AE193" s="478">
        <f>'Budget Filing Data'!U187</f>
        <v>0</v>
      </c>
      <c r="AF193" s="478">
        <f>'Budget Filing Data'!$V187</f>
        <v>0</v>
      </c>
      <c r="AG193" s="478">
        <f>'Budget Filing Data'!$W187</f>
        <v>0</v>
      </c>
      <c r="AH193" s="479">
        <v>0</v>
      </c>
    </row>
    <row r="194" spans="3:34" hidden="1">
      <c r="C194" s="470" t="str">
        <f>'Budget Filing Data'!D188</f>
        <v>SDGE_SW_NC_NonRes_Ag_electric</v>
      </c>
      <c r="D194" s="470" t="str">
        <f>'Budget Filing Data'!E188</f>
        <v>SW New Construction Non Residential - Agricultural - All Electric</v>
      </c>
      <c r="E194" s="471"/>
      <c r="F194" s="480"/>
      <c r="G194" s="472" t="str">
        <f>'Budget Filing Data'!J188</f>
        <v>Third-Party Solicited</v>
      </c>
      <c r="H194" s="472" t="str">
        <f>IF('Budget Filing Data'!H188="","",'Budget Filing Data'!H188)</f>
        <v>SW_NC_NonRes_Ag_electric - New Construction - NonResidential - All Electric</v>
      </c>
      <c r="I194" s="473" t="s">
        <v>24</v>
      </c>
      <c r="J194" s="472" t="str">
        <f>'Budget Filing Data'!G188</f>
        <v>Agricultural</v>
      </c>
      <c r="K194" s="472" t="str">
        <f>'Budget Filing Data'!I188</f>
        <v>New Construction</v>
      </c>
      <c r="L194" s="472" t="str">
        <f>'Budget Filing Data'!L188</f>
        <v>Market Support</v>
      </c>
      <c r="M194" s="472">
        <f>'Budget Filing Data'!B188</f>
        <v>2030</v>
      </c>
      <c r="N194" s="474">
        <f t="shared" si="2"/>
        <v>13367.098456</v>
      </c>
      <c r="O194" s="475">
        <f>'Budget Filing Data'!AQ188</f>
        <v>1152.3155999999999</v>
      </c>
      <c r="P194" s="475">
        <f>'Budget Filing Data'!AR188</f>
        <v>864.23670000000004</v>
      </c>
      <c r="Q194" s="475">
        <f>'Budget Filing Data'!AS188</f>
        <v>3745.0259000000001</v>
      </c>
      <c r="R194" s="475">
        <f>'Budget Filing Data'!AT188</f>
        <v>7605.5202560000007</v>
      </c>
      <c r="S194" s="476">
        <f>'Budget Filing Data'!X188</f>
        <v>2923.141756843766</v>
      </c>
      <c r="T194" s="477">
        <f>IFERROR((('Budget Filing Data'!AF188+'Budget Filing Data'!AG188+'Budget Filing Data'!AY188+'Budget Filing Data'!AH188)/'Budget Filing Data'!AA188),"")</f>
        <v>0.26325844188859704</v>
      </c>
      <c r="U194" s="477">
        <f>IFERROR((('Budget Filing Data'!AF188+'Budget Filing Data'!AG188+'Budget Filing Data'!AY188+'Budget Filing Data'!AH188)/'Budget Filing Data'!AB188),"")</f>
        <v>0.22506340879509523</v>
      </c>
      <c r="V194" s="477">
        <f>IFERROR((('Budget Filing Data'!AF188+'Budget Filing Data'!AG188+'Budget Filing Data'!AY188+'Budget Filing Data'!AH188+'Budget Filing Data'!AW188+'Budget Filing Data'!AX188)/('Budget Filing Data'!AE188)),"")</f>
        <v>0.1502048173220257</v>
      </c>
      <c r="W194" s="477">
        <f>IFERROR(('Budget Filing Data'!AI188+'Budget Filing Data'!AJ188+'Budget Filing Data'!AK188+'Budget Filing Data'!AH188)/('Budget Filing Data'!AC188),"")</f>
        <v>0.27998048192882707</v>
      </c>
      <c r="X194" s="477">
        <f>IFERROR(('Budget Filing Data'!AL188+'Budget Filing Data'!AM188+'Budget Filing Data'!AN188+'Budget Filing Data'!AH188)/('Budget Filing Data'!AD188),"")</f>
        <v>0.27998048192882707</v>
      </c>
      <c r="Y194" s="478">
        <f>'Budget Filing Data'!Q188</f>
        <v>1732.6399999999981</v>
      </c>
      <c r="Z194" s="478">
        <f>'Budget Filing Data'!R188</f>
        <v>7.4547199999999994E-2</v>
      </c>
      <c r="AA194" s="478">
        <f>'Budget Filing Data'!S188</f>
        <v>0</v>
      </c>
      <c r="AB194" s="478">
        <f>'Budget Filing Data'!AO188</f>
        <v>0.30977922539199898</v>
      </c>
      <c r="AC194" s="478">
        <f>'Budget Filing Data'!AP188</f>
        <v>0</v>
      </c>
      <c r="AD194" s="478">
        <f>'Budget Filing Data'!T188</f>
        <v>17326.39999999998</v>
      </c>
      <c r="AE194" s="478">
        <f>'Budget Filing Data'!U188</f>
        <v>0</v>
      </c>
      <c r="AF194" s="478">
        <f>'Budget Filing Data'!$V188</f>
        <v>3.30891339833599</v>
      </c>
      <c r="AG194" s="478">
        <f>'Budget Filing Data'!$W188</f>
        <v>0</v>
      </c>
      <c r="AH194" s="479">
        <v>0</v>
      </c>
    </row>
    <row r="195" spans="3:34" hidden="1">
      <c r="C195" s="470" t="str">
        <f>'Budget Filing Data'!D189</f>
        <v>SDGE_SW_NC_NonRes_Ag_electric_PA</v>
      </c>
      <c r="D195" s="470" t="str">
        <f>'Budget Filing Data'!E189</f>
        <v>SW New Construction Non Residential - Agricultural - All Electric (Utility)</v>
      </c>
      <c r="E195" s="471"/>
      <c r="F195" s="480"/>
      <c r="G195" s="472" t="str">
        <f>'Budget Filing Data'!J189</f>
        <v>IOU Core</v>
      </c>
      <c r="H195" s="472" t="str">
        <f>IF('Budget Filing Data'!H189="","",'Budget Filing Data'!H189)</f>
        <v>SW_NC_NonRes_Ag_electric - New Construction - NonResidential - All Electric</v>
      </c>
      <c r="I195" s="473" t="s">
        <v>24</v>
      </c>
      <c r="J195" s="472" t="str">
        <f>'Budget Filing Data'!G189</f>
        <v>Agricultural</v>
      </c>
      <c r="K195" s="472" t="str">
        <f>'Budget Filing Data'!I189</f>
        <v>New Construction</v>
      </c>
      <c r="L195" s="472" t="str">
        <f>'Budget Filing Data'!L189</f>
        <v>Market Support</v>
      </c>
      <c r="M195" s="472">
        <f>'Budget Filing Data'!B189</f>
        <v>2030</v>
      </c>
      <c r="N195" s="474">
        <f t="shared" si="2"/>
        <v>269.80149999999998</v>
      </c>
      <c r="O195" s="475">
        <f>'Budget Filing Data'!AQ189</f>
        <v>269.80149999999998</v>
      </c>
      <c r="P195" s="475">
        <f>'Budget Filing Data'!AR189</f>
        <v>0</v>
      </c>
      <c r="Q195" s="475">
        <f>'Budget Filing Data'!AS189</f>
        <v>0</v>
      </c>
      <c r="R195" s="475">
        <f>'Budget Filing Data'!AT189</f>
        <v>0</v>
      </c>
      <c r="S195" s="476">
        <f>'Budget Filing Data'!X189</f>
        <v>0</v>
      </c>
      <c r="T195" s="477">
        <f>IFERROR((('Budget Filing Data'!AF189+'Budget Filing Data'!AG189+'Budget Filing Data'!AY189+'Budget Filing Data'!AH189)/'Budget Filing Data'!AA189),"")</f>
        <v>0</v>
      </c>
      <c r="U195" s="477">
        <f>IFERROR((('Budget Filing Data'!AF189+'Budget Filing Data'!AG189+'Budget Filing Data'!AY189+'Budget Filing Data'!AH189)/'Budget Filing Data'!AB189),"")</f>
        <v>0</v>
      </c>
      <c r="V195" s="477">
        <f>IFERROR((('Budget Filing Data'!AF189+'Budget Filing Data'!AG189+'Budget Filing Data'!AY189+'Budget Filing Data'!AH189+'Budget Filing Data'!AW189+'Budget Filing Data'!AX189)/('Budget Filing Data'!AE189)),"")</f>
        <v>0</v>
      </c>
      <c r="W195" s="477">
        <f>IFERROR(('Budget Filing Data'!AI189+'Budget Filing Data'!AJ189+'Budget Filing Data'!AK189+'Budget Filing Data'!AH189)/('Budget Filing Data'!AC189),"")</f>
        <v>0</v>
      </c>
      <c r="X195" s="477">
        <f>IFERROR(('Budget Filing Data'!AL189+'Budget Filing Data'!AM189+'Budget Filing Data'!AN189+'Budget Filing Data'!AH189)/('Budget Filing Data'!AD189),"")</f>
        <v>0</v>
      </c>
      <c r="Y195" s="478">
        <f>'Budget Filing Data'!Q189</f>
        <v>0</v>
      </c>
      <c r="Z195" s="478">
        <f>'Budget Filing Data'!R189</f>
        <v>0</v>
      </c>
      <c r="AA195" s="478">
        <f>'Budget Filing Data'!S189</f>
        <v>0</v>
      </c>
      <c r="AB195" s="478">
        <f>'Budget Filing Data'!AO189</f>
        <v>0</v>
      </c>
      <c r="AC195" s="478">
        <f>'Budget Filing Data'!AP189</f>
        <v>0</v>
      </c>
      <c r="AD195" s="478">
        <f>'Budget Filing Data'!T189</f>
        <v>0</v>
      </c>
      <c r="AE195" s="478">
        <f>'Budget Filing Data'!U189</f>
        <v>0</v>
      </c>
      <c r="AF195" s="478">
        <f>'Budget Filing Data'!$V189</f>
        <v>0</v>
      </c>
      <c r="AG195" s="478">
        <f>'Budget Filing Data'!$W189</f>
        <v>0</v>
      </c>
      <c r="AH195" s="479">
        <v>0</v>
      </c>
    </row>
    <row r="196" spans="3:34" hidden="1">
      <c r="C196" s="470" t="str">
        <f>'Budget Filing Data'!D190</f>
        <v>SDGE_SW_NC_NonRes_Com_electric</v>
      </c>
      <c r="D196" s="470" t="str">
        <f>'Budget Filing Data'!E190</f>
        <v>SW New Construction Non Residential - Commercial - All Electric</v>
      </c>
      <c r="E196" s="471"/>
      <c r="F196" s="471"/>
      <c r="G196" s="472" t="str">
        <f>'Budget Filing Data'!J190</f>
        <v>Third-Party Solicited</v>
      </c>
      <c r="H196" s="472" t="str">
        <f>IF('Budget Filing Data'!H190="","",'Budget Filing Data'!H190)</f>
        <v>SW_NC_NonRes_Com_electric - New Construction - NonResidential - All Electric</v>
      </c>
      <c r="I196" s="473" t="s">
        <v>24</v>
      </c>
      <c r="J196" s="472" t="str">
        <f>'Budget Filing Data'!G190</f>
        <v>Commercial</v>
      </c>
      <c r="K196" s="472" t="str">
        <f>'Budget Filing Data'!I190</f>
        <v>New Construction</v>
      </c>
      <c r="L196" s="472" t="str">
        <f>'Budget Filing Data'!L190</f>
        <v>Market Support</v>
      </c>
      <c r="M196" s="472">
        <f>'Budget Filing Data'!B190</f>
        <v>2030</v>
      </c>
      <c r="N196" s="474">
        <f t="shared" si="2"/>
        <v>334177.46234729991</v>
      </c>
      <c r="O196" s="475">
        <f>'Budget Filing Data'!AQ190</f>
        <v>28807.891199999998</v>
      </c>
      <c r="P196" s="475">
        <f>'Budget Filing Data'!AR190</f>
        <v>21605.918399999999</v>
      </c>
      <c r="Q196" s="475">
        <f>'Budget Filing Data'!AS190</f>
        <v>93625.646500000003</v>
      </c>
      <c r="R196" s="475">
        <f>'Budget Filing Data'!AT190</f>
        <v>190138.0062472999</v>
      </c>
      <c r="S196" s="476">
        <f>'Budget Filing Data'!X190</f>
        <v>204289.1513022235</v>
      </c>
      <c r="T196" s="477">
        <f>IFERROR((('Budget Filing Data'!AF190+'Budget Filing Data'!AG190+'Budget Filing Data'!AY190+'Budget Filing Data'!AH190)/'Budget Filing Data'!AA190),"")</f>
        <v>0.70648516832946373</v>
      </c>
      <c r="U196" s="477">
        <f>IFERROR((('Budget Filing Data'!AF190+'Budget Filing Data'!AG190+'Budget Filing Data'!AY190+'Budget Filing Data'!AH190)/'Budget Filing Data'!AB190),"")</f>
        <v>0.62956763007828642</v>
      </c>
      <c r="V196" s="477">
        <f>IFERROR((('Budget Filing Data'!AF190+'Budget Filing Data'!AG190+'Budget Filing Data'!AY190+'Budget Filing Data'!AH190+'Budget Filing Data'!AW190+'Budget Filing Data'!AX190)/('Budget Filing Data'!AE190)),"")</f>
        <v>0.25343718635659573</v>
      </c>
      <c r="W196" s="477">
        <f>IFERROR(('Budget Filing Data'!AI190+'Budget Filing Data'!AJ190+'Budget Filing Data'!AK190+'Budget Filing Data'!AH190)/('Budget Filing Data'!AC190),"")</f>
        <v>0.82754892919348511</v>
      </c>
      <c r="X196" s="477">
        <f>IFERROR(('Budget Filing Data'!AL190+'Budget Filing Data'!AM190+'Budget Filing Data'!AN190+'Budget Filing Data'!AH190)/('Budget Filing Data'!AD190),"")</f>
        <v>0.82754892919348511</v>
      </c>
      <c r="Y196" s="478">
        <f>'Budget Filing Data'!Q190</f>
        <v>160799.61515799948</v>
      </c>
      <c r="Z196" s="478">
        <f>'Budget Filing Data'!R190</f>
        <v>22.125716248999975</v>
      </c>
      <c r="AA196" s="478">
        <f>'Budget Filing Data'!S190</f>
        <v>384.8548704000001</v>
      </c>
      <c r="AB196" s="478">
        <f>'Budget Filing Data'!AO190</f>
        <v>23.416597549940104</v>
      </c>
      <c r="AC196" s="478">
        <f>'Budget Filing Data'!AP190</f>
        <v>2.0435793618239964</v>
      </c>
      <c r="AD196" s="478">
        <f>'Budget Filing Data'!T190</f>
        <v>2057186.091323992</v>
      </c>
      <c r="AE196" s="478">
        <f>'Budget Filing Data'!U190</f>
        <v>5407.1356247999938</v>
      </c>
      <c r="AF196" s="478">
        <f>'Budget Filing Data'!$V190</f>
        <v>314.63759491575928</v>
      </c>
      <c r="AG196" s="478">
        <f>'Budget Filing Data'!$W190</f>
        <v>28.711890167687969</v>
      </c>
      <c r="AH196" s="479">
        <v>0</v>
      </c>
    </row>
    <row r="197" spans="3:34" ht="25.5" hidden="1">
      <c r="C197" s="470" t="str">
        <f>'Budget Filing Data'!D191</f>
        <v>SDGE_SW_NC_NonRes_Com_electric_PA</v>
      </c>
      <c r="D197" s="470" t="str">
        <f>'Budget Filing Data'!E191</f>
        <v>SW New Construction Non Residential - Commercial - All Electric (Utility)</v>
      </c>
      <c r="E197" s="471" t="s">
        <v>42</v>
      </c>
      <c r="F197" s="471" t="s">
        <v>325</v>
      </c>
      <c r="G197" s="472" t="str">
        <f>'Budget Filing Data'!J191</f>
        <v>IOU Core</v>
      </c>
      <c r="H197" s="472" t="str">
        <f>IF('Budget Filing Data'!H191="","",'Budget Filing Data'!H191)</f>
        <v>SW_NC_NonRes_Com_electric - New Construction - NonResidential - All Electric</v>
      </c>
      <c r="I197" s="473" t="s">
        <v>24</v>
      </c>
      <c r="J197" s="472" t="str">
        <f>'Budget Filing Data'!G191</f>
        <v>Commercial</v>
      </c>
      <c r="K197" s="472" t="str">
        <f>'Budget Filing Data'!I191</f>
        <v>New Construction</v>
      </c>
      <c r="L197" s="472" t="str">
        <f>'Budget Filing Data'!L191</f>
        <v>Market Support</v>
      </c>
      <c r="M197" s="472">
        <f>'Budget Filing Data'!B191</f>
        <v>2030</v>
      </c>
      <c r="N197" s="474">
        <f t="shared" si="2"/>
        <v>2226.0915</v>
      </c>
      <c r="O197" s="475">
        <f>'Budget Filing Data'!AQ191</f>
        <v>2226.0915</v>
      </c>
      <c r="P197" s="475">
        <f>'Budget Filing Data'!AR191</f>
        <v>0</v>
      </c>
      <c r="Q197" s="475">
        <f>'Budget Filing Data'!AS191</f>
        <v>0</v>
      </c>
      <c r="R197" s="475">
        <f>'Budget Filing Data'!AT191</f>
        <v>0</v>
      </c>
      <c r="S197" s="476">
        <f>'Budget Filing Data'!X191</f>
        <v>0</v>
      </c>
      <c r="T197" s="477">
        <f>IFERROR((('Budget Filing Data'!AF191+'Budget Filing Data'!AG191+'Budget Filing Data'!AY191+'Budget Filing Data'!AH191)/'Budget Filing Data'!AA191),"")</f>
        <v>0</v>
      </c>
      <c r="U197" s="477">
        <f>IFERROR((('Budget Filing Data'!AF191+'Budget Filing Data'!AG191+'Budget Filing Data'!AY191+'Budget Filing Data'!AH191)/'Budget Filing Data'!AB191),"")</f>
        <v>0</v>
      </c>
      <c r="V197" s="477">
        <f>IFERROR((('Budget Filing Data'!AF191+'Budget Filing Data'!AG191+'Budget Filing Data'!AY191+'Budget Filing Data'!AH191+'Budget Filing Data'!AW191+'Budget Filing Data'!AX191)/('Budget Filing Data'!AE191)),"")</f>
        <v>0</v>
      </c>
      <c r="W197" s="477">
        <f>IFERROR(('Budget Filing Data'!AI191+'Budget Filing Data'!AJ191+'Budget Filing Data'!AK191+'Budget Filing Data'!AH191)/('Budget Filing Data'!AC191),"")</f>
        <v>0</v>
      </c>
      <c r="X197" s="477">
        <f>IFERROR(('Budget Filing Data'!AL191+'Budget Filing Data'!AM191+'Budget Filing Data'!AN191+'Budget Filing Data'!AH191)/('Budget Filing Data'!AD191),"")</f>
        <v>0</v>
      </c>
      <c r="Y197" s="478">
        <f>'Budget Filing Data'!Q191</f>
        <v>0</v>
      </c>
      <c r="Z197" s="478">
        <f>'Budget Filing Data'!R191</f>
        <v>0</v>
      </c>
      <c r="AA197" s="478">
        <f>'Budget Filing Data'!S191</f>
        <v>0</v>
      </c>
      <c r="AB197" s="478">
        <f>'Budget Filing Data'!AO191</f>
        <v>0</v>
      </c>
      <c r="AC197" s="478">
        <f>'Budget Filing Data'!AP191</f>
        <v>0</v>
      </c>
      <c r="AD197" s="478">
        <f>'Budget Filing Data'!T191</f>
        <v>0</v>
      </c>
      <c r="AE197" s="478">
        <f>'Budget Filing Data'!U191</f>
        <v>0</v>
      </c>
      <c r="AF197" s="478">
        <f>'Budget Filing Data'!$V191</f>
        <v>0</v>
      </c>
      <c r="AG197" s="478">
        <f>'Budget Filing Data'!$W191</f>
        <v>0</v>
      </c>
      <c r="AH197" s="479">
        <v>0</v>
      </c>
    </row>
    <row r="198" spans="3:34" hidden="1">
      <c r="C198" s="470" t="str">
        <f>'Budget Filing Data'!D192</f>
        <v>SDGE_SW_NC_NonRes_Ind_electric</v>
      </c>
      <c r="D198" s="470" t="str">
        <f>'Budget Filing Data'!E192</f>
        <v>SW New Construction Non Residential - Industrial - All Electric</v>
      </c>
      <c r="E198" s="471"/>
      <c r="F198" s="480"/>
      <c r="G198" s="472" t="str">
        <f>'Budget Filing Data'!J192</f>
        <v>Third-Party Solicited</v>
      </c>
      <c r="H198" s="472" t="str">
        <f>IF('Budget Filing Data'!H192="","",'Budget Filing Data'!H192)</f>
        <v>SW_NC_NonRes_Ind_electric - New Construction - NonResidential - All Electric</v>
      </c>
      <c r="I198" s="473" t="s">
        <v>24</v>
      </c>
      <c r="J198" s="472" t="str">
        <f>'Budget Filing Data'!G192</f>
        <v>Industrial</v>
      </c>
      <c r="K198" s="472" t="str">
        <f>'Budget Filing Data'!I192</f>
        <v>New Construction</v>
      </c>
      <c r="L198" s="472" t="str">
        <f>'Budget Filing Data'!L192</f>
        <v>Market Support</v>
      </c>
      <c r="M198" s="472">
        <f>'Budget Filing Data'!B192</f>
        <v>2030</v>
      </c>
      <c r="N198" s="474">
        <f t="shared" si="2"/>
        <v>13367.098456</v>
      </c>
      <c r="O198" s="475">
        <f>'Budget Filing Data'!AQ192</f>
        <v>1152.3155999999999</v>
      </c>
      <c r="P198" s="475">
        <f>'Budget Filing Data'!AR192</f>
        <v>864.23670000000004</v>
      </c>
      <c r="Q198" s="475">
        <f>'Budget Filing Data'!AS192</f>
        <v>3745.0259000000001</v>
      </c>
      <c r="R198" s="475">
        <f>'Budget Filing Data'!AT192</f>
        <v>7605.5202559999998</v>
      </c>
      <c r="S198" s="476">
        <f>'Budget Filing Data'!X192</f>
        <v>1675.6045944631799</v>
      </c>
      <c r="T198" s="477">
        <f>IFERROR((('Budget Filing Data'!AF192+'Budget Filing Data'!AG192+'Budget Filing Data'!AY192+'Budget Filing Data'!AH192)/'Budget Filing Data'!AA192),"")</f>
        <v>0.16364654817971677</v>
      </c>
      <c r="U198" s="477">
        <f>IFERROR((('Budget Filing Data'!AF192+'Budget Filing Data'!AG192+'Budget Filing Data'!AY192+'Budget Filing Data'!AH192)/'Budget Filing Data'!AB192),"")</f>
        <v>0.12917590016406472</v>
      </c>
      <c r="V198" s="477">
        <f>IFERROR((('Budget Filing Data'!AF192+'Budget Filing Data'!AG192+'Budget Filing Data'!AY192+'Budget Filing Data'!AH192+'Budget Filing Data'!AW192+'Budget Filing Data'!AX192)/('Budget Filing Data'!AE192)),"")</f>
        <v>0.10338149387364805</v>
      </c>
      <c r="W198" s="477">
        <f>IFERROR(('Budget Filing Data'!AI192+'Budget Filing Data'!AJ192+'Budget Filing Data'!AK192+'Budget Filing Data'!AH192)/('Budget Filing Data'!AC192),"")</f>
        <v>0.17232702389411875</v>
      </c>
      <c r="X198" s="477">
        <f>IFERROR(('Budget Filing Data'!AL192+'Budget Filing Data'!AM192+'Budget Filing Data'!AN192+'Budget Filing Data'!AH192)/('Budget Filing Data'!AD192),"")</f>
        <v>0.17232702389411875</v>
      </c>
      <c r="Y198" s="478">
        <f>'Budget Filing Data'!Q192</f>
        <v>866.31999999999903</v>
      </c>
      <c r="Z198" s="478">
        <f>'Budget Filing Data'!R192</f>
        <v>3.7273599999999997E-2</v>
      </c>
      <c r="AA198" s="478">
        <f>'Budget Filing Data'!S192</f>
        <v>0</v>
      </c>
      <c r="AB198" s="478">
        <f>'Budget Filing Data'!AO192</f>
        <v>0.15411313007999999</v>
      </c>
      <c r="AC198" s="478">
        <f>'Budget Filing Data'!AP192</f>
        <v>0</v>
      </c>
      <c r="AD198" s="478">
        <f>'Budget Filing Data'!T192</f>
        <v>8663.1999999999898</v>
      </c>
      <c r="AE198" s="478">
        <f>'Budget Filing Data'!U192</f>
        <v>0</v>
      </c>
      <c r="AF198" s="478">
        <f>'Budget Filing Data'!$V192</f>
        <v>1.6512974900239901</v>
      </c>
      <c r="AG198" s="478">
        <f>'Budget Filing Data'!$W192</f>
        <v>0</v>
      </c>
      <c r="AH198" s="479">
        <v>0</v>
      </c>
    </row>
    <row r="199" spans="3:34" hidden="1">
      <c r="C199" s="470" t="str">
        <f>'Budget Filing Data'!D193</f>
        <v>SDGE_SW_NC_NonRes_Ind_electric_PA</v>
      </c>
      <c r="D199" s="470" t="str">
        <f>'Budget Filing Data'!E193</f>
        <v>SW New Construction Non Residential - Industrial - All Electric (Utility)</v>
      </c>
      <c r="E199" s="471"/>
      <c r="F199" s="480"/>
      <c r="G199" s="472" t="str">
        <f>'Budget Filing Data'!J193</f>
        <v>IOU Core</v>
      </c>
      <c r="H199" s="472" t="str">
        <f>IF('Budget Filing Data'!H193="","",'Budget Filing Data'!H193)</f>
        <v>SW_NC_NonRes_Ind_electric - New Construction - NonResidential - All Electric</v>
      </c>
      <c r="I199" s="473" t="s">
        <v>24</v>
      </c>
      <c r="J199" s="472" t="str">
        <f>'Budget Filing Data'!G193</f>
        <v>Industrial</v>
      </c>
      <c r="K199" s="472" t="str">
        <f>'Budget Filing Data'!I193</f>
        <v>New Construction</v>
      </c>
      <c r="L199" s="472" t="str">
        <f>'Budget Filing Data'!L193</f>
        <v>Market Support</v>
      </c>
      <c r="M199" s="472">
        <f>'Budget Filing Data'!B193</f>
        <v>2030</v>
      </c>
      <c r="N199" s="474">
        <f t="shared" si="2"/>
        <v>269.80149999999998</v>
      </c>
      <c r="O199" s="475">
        <f>'Budget Filing Data'!AQ193</f>
        <v>269.80149999999998</v>
      </c>
      <c r="P199" s="475">
        <f>'Budget Filing Data'!AR193</f>
        <v>0</v>
      </c>
      <c r="Q199" s="475">
        <f>'Budget Filing Data'!AS193</f>
        <v>0</v>
      </c>
      <c r="R199" s="475">
        <f>'Budget Filing Data'!AT193</f>
        <v>0</v>
      </c>
      <c r="S199" s="476">
        <f>'Budget Filing Data'!X193</f>
        <v>0</v>
      </c>
      <c r="T199" s="477">
        <f>IFERROR((('Budget Filing Data'!AF193+'Budget Filing Data'!AG193+'Budget Filing Data'!AY193+'Budget Filing Data'!AH193)/'Budget Filing Data'!AA193),"")</f>
        <v>0</v>
      </c>
      <c r="U199" s="477">
        <f>IFERROR((('Budget Filing Data'!AF193+'Budget Filing Data'!AG193+'Budget Filing Data'!AY193+'Budget Filing Data'!AH193)/'Budget Filing Data'!AB193),"")</f>
        <v>0</v>
      </c>
      <c r="V199" s="477">
        <f>IFERROR((('Budget Filing Data'!AF193+'Budget Filing Data'!AG193+'Budget Filing Data'!AY193+'Budget Filing Data'!AH193+'Budget Filing Data'!AW193+'Budget Filing Data'!AX193)/('Budget Filing Data'!AE193)),"")</f>
        <v>0</v>
      </c>
      <c r="W199" s="477">
        <f>IFERROR(('Budget Filing Data'!AI193+'Budget Filing Data'!AJ193+'Budget Filing Data'!AK193+'Budget Filing Data'!AH193)/('Budget Filing Data'!AC193),"")</f>
        <v>0</v>
      </c>
      <c r="X199" s="477">
        <f>IFERROR(('Budget Filing Data'!AL193+'Budget Filing Data'!AM193+'Budget Filing Data'!AN193+'Budget Filing Data'!AH193)/('Budget Filing Data'!AD193),"")</f>
        <v>0</v>
      </c>
      <c r="Y199" s="478">
        <f>'Budget Filing Data'!Q193</f>
        <v>0</v>
      </c>
      <c r="Z199" s="478">
        <f>'Budget Filing Data'!R193</f>
        <v>0</v>
      </c>
      <c r="AA199" s="478">
        <f>'Budget Filing Data'!S193</f>
        <v>0</v>
      </c>
      <c r="AB199" s="478">
        <f>'Budget Filing Data'!AO193</f>
        <v>0</v>
      </c>
      <c r="AC199" s="478">
        <f>'Budget Filing Data'!AP193</f>
        <v>0</v>
      </c>
      <c r="AD199" s="478">
        <f>'Budget Filing Data'!T193</f>
        <v>0</v>
      </c>
      <c r="AE199" s="478">
        <f>'Budget Filing Data'!U193</f>
        <v>0</v>
      </c>
      <c r="AF199" s="478">
        <f>'Budget Filing Data'!$V193</f>
        <v>0</v>
      </c>
      <c r="AG199" s="478">
        <f>'Budget Filing Data'!$W193</f>
        <v>0</v>
      </c>
      <c r="AH199" s="479">
        <v>0</v>
      </c>
    </row>
    <row r="200" spans="3:34" hidden="1">
      <c r="C200" s="470" t="str">
        <f>'Budget Filing Data'!D194</f>
        <v>SDGE_SW_NC_NonRes_Pub_electric</v>
      </c>
      <c r="D200" s="470" t="str">
        <f>'Budget Filing Data'!E194</f>
        <v>SW New Construction Non Residential - Public - All Electric</v>
      </c>
      <c r="E200" s="471"/>
      <c r="F200" s="480"/>
      <c r="G200" s="472" t="str">
        <f>'Budget Filing Data'!J194</f>
        <v>Third-Party Solicited</v>
      </c>
      <c r="H200" s="472" t="str">
        <f>IF('Budget Filing Data'!H194="","",'Budget Filing Data'!H194)</f>
        <v>SW_NC_NonRes_Pub_electric - New Construction - NonResidential - All Electric</v>
      </c>
      <c r="I200" s="473" t="s">
        <v>24</v>
      </c>
      <c r="J200" s="472" t="str">
        <f>'Budget Filing Data'!G194</f>
        <v>Public</v>
      </c>
      <c r="K200" s="472" t="str">
        <f>'Budget Filing Data'!I194</f>
        <v>New Construction</v>
      </c>
      <c r="L200" s="472" t="str">
        <f>'Budget Filing Data'!L194</f>
        <v>Market Support</v>
      </c>
      <c r="M200" s="472">
        <f>'Budget Filing Data'!B194</f>
        <v>2030</v>
      </c>
      <c r="N200" s="474">
        <f t="shared" si="2"/>
        <v>253974.8719242001</v>
      </c>
      <c r="O200" s="475">
        <f>'Budget Filing Data'!AQ194</f>
        <v>21893.997299999999</v>
      </c>
      <c r="P200" s="475">
        <f>'Budget Filing Data'!AR194</f>
        <v>16420.498</v>
      </c>
      <c r="Q200" s="475">
        <f>'Budget Filing Data'!AS194</f>
        <v>71155.491299999994</v>
      </c>
      <c r="R200" s="475">
        <f>'Budget Filing Data'!AT194</f>
        <v>144504.88532420009</v>
      </c>
      <c r="S200" s="476">
        <f>'Budget Filing Data'!X194</f>
        <v>45624.102424173165</v>
      </c>
      <c r="T200" s="477">
        <f>IFERROR((('Budget Filing Data'!AF194+'Budget Filing Data'!AG194+'Budget Filing Data'!AY194+'Budget Filing Data'!AH194)/'Budget Filing Data'!AA194),"")</f>
        <v>0.23600693512894369</v>
      </c>
      <c r="U200" s="477">
        <f>IFERROR((('Budget Filing Data'!AF194+'Budget Filing Data'!AG194+'Budget Filing Data'!AY194+'Budget Filing Data'!AH194)/'Budget Filing Data'!AB194),"")</f>
        <v>0.18547223819171132</v>
      </c>
      <c r="V200" s="477">
        <f>IFERROR((('Budget Filing Data'!AF194+'Budget Filing Data'!AG194+'Budget Filing Data'!AY194+'Budget Filing Data'!AH194+'Budget Filing Data'!AW194+'Budget Filing Data'!AX194)/('Budget Filing Data'!AE194)),"")</f>
        <v>0.1471535743977222</v>
      </c>
      <c r="W200" s="477">
        <f>IFERROR(('Budget Filing Data'!AI194+'Budget Filing Data'!AJ194+'Budget Filing Data'!AK194+'Budget Filing Data'!AH194)/('Budget Filing Data'!AC194),"")</f>
        <v>0.24895943685245678</v>
      </c>
      <c r="X200" s="477">
        <f>IFERROR(('Budget Filing Data'!AL194+'Budget Filing Data'!AM194+'Budget Filing Data'!AN194+'Budget Filing Data'!AH194)/('Budget Filing Data'!AD194),"")</f>
        <v>0.24895943685245678</v>
      </c>
      <c r="Y200" s="478">
        <f>'Budget Filing Data'!Q194</f>
        <v>16676.058307999989</v>
      </c>
      <c r="Z200" s="478">
        <f>'Budget Filing Data'!R194</f>
        <v>2.5573522519999976</v>
      </c>
      <c r="AA200" s="478">
        <f>'Budget Filing Data'!S194</f>
        <v>-10.190762399999945</v>
      </c>
      <c r="AB200" s="478">
        <f>'Budget Filing Data'!AO194</f>
        <v>2.4238273267298998</v>
      </c>
      <c r="AC200" s="478">
        <f>'Budget Filing Data'!AP194</f>
        <v>-5.4112948344000281E-2</v>
      </c>
      <c r="AD200" s="478">
        <f>'Budget Filing Data'!T194</f>
        <v>211427.98949999988</v>
      </c>
      <c r="AE200" s="478">
        <f>'Budget Filing Data'!U194</f>
        <v>-32.758252799999738</v>
      </c>
      <c r="AF200" s="478">
        <f>'Budget Filing Data'!$V194</f>
        <v>32.624982505191795</v>
      </c>
      <c r="AG200" s="478">
        <f>'Budget Filing Data'!$W194</f>
        <v>-0.17394632236800059</v>
      </c>
      <c r="AH200" s="479">
        <v>0</v>
      </c>
    </row>
    <row r="201" spans="3:34" ht="25.5" hidden="1">
      <c r="C201" s="470" t="str">
        <f>'Budget Filing Data'!D195</f>
        <v>SDGE_SW_NC_NonRes_Pub_electric_PA</v>
      </c>
      <c r="D201" s="470" t="str">
        <f>'Budget Filing Data'!E195</f>
        <v>SW New Construction Non Residential - Public - All Electric (Utility)</v>
      </c>
      <c r="E201" s="471" t="s">
        <v>42</v>
      </c>
      <c r="F201" s="471" t="s">
        <v>325</v>
      </c>
      <c r="G201" s="472" t="str">
        <f>'Budget Filing Data'!J195</f>
        <v>IOU Core</v>
      </c>
      <c r="H201" s="472" t="str">
        <f>IF('Budget Filing Data'!H195="","",'Budget Filing Data'!H195)</f>
        <v>SW_NC_NonRes_Pub_electric - New Construction - NonResidential - All Electric</v>
      </c>
      <c r="I201" s="473" t="s">
        <v>24</v>
      </c>
      <c r="J201" s="472" t="str">
        <f>'Budget Filing Data'!G195</f>
        <v>Public</v>
      </c>
      <c r="K201" s="472" t="str">
        <f>'Budget Filing Data'!I195</f>
        <v>New Construction</v>
      </c>
      <c r="L201" s="472" t="str">
        <f>'Budget Filing Data'!L195</f>
        <v>Market Support</v>
      </c>
      <c r="M201" s="472">
        <f>'Budget Filing Data'!B195</f>
        <v>2030</v>
      </c>
      <c r="N201" s="474">
        <f t="shared" si="2"/>
        <v>1737.0215000000001</v>
      </c>
      <c r="O201" s="475">
        <f>'Budget Filing Data'!AQ195</f>
        <v>1737.0215000000001</v>
      </c>
      <c r="P201" s="475">
        <f>'Budget Filing Data'!AR195</f>
        <v>0</v>
      </c>
      <c r="Q201" s="475">
        <f>'Budget Filing Data'!AS195</f>
        <v>0</v>
      </c>
      <c r="R201" s="475">
        <f>'Budget Filing Data'!AT195</f>
        <v>0</v>
      </c>
      <c r="S201" s="476">
        <f>'Budget Filing Data'!X195</f>
        <v>0</v>
      </c>
      <c r="T201" s="477">
        <f>IFERROR((('Budget Filing Data'!AF195+'Budget Filing Data'!AG195+'Budget Filing Data'!AY195+'Budget Filing Data'!AH195)/'Budget Filing Data'!AA195),"")</f>
        <v>0</v>
      </c>
      <c r="U201" s="477">
        <f>IFERROR((('Budget Filing Data'!AF195+'Budget Filing Data'!AG195+'Budget Filing Data'!AY195+'Budget Filing Data'!AH195)/'Budget Filing Data'!AB195),"")</f>
        <v>0</v>
      </c>
      <c r="V201" s="477">
        <f>IFERROR((('Budget Filing Data'!AF195+'Budget Filing Data'!AG195+'Budget Filing Data'!AY195+'Budget Filing Data'!AH195+'Budget Filing Data'!AW195+'Budget Filing Data'!AX195)/('Budget Filing Data'!AE195)),"")</f>
        <v>0</v>
      </c>
      <c r="W201" s="477">
        <f>IFERROR(('Budget Filing Data'!AI195+'Budget Filing Data'!AJ195+'Budget Filing Data'!AK195+'Budget Filing Data'!AH195)/('Budget Filing Data'!AC195),"")</f>
        <v>0</v>
      </c>
      <c r="X201" s="477">
        <f>IFERROR(('Budget Filing Data'!AL195+'Budget Filing Data'!AM195+'Budget Filing Data'!AN195+'Budget Filing Data'!AH195)/('Budget Filing Data'!AD195),"")</f>
        <v>0</v>
      </c>
      <c r="Y201" s="478">
        <f>'Budget Filing Data'!Q195</f>
        <v>0</v>
      </c>
      <c r="Z201" s="478">
        <f>'Budget Filing Data'!R195</f>
        <v>0</v>
      </c>
      <c r="AA201" s="478">
        <f>'Budget Filing Data'!S195</f>
        <v>0</v>
      </c>
      <c r="AB201" s="478">
        <f>'Budget Filing Data'!AO195</f>
        <v>0</v>
      </c>
      <c r="AC201" s="478">
        <f>'Budget Filing Data'!AP195</f>
        <v>0</v>
      </c>
      <c r="AD201" s="478">
        <f>'Budget Filing Data'!T195</f>
        <v>0</v>
      </c>
      <c r="AE201" s="478">
        <f>'Budget Filing Data'!U195</f>
        <v>0</v>
      </c>
      <c r="AF201" s="478">
        <f>'Budget Filing Data'!$V195</f>
        <v>0</v>
      </c>
      <c r="AG201" s="478">
        <f>'Budget Filing Data'!$W195</f>
        <v>0</v>
      </c>
      <c r="AH201" s="479">
        <v>0</v>
      </c>
    </row>
    <row r="202" spans="3:34">
      <c r="C202" s="470" t="str">
        <f>'Budget Filing Data'!D196</f>
        <v>SDGE_SW_NC_NonRes_Res_electric</v>
      </c>
      <c r="D202" s="470" t="str">
        <f>'Budget Filing Data'!E196</f>
        <v>SW New Construction NonResidential - Residential - All Electric</v>
      </c>
      <c r="E202" s="471" t="s">
        <v>42</v>
      </c>
      <c r="F202" s="471" t="s">
        <v>323</v>
      </c>
      <c r="G202" s="472" t="str">
        <f>'Budget Filing Data'!J196</f>
        <v>Third-Party Solicited</v>
      </c>
      <c r="H202" s="472" t="str">
        <f>IF('Budget Filing Data'!H196="","",'Budget Filing Data'!H196)</f>
        <v>SW_NC_NonRes_Res_electric - New Construction - NonResidential - All Electric</v>
      </c>
      <c r="I202" s="473" t="s">
        <v>24</v>
      </c>
      <c r="J202" s="472" t="str">
        <f>'Budget Filing Data'!G196</f>
        <v>Residential</v>
      </c>
      <c r="K202" s="472" t="str">
        <f>'Budget Filing Data'!I196</f>
        <v>New Construction</v>
      </c>
      <c r="L202" s="472" t="str">
        <f>'Budget Filing Data'!L196</f>
        <v>Market Support</v>
      </c>
      <c r="M202" s="472">
        <f>'Budget Filing Data'!B196</f>
        <v>2030</v>
      </c>
      <c r="N202" s="474">
        <f t="shared" si="2"/>
        <v>775291.7126081459</v>
      </c>
      <c r="O202" s="475">
        <f>'Budget Filing Data'!AQ196</f>
        <v>66834.3076</v>
      </c>
      <c r="P202" s="475">
        <f>'Budget Filing Data'!AR196</f>
        <v>50125.7307</v>
      </c>
      <c r="Q202" s="475">
        <f>'Budget Filing Data'!AS196</f>
        <v>217211.49979999999</v>
      </c>
      <c r="R202" s="475">
        <f>'Budget Filing Data'!AT196</f>
        <v>441120.17450814589</v>
      </c>
      <c r="S202" s="476">
        <f>'Budget Filing Data'!X196</f>
        <v>451089.78874633543</v>
      </c>
      <c r="T202" s="477">
        <f>IFERROR((('Budget Filing Data'!AF196+'Budget Filing Data'!AG196+'Budget Filing Data'!AY196+'Budget Filing Data'!AH196)/'Budget Filing Data'!AA196),"")</f>
        <v>0.3454742159607897</v>
      </c>
      <c r="U202" s="477">
        <f>IFERROR((('Budget Filing Data'!AF196+'Budget Filing Data'!AG196+'Budget Filing Data'!AY196+'Budget Filing Data'!AH196)/'Budget Filing Data'!AB196),"")</f>
        <v>0.59979004740136033</v>
      </c>
      <c r="V202" s="477">
        <f>IFERROR((('Budget Filing Data'!AF196+'Budget Filing Data'!AG196+'Budget Filing Data'!AY196+'Budget Filing Data'!AH196+'Budget Filing Data'!AW196+'Budget Filing Data'!AX196)/('Budget Filing Data'!AE196)),"")</f>
        <v>0.33527758804138558</v>
      </c>
      <c r="W202" s="477">
        <f>IFERROR(('Budget Filing Data'!AI196+'Budget Filing Data'!AJ196+'Budget Filing Data'!AK196+'Budget Filing Data'!AH196)/('Budget Filing Data'!AC196),"")</f>
        <v>0.3853630293606804</v>
      </c>
      <c r="X202" s="477">
        <f>IFERROR(('Budget Filing Data'!AL196+'Budget Filing Data'!AM196+'Budget Filing Data'!AN196+'Budget Filing Data'!AH196)/('Budget Filing Data'!AD196),"")</f>
        <v>0.3853630293606804</v>
      </c>
      <c r="Y202" s="478">
        <f>'Budget Filing Data'!Q196</f>
        <v>126986.60508043507</v>
      </c>
      <c r="Z202" s="478">
        <f>'Budget Filing Data'!R196</f>
        <v>45.418399409670364</v>
      </c>
      <c r="AA202" s="478">
        <f>'Budget Filing Data'!S196</f>
        <v>670.62319651599876</v>
      </c>
      <c r="AB202" s="478">
        <f>'Budget Filing Data'!AO196</f>
        <v>25.803719047980088</v>
      </c>
      <c r="AC202" s="478">
        <f>'Budget Filing Data'!AP196</f>
        <v>3.5610091734999552</v>
      </c>
      <c r="AD202" s="478">
        <f>'Budget Filing Data'!T196</f>
        <v>2174558.6283341143</v>
      </c>
      <c r="AE202" s="478">
        <f>'Budget Filing Data'!U196</f>
        <v>7178.8173966599898</v>
      </c>
      <c r="AF202" s="478">
        <f>'Budget Filing Data'!$V196</f>
        <v>486.88006424032579</v>
      </c>
      <c r="AG202" s="478">
        <f>'Budget Filing Data'!$W196</f>
        <v>38.119520376264568</v>
      </c>
      <c r="AH202" s="479">
        <v>0</v>
      </c>
    </row>
    <row r="203" spans="3:34" ht="25.5">
      <c r="C203" s="470" t="str">
        <f>'Budget Filing Data'!D197</f>
        <v>SDGE_SW_NC_NonRes_Res_electric_PA</v>
      </c>
      <c r="D203" s="470" t="str">
        <f>'Budget Filing Data'!E197</f>
        <v>SW New Construction NonResidential - Residential - All Electric (Utility)</v>
      </c>
      <c r="E203" s="471" t="s">
        <v>42</v>
      </c>
      <c r="F203" s="471" t="s">
        <v>325</v>
      </c>
      <c r="G203" s="472" t="str">
        <f>'Budget Filing Data'!J197</f>
        <v>IOU Core</v>
      </c>
      <c r="H203" s="472" t="str">
        <f>IF('Budget Filing Data'!H197="","",'Budget Filing Data'!H197)</f>
        <v>SW_NC_NonRes_Res_electric - New Construction - NonResidential - All Electric</v>
      </c>
      <c r="I203" s="473" t="s">
        <v>24</v>
      </c>
      <c r="J203" s="472" t="str">
        <f>'Budget Filing Data'!G197</f>
        <v>Residential</v>
      </c>
      <c r="K203" s="472" t="str">
        <f>'Budget Filing Data'!I197</f>
        <v>New Construction</v>
      </c>
      <c r="L203" s="472" t="str">
        <f>'Budget Filing Data'!L197</f>
        <v>Market Support</v>
      </c>
      <c r="M203" s="472">
        <f>'Budget Filing Data'!B197</f>
        <v>2030</v>
      </c>
      <c r="N203" s="474">
        <f t="shared" si="2"/>
        <v>4915.9915000000001</v>
      </c>
      <c r="O203" s="475">
        <f>'Budget Filing Data'!AQ197</f>
        <v>4915.9915000000001</v>
      </c>
      <c r="P203" s="475">
        <f>'Budget Filing Data'!AR197</f>
        <v>0</v>
      </c>
      <c r="Q203" s="475">
        <f>'Budget Filing Data'!AS197</f>
        <v>0</v>
      </c>
      <c r="R203" s="475">
        <f>'Budget Filing Data'!AT197</f>
        <v>0</v>
      </c>
      <c r="S203" s="476">
        <f>'Budget Filing Data'!X197</f>
        <v>0</v>
      </c>
      <c r="T203" s="477">
        <f>IFERROR((('Budget Filing Data'!AF197+'Budget Filing Data'!AG197+'Budget Filing Data'!AY197+'Budget Filing Data'!AH197)/'Budget Filing Data'!AA197),"")</f>
        <v>0</v>
      </c>
      <c r="U203" s="477">
        <f>IFERROR((('Budget Filing Data'!AF197+'Budget Filing Data'!AG197+'Budget Filing Data'!AY197+'Budget Filing Data'!AH197)/'Budget Filing Data'!AB197),"")</f>
        <v>0</v>
      </c>
      <c r="V203" s="477">
        <f>IFERROR((('Budget Filing Data'!AF197+'Budget Filing Data'!AG197+'Budget Filing Data'!AY197+'Budget Filing Data'!AH197+'Budget Filing Data'!AW197+'Budget Filing Data'!AX197)/('Budget Filing Data'!AE197)),"")</f>
        <v>0</v>
      </c>
      <c r="W203" s="477">
        <f>IFERROR(('Budget Filing Data'!AI197+'Budget Filing Data'!AJ197+'Budget Filing Data'!AK197+'Budget Filing Data'!AH197)/('Budget Filing Data'!AC197),"")</f>
        <v>0</v>
      </c>
      <c r="X203" s="477">
        <f>IFERROR(('Budget Filing Data'!AL197+'Budget Filing Data'!AM197+'Budget Filing Data'!AN197+'Budget Filing Data'!AH197)/('Budget Filing Data'!AD197),"")</f>
        <v>0</v>
      </c>
      <c r="Y203" s="478">
        <f>'Budget Filing Data'!Q197</f>
        <v>0</v>
      </c>
      <c r="Z203" s="478">
        <f>'Budget Filing Data'!R197</f>
        <v>0</v>
      </c>
      <c r="AA203" s="478">
        <f>'Budget Filing Data'!S197</f>
        <v>0</v>
      </c>
      <c r="AB203" s="478">
        <f>'Budget Filing Data'!AO197</f>
        <v>0</v>
      </c>
      <c r="AC203" s="478">
        <f>'Budget Filing Data'!AP197</f>
        <v>0</v>
      </c>
      <c r="AD203" s="478">
        <f>'Budget Filing Data'!T197</f>
        <v>0</v>
      </c>
      <c r="AE203" s="478">
        <f>'Budget Filing Data'!U197</f>
        <v>0</v>
      </c>
      <c r="AF203" s="478">
        <f>'Budget Filing Data'!$V197</f>
        <v>0</v>
      </c>
      <c r="AG203" s="478">
        <f>'Budget Filing Data'!$W197</f>
        <v>0</v>
      </c>
      <c r="AH203" s="479">
        <v>0</v>
      </c>
    </row>
    <row r="204" spans="3:34" hidden="1">
      <c r="C204" s="470" t="str">
        <f>'Budget Filing Data'!D198</f>
        <v>SDGE_SW_NC_NonRes_Ag_mixed</v>
      </c>
      <c r="D204" s="470" t="str">
        <f>'Budget Filing Data'!E198</f>
        <v>SW New Construction Non Residential - Agricultural - Mixed Fuel</v>
      </c>
      <c r="E204" s="471"/>
      <c r="F204" s="480"/>
      <c r="G204" s="472" t="str">
        <f>'Budget Filing Data'!J198</f>
        <v>Third-Party Solicited</v>
      </c>
      <c r="H204" s="472" t="str">
        <f>IF('Budget Filing Data'!H198="","",'Budget Filing Data'!H198)</f>
        <v>SW_NC_NonRes_Ag_mixed - New Construction - NonResidential - Mixed Fuel</v>
      </c>
      <c r="I204" s="473" t="s">
        <v>24</v>
      </c>
      <c r="J204" s="472" t="str">
        <f>'Budget Filing Data'!G198</f>
        <v>Agricultural</v>
      </c>
      <c r="K204" s="472" t="str">
        <f>'Budget Filing Data'!I198</f>
        <v>New Construction</v>
      </c>
      <c r="L204" s="472" t="str">
        <f>'Budget Filing Data'!L198</f>
        <v>Market Support</v>
      </c>
      <c r="M204" s="472">
        <f>'Budget Filing Data'!B198</f>
        <v>2030</v>
      </c>
      <c r="N204" s="474">
        <f t="shared" si="2"/>
        <v>53312.681060119998</v>
      </c>
      <c r="O204" s="475">
        <f>'Budget Filing Data'!AQ198</f>
        <v>4767.5150999999996</v>
      </c>
      <c r="P204" s="475">
        <f>'Budget Filing Data'!AR198</f>
        <v>3575.6363999999999</v>
      </c>
      <c r="Q204" s="475">
        <f>'Budget Filing Data'!AS198</f>
        <v>15494.424199999999</v>
      </c>
      <c r="R204" s="475">
        <f>'Budget Filing Data'!AT198</f>
        <v>29475.105360119996</v>
      </c>
      <c r="S204" s="476">
        <f>'Budget Filing Data'!X198</f>
        <v>16585.369793792219</v>
      </c>
      <c r="T204" s="477">
        <f>IFERROR((('Budget Filing Data'!AF198+'Budget Filing Data'!AG198+'Budget Filing Data'!AY198+'Budget Filing Data'!AH198)/'Budget Filing Data'!AA198),"")</f>
        <v>0.38337169961888062</v>
      </c>
      <c r="U204" s="477">
        <f>IFERROR((('Budget Filing Data'!AF198+'Budget Filing Data'!AG198+'Budget Filing Data'!AY198+'Budget Filing Data'!AH198)/'Budget Filing Data'!AB198),"")</f>
        <v>0.32332229116923911</v>
      </c>
      <c r="V204" s="477">
        <f>IFERROR((('Budget Filing Data'!AF198+'Budget Filing Data'!AG198+'Budget Filing Data'!AY198+'Budget Filing Data'!AH198+'Budget Filing Data'!AW198+'Budget Filing Data'!AX198)/('Budget Filing Data'!AE198)),"")</f>
        <v>0.16731292665906536</v>
      </c>
      <c r="W204" s="477">
        <f>IFERROR(('Budget Filing Data'!AI198+'Budget Filing Data'!AJ198+'Budget Filing Data'!AK198+'Budget Filing Data'!AH198)/('Budget Filing Data'!AC198),"")</f>
        <v>0.43996594501442748</v>
      </c>
      <c r="X204" s="477">
        <f>IFERROR(('Budget Filing Data'!AL198+'Budget Filing Data'!AM198+'Budget Filing Data'!AN198+'Budget Filing Data'!AH198)/('Budget Filing Data'!AD198),"")</f>
        <v>0.43996594501442748</v>
      </c>
      <c r="Y204" s="478">
        <f>'Budget Filing Data'!Q198</f>
        <v>15712.600175999987</v>
      </c>
      <c r="Z204" s="478">
        <f>'Budget Filing Data'!R198</f>
        <v>2.7607032179999944</v>
      </c>
      <c r="AA204" s="478">
        <f>'Budget Filing Data'!S198</f>
        <v>0</v>
      </c>
      <c r="AB204" s="478">
        <f>'Budget Filing Data'!AO198</f>
        <v>2.4170798230045327</v>
      </c>
      <c r="AC204" s="478">
        <f>'Budget Filing Data'!AP198</f>
        <v>0</v>
      </c>
      <c r="AD204" s="478">
        <f>'Budget Filing Data'!T198</f>
        <v>200212.98751999991</v>
      </c>
      <c r="AE204" s="478">
        <f>'Budget Filing Data'!U198</f>
        <v>0</v>
      </c>
      <c r="AF204" s="478">
        <f>'Budget Filing Data'!$V198</f>
        <v>31.902506669760484</v>
      </c>
      <c r="AG204" s="478">
        <f>'Budget Filing Data'!$W198</f>
        <v>0</v>
      </c>
      <c r="AH204" s="479">
        <v>0</v>
      </c>
    </row>
    <row r="205" spans="3:34" hidden="1">
      <c r="C205" s="470" t="str">
        <f>'Budget Filing Data'!D199</f>
        <v>SDGE_SW_NC_NonRes_Ag_mixed_PA</v>
      </c>
      <c r="D205" s="470" t="str">
        <f>'Budget Filing Data'!E199</f>
        <v>SW New Construction Non Residential - Agricultural - Mixed Fuel (Utility)</v>
      </c>
      <c r="E205" s="471"/>
      <c r="F205" s="480"/>
      <c r="G205" s="472" t="str">
        <f>'Budget Filing Data'!J199</f>
        <v>IOU Core</v>
      </c>
      <c r="H205" s="472" t="str">
        <f>IF('Budget Filing Data'!H199="","",'Budget Filing Data'!H199)</f>
        <v>SW_NC_NonRes_Ag_mixed - New Construction - NonResidential - Mixed Fuel</v>
      </c>
      <c r="I205" s="473" t="s">
        <v>24</v>
      </c>
      <c r="J205" s="472" t="str">
        <f>'Budget Filing Data'!G199</f>
        <v>Agricultural</v>
      </c>
      <c r="K205" s="472" t="str">
        <f>'Budget Filing Data'!I199</f>
        <v>New Construction</v>
      </c>
      <c r="L205" s="472" t="str">
        <f>'Budget Filing Data'!L199</f>
        <v>Market Support</v>
      </c>
      <c r="M205" s="472">
        <f>'Budget Filing Data'!B199</f>
        <v>2030</v>
      </c>
      <c r="N205" s="474">
        <f t="shared" si="2"/>
        <v>513.39149999999995</v>
      </c>
      <c r="O205" s="475">
        <f>'Budget Filing Data'!AQ199</f>
        <v>513.39149999999995</v>
      </c>
      <c r="P205" s="475">
        <f>'Budget Filing Data'!AR199</f>
        <v>0</v>
      </c>
      <c r="Q205" s="475">
        <f>'Budget Filing Data'!AS199</f>
        <v>0</v>
      </c>
      <c r="R205" s="475">
        <f>'Budget Filing Data'!AT199</f>
        <v>0</v>
      </c>
      <c r="S205" s="476">
        <f>'Budget Filing Data'!X199</f>
        <v>0</v>
      </c>
      <c r="T205" s="477">
        <f>IFERROR((('Budget Filing Data'!AF199+'Budget Filing Data'!AG199+'Budget Filing Data'!AY199+'Budget Filing Data'!AH199)/'Budget Filing Data'!AA199),"")</f>
        <v>0</v>
      </c>
      <c r="U205" s="477">
        <f>IFERROR((('Budget Filing Data'!AF199+'Budget Filing Data'!AG199+'Budget Filing Data'!AY199+'Budget Filing Data'!AH199)/'Budget Filing Data'!AB199),"")</f>
        <v>0</v>
      </c>
      <c r="V205" s="477">
        <f>IFERROR((('Budget Filing Data'!AF199+'Budget Filing Data'!AG199+'Budget Filing Data'!AY199+'Budget Filing Data'!AH199+'Budget Filing Data'!AW199+'Budget Filing Data'!AX199)/('Budget Filing Data'!AE199)),"")</f>
        <v>0</v>
      </c>
      <c r="W205" s="477">
        <f>IFERROR(('Budget Filing Data'!AI199+'Budget Filing Data'!AJ199+'Budget Filing Data'!AK199+'Budget Filing Data'!AH199)/('Budget Filing Data'!AC199),"")</f>
        <v>0</v>
      </c>
      <c r="X205" s="477">
        <f>IFERROR(('Budget Filing Data'!AL199+'Budget Filing Data'!AM199+'Budget Filing Data'!AN199+'Budget Filing Data'!AH199)/('Budget Filing Data'!AD199),"")</f>
        <v>0</v>
      </c>
      <c r="Y205" s="478">
        <f>'Budget Filing Data'!Q199</f>
        <v>0</v>
      </c>
      <c r="Z205" s="478">
        <f>'Budget Filing Data'!R199</f>
        <v>0</v>
      </c>
      <c r="AA205" s="478">
        <f>'Budget Filing Data'!S199</f>
        <v>0</v>
      </c>
      <c r="AB205" s="478">
        <f>'Budget Filing Data'!AO199</f>
        <v>0</v>
      </c>
      <c r="AC205" s="478">
        <f>'Budget Filing Data'!AP199</f>
        <v>0</v>
      </c>
      <c r="AD205" s="478">
        <f>'Budget Filing Data'!T199</f>
        <v>0</v>
      </c>
      <c r="AE205" s="478">
        <f>'Budget Filing Data'!U199</f>
        <v>0</v>
      </c>
      <c r="AF205" s="478">
        <f>'Budget Filing Data'!$V199</f>
        <v>0</v>
      </c>
      <c r="AG205" s="478">
        <f>'Budget Filing Data'!$W199</f>
        <v>0</v>
      </c>
      <c r="AH205" s="479">
        <v>0</v>
      </c>
    </row>
    <row r="206" spans="3:34" hidden="1">
      <c r="C206" s="470" t="str">
        <f>'Budget Filing Data'!D200</f>
        <v>SDGE_SW_NC_NonRes_Com_mixed</v>
      </c>
      <c r="D206" s="470" t="str">
        <f>'Budget Filing Data'!E200</f>
        <v>SW New Construction Non Residential - Commercial - Mixed Fuel</v>
      </c>
      <c r="E206" s="471"/>
      <c r="F206" s="480"/>
      <c r="G206" s="472" t="str">
        <f>'Budget Filing Data'!J200</f>
        <v>Third-Party Solicited</v>
      </c>
      <c r="H206" s="472" t="str">
        <f>IF('Budget Filing Data'!H200="","",'Budget Filing Data'!H200)</f>
        <v>SW_NC_NonRes_Com_mixed - New Construction - NonResidential - Mixed Fuel</v>
      </c>
      <c r="I206" s="473" t="s">
        <v>24</v>
      </c>
      <c r="J206" s="472" t="str">
        <f>'Budget Filing Data'!G200</f>
        <v>Commercial</v>
      </c>
      <c r="K206" s="472" t="str">
        <f>'Budget Filing Data'!I200</f>
        <v>New Construction</v>
      </c>
      <c r="L206" s="472" t="str">
        <f>'Budget Filing Data'!L200</f>
        <v>Market Support</v>
      </c>
      <c r="M206" s="472">
        <f>'Budget Filing Data'!B200</f>
        <v>2030</v>
      </c>
      <c r="N206" s="474">
        <f t="shared" si="2"/>
        <v>304643.88941269997</v>
      </c>
      <c r="O206" s="475">
        <f>'Budget Filing Data'!AQ200</f>
        <v>27242.943599999999</v>
      </c>
      <c r="P206" s="475">
        <f>'Budget Filing Data'!AR200</f>
        <v>20432.207699999999</v>
      </c>
      <c r="Q206" s="475">
        <f>'Budget Filing Data'!AS200</f>
        <v>88539.566800000001</v>
      </c>
      <c r="R206" s="475">
        <f>'Budget Filing Data'!AT200</f>
        <v>168429.17131269997</v>
      </c>
      <c r="S206" s="476">
        <f>'Budget Filing Data'!X200</f>
        <v>65863.876035135487</v>
      </c>
      <c r="T206" s="477">
        <f>IFERROR((('Budget Filing Data'!AF200+'Budget Filing Data'!AG200+'Budget Filing Data'!AY200+'Budget Filing Data'!AH200)/'Budget Filing Data'!AA200),"")</f>
        <v>0.24780709968218381</v>
      </c>
      <c r="U206" s="477">
        <f>IFERROR((('Budget Filing Data'!AF200+'Budget Filing Data'!AG200+'Budget Filing Data'!AY200+'Budget Filing Data'!AH200)/'Budget Filing Data'!AB200),"")</f>
        <v>0.22325524561292556</v>
      </c>
      <c r="V206" s="477">
        <f>IFERROR((('Budget Filing Data'!AF200+'Budget Filing Data'!AG200+'Budget Filing Data'!AY200+'Budget Filing Data'!AH200+'Budget Filing Data'!AW200+'Budget Filing Data'!AX200)/('Budget Filing Data'!AE200)),"")</f>
        <v>0.13520384121826975</v>
      </c>
      <c r="W206" s="477">
        <f>IFERROR(('Budget Filing Data'!AI200+'Budget Filing Data'!AJ200+'Budget Filing Data'!AK200+'Budget Filing Data'!AH200)/('Budget Filing Data'!AC200),"")</f>
        <v>0.30102308562450197</v>
      </c>
      <c r="X206" s="477">
        <f>IFERROR(('Budget Filing Data'!AL200+'Budget Filing Data'!AM200+'Budget Filing Data'!AN200+'Budget Filing Data'!AH200)/('Budget Filing Data'!AD200),"")</f>
        <v>0.30102308562450197</v>
      </c>
      <c r="Y206" s="478">
        <f>'Budget Filing Data'!Q200</f>
        <v>37430.494517552426</v>
      </c>
      <c r="Z206" s="478">
        <f>'Budget Filing Data'!R200</f>
        <v>9.2904138761525008</v>
      </c>
      <c r="AA206" s="478">
        <f>'Budget Filing Data'!S200</f>
        <v>509.49172692000008</v>
      </c>
      <c r="AB206" s="478">
        <f>'Budget Filing Data'!AO200</f>
        <v>5.9951107190633746</v>
      </c>
      <c r="AC206" s="478">
        <f>'Budget Filing Data'!AP200</f>
        <v>2.7054010699452</v>
      </c>
      <c r="AD206" s="478">
        <f>'Budget Filing Data'!T200</f>
        <v>565384.14896372508</v>
      </c>
      <c r="AE206" s="478">
        <f>'Budget Filing Data'!U200</f>
        <v>6745.2788132400001</v>
      </c>
      <c r="AF206" s="478">
        <f>'Budget Filing Data'!$V200</f>
        <v>95.899968422904337</v>
      </c>
      <c r="AG206" s="478">
        <f>'Budget Filing Data'!$W200</f>
        <v>35.817430498304383</v>
      </c>
      <c r="AH206" s="479">
        <v>0</v>
      </c>
    </row>
    <row r="207" spans="3:34" ht="25.5" hidden="1">
      <c r="C207" s="470" t="str">
        <f>'Budget Filing Data'!D201</f>
        <v>SDGE_SW_NC_NonRes_Com_mixed_PA</v>
      </c>
      <c r="D207" s="470" t="str">
        <f>'Budget Filing Data'!E201</f>
        <v>SW New Construction Non Residential - Commercial - Mixed Fuel (Utility)</v>
      </c>
      <c r="E207" s="471" t="s">
        <v>42</v>
      </c>
      <c r="F207" s="471" t="s">
        <v>325</v>
      </c>
      <c r="G207" s="472" t="str">
        <f>'Budget Filing Data'!J201</f>
        <v>IOU Core</v>
      </c>
      <c r="H207" s="472" t="str">
        <f>IF('Budget Filing Data'!H201="","",'Budget Filing Data'!H201)</f>
        <v>SW_NC_NonRes_Com_mixed - New Construction - NonResidential - Mixed Fuel</v>
      </c>
      <c r="I207" s="473" t="s">
        <v>24</v>
      </c>
      <c r="J207" s="472" t="str">
        <f>'Budget Filing Data'!G201</f>
        <v>Commercial</v>
      </c>
      <c r="K207" s="472" t="str">
        <f>'Budget Filing Data'!I201</f>
        <v>New Construction</v>
      </c>
      <c r="L207" s="472" t="str">
        <f>'Budget Filing Data'!L201</f>
        <v>Market Support</v>
      </c>
      <c r="M207" s="472">
        <f>'Budget Filing Data'!B201</f>
        <v>2030</v>
      </c>
      <c r="N207" s="474">
        <f t="shared" si="2"/>
        <v>2046.0015000000001</v>
      </c>
      <c r="O207" s="475">
        <f>'Budget Filing Data'!AQ201</f>
        <v>2046.0015000000001</v>
      </c>
      <c r="P207" s="475">
        <f>'Budget Filing Data'!AR201</f>
        <v>0</v>
      </c>
      <c r="Q207" s="475">
        <f>'Budget Filing Data'!AS201</f>
        <v>0</v>
      </c>
      <c r="R207" s="475">
        <f>'Budget Filing Data'!AT201</f>
        <v>0</v>
      </c>
      <c r="S207" s="476">
        <f>'Budget Filing Data'!X201</f>
        <v>0</v>
      </c>
      <c r="T207" s="477">
        <f>IFERROR((('Budget Filing Data'!AF201+'Budget Filing Data'!AG201+'Budget Filing Data'!AY201+'Budget Filing Data'!AH201)/'Budget Filing Data'!AA201),"")</f>
        <v>0</v>
      </c>
      <c r="U207" s="477">
        <f>IFERROR((('Budget Filing Data'!AF201+'Budget Filing Data'!AG201+'Budget Filing Data'!AY201+'Budget Filing Data'!AH201)/'Budget Filing Data'!AB201),"")</f>
        <v>0</v>
      </c>
      <c r="V207" s="477">
        <f>IFERROR((('Budget Filing Data'!AF201+'Budget Filing Data'!AG201+'Budget Filing Data'!AY201+'Budget Filing Data'!AH201+'Budget Filing Data'!AW201+'Budget Filing Data'!AX201)/('Budget Filing Data'!AE201)),"")</f>
        <v>0</v>
      </c>
      <c r="W207" s="477">
        <f>IFERROR(('Budget Filing Data'!AI201+'Budget Filing Data'!AJ201+'Budget Filing Data'!AK201+'Budget Filing Data'!AH201)/('Budget Filing Data'!AC201),"")</f>
        <v>0</v>
      </c>
      <c r="X207" s="477">
        <f>IFERROR(('Budget Filing Data'!AL201+'Budget Filing Data'!AM201+'Budget Filing Data'!AN201+'Budget Filing Data'!AH201)/('Budget Filing Data'!AD201),"")</f>
        <v>0</v>
      </c>
      <c r="Y207" s="478">
        <f>'Budget Filing Data'!Q201</f>
        <v>0</v>
      </c>
      <c r="Z207" s="478">
        <f>'Budget Filing Data'!R201</f>
        <v>0</v>
      </c>
      <c r="AA207" s="478">
        <f>'Budget Filing Data'!S201</f>
        <v>0</v>
      </c>
      <c r="AB207" s="478">
        <f>'Budget Filing Data'!AO201</f>
        <v>0</v>
      </c>
      <c r="AC207" s="478">
        <f>'Budget Filing Data'!AP201</f>
        <v>0</v>
      </c>
      <c r="AD207" s="478">
        <f>'Budget Filing Data'!T201</f>
        <v>0</v>
      </c>
      <c r="AE207" s="478">
        <f>'Budget Filing Data'!U201</f>
        <v>0</v>
      </c>
      <c r="AF207" s="478">
        <f>'Budget Filing Data'!$V201</f>
        <v>0</v>
      </c>
      <c r="AG207" s="478">
        <f>'Budget Filing Data'!$W201</f>
        <v>0</v>
      </c>
      <c r="AH207" s="479">
        <v>0</v>
      </c>
    </row>
    <row r="208" spans="3:34" hidden="1">
      <c r="C208" s="470" t="str">
        <f>'Budget Filing Data'!D202</f>
        <v>SDGE_SW_NC_NonRes_Ind_mixed</v>
      </c>
      <c r="D208" s="470" t="str">
        <f>'Budget Filing Data'!E202</f>
        <v>SW New Construction Non Residential - Industrial - Mixed Fuel</v>
      </c>
      <c r="E208" s="471" t="s">
        <v>37</v>
      </c>
      <c r="F208" s="471" t="s">
        <v>323</v>
      </c>
      <c r="G208" s="472" t="str">
        <f>'Budget Filing Data'!J202</f>
        <v>Third-Party Solicited</v>
      </c>
      <c r="H208" s="472" t="str">
        <f>IF('Budget Filing Data'!H202="","",'Budget Filing Data'!H202)</f>
        <v>SW_NC_NonRes_Ind_mixed - New Construction - NonResidential - Mixed Fuel</v>
      </c>
      <c r="I208" s="473" t="s">
        <v>24</v>
      </c>
      <c r="J208" s="472" t="str">
        <f>'Budget Filing Data'!G202</f>
        <v>Industrial</v>
      </c>
      <c r="K208" s="472" t="str">
        <f>'Budget Filing Data'!I202</f>
        <v>New Construction</v>
      </c>
      <c r="L208" s="472" t="str">
        <f>'Budget Filing Data'!L202</f>
        <v>Market Support</v>
      </c>
      <c r="M208" s="472">
        <f>'Budget Filing Data'!B202</f>
        <v>2030</v>
      </c>
      <c r="N208" s="474">
        <f t="shared" ref="N208:N271" si="3">SUM(O208:R208)</f>
        <v>53312.681949999998</v>
      </c>
      <c r="O208" s="475">
        <f>'Budget Filing Data'!AQ202</f>
        <v>4767.5150999999996</v>
      </c>
      <c r="P208" s="475">
        <f>'Budget Filing Data'!AR202</f>
        <v>3575.6363999999999</v>
      </c>
      <c r="Q208" s="475">
        <f>'Budget Filing Data'!AS202</f>
        <v>15494.424199999999</v>
      </c>
      <c r="R208" s="475">
        <f>'Budget Filing Data'!AT202</f>
        <v>29475.106250000001</v>
      </c>
      <c r="S208" s="476">
        <f>'Budget Filing Data'!X202</f>
        <v>20558.46565034796</v>
      </c>
      <c r="T208" s="477">
        <f>IFERROR((('Budget Filing Data'!AF202+'Budget Filing Data'!AG202+'Budget Filing Data'!AY202+'Budget Filing Data'!AH202)/'Budget Filing Data'!AA202),"")</f>
        <v>0.51673161201476236</v>
      </c>
      <c r="U208" s="477">
        <f>IFERROR((('Budget Filing Data'!AF202+'Budget Filing Data'!AG202+'Budget Filing Data'!AY202+'Budget Filing Data'!AH202)/'Budget Filing Data'!AB202),"")</f>
        <v>0.39762876606660591</v>
      </c>
      <c r="V208" s="477">
        <f>IFERROR((('Budget Filing Data'!AF202+'Budget Filing Data'!AG202+'Budget Filing Data'!AY202+'Budget Filing Data'!AH202+'Budget Filing Data'!AW202+'Budget Filing Data'!AX202)/('Budget Filing Data'!AE202)),"")</f>
        <v>0.31513780559822557</v>
      </c>
      <c r="W208" s="477">
        <f>IFERROR(('Budget Filing Data'!AI202+'Budget Filing Data'!AJ202+'Budget Filing Data'!AK202+'Budget Filing Data'!AH202)/('Budget Filing Data'!AC202),"")</f>
        <v>0.77993206068957932</v>
      </c>
      <c r="X208" s="477">
        <f>IFERROR(('Budget Filing Data'!AL202+'Budget Filing Data'!AM202+'Budget Filing Data'!AN202+'Budget Filing Data'!AH202)/('Budget Filing Data'!AD202),"")</f>
        <v>0.77993206068957932</v>
      </c>
      <c r="Y208" s="478">
        <f>'Budget Filing Data'!Q202</f>
        <v>496.49599999999998</v>
      </c>
      <c r="Z208" s="478">
        <f>'Budget Filing Data'!R202</f>
        <v>0.10142860000000001</v>
      </c>
      <c r="AA208" s="478">
        <f>'Budget Filing Data'!S202</f>
        <v>909.82979999999998</v>
      </c>
      <c r="AB208" s="478">
        <f>'Budget Filing Data'!AO202</f>
        <v>6.2888360116399797E-2</v>
      </c>
      <c r="AC208" s="478">
        <f>'Budget Filing Data'!AP202</f>
        <v>4.8311962380000004</v>
      </c>
      <c r="AD208" s="478">
        <f>'Budget Filing Data'!T202</f>
        <v>6982.2479999999996</v>
      </c>
      <c r="AE208" s="478">
        <f>'Budget Filing Data'!U202</f>
        <v>13647.447</v>
      </c>
      <c r="AF208" s="478">
        <f>'Budget Filing Data'!$V202</f>
        <v>0.87203277506799814</v>
      </c>
      <c r="AG208" s="478">
        <f>'Budget Filing Data'!$W202</f>
        <v>72.467943570000003</v>
      </c>
      <c r="AH208" s="479">
        <v>0</v>
      </c>
    </row>
    <row r="209" spans="3:34" hidden="1">
      <c r="C209" s="470" t="str">
        <f>'Budget Filing Data'!D203</f>
        <v>SDGE_SW_NC_NonRes_Ind_mixed_PA</v>
      </c>
      <c r="D209" s="470" t="str">
        <f>'Budget Filing Data'!E203</f>
        <v>SW New Construction Non Residential - Industrial - Mixed Fuel (Utility)</v>
      </c>
      <c r="E209" s="471"/>
      <c r="F209" s="480"/>
      <c r="G209" s="472" t="str">
        <f>'Budget Filing Data'!J203</f>
        <v>IOU Core</v>
      </c>
      <c r="H209" s="472" t="str">
        <f>IF('Budget Filing Data'!H203="","",'Budget Filing Data'!H203)</f>
        <v>SW_NC_NonRes_Ind_mixed - New Construction - NonResidential - Mixed Fuel</v>
      </c>
      <c r="I209" s="473" t="s">
        <v>24</v>
      </c>
      <c r="J209" s="472" t="str">
        <f>'Budget Filing Data'!G203</f>
        <v>Industrial</v>
      </c>
      <c r="K209" s="472" t="str">
        <f>'Budget Filing Data'!I203</f>
        <v>New Construction</v>
      </c>
      <c r="L209" s="472" t="str">
        <f>'Budget Filing Data'!L203</f>
        <v>Market Support</v>
      </c>
      <c r="M209" s="472">
        <f>'Budget Filing Data'!B203</f>
        <v>2030</v>
      </c>
      <c r="N209" s="474">
        <f t="shared" si="3"/>
        <v>513.39149999999995</v>
      </c>
      <c r="O209" s="475">
        <f>'Budget Filing Data'!AQ203</f>
        <v>513.39149999999995</v>
      </c>
      <c r="P209" s="475">
        <f>'Budget Filing Data'!AR203</f>
        <v>0</v>
      </c>
      <c r="Q209" s="475">
        <f>'Budget Filing Data'!AS203</f>
        <v>0</v>
      </c>
      <c r="R209" s="475">
        <f>'Budget Filing Data'!AT203</f>
        <v>0</v>
      </c>
      <c r="S209" s="476">
        <f>'Budget Filing Data'!X203</f>
        <v>0</v>
      </c>
      <c r="T209" s="477">
        <f>IFERROR((('Budget Filing Data'!AF203+'Budget Filing Data'!AG203+'Budget Filing Data'!AY203+'Budget Filing Data'!AH203)/'Budget Filing Data'!AA203),"")</f>
        <v>0</v>
      </c>
      <c r="U209" s="477">
        <f>IFERROR((('Budget Filing Data'!AF203+'Budget Filing Data'!AG203+'Budget Filing Data'!AY203+'Budget Filing Data'!AH203)/'Budget Filing Data'!AB203),"")</f>
        <v>0</v>
      </c>
      <c r="V209" s="477">
        <f>IFERROR((('Budget Filing Data'!AF203+'Budget Filing Data'!AG203+'Budget Filing Data'!AY203+'Budget Filing Data'!AH203+'Budget Filing Data'!AW203+'Budget Filing Data'!AX203)/('Budget Filing Data'!AE203)),"")</f>
        <v>0</v>
      </c>
      <c r="W209" s="477">
        <f>IFERROR(('Budget Filing Data'!AI203+'Budget Filing Data'!AJ203+'Budget Filing Data'!AK203+'Budget Filing Data'!AH203)/('Budget Filing Data'!AC203),"")</f>
        <v>0</v>
      </c>
      <c r="X209" s="477">
        <f>IFERROR(('Budget Filing Data'!AL203+'Budget Filing Data'!AM203+'Budget Filing Data'!AN203+'Budget Filing Data'!AH203)/('Budget Filing Data'!AD203),"")</f>
        <v>0</v>
      </c>
      <c r="Y209" s="478">
        <f>'Budget Filing Data'!Q203</f>
        <v>0</v>
      </c>
      <c r="Z209" s="478">
        <f>'Budget Filing Data'!R203</f>
        <v>0</v>
      </c>
      <c r="AA209" s="478">
        <f>'Budget Filing Data'!S203</f>
        <v>0</v>
      </c>
      <c r="AB209" s="478">
        <f>'Budget Filing Data'!AO203</f>
        <v>0</v>
      </c>
      <c r="AC209" s="478">
        <f>'Budget Filing Data'!AP203</f>
        <v>0</v>
      </c>
      <c r="AD209" s="478">
        <f>'Budget Filing Data'!T203</f>
        <v>0</v>
      </c>
      <c r="AE209" s="478">
        <f>'Budget Filing Data'!U203</f>
        <v>0</v>
      </c>
      <c r="AF209" s="478">
        <f>'Budget Filing Data'!$V203</f>
        <v>0</v>
      </c>
      <c r="AG209" s="478">
        <f>'Budget Filing Data'!$W203</f>
        <v>0</v>
      </c>
      <c r="AH209" s="479">
        <v>0</v>
      </c>
    </row>
    <row r="210" spans="3:34" hidden="1">
      <c r="C210" s="470" t="str">
        <f>'Budget Filing Data'!D204</f>
        <v>SDGE_SW_NC_NonRes_Pub_mixed</v>
      </c>
      <c r="D210" s="470" t="str">
        <f>'Budget Filing Data'!E204</f>
        <v>SW New Construction Non Residential - Public - Mixed Fuel</v>
      </c>
      <c r="E210" s="471"/>
      <c r="F210" s="480"/>
      <c r="G210" s="472" t="str">
        <f>'Budget Filing Data'!J204</f>
        <v>Third-Party Solicited</v>
      </c>
      <c r="H210" s="472" t="str">
        <f>IF('Budget Filing Data'!H204="","",'Budget Filing Data'!H204)</f>
        <v>SW_NC_NonRes_Pub_mixed - New Construction - NonResidential - Mixed Fuel</v>
      </c>
      <c r="I210" s="473" t="s">
        <v>24</v>
      </c>
      <c r="J210" s="472" t="str">
        <f>'Budget Filing Data'!G204</f>
        <v>Public</v>
      </c>
      <c r="K210" s="472" t="str">
        <f>'Budget Filing Data'!I204</f>
        <v>New Construction</v>
      </c>
      <c r="L210" s="472" t="str">
        <f>'Budget Filing Data'!L204</f>
        <v>Market Support</v>
      </c>
      <c r="M210" s="472">
        <f>'Budget Filing Data'!B204</f>
        <v>2030</v>
      </c>
      <c r="N210" s="474">
        <f t="shared" si="3"/>
        <v>190402.43143599998</v>
      </c>
      <c r="O210" s="475">
        <f>'Budget Filing Data'!AQ204</f>
        <v>17026.839800000002</v>
      </c>
      <c r="P210" s="475">
        <f>'Budget Filing Data'!AR204</f>
        <v>12770.129800000001</v>
      </c>
      <c r="Q210" s="475">
        <f>'Budget Filing Data'!AS204</f>
        <v>55337.229200000002</v>
      </c>
      <c r="R210" s="475">
        <f>'Budget Filing Data'!AT204</f>
        <v>105268.23263599996</v>
      </c>
      <c r="S210" s="476">
        <f>'Budget Filing Data'!X204</f>
        <v>19117.055379474092</v>
      </c>
      <c r="T210" s="477">
        <f>IFERROR((('Budget Filing Data'!AF204+'Budget Filing Data'!AG204+'Budget Filing Data'!AY204+'Budget Filing Data'!AH204)/'Budget Filing Data'!AA204),"")</f>
        <v>0.12895060574726541</v>
      </c>
      <c r="U210" s="477">
        <f>IFERROR((('Budget Filing Data'!AF204+'Budget Filing Data'!AG204+'Budget Filing Data'!AY204+'Budget Filing Data'!AH204)/'Budget Filing Data'!AB204),"")</f>
        <v>0.10374715256448884</v>
      </c>
      <c r="V210" s="477">
        <f>IFERROR((('Budget Filing Data'!AF204+'Budget Filing Data'!AG204+'Budget Filing Data'!AY204+'Budget Filing Data'!AH204+'Budget Filing Data'!AW204+'Budget Filing Data'!AX204)/('Budget Filing Data'!AE204)),"")</f>
        <v>8.6462960523363858E-2</v>
      </c>
      <c r="W210" s="477">
        <f>IFERROR(('Budget Filing Data'!AI204+'Budget Filing Data'!AJ204+'Budget Filing Data'!AK204+'Budget Filing Data'!AH204)/('Budget Filing Data'!AC204),"")</f>
        <v>0.14322962702829053</v>
      </c>
      <c r="X210" s="477">
        <f>IFERROR(('Budget Filing Data'!AL204+'Budget Filing Data'!AM204+'Budget Filing Data'!AN204+'Budget Filing Data'!AH204)/('Budget Filing Data'!AD204),"")</f>
        <v>0.14322962702829053</v>
      </c>
      <c r="Y210" s="478">
        <f>'Budget Filing Data'!Q204</f>
        <v>7485.6563599999954</v>
      </c>
      <c r="Z210" s="478">
        <f>'Budget Filing Data'!R204</f>
        <v>3.2046541799999968</v>
      </c>
      <c r="AA210" s="478">
        <f>'Budget Filing Data'!S204</f>
        <v>40.320720000000009</v>
      </c>
      <c r="AB210" s="478">
        <f>'Budget Filing Data'!AO204</f>
        <v>1.0879882555491032</v>
      </c>
      <c r="AC210" s="478">
        <f>'Budget Filing Data'!AP204</f>
        <v>0.21410302319999999</v>
      </c>
      <c r="AD210" s="478">
        <f>'Budget Filing Data'!T204</f>
        <v>109755.80615999992</v>
      </c>
      <c r="AE210" s="478">
        <f>'Budget Filing Data'!U204</f>
        <v>571.28543999999999</v>
      </c>
      <c r="AF210" s="478">
        <f>'Budget Filing Data'!$V204</f>
        <v>15.927491313056592</v>
      </c>
      <c r="AG210" s="478">
        <f>'Budget Filing Data'!$W204</f>
        <v>3.0335256864</v>
      </c>
      <c r="AH210" s="479">
        <v>0</v>
      </c>
    </row>
    <row r="211" spans="3:34" hidden="1">
      <c r="C211" s="470" t="str">
        <f>'Budget Filing Data'!D205</f>
        <v>SDGE_SW_NC_NonRes_Pub_mixed_PA</v>
      </c>
      <c r="D211" s="470" t="str">
        <f>'Budget Filing Data'!E205</f>
        <v>SW New Construction Non Residential - Public - Mixed Fuel (Utility)</v>
      </c>
      <c r="E211" s="471"/>
      <c r="F211" s="480"/>
      <c r="G211" s="472" t="str">
        <f>'Budget Filing Data'!J205</f>
        <v>IOU Core</v>
      </c>
      <c r="H211" s="472" t="str">
        <f>IF('Budget Filing Data'!H205="","",'Budget Filing Data'!H205)</f>
        <v>SW_NC_NonRes_Pub_mixed - New Construction - NonResidential - Mixed Fuel</v>
      </c>
      <c r="I211" s="473" t="s">
        <v>24</v>
      </c>
      <c r="J211" s="472" t="str">
        <f>'Budget Filing Data'!G205</f>
        <v>Public</v>
      </c>
      <c r="K211" s="472" t="str">
        <f>'Budget Filing Data'!I205</f>
        <v>New Construction</v>
      </c>
      <c r="L211" s="472" t="str">
        <f>'Budget Filing Data'!L205</f>
        <v>Market Support</v>
      </c>
      <c r="M211" s="472">
        <f>'Budget Filing Data'!B205</f>
        <v>2030</v>
      </c>
      <c r="N211" s="474">
        <f t="shared" si="3"/>
        <v>1349.3615</v>
      </c>
      <c r="O211" s="475">
        <f>'Budget Filing Data'!AQ205</f>
        <v>1349.3615</v>
      </c>
      <c r="P211" s="475">
        <f>'Budget Filing Data'!AR205</f>
        <v>0</v>
      </c>
      <c r="Q211" s="475">
        <f>'Budget Filing Data'!AS205</f>
        <v>0</v>
      </c>
      <c r="R211" s="475">
        <f>'Budget Filing Data'!AT205</f>
        <v>0</v>
      </c>
      <c r="S211" s="476">
        <f>'Budget Filing Data'!X205</f>
        <v>0</v>
      </c>
      <c r="T211" s="477">
        <f>IFERROR((('Budget Filing Data'!AF205+'Budget Filing Data'!AG205+'Budget Filing Data'!AY205+'Budget Filing Data'!AH205)/'Budget Filing Data'!AA205),"")</f>
        <v>0</v>
      </c>
      <c r="U211" s="477">
        <f>IFERROR((('Budget Filing Data'!AF205+'Budget Filing Data'!AG205+'Budget Filing Data'!AY205+'Budget Filing Data'!AH205)/'Budget Filing Data'!AB205),"")</f>
        <v>0</v>
      </c>
      <c r="V211" s="477">
        <f>IFERROR((('Budget Filing Data'!AF205+'Budget Filing Data'!AG205+'Budget Filing Data'!AY205+'Budget Filing Data'!AH205+'Budget Filing Data'!AW205+'Budget Filing Data'!AX205)/('Budget Filing Data'!AE205)),"")</f>
        <v>0</v>
      </c>
      <c r="W211" s="477">
        <f>IFERROR(('Budget Filing Data'!AI205+'Budget Filing Data'!AJ205+'Budget Filing Data'!AK205+'Budget Filing Data'!AH205)/('Budget Filing Data'!AC205),"")</f>
        <v>0</v>
      </c>
      <c r="X211" s="477">
        <f>IFERROR(('Budget Filing Data'!AL205+'Budget Filing Data'!AM205+'Budget Filing Data'!AN205+'Budget Filing Data'!AH205)/('Budget Filing Data'!AD205),"")</f>
        <v>0</v>
      </c>
      <c r="Y211" s="478">
        <f>'Budget Filing Data'!Q205</f>
        <v>0</v>
      </c>
      <c r="Z211" s="478">
        <f>'Budget Filing Data'!R205</f>
        <v>0</v>
      </c>
      <c r="AA211" s="478">
        <f>'Budget Filing Data'!S205</f>
        <v>0</v>
      </c>
      <c r="AB211" s="478">
        <f>'Budget Filing Data'!AO205</f>
        <v>0</v>
      </c>
      <c r="AC211" s="478">
        <f>'Budget Filing Data'!AP205</f>
        <v>0</v>
      </c>
      <c r="AD211" s="478">
        <f>'Budget Filing Data'!T205</f>
        <v>0</v>
      </c>
      <c r="AE211" s="478">
        <f>'Budget Filing Data'!U205</f>
        <v>0</v>
      </c>
      <c r="AF211" s="478">
        <f>'Budget Filing Data'!$V205</f>
        <v>0</v>
      </c>
      <c r="AG211" s="478">
        <f>'Budget Filing Data'!$W205</f>
        <v>0</v>
      </c>
      <c r="AH211" s="479">
        <v>0</v>
      </c>
    </row>
    <row r="212" spans="3:34">
      <c r="C212" s="470" t="str">
        <f>'Budget Filing Data'!D206</f>
        <v>SDGE_SW_NC_NonRes_Res_mixed</v>
      </c>
      <c r="D212" s="470" t="str">
        <f>'Budget Filing Data'!E206</f>
        <v>SW New Construction NonResidential - Residential - Mixed Fuel</v>
      </c>
      <c r="E212" s="471"/>
      <c r="F212" s="480"/>
      <c r="G212" s="472" t="str">
        <f>'Budget Filing Data'!J206</f>
        <v>Third-Party Solicited</v>
      </c>
      <c r="H212" s="472" t="str">
        <f>IF('Budget Filing Data'!H206="","",'Budget Filing Data'!H206)</f>
        <v>SW_NC_NonRes_Res_mixed - New Construction - NonResidential - Mixed Fuel</v>
      </c>
      <c r="I212" s="473" t="s">
        <v>24</v>
      </c>
      <c r="J212" s="472" t="str">
        <f>'Budget Filing Data'!G206</f>
        <v>Residential</v>
      </c>
      <c r="K212" s="472" t="str">
        <f>'Budget Filing Data'!I206</f>
        <v>New Construction</v>
      </c>
      <c r="L212" s="472" t="str">
        <f>'Budget Filing Data'!L206</f>
        <v>Market Support</v>
      </c>
      <c r="M212" s="472">
        <f>'Budget Filing Data'!B206</f>
        <v>2030</v>
      </c>
      <c r="N212" s="474">
        <f t="shared" si="3"/>
        <v>99009.264638979963</v>
      </c>
      <c r="O212" s="475">
        <f>'Budget Filing Data'!AQ206</f>
        <v>8853.9567000000006</v>
      </c>
      <c r="P212" s="475">
        <f>'Budget Filing Data'!AR206</f>
        <v>6640.4674999999997</v>
      </c>
      <c r="Q212" s="475">
        <f>'Budget Filing Data'!AS206</f>
        <v>28775.359199999999</v>
      </c>
      <c r="R212" s="475">
        <f>'Budget Filing Data'!AT206</f>
        <v>54739.481238979963</v>
      </c>
      <c r="S212" s="476">
        <f>'Budget Filing Data'!X206</f>
        <v>19246.684610315791</v>
      </c>
      <c r="T212" s="477">
        <f>IFERROR((('Budget Filing Data'!AF206+'Budget Filing Data'!AG206+'Budget Filing Data'!AY206+'Budget Filing Data'!AH206)/'Budget Filing Data'!AA206),"")</f>
        <v>6.9878687422259056E-2</v>
      </c>
      <c r="U212" s="477">
        <f>IFERROR((('Budget Filing Data'!AF206+'Budget Filing Data'!AG206+'Budget Filing Data'!AY206+'Budget Filing Data'!AH206)/'Budget Filing Data'!AB206),"")</f>
        <v>0.20002924398187868</v>
      </c>
      <c r="V212" s="477">
        <f>IFERROR((('Budget Filing Data'!AF206+'Budget Filing Data'!AG206+'Budget Filing Data'!AY206+'Budget Filing Data'!AH206+'Budget Filing Data'!AW206+'Budget Filing Data'!AX206)/('Budget Filing Data'!AE206)),"")</f>
        <v>0.13193296744076596</v>
      </c>
      <c r="W212" s="477">
        <f>IFERROR(('Budget Filing Data'!AI206+'Budget Filing Data'!AJ206+'Budget Filing Data'!AK206+'Budget Filing Data'!AH206)/('Budget Filing Data'!AC206),"")</f>
        <v>8.5947912248289252E-2</v>
      </c>
      <c r="X212" s="477">
        <f>IFERROR(('Budget Filing Data'!AL206+'Budget Filing Data'!AM206+'Budget Filing Data'!AN206+'Budget Filing Data'!AH206)/('Budget Filing Data'!AD206),"")</f>
        <v>8.5947912248289252E-2</v>
      </c>
      <c r="Y212" s="478">
        <f>'Budget Filing Data'!Q206</f>
        <v>10829.957498814994</v>
      </c>
      <c r="Z212" s="478">
        <f>'Budget Filing Data'!R206</f>
        <v>2.3568414787644958</v>
      </c>
      <c r="AA212" s="478">
        <f>'Budget Filing Data'!S206</f>
        <v>233.58802513200004</v>
      </c>
      <c r="AB212" s="478">
        <f>'Budget Filing Data'!AO206</f>
        <v>1.8940114203712681</v>
      </c>
      <c r="AC212" s="478">
        <f>'Budget Filing Data'!AP206</f>
        <v>1.2403524134509198</v>
      </c>
      <c r="AD212" s="478">
        <f>'Budget Filing Data'!T206</f>
        <v>150671.22068179972</v>
      </c>
      <c r="AE212" s="478">
        <f>'Budget Filing Data'!U206</f>
        <v>2476.0398643200001</v>
      </c>
      <c r="AF212" s="478">
        <f>'Budget Filing Data'!$V206</f>
        <v>29.985510174462441</v>
      </c>
      <c r="AG212" s="478">
        <f>'Budget Filing Data'!$W206</f>
        <v>13.147771679539199</v>
      </c>
      <c r="AH212" s="479">
        <v>0</v>
      </c>
    </row>
    <row r="213" spans="3:34">
      <c r="C213" s="470" t="str">
        <f>'Budget Filing Data'!D207</f>
        <v>SDGE_SW_NC_NonRes_Res_mixed_PA</v>
      </c>
      <c r="D213" s="470" t="str">
        <f>'Budget Filing Data'!E207</f>
        <v>SW New Construction NonResidential - Residential - Mixed Fuel (Utility)</v>
      </c>
      <c r="E213" s="471"/>
      <c r="F213" s="480"/>
      <c r="G213" s="472" t="str">
        <f>'Budget Filing Data'!J207</f>
        <v>IOU Core</v>
      </c>
      <c r="H213" s="472" t="str">
        <f>IF('Budget Filing Data'!H207="","",'Budget Filing Data'!H207)</f>
        <v>SW_NC_NonRes_Res_mixed - New Construction - NonResidential - Mixed Fuel</v>
      </c>
      <c r="I213" s="473" t="s">
        <v>24</v>
      </c>
      <c r="J213" s="472" t="str">
        <f>'Budget Filing Data'!G207</f>
        <v>Residential</v>
      </c>
      <c r="K213" s="472" t="str">
        <f>'Budget Filing Data'!I207</f>
        <v>New Construction</v>
      </c>
      <c r="L213" s="472" t="str">
        <f>'Budget Filing Data'!L207</f>
        <v>Market Support</v>
      </c>
      <c r="M213" s="472">
        <f>'Budget Filing Data'!B207</f>
        <v>2030</v>
      </c>
      <c r="N213" s="474">
        <f t="shared" si="3"/>
        <v>792.04150000000004</v>
      </c>
      <c r="O213" s="475">
        <f>'Budget Filing Data'!AQ207</f>
        <v>792.04150000000004</v>
      </c>
      <c r="P213" s="475">
        <f>'Budget Filing Data'!AR207</f>
        <v>0</v>
      </c>
      <c r="Q213" s="475">
        <f>'Budget Filing Data'!AS207</f>
        <v>0</v>
      </c>
      <c r="R213" s="475">
        <f>'Budget Filing Data'!AT207</f>
        <v>0</v>
      </c>
      <c r="S213" s="476">
        <f>'Budget Filing Data'!X207</f>
        <v>0</v>
      </c>
      <c r="T213" s="477">
        <f>IFERROR((('Budget Filing Data'!AF207+'Budget Filing Data'!AG207+'Budget Filing Data'!AY207+'Budget Filing Data'!AH207)/'Budget Filing Data'!AA207),"")</f>
        <v>0</v>
      </c>
      <c r="U213" s="477">
        <f>IFERROR((('Budget Filing Data'!AF207+'Budget Filing Data'!AG207+'Budget Filing Data'!AY207+'Budget Filing Data'!AH207)/'Budget Filing Data'!AB207),"")</f>
        <v>0</v>
      </c>
      <c r="V213" s="477">
        <f>IFERROR((('Budget Filing Data'!AF207+'Budget Filing Data'!AG207+'Budget Filing Data'!AY207+'Budget Filing Data'!AH207+'Budget Filing Data'!AW207+'Budget Filing Data'!AX207)/('Budget Filing Data'!AE207)),"")</f>
        <v>0</v>
      </c>
      <c r="W213" s="477">
        <f>IFERROR(('Budget Filing Data'!AI207+'Budget Filing Data'!AJ207+'Budget Filing Data'!AK207+'Budget Filing Data'!AH207)/('Budget Filing Data'!AC207),"")</f>
        <v>0</v>
      </c>
      <c r="X213" s="477">
        <f>IFERROR(('Budget Filing Data'!AL207+'Budget Filing Data'!AM207+'Budget Filing Data'!AN207+'Budget Filing Data'!AH207)/('Budget Filing Data'!AD207),"")</f>
        <v>0</v>
      </c>
      <c r="Y213" s="478">
        <f>'Budget Filing Data'!Q207</f>
        <v>0</v>
      </c>
      <c r="Z213" s="478">
        <f>'Budget Filing Data'!R207</f>
        <v>0</v>
      </c>
      <c r="AA213" s="478">
        <f>'Budget Filing Data'!S207</f>
        <v>0</v>
      </c>
      <c r="AB213" s="478">
        <f>'Budget Filing Data'!AO207</f>
        <v>0</v>
      </c>
      <c r="AC213" s="478">
        <f>'Budget Filing Data'!AP207</f>
        <v>0</v>
      </c>
      <c r="AD213" s="478">
        <f>'Budget Filing Data'!T207</f>
        <v>0</v>
      </c>
      <c r="AE213" s="478">
        <f>'Budget Filing Data'!U207</f>
        <v>0</v>
      </c>
      <c r="AF213" s="478">
        <f>'Budget Filing Data'!$V207</f>
        <v>0</v>
      </c>
      <c r="AG213" s="478">
        <f>'Budget Filing Data'!$W207</f>
        <v>0</v>
      </c>
      <c r="AH213" s="479">
        <v>0</v>
      </c>
    </row>
    <row r="214" spans="3:34">
      <c r="C214" s="470" t="str">
        <f>'Budget Filing Data'!D208</f>
        <v>SDGE_SW_NC_Res_electric</v>
      </c>
      <c r="D214" s="470" t="str">
        <f>'Budget Filing Data'!E208</f>
        <v>SW New Construction Residential - All Electric</v>
      </c>
      <c r="E214" s="471"/>
      <c r="F214" s="480"/>
      <c r="G214" s="472" t="str">
        <f>'Budget Filing Data'!J208</f>
        <v>Third-Party Solicited</v>
      </c>
      <c r="H214" s="472" t="str">
        <f>IF('Budget Filing Data'!H208="","",'Budget Filing Data'!H208)</f>
        <v>SW_NC_Res_electric - New Construction - Residential - All Electric</v>
      </c>
      <c r="I214" s="473" t="s">
        <v>24</v>
      </c>
      <c r="J214" s="472" t="str">
        <f>'Budget Filing Data'!G208</f>
        <v>Residential</v>
      </c>
      <c r="K214" s="472" t="str">
        <f>'Budget Filing Data'!I208</f>
        <v>New Construction</v>
      </c>
      <c r="L214" s="472" t="str">
        <f>'Budget Filing Data'!L208</f>
        <v>Market Support</v>
      </c>
      <c r="M214" s="472">
        <f>'Budget Filing Data'!B208</f>
        <v>2030</v>
      </c>
      <c r="N214" s="474">
        <f t="shared" si="3"/>
        <v>925090.6209199999</v>
      </c>
      <c r="O214" s="475">
        <f>'Budget Filing Data'!AQ208</f>
        <v>37846.627</v>
      </c>
      <c r="P214" s="475">
        <f>'Budget Filing Data'!AR208</f>
        <v>20020</v>
      </c>
      <c r="Q214" s="475">
        <f>'Budget Filing Data'!AS208</f>
        <v>358452.09399999998</v>
      </c>
      <c r="R214" s="475">
        <f>'Budget Filing Data'!AT208</f>
        <v>508771.89991999994</v>
      </c>
      <c r="S214" s="476">
        <f>'Budget Filing Data'!X208</f>
        <v>504881.54490675556</v>
      </c>
      <c r="T214" s="477">
        <f>IFERROR((('Budget Filing Data'!AF208+'Budget Filing Data'!AG208+'Budget Filing Data'!AY208+'Budget Filing Data'!AH208)/'Budget Filing Data'!AA208),"")</f>
        <v>0.60867232092305523</v>
      </c>
      <c r="U214" s="477">
        <f>IFERROR((('Budget Filing Data'!AF208+'Budget Filing Data'!AG208+'Budget Filing Data'!AY208+'Budget Filing Data'!AH208)/'Budget Filing Data'!AB208),"")</f>
        <v>0.6173079782464862</v>
      </c>
      <c r="V214" s="477">
        <f>IFERROR((('Budget Filing Data'!AF208+'Budget Filing Data'!AG208+'Budget Filing Data'!AY208+'Budget Filing Data'!AH208+'Budget Filing Data'!AW208+'Budget Filing Data'!AX208)/('Budget Filing Data'!AE208)),"")</f>
        <v>0.66006858609152452</v>
      </c>
      <c r="W214" s="477">
        <f>IFERROR(('Budget Filing Data'!AI208+'Budget Filing Data'!AJ208+'Budget Filing Data'!AK208+'Budget Filing Data'!AH208)/('Budget Filing Data'!AC208),"")</f>
        <v>0.76053779156608381</v>
      </c>
      <c r="X214" s="477">
        <f>IFERROR(('Budget Filing Data'!AL208+'Budget Filing Data'!AM208+'Budget Filing Data'!AN208+'Budget Filing Data'!AH208)/('Budget Filing Data'!AD208),"")</f>
        <v>0.76053779156608381</v>
      </c>
      <c r="Y214" s="478">
        <f>'Budget Filing Data'!Q208</f>
        <v>-95838.400790878091</v>
      </c>
      <c r="Z214" s="478">
        <f>'Budget Filing Data'!R208</f>
        <v>0</v>
      </c>
      <c r="AA214" s="478">
        <f>'Budget Filing Data'!S208</f>
        <v>15056.641528735758</v>
      </c>
      <c r="AB214" s="478">
        <f>'Budget Filing Data'!AO208</f>
        <v>-18.840377042929592</v>
      </c>
      <c r="AC214" s="478">
        <f>'Budget Filing Data'!AP208</f>
        <v>79.9507665175868</v>
      </c>
      <c r="AD214" s="478">
        <f>'Budget Filing Data'!T208</f>
        <v>-1121939.9939084388</v>
      </c>
      <c r="AE214" s="478">
        <f>'Budget Filing Data'!U208</f>
        <v>189026.49230635737</v>
      </c>
      <c r="AF214" s="478">
        <f>'Budget Filing Data'!$V208</f>
        <v>-246.00334946464795</v>
      </c>
      <c r="AG214" s="478">
        <f>'Budget Filing Data'!$W208</f>
        <v>1003.7306741467572</v>
      </c>
      <c r="AH214" s="479">
        <v>0</v>
      </c>
    </row>
    <row r="215" spans="3:34" ht="25.5">
      <c r="C215" s="470" t="str">
        <f>'Budget Filing Data'!D209</f>
        <v>SDGE_SW_NC_Res_electric_PA</v>
      </c>
      <c r="D215" s="470" t="str">
        <f>'Budget Filing Data'!E209</f>
        <v>SW New Construction Residential - All Electric (Utility)</v>
      </c>
      <c r="E215" s="471" t="s">
        <v>42</v>
      </c>
      <c r="F215" s="471" t="s">
        <v>325</v>
      </c>
      <c r="G215" s="472" t="str">
        <f>'Budget Filing Data'!J209</f>
        <v>IOU Core</v>
      </c>
      <c r="H215" s="472" t="str">
        <f>IF('Budget Filing Data'!H209="","",'Budget Filing Data'!H209)</f>
        <v>SW_NC_Res_electric - New Construction - Residential - All Electric</v>
      </c>
      <c r="I215" s="473" t="s">
        <v>24</v>
      </c>
      <c r="J215" s="472" t="str">
        <f>'Budget Filing Data'!G209</f>
        <v>Residential</v>
      </c>
      <c r="K215" s="472" t="str">
        <f>'Budget Filing Data'!I209</f>
        <v>New Construction</v>
      </c>
      <c r="L215" s="472" t="str">
        <f>'Budget Filing Data'!L209</f>
        <v>Market Support</v>
      </c>
      <c r="M215" s="472">
        <f>'Budget Filing Data'!B209</f>
        <v>2030</v>
      </c>
      <c r="N215" s="474">
        <f t="shared" si="3"/>
        <v>7524.0747000000001</v>
      </c>
      <c r="O215" s="475">
        <f>'Budget Filing Data'!AQ209</f>
        <v>7524.0747000000001</v>
      </c>
      <c r="P215" s="475">
        <f>'Budget Filing Data'!AR209</f>
        <v>0</v>
      </c>
      <c r="Q215" s="475">
        <f>'Budget Filing Data'!AS209</f>
        <v>0</v>
      </c>
      <c r="R215" s="475">
        <f>'Budget Filing Data'!AT209</f>
        <v>0</v>
      </c>
      <c r="S215" s="476">
        <f>'Budget Filing Data'!X209</f>
        <v>0</v>
      </c>
      <c r="T215" s="477">
        <f>IFERROR((('Budget Filing Data'!AF209+'Budget Filing Data'!AG209+'Budget Filing Data'!AY209+'Budget Filing Data'!AH209)/'Budget Filing Data'!AA209),"")</f>
        <v>0</v>
      </c>
      <c r="U215" s="477">
        <f>IFERROR((('Budget Filing Data'!AF209+'Budget Filing Data'!AG209+'Budget Filing Data'!AY209+'Budget Filing Data'!AH209)/'Budget Filing Data'!AB209),"")</f>
        <v>0</v>
      </c>
      <c r="V215" s="477">
        <f>IFERROR((('Budget Filing Data'!AF209+'Budget Filing Data'!AG209+'Budget Filing Data'!AY209+'Budget Filing Data'!AH209+'Budget Filing Data'!AW209+'Budget Filing Data'!AX209)/('Budget Filing Data'!AE209)),"")</f>
        <v>0</v>
      </c>
      <c r="W215" s="477">
        <f>IFERROR(('Budget Filing Data'!AI209+'Budget Filing Data'!AJ209+'Budget Filing Data'!AK209+'Budget Filing Data'!AH209)/('Budget Filing Data'!AC209),"")</f>
        <v>0</v>
      </c>
      <c r="X215" s="477">
        <f>IFERROR(('Budget Filing Data'!AL209+'Budget Filing Data'!AM209+'Budget Filing Data'!AN209+'Budget Filing Data'!AH209)/('Budget Filing Data'!AD209),"")</f>
        <v>0</v>
      </c>
      <c r="Y215" s="478">
        <f>'Budget Filing Data'!Q209</f>
        <v>0</v>
      </c>
      <c r="Z215" s="478">
        <f>'Budget Filing Data'!R209</f>
        <v>0</v>
      </c>
      <c r="AA215" s="478">
        <f>'Budget Filing Data'!S209</f>
        <v>0</v>
      </c>
      <c r="AB215" s="478">
        <f>'Budget Filing Data'!AO209</f>
        <v>0</v>
      </c>
      <c r="AC215" s="478">
        <f>'Budget Filing Data'!AP209</f>
        <v>0</v>
      </c>
      <c r="AD215" s="478">
        <f>'Budget Filing Data'!T209</f>
        <v>0</v>
      </c>
      <c r="AE215" s="478">
        <f>'Budget Filing Data'!U209</f>
        <v>0</v>
      </c>
      <c r="AF215" s="478">
        <f>'Budget Filing Data'!$V209</f>
        <v>0</v>
      </c>
      <c r="AG215" s="478">
        <f>'Budget Filing Data'!$W209</f>
        <v>0</v>
      </c>
      <c r="AH215" s="479">
        <v>0</v>
      </c>
    </row>
    <row r="216" spans="3:34" ht="25.5" hidden="1">
      <c r="C216" s="470" t="str">
        <f>'Budget Filing Data'!D210</f>
        <v>SDGE4168</v>
      </c>
      <c r="D216" s="470" t="str">
        <f>'Budget Filing Data'!E210</f>
        <v>Lodging (Hotels/Motels)</v>
      </c>
      <c r="E216" s="471" t="s">
        <v>42</v>
      </c>
      <c r="F216" s="471" t="s">
        <v>321</v>
      </c>
      <c r="G216" s="472" t="str">
        <f>'Budget Filing Data'!J210</f>
        <v>Third-Party Solicited</v>
      </c>
      <c r="H216" s="472" t="str">
        <f>IF('Budget Filing Data'!H210="","",'Budget Filing Data'!H210)</f>
        <v/>
      </c>
      <c r="I216" s="473" t="s">
        <v>24</v>
      </c>
      <c r="J216" s="472" t="str">
        <f>'Budget Filing Data'!G210</f>
        <v>Commercial</v>
      </c>
      <c r="K216" s="472" t="str">
        <f>'Budget Filing Data'!I210</f>
        <v>Other</v>
      </c>
      <c r="L216" s="472" t="str">
        <f>'Budget Filing Data'!L210</f>
        <v>Resource Acquisition</v>
      </c>
      <c r="M216" s="472">
        <f>'Budget Filing Data'!B210</f>
        <v>2030</v>
      </c>
      <c r="N216" s="474">
        <f t="shared" si="3"/>
        <v>1834752.4811</v>
      </c>
      <c r="O216" s="475">
        <f>'Budget Filing Data'!AQ210</f>
        <v>248502.10200000001</v>
      </c>
      <c r="P216" s="475">
        <f>'Budget Filing Data'!AR210</f>
        <v>99890.1103</v>
      </c>
      <c r="Q216" s="475">
        <f>'Budget Filing Data'!AS210</f>
        <v>597363.49179999996</v>
      </c>
      <c r="R216" s="475">
        <f>'Budget Filing Data'!AT210</f>
        <v>888996.777</v>
      </c>
      <c r="S216" s="476">
        <f>'Budget Filing Data'!X210</f>
        <v>2490633.01731293</v>
      </c>
      <c r="T216" s="477">
        <f>IFERROR((('Budget Filing Data'!AF210+'Budget Filing Data'!AG210+'Budget Filing Data'!AY210+'Budget Filing Data'!AH210)/'Budget Filing Data'!AA210),"")</f>
        <v>1.1387277943466838</v>
      </c>
      <c r="U216" s="477">
        <f>IFERROR((('Budget Filing Data'!AF210+'Budget Filing Data'!AG210+'Budget Filing Data'!AY210+'Budget Filing Data'!AH210)/'Budget Filing Data'!AB210),"")</f>
        <v>1.3814452886771489</v>
      </c>
      <c r="V216" s="477">
        <f>IFERROR((('Budget Filing Data'!AF210+'Budget Filing Data'!AG210+'Budget Filing Data'!AY210+'Budget Filing Data'!AH210+'Budget Filing Data'!AW210+'Budget Filing Data'!AX210)/('Budget Filing Data'!AE210)),"")</f>
        <v>0.19067890507003687</v>
      </c>
      <c r="W216" s="477">
        <f>IFERROR(('Budget Filing Data'!AI210+'Budget Filing Data'!AJ210+'Budget Filing Data'!AK210+'Budget Filing Data'!AH210)/('Budget Filing Data'!AC210),"")</f>
        <v>1.3080299372147848</v>
      </c>
      <c r="X216" s="477">
        <f>IFERROR(('Budget Filing Data'!AL210+'Budget Filing Data'!AM210+'Budget Filing Data'!AN210+'Budget Filing Data'!AH210)/('Budget Filing Data'!AD210),"")</f>
        <v>1.3080299372147848</v>
      </c>
      <c r="Y216" s="478">
        <f>'Budget Filing Data'!Q210</f>
        <v>2968180.1021250002</v>
      </c>
      <c r="Z216" s="478">
        <f>'Budget Filing Data'!R210</f>
        <v>450.03268709999998</v>
      </c>
      <c r="AA216" s="478">
        <f>'Budget Filing Data'!S210</f>
        <v>6807.5179916850002</v>
      </c>
      <c r="AB216" s="478">
        <f>'Budget Filing Data'!AO210</f>
        <v>400.76605193299901</v>
      </c>
      <c r="AC216" s="478">
        <f>'Budget Filing Data'!AP210</f>
        <v>36.147920535847298</v>
      </c>
      <c r="AD216" s="478">
        <f>'Budget Filing Data'!T210</f>
        <v>33486533.003357898</v>
      </c>
      <c r="AE216" s="478">
        <f>'Budget Filing Data'!U210</f>
        <v>76801.328779311501</v>
      </c>
      <c r="AF216" s="478">
        <f>'Budget Filing Data'!$V210</f>
        <v>4799.6663872617</v>
      </c>
      <c r="AG216" s="478">
        <f>'Budget Filing Data'!$W210</f>
        <v>407.815055818144</v>
      </c>
      <c r="AH216" s="479">
        <v>0</v>
      </c>
    </row>
    <row r="217" spans="3:34" hidden="1">
      <c r="C217" s="470" t="str">
        <f>'Budget Filing Data'!D211</f>
        <v>SDGE4169</v>
      </c>
      <c r="D217" s="470" t="str">
        <f>'Budget Filing Data'!E211</f>
        <v>Groceries, Restaurants and Food Storage</v>
      </c>
      <c r="E217" s="471"/>
      <c r="F217" s="480"/>
      <c r="G217" s="472" t="str">
        <f>'Budget Filing Data'!J211</f>
        <v>Third-Party Solicited</v>
      </c>
      <c r="H217" s="472" t="str">
        <f>IF('Budget Filing Data'!H211="","",'Budget Filing Data'!H211)</f>
        <v/>
      </c>
      <c r="I217" s="473" t="s">
        <v>24</v>
      </c>
      <c r="J217" s="472" t="str">
        <f>'Budget Filing Data'!G211</f>
        <v>Commercial</v>
      </c>
      <c r="K217" s="472" t="str">
        <f>'Budget Filing Data'!I211</f>
        <v>Other</v>
      </c>
      <c r="L217" s="472" t="str">
        <f>'Budget Filing Data'!L211</f>
        <v>Resource Acquisition</v>
      </c>
      <c r="M217" s="472">
        <f>'Budget Filing Data'!B211</f>
        <v>2030</v>
      </c>
      <c r="N217" s="474">
        <f t="shared" si="3"/>
        <v>1999400.0001999999</v>
      </c>
      <c r="O217" s="475">
        <f>'Budget Filing Data'!AQ211</f>
        <v>183079.92359999998</v>
      </c>
      <c r="P217" s="475">
        <f>'Budget Filing Data'!AR211</f>
        <v>111425.1103</v>
      </c>
      <c r="Q217" s="475">
        <f>'Budget Filing Data'!AS211</f>
        <v>904747.14939999999</v>
      </c>
      <c r="R217" s="475">
        <f>'Budget Filing Data'!AT211</f>
        <v>800147.81689999998</v>
      </c>
      <c r="S217" s="476">
        <f>'Budget Filing Data'!X211</f>
        <v>2689982.1081483802</v>
      </c>
      <c r="T217" s="477">
        <f>IFERROR((('Budget Filing Data'!AF211+'Budget Filing Data'!AG211+'Budget Filing Data'!AY211+'Budget Filing Data'!AH211)/'Budget Filing Data'!AA211),"")</f>
        <v>0.81802767138097998</v>
      </c>
      <c r="U217" s="477">
        <f>IFERROR((('Budget Filing Data'!AF211+'Budget Filing Data'!AG211+'Budget Filing Data'!AY211+'Budget Filing Data'!AH211)/'Budget Filing Data'!AB211),"")</f>
        <v>1.3649067319062638</v>
      </c>
      <c r="V217" s="477">
        <f>IFERROR((('Budget Filing Data'!AF211+'Budget Filing Data'!AG211+'Budget Filing Data'!AY211+'Budget Filing Data'!AH211+'Budget Filing Data'!AW211+'Budget Filing Data'!AX211)/('Budget Filing Data'!AE211)),"")</f>
        <v>0.14829411982619828</v>
      </c>
      <c r="W217" s="477">
        <f>IFERROR(('Budget Filing Data'!AI211+'Budget Filing Data'!AJ211+'Budget Filing Data'!AK211+'Budget Filing Data'!AH211)/('Budget Filing Data'!AC211),"")</f>
        <v>0.95789407458975673</v>
      </c>
      <c r="X217" s="477">
        <f>IFERROR(('Budget Filing Data'!AL211+'Budget Filing Data'!AM211+'Budget Filing Data'!AN211+'Budget Filing Data'!AH211)/('Budget Filing Data'!AD211),"")</f>
        <v>0.95789407458975673</v>
      </c>
      <c r="Y217" s="478">
        <f>'Budget Filing Data'!Q211</f>
        <v>3428892.9328726698</v>
      </c>
      <c r="Z217" s="478">
        <f>'Budget Filing Data'!R211</f>
        <v>507.89385279482599</v>
      </c>
      <c r="AA217" s="478">
        <f>'Budget Filing Data'!S211</f>
        <v>4213.1558481337097</v>
      </c>
      <c r="AB217" s="478">
        <f>'Budget Filing Data'!AO211</f>
        <v>313.29597295980102</v>
      </c>
      <c r="AC217" s="478">
        <f>'Budget Filing Data'!AP211</f>
        <v>22.371857553590001</v>
      </c>
      <c r="AD217" s="478">
        <f>'Budget Filing Data'!T211</f>
        <v>51433393.993089996</v>
      </c>
      <c r="AE217" s="478">
        <f>'Budget Filing Data'!U211</f>
        <v>63197.337722005701</v>
      </c>
      <c r="AF217" s="478">
        <f>'Budget Filing Data'!$V211</f>
        <v>4408.1866454476003</v>
      </c>
      <c r="AG217" s="478">
        <f>'Budget Filing Data'!$W211</f>
        <v>335.57786330384999</v>
      </c>
      <c r="AH217" s="479">
        <v>0</v>
      </c>
    </row>
    <row r="218" spans="3:34" ht="25.5" hidden="1">
      <c r="C218" s="470" t="str">
        <f>'Budget Filing Data'!D212</f>
        <v>SDGE4170</v>
      </c>
      <c r="D218" s="470" t="str">
        <f>'Budget Filing Data'!E212</f>
        <v>Wholesale/Retail/Office, including Entertainment Services</v>
      </c>
      <c r="E218" s="471" t="s">
        <v>42</v>
      </c>
      <c r="F218" s="471" t="s">
        <v>321</v>
      </c>
      <c r="G218" s="472" t="str">
        <f>'Budget Filing Data'!J212</f>
        <v>Third-Party Solicited</v>
      </c>
      <c r="H218" s="472" t="str">
        <f>IF('Budget Filing Data'!H212="","",'Budget Filing Data'!H212)</f>
        <v/>
      </c>
      <c r="I218" s="473" t="s">
        <v>24</v>
      </c>
      <c r="J218" s="472" t="str">
        <f>'Budget Filing Data'!G212</f>
        <v>Commercial</v>
      </c>
      <c r="K218" s="472" t="str">
        <f>'Budget Filing Data'!I212</f>
        <v>Other</v>
      </c>
      <c r="L218" s="472" t="str">
        <f>'Budget Filing Data'!L212</f>
        <v>Resource Acquisition</v>
      </c>
      <c r="M218" s="472">
        <f>'Budget Filing Data'!B212</f>
        <v>2030</v>
      </c>
      <c r="N218" s="474">
        <f t="shared" si="3"/>
        <v>6183210.8036000002</v>
      </c>
      <c r="O218" s="475">
        <f>'Budget Filing Data'!AQ212</f>
        <v>410089.84419999999</v>
      </c>
      <c r="P218" s="475">
        <f>'Budget Filing Data'!AR212</f>
        <v>94373.1103</v>
      </c>
      <c r="Q218" s="475">
        <f>'Budget Filing Data'!AS212</f>
        <v>3102069.1390999998</v>
      </c>
      <c r="R218" s="475">
        <f>'Budget Filing Data'!AT212</f>
        <v>2576678.71</v>
      </c>
      <c r="S218" s="476">
        <f>'Budget Filing Data'!X212</f>
        <v>9783123.9715091996</v>
      </c>
      <c r="T218" s="477">
        <f>IFERROR((('Budget Filing Data'!AF212+'Budget Filing Data'!AG212+'Budget Filing Data'!AY212+'Budget Filing Data'!AH212)/'Budget Filing Data'!AA212),"")</f>
        <v>1.4889001317435144</v>
      </c>
      <c r="U218" s="477">
        <f>IFERROR((('Budget Filing Data'!AF212+'Budget Filing Data'!AG212+'Budget Filing Data'!AY212+'Budget Filing Data'!AH212)/'Budget Filing Data'!AB212),"")</f>
        <v>1.6027401239623662</v>
      </c>
      <c r="V218" s="477">
        <f>IFERROR((('Budget Filing Data'!AF212+'Budget Filing Data'!AG212+'Budget Filing Data'!AY212+'Budget Filing Data'!AH212+'Budget Filing Data'!AW212+'Budget Filing Data'!AX212)/('Budget Filing Data'!AE212)),"")</f>
        <v>0.52300616119034005</v>
      </c>
      <c r="W218" s="477">
        <f>IFERROR(('Budget Filing Data'!AI212+'Budget Filing Data'!AJ212+'Budget Filing Data'!AK212+'Budget Filing Data'!AH212)/('Budget Filing Data'!AC212),"")</f>
        <v>2.0627883573967787</v>
      </c>
      <c r="X218" s="477">
        <f>IFERROR(('Budget Filing Data'!AL212+'Budget Filing Data'!AM212+'Budget Filing Data'!AN212+'Budget Filing Data'!AH212)/('Budget Filing Data'!AD212),"")</f>
        <v>2.0627883573967787</v>
      </c>
      <c r="Y218" s="478">
        <f>'Budget Filing Data'!Q212</f>
        <v>2154391.1114669801</v>
      </c>
      <c r="Z218" s="478">
        <f>'Budget Filing Data'!R212</f>
        <v>258.98926196270202</v>
      </c>
      <c r="AA218" s="478">
        <f>'Budget Filing Data'!S212</f>
        <v>339150.86712250899</v>
      </c>
      <c r="AB218" s="478">
        <f>'Budget Filing Data'!AO212</f>
        <v>335.79694167751398</v>
      </c>
      <c r="AC218" s="478">
        <f>'Budget Filing Data'!AP212</f>
        <v>1800.8911044205199</v>
      </c>
      <c r="AD218" s="478">
        <f>'Budget Filing Data'!T212</f>
        <v>24695957.662034899</v>
      </c>
      <c r="AE218" s="478">
        <f>'Budget Filing Data'!U212</f>
        <v>3887713.5218946901</v>
      </c>
      <c r="AF218" s="478">
        <f>'Budget Filing Data'!$V212</f>
        <v>4125.8135733874096</v>
      </c>
      <c r="AG218" s="478">
        <f>'Budget Filing Data'!$W212</f>
        <v>20643.758801260799</v>
      </c>
      <c r="AH218" s="479">
        <v>0</v>
      </c>
    </row>
    <row r="219" spans="3:34" ht="25.5" hidden="1">
      <c r="C219" s="470" t="str">
        <f>'Budget Filing Data'!D213</f>
        <v>SDGE4171</v>
      </c>
      <c r="D219" s="470" t="str">
        <f>'Budget Filing Data'!E213</f>
        <v>Private Institutions/Healthcare</v>
      </c>
      <c r="E219" s="471" t="s">
        <v>42</v>
      </c>
      <c r="F219" s="471" t="s">
        <v>321</v>
      </c>
      <c r="G219" s="472" t="str">
        <f>'Budget Filing Data'!J213</f>
        <v>Third-Party Solicited</v>
      </c>
      <c r="H219" s="472" t="str">
        <f>IF('Budget Filing Data'!H213="","",'Budget Filing Data'!H213)</f>
        <v/>
      </c>
      <c r="I219" s="473" t="s">
        <v>24</v>
      </c>
      <c r="J219" s="472" t="str">
        <f>'Budget Filing Data'!G213</f>
        <v>Commercial</v>
      </c>
      <c r="K219" s="472" t="str">
        <f>'Budget Filing Data'!I213</f>
        <v>Other</v>
      </c>
      <c r="L219" s="472" t="str">
        <f>'Budget Filing Data'!L213</f>
        <v>Resource Acquisition</v>
      </c>
      <c r="M219" s="472">
        <f>'Budget Filing Data'!B213</f>
        <v>2030</v>
      </c>
      <c r="N219" s="474">
        <f t="shared" si="3"/>
        <v>1699707.0573</v>
      </c>
      <c r="O219" s="475">
        <f>'Budget Filing Data'!AQ213</f>
        <v>230663.1029</v>
      </c>
      <c r="P219" s="475">
        <f>'Budget Filing Data'!AR213</f>
        <v>92430.1103</v>
      </c>
      <c r="Q219" s="475">
        <f>'Budget Filing Data'!AS213</f>
        <v>485551.02409999998</v>
      </c>
      <c r="R219" s="475">
        <f>'Budget Filing Data'!AT213</f>
        <v>891062.82</v>
      </c>
      <c r="S219" s="476">
        <f>'Budget Filing Data'!X213</f>
        <v>3328980.2220903402</v>
      </c>
      <c r="T219" s="477">
        <f>IFERROR((('Budget Filing Data'!AF213+'Budget Filing Data'!AG213+'Budget Filing Data'!AY213+'Budget Filing Data'!AH213)/'Budget Filing Data'!AA213),"")</f>
        <v>1.4206021716920578</v>
      </c>
      <c r="U219" s="477">
        <f>IFERROR((('Budget Filing Data'!AF213+'Budget Filing Data'!AG213+'Budget Filing Data'!AY213+'Budget Filing Data'!AH213)/'Budget Filing Data'!AB213),"")</f>
        <v>1.9960321346014609</v>
      </c>
      <c r="V219" s="477">
        <f>IFERROR((('Budget Filing Data'!AF213+'Budget Filing Data'!AG213+'Budget Filing Data'!AY213+'Budget Filing Data'!AH213+'Budget Filing Data'!AW213+'Budget Filing Data'!AX213)/('Budget Filing Data'!AE213)),"")</f>
        <v>0.28049031303655481</v>
      </c>
      <c r="W219" s="477">
        <f>IFERROR(('Budget Filing Data'!AI213+'Budget Filing Data'!AJ213+'Budget Filing Data'!AK213+'Budget Filing Data'!AH213)/('Budget Filing Data'!AC213),"")</f>
        <v>1.717650268634707</v>
      </c>
      <c r="X219" s="477">
        <f>IFERROR(('Budget Filing Data'!AL213+'Budget Filing Data'!AM213+'Budget Filing Data'!AN213+'Budget Filing Data'!AH213)/('Budget Filing Data'!AD213),"")</f>
        <v>1.717650268634707</v>
      </c>
      <c r="Y219" s="478">
        <f>'Budget Filing Data'!Q213</f>
        <v>3447379.238355</v>
      </c>
      <c r="Z219" s="478">
        <f>'Budget Filing Data'!R213</f>
        <v>319.16045750400002</v>
      </c>
      <c r="AA219" s="478">
        <f>'Budget Filing Data'!S213</f>
        <v>76795.197547500007</v>
      </c>
      <c r="AB219" s="478">
        <f>'Budget Filing Data'!AO213</f>
        <v>465.46790266608298</v>
      </c>
      <c r="AC219" s="478">
        <f>'Budget Filing Data'!AP213</f>
        <v>407.78249897722498</v>
      </c>
      <c r="AD219" s="478">
        <f>'Budget Filing Data'!T213</f>
        <v>27401018.137729801</v>
      </c>
      <c r="AE219" s="478">
        <f>'Budget Filing Data'!U213</f>
        <v>610396.02996904205</v>
      </c>
      <c r="AF219" s="478">
        <f>'Budget Filing Data'!$V213</f>
        <v>3925.3547493648898</v>
      </c>
      <c r="AG219" s="478">
        <f>'Budget Filing Data'!$W213</f>
        <v>3241.20291913561</v>
      </c>
      <c r="AH219" s="479">
        <v>0</v>
      </c>
    </row>
    <row r="220" spans="3:34">
      <c r="C220" s="470" t="str">
        <f>'Budget Filing Data'!D214</f>
        <v>SDGE4175</v>
      </c>
      <c r="D220" s="470" t="str">
        <f>'Budget Filing Data'!E214</f>
        <v>Local Residential Fuel-Substitution</v>
      </c>
      <c r="E220" s="471"/>
      <c r="F220" s="480"/>
      <c r="G220" s="472" t="str">
        <f>'Budget Filing Data'!J214</f>
        <v>IOU Core</v>
      </c>
      <c r="H220" s="472" t="str">
        <f>IF('Budget Filing Data'!H214="","",'Budget Filing Data'!H214)</f>
        <v/>
      </c>
      <c r="I220" s="473" t="s">
        <v>15</v>
      </c>
      <c r="J220" s="472" t="str">
        <f>'Budget Filing Data'!G214</f>
        <v>Residential</v>
      </c>
      <c r="K220" s="472" t="str">
        <f>'Budget Filing Data'!I214</f>
        <v>Other</v>
      </c>
      <c r="L220" s="472" t="str">
        <f>'Budget Filing Data'!L214</f>
        <v>Market Support</v>
      </c>
      <c r="M220" s="472">
        <f>'Budget Filing Data'!B214</f>
        <v>2030</v>
      </c>
      <c r="N220" s="474">
        <f t="shared" si="3"/>
        <v>1071371.0778999999</v>
      </c>
      <c r="O220" s="475">
        <f>'Budget Filing Data'!AQ214</f>
        <v>249118.1635</v>
      </c>
      <c r="P220" s="475">
        <f>'Budget Filing Data'!AR214</f>
        <v>104421.5517</v>
      </c>
      <c r="Q220" s="475">
        <f>'Budget Filing Data'!AS214</f>
        <v>651831.36270000006</v>
      </c>
      <c r="R220" s="475">
        <f>'Budget Filing Data'!AT214</f>
        <v>66000</v>
      </c>
      <c r="S220" s="476">
        <f>'Budget Filing Data'!X214</f>
        <v>0</v>
      </c>
      <c r="T220" s="477">
        <f>IFERROR((('Budget Filing Data'!AF214+'Budget Filing Data'!AG214+'Budget Filing Data'!AY214+'Budget Filing Data'!AH214)/'Budget Filing Data'!AA214),"")</f>
        <v>0</v>
      </c>
      <c r="U220" s="477">
        <f>IFERROR((('Budget Filing Data'!AF214+'Budget Filing Data'!AG214+'Budget Filing Data'!AY214+'Budget Filing Data'!AH214)/'Budget Filing Data'!AB214),"")</f>
        <v>0</v>
      </c>
      <c r="V220" s="477">
        <f>IFERROR((('Budget Filing Data'!AF214+'Budget Filing Data'!AG214+'Budget Filing Data'!AY214+'Budget Filing Data'!AH214+'Budget Filing Data'!AW214+'Budget Filing Data'!AX214)/('Budget Filing Data'!AE214)),"")</f>
        <v>0</v>
      </c>
      <c r="W220" s="477">
        <f>IFERROR(('Budget Filing Data'!AI214+'Budget Filing Data'!AJ214+'Budget Filing Data'!AK214+'Budget Filing Data'!AH214)/('Budget Filing Data'!AC214),"")</f>
        <v>0</v>
      </c>
      <c r="X220" s="477">
        <f>IFERROR(('Budget Filing Data'!AL214+'Budget Filing Data'!AM214+'Budget Filing Data'!AN214+'Budget Filing Data'!AH214)/('Budget Filing Data'!AD214),"")</f>
        <v>0</v>
      </c>
      <c r="Y220" s="478">
        <f>'Budget Filing Data'!Q214</f>
        <v>0</v>
      </c>
      <c r="Z220" s="478">
        <f>'Budget Filing Data'!R214</f>
        <v>0</v>
      </c>
      <c r="AA220" s="478">
        <f>'Budget Filing Data'!S214</f>
        <v>0</v>
      </c>
      <c r="AB220" s="478">
        <f>'Budget Filing Data'!AO214</f>
        <v>0</v>
      </c>
      <c r="AC220" s="478">
        <f>'Budget Filing Data'!AP214</f>
        <v>0</v>
      </c>
      <c r="AD220" s="478">
        <f>'Budget Filing Data'!T214</f>
        <v>0</v>
      </c>
      <c r="AE220" s="478">
        <f>'Budget Filing Data'!U214</f>
        <v>0</v>
      </c>
      <c r="AF220" s="478">
        <f>'Budget Filing Data'!$V214</f>
        <v>0</v>
      </c>
      <c r="AG220" s="478">
        <f>'Budget Filing Data'!$W214</f>
        <v>0</v>
      </c>
      <c r="AH220" s="479">
        <v>0</v>
      </c>
    </row>
    <row r="221" spans="3:34" hidden="1">
      <c r="C221" s="470" t="str">
        <f>'Budget Filing Data'!D215</f>
        <v>SDGE_CS_PortfolioSupport</v>
      </c>
      <c r="D221" s="470" t="str">
        <f>'Budget Filing Data'!E215</f>
        <v>Codes &amp; Standards Portfolio Support PA Costs</v>
      </c>
      <c r="E221" s="471"/>
      <c r="F221" s="480"/>
      <c r="G221" s="472" t="str">
        <f>'Budget Filing Data'!J215</f>
        <v>IOU Core</v>
      </c>
      <c r="H221" s="472" t="str">
        <f>IF('Budget Filing Data'!H215="","",'Budget Filing Data'!H215)</f>
        <v/>
      </c>
      <c r="I221" s="473" t="s">
        <v>24</v>
      </c>
      <c r="J221" s="472" t="str">
        <f>'Budget Filing Data'!G215</f>
        <v>Portfolio Support</v>
      </c>
      <c r="K221" s="472" t="str">
        <f>'Budget Filing Data'!I215</f>
        <v>Other</v>
      </c>
      <c r="L221" s="472" t="str">
        <f>'Budget Filing Data'!L215</f>
        <v>Codes and Standards</v>
      </c>
      <c r="M221" s="472">
        <f>'Budget Filing Data'!B215</f>
        <v>2030</v>
      </c>
      <c r="N221" s="474">
        <f t="shared" si="3"/>
        <v>205636.4319</v>
      </c>
      <c r="O221" s="475">
        <f>'Budget Filing Data'!AQ215</f>
        <v>205636.4319</v>
      </c>
      <c r="P221" s="475">
        <f>'Budget Filing Data'!AR215</f>
        <v>0</v>
      </c>
      <c r="Q221" s="475">
        <f>'Budget Filing Data'!AS215</f>
        <v>0</v>
      </c>
      <c r="R221" s="475">
        <f>'Budget Filing Data'!AT215</f>
        <v>0</v>
      </c>
      <c r="S221" s="476">
        <f>'Budget Filing Data'!X215</f>
        <v>0</v>
      </c>
      <c r="T221" s="477">
        <f>IFERROR((('Budget Filing Data'!AF215+'Budget Filing Data'!AG215+'Budget Filing Data'!AY215+'Budget Filing Data'!AH215)/'Budget Filing Data'!AA215),"")</f>
        <v>0</v>
      </c>
      <c r="U221" s="477">
        <f>IFERROR((('Budget Filing Data'!AF215+'Budget Filing Data'!AG215+'Budget Filing Data'!AY215+'Budget Filing Data'!AH215)/'Budget Filing Data'!AB215),"")</f>
        <v>0</v>
      </c>
      <c r="V221" s="477">
        <f>IFERROR((('Budget Filing Data'!AF215+'Budget Filing Data'!AG215+'Budget Filing Data'!AY215+'Budget Filing Data'!AH215+'Budget Filing Data'!AW215+'Budget Filing Data'!AX215)/('Budget Filing Data'!AE215)),"")</f>
        <v>0</v>
      </c>
      <c r="W221" s="477">
        <f>IFERROR(('Budget Filing Data'!AI215+'Budget Filing Data'!AJ215+'Budget Filing Data'!AK215+'Budget Filing Data'!AH215)/('Budget Filing Data'!AC215),"")</f>
        <v>0</v>
      </c>
      <c r="X221" s="477">
        <f>IFERROR(('Budget Filing Data'!AL215+'Budget Filing Data'!AM215+'Budget Filing Data'!AN215+'Budget Filing Data'!AH215)/('Budget Filing Data'!AD215),"")</f>
        <v>0</v>
      </c>
      <c r="Y221" s="478">
        <f>'Budget Filing Data'!Q215</f>
        <v>0</v>
      </c>
      <c r="Z221" s="478">
        <f>'Budget Filing Data'!R215</f>
        <v>0</v>
      </c>
      <c r="AA221" s="478">
        <f>'Budget Filing Data'!S215</f>
        <v>0</v>
      </c>
      <c r="AB221" s="478">
        <f>'Budget Filing Data'!AO215</f>
        <v>0</v>
      </c>
      <c r="AC221" s="478">
        <f>'Budget Filing Data'!AP215</f>
        <v>0</v>
      </c>
      <c r="AD221" s="478">
        <f>'Budget Filing Data'!T215</f>
        <v>0</v>
      </c>
      <c r="AE221" s="478">
        <f>'Budget Filing Data'!U215</f>
        <v>0</v>
      </c>
      <c r="AF221" s="478">
        <f>'Budget Filing Data'!$V215</f>
        <v>0</v>
      </c>
      <c r="AG221" s="478">
        <f>'Budget Filing Data'!$W215</f>
        <v>0</v>
      </c>
      <c r="AH221" s="479">
        <v>0</v>
      </c>
    </row>
    <row r="222" spans="3:34" hidden="1">
      <c r="C222" s="470" t="str">
        <f>'Budget Filing Data'!D216</f>
        <v>SDGE_Equity_PortfolioSupport</v>
      </c>
      <c r="D222" s="470" t="str">
        <f>'Budget Filing Data'!E216</f>
        <v>Equity Portfolio Support PA Costs</v>
      </c>
      <c r="E222" s="471" t="s">
        <v>37</v>
      </c>
      <c r="F222" s="471" t="s">
        <v>326</v>
      </c>
      <c r="G222" s="472" t="str">
        <f>'Budget Filing Data'!J216</f>
        <v>IOU Core</v>
      </c>
      <c r="H222" s="472" t="str">
        <f>IF('Budget Filing Data'!H216="","",'Budget Filing Data'!H216)</f>
        <v/>
      </c>
      <c r="I222" s="473" t="s">
        <v>24</v>
      </c>
      <c r="J222" s="472" t="str">
        <f>'Budget Filing Data'!G216</f>
        <v>Portfolio Support</v>
      </c>
      <c r="K222" s="472" t="str">
        <f>'Budget Filing Data'!I216</f>
        <v>Other</v>
      </c>
      <c r="L222" s="472" t="str">
        <f>'Budget Filing Data'!L216</f>
        <v>Equity</v>
      </c>
      <c r="M222" s="472">
        <f>'Budget Filing Data'!B216</f>
        <v>2030</v>
      </c>
      <c r="N222" s="474">
        <f t="shared" si="3"/>
        <v>9528.0439999999999</v>
      </c>
      <c r="O222" s="475">
        <f>'Budget Filing Data'!AQ216</f>
        <v>9528.0439999999999</v>
      </c>
      <c r="P222" s="475">
        <f>'Budget Filing Data'!AR216</f>
        <v>0</v>
      </c>
      <c r="Q222" s="475">
        <f>'Budget Filing Data'!AS216</f>
        <v>0</v>
      </c>
      <c r="R222" s="475">
        <f>'Budget Filing Data'!AT216</f>
        <v>0</v>
      </c>
      <c r="S222" s="476">
        <f>'Budget Filing Data'!X216</f>
        <v>0</v>
      </c>
      <c r="T222" s="477">
        <f>IFERROR((('Budget Filing Data'!AF216+'Budget Filing Data'!AG216+'Budget Filing Data'!AY216+'Budget Filing Data'!AH216)/'Budget Filing Data'!AA216),"")</f>
        <v>0</v>
      </c>
      <c r="U222" s="477">
        <f>IFERROR((('Budget Filing Data'!AF216+'Budget Filing Data'!AG216+'Budget Filing Data'!AY216+'Budget Filing Data'!AH216)/'Budget Filing Data'!AB216),"")</f>
        <v>0</v>
      </c>
      <c r="V222" s="477">
        <f>IFERROR((('Budget Filing Data'!AF216+'Budget Filing Data'!AG216+'Budget Filing Data'!AY216+'Budget Filing Data'!AH216+'Budget Filing Data'!AW216+'Budget Filing Data'!AX216)/('Budget Filing Data'!AE216)),"")</f>
        <v>0</v>
      </c>
      <c r="W222" s="477">
        <f>IFERROR(('Budget Filing Data'!AI216+'Budget Filing Data'!AJ216+'Budget Filing Data'!AK216+'Budget Filing Data'!AH216)/('Budget Filing Data'!AC216),"")</f>
        <v>0</v>
      </c>
      <c r="X222" s="477">
        <f>IFERROR(('Budget Filing Data'!AL216+'Budget Filing Data'!AM216+'Budget Filing Data'!AN216+'Budget Filing Data'!AH216)/('Budget Filing Data'!AD216),"")</f>
        <v>0</v>
      </c>
      <c r="Y222" s="478">
        <f>'Budget Filing Data'!Q216</f>
        <v>0</v>
      </c>
      <c r="Z222" s="478">
        <f>'Budget Filing Data'!R216</f>
        <v>0</v>
      </c>
      <c r="AA222" s="478">
        <f>'Budget Filing Data'!S216</f>
        <v>0</v>
      </c>
      <c r="AB222" s="478">
        <f>'Budget Filing Data'!AO216</f>
        <v>0</v>
      </c>
      <c r="AC222" s="478">
        <f>'Budget Filing Data'!AP216</f>
        <v>0</v>
      </c>
      <c r="AD222" s="478">
        <f>'Budget Filing Data'!T216</f>
        <v>0</v>
      </c>
      <c r="AE222" s="478">
        <f>'Budget Filing Data'!U216</f>
        <v>0</v>
      </c>
      <c r="AF222" s="478">
        <f>'Budget Filing Data'!$V216</f>
        <v>0</v>
      </c>
      <c r="AG222" s="478">
        <f>'Budget Filing Data'!$W216</f>
        <v>0</v>
      </c>
      <c r="AH222" s="479">
        <v>0</v>
      </c>
    </row>
    <row r="223" spans="3:34" hidden="1">
      <c r="C223" s="470" t="str">
        <f>'Budget Filing Data'!D217</f>
        <v>SDGE_MS_PortfolioSupport</v>
      </c>
      <c r="D223" s="470" t="str">
        <f>'Budget Filing Data'!E217</f>
        <v>Market Support Portfolio Support PA Costs</v>
      </c>
      <c r="E223" s="471" t="s">
        <v>37</v>
      </c>
      <c r="F223" s="471" t="s">
        <v>327</v>
      </c>
      <c r="G223" s="472" t="str">
        <f>'Budget Filing Data'!J217</f>
        <v>IOU Core</v>
      </c>
      <c r="H223" s="472" t="str">
        <f>IF('Budget Filing Data'!H217="","",'Budget Filing Data'!H217)</f>
        <v/>
      </c>
      <c r="I223" s="473" t="s">
        <v>24</v>
      </c>
      <c r="J223" s="472" t="str">
        <f>'Budget Filing Data'!G217</f>
        <v>Portfolio Support</v>
      </c>
      <c r="K223" s="472" t="str">
        <f>'Budget Filing Data'!I217</f>
        <v>Other</v>
      </c>
      <c r="L223" s="472" t="str">
        <f>'Budget Filing Data'!L217</f>
        <v>Market Support</v>
      </c>
      <c r="M223" s="472">
        <f>'Budget Filing Data'!B217</f>
        <v>2030</v>
      </c>
      <c r="N223" s="474">
        <f t="shared" si="3"/>
        <v>360494.19040000002</v>
      </c>
      <c r="O223" s="475">
        <f>'Budget Filing Data'!AQ217</f>
        <v>360494.19040000002</v>
      </c>
      <c r="P223" s="475">
        <f>'Budget Filing Data'!AR217</f>
        <v>0</v>
      </c>
      <c r="Q223" s="475">
        <f>'Budget Filing Data'!AS217</f>
        <v>0</v>
      </c>
      <c r="R223" s="475">
        <f>'Budget Filing Data'!AT217</f>
        <v>0</v>
      </c>
      <c r="S223" s="476">
        <f>'Budget Filing Data'!X217</f>
        <v>0</v>
      </c>
      <c r="T223" s="477">
        <f>IFERROR((('Budget Filing Data'!AF217+'Budget Filing Data'!AG217+'Budget Filing Data'!AY217+'Budget Filing Data'!AH217)/'Budget Filing Data'!AA217),"")</f>
        <v>0</v>
      </c>
      <c r="U223" s="477">
        <f>IFERROR((('Budget Filing Data'!AF217+'Budget Filing Data'!AG217+'Budget Filing Data'!AY217+'Budget Filing Data'!AH217)/'Budget Filing Data'!AB217),"")</f>
        <v>0</v>
      </c>
      <c r="V223" s="477">
        <f>IFERROR((('Budget Filing Data'!AF217+'Budget Filing Data'!AG217+'Budget Filing Data'!AY217+'Budget Filing Data'!AH217+'Budget Filing Data'!AW217+'Budget Filing Data'!AX217)/('Budget Filing Data'!AE217)),"")</f>
        <v>0</v>
      </c>
      <c r="W223" s="477">
        <f>IFERROR(('Budget Filing Data'!AI217+'Budget Filing Data'!AJ217+'Budget Filing Data'!AK217+'Budget Filing Data'!AH217)/('Budget Filing Data'!AC217),"")</f>
        <v>0</v>
      </c>
      <c r="X223" s="477">
        <f>IFERROR(('Budget Filing Data'!AL217+'Budget Filing Data'!AM217+'Budget Filing Data'!AN217+'Budget Filing Data'!AH217)/('Budget Filing Data'!AD217),"")</f>
        <v>0</v>
      </c>
      <c r="Y223" s="478">
        <f>'Budget Filing Data'!Q217</f>
        <v>0</v>
      </c>
      <c r="Z223" s="478">
        <f>'Budget Filing Data'!R217</f>
        <v>0</v>
      </c>
      <c r="AA223" s="478">
        <f>'Budget Filing Data'!S217</f>
        <v>0</v>
      </c>
      <c r="AB223" s="478">
        <f>'Budget Filing Data'!AO217</f>
        <v>0</v>
      </c>
      <c r="AC223" s="478">
        <f>'Budget Filing Data'!AP217</f>
        <v>0</v>
      </c>
      <c r="AD223" s="478">
        <f>'Budget Filing Data'!T217</f>
        <v>0</v>
      </c>
      <c r="AE223" s="478">
        <f>'Budget Filing Data'!U217</f>
        <v>0</v>
      </c>
      <c r="AF223" s="478">
        <f>'Budget Filing Data'!$V217</f>
        <v>0</v>
      </c>
      <c r="AG223" s="478">
        <f>'Budget Filing Data'!$W217</f>
        <v>0</v>
      </c>
      <c r="AH223" s="479">
        <v>0</v>
      </c>
    </row>
    <row r="224" spans="3:34" hidden="1">
      <c r="C224" s="470" t="str">
        <f>'Budget Filing Data'!D218</f>
        <v>SDGE_RA_PortfolioSupport</v>
      </c>
      <c r="D224" s="470" t="str">
        <f>'Budget Filing Data'!E218</f>
        <v>Resource Acquisition Portfolio Support PA Costs</v>
      </c>
      <c r="E224" s="471"/>
      <c r="F224" s="480"/>
      <c r="G224" s="472" t="str">
        <f>'Budget Filing Data'!J218</f>
        <v>IOU Core</v>
      </c>
      <c r="H224" s="472" t="str">
        <f>IF('Budget Filing Data'!H218="","",'Budget Filing Data'!H218)</f>
        <v/>
      </c>
      <c r="I224" s="473" t="s">
        <v>24</v>
      </c>
      <c r="J224" s="472" t="str">
        <f>'Budget Filing Data'!G218</f>
        <v>Portfolio Support</v>
      </c>
      <c r="K224" s="472" t="str">
        <f>'Budget Filing Data'!I218</f>
        <v>Other</v>
      </c>
      <c r="L224" s="472" t="str">
        <f>'Budget Filing Data'!L218</f>
        <v>Resource Acquisition</v>
      </c>
      <c r="M224" s="472">
        <f>'Budget Filing Data'!B218</f>
        <v>2030</v>
      </c>
      <c r="N224" s="474">
        <f t="shared" si="3"/>
        <v>2147906.1320000002</v>
      </c>
      <c r="O224" s="475">
        <f>'Budget Filing Data'!AQ218</f>
        <v>2147906.1320000002</v>
      </c>
      <c r="P224" s="475">
        <f>'Budget Filing Data'!AR218</f>
        <v>0</v>
      </c>
      <c r="Q224" s="475">
        <f>'Budget Filing Data'!AS218</f>
        <v>0</v>
      </c>
      <c r="R224" s="475">
        <f>'Budget Filing Data'!AT218</f>
        <v>0</v>
      </c>
      <c r="S224" s="476">
        <f>'Budget Filing Data'!X218</f>
        <v>0</v>
      </c>
      <c r="T224" s="477">
        <f>IFERROR((('Budget Filing Data'!AF218+'Budget Filing Data'!AG218+'Budget Filing Data'!AY218+'Budget Filing Data'!AH218)/'Budget Filing Data'!AA218),"")</f>
        <v>0</v>
      </c>
      <c r="U224" s="477">
        <f>IFERROR((('Budget Filing Data'!AF218+'Budget Filing Data'!AG218+'Budget Filing Data'!AY218+'Budget Filing Data'!AH218)/'Budget Filing Data'!AB218),"")</f>
        <v>0</v>
      </c>
      <c r="V224" s="477">
        <f>IFERROR((('Budget Filing Data'!AF218+'Budget Filing Data'!AG218+'Budget Filing Data'!AY218+'Budget Filing Data'!AH218+'Budget Filing Data'!AW218+'Budget Filing Data'!AX218)/('Budget Filing Data'!AE218)),"")</f>
        <v>0</v>
      </c>
      <c r="W224" s="477">
        <f>IFERROR(('Budget Filing Data'!AI218+'Budget Filing Data'!AJ218+'Budget Filing Data'!AK218+'Budget Filing Data'!AH218)/('Budget Filing Data'!AC218),"")</f>
        <v>0</v>
      </c>
      <c r="X224" s="477">
        <f>IFERROR(('Budget Filing Data'!AL218+'Budget Filing Data'!AM218+'Budget Filing Data'!AN218+'Budget Filing Data'!AH218)/('Budget Filing Data'!AD218),"")</f>
        <v>0</v>
      </c>
      <c r="Y224" s="478">
        <f>'Budget Filing Data'!Q218</f>
        <v>0</v>
      </c>
      <c r="Z224" s="478">
        <f>'Budget Filing Data'!R218</f>
        <v>0</v>
      </c>
      <c r="AA224" s="478">
        <f>'Budget Filing Data'!S218</f>
        <v>0</v>
      </c>
      <c r="AB224" s="478">
        <f>'Budget Filing Data'!AO218</f>
        <v>0</v>
      </c>
      <c r="AC224" s="478">
        <f>'Budget Filing Data'!AP218</f>
        <v>0</v>
      </c>
      <c r="AD224" s="478">
        <f>'Budget Filing Data'!T218</f>
        <v>0</v>
      </c>
      <c r="AE224" s="478">
        <f>'Budget Filing Data'!U218</f>
        <v>0</v>
      </c>
      <c r="AF224" s="478">
        <f>'Budget Filing Data'!$V218</f>
        <v>0</v>
      </c>
      <c r="AG224" s="478">
        <f>'Budget Filing Data'!$W218</f>
        <v>0</v>
      </c>
      <c r="AH224" s="479">
        <v>0</v>
      </c>
    </row>
    <row r="225" spans="3:34">
      <c r="C225" s="470" t="str">
        <f>'Budget Filing Data'!D219</f>
        <v>SDGE_SW_HESC</v>
      </c>
      <c r="D225" s="470" t="str">
        <f>'Budget Filing Data'!E219</f>
        <v>SW Home Energy Score California</v>
      </c>
      <c r="E225" s="471" t="s">
        <v>42</v>
      </c>
      <c r="F225" s="471" t="s">
        <v>323</v>
      </c>
      <c r="G225" s="472" t="str">
        <f>'Budget Filing Data'!J219</f>
        <v>REN/CCA</v>
      </c>
      <c r="H225" s="472" t="str">
        <f>IF('Budget Filing Data'!H219="","",'Budget Filing Data'!H219)</f>
        <v>SW_HESC - SW Home Energy Score California</v>
      </c>
      <c r="I225" s="473" t="s">
        <v>15</v>
      </c>
      <c r="J225" s="472" t="str">
        <f>'Budget Filing Data'!G219</f>
        <v>Residential</v>
      </c>
      <c r="K225" s="472" t="str">
        <f>'Budget Filing Data'!I219</f>
        <v>Market Transformation</v>
      </c>
      <c r="L225" s="472" t="str">
        <f>'Budget Filing Data'!L219</f>
        <v>Market Support</v>
      </c>
      <c r="M225" s="472">
        <f>'Budget Filing Data'!B219</f>
        <v>2030</v>
      </c>
      <c r="N225" s="474">
        <f t="shared" si="3"/>
        <v>584446.12479999999</v>
      </c>
      <c r="O225" s="475">
        <f>'Budget Filing Data'!AQ219</f>
        <v>15853.945599999999</v>
      </c>
      <c r="P225" s="475">
        <f>'Budget Filing Data'!AR219</f>
        <v>37200</v>
      </c>
      <c r="Q225" s="475">
        <f>'Budget Filing Data'!AS219</f>
        <v>122192.1792</v>
      </c>
      <c r="R225" s="475">
        <f>'Budget Filing Data'!AT219</f>
        <v>409200</v>
      </c>
      <c r="S225" s="476">
        <f>'Budget Filing Data'!X219</f>
        <v>0</v>
      </c>
      <c r="T225" s="477">
        <f>IFERROR((('Budget Filing Data'!AF219+'Budget Filing Data'!AG219+'Budget Filing Data'!AY219+'Budget Filing Data'!AH219)/'Budget Filing Data'!AA219),"")</f>
        <v>0</v>
      </c>
      <c r="U225" s="477">
        <f>IFERROR((('Budget Filing Data'!AF219+'Budget Filing Data'!AG219+'Budget Filing Data'!AY219+'Budget Filing Data'!AH219)/'Budget Filing Data'!AB219),"")</f>
        <v>0</v>
      </c>
      <c r="V225" s="477">
        <f>IFERROR((('Budget Filing Data'!AF219+'Budget Filing Data'!AG219+'Budget Filing Data'!AY219+'Budget Filing Data'!AH219+'Budget Filing Data'!AW219+'Budget Filing Data'!AX219)/('Budget Filing Data'!AE219)),"")</f>
        <v>0</v>
      </c>
      <c r="W225" s="477">
        <f>IFERROR(('Budget Filing Data'!AI219+'Budget Filing Data'!AJ219+'Budget Filing Data'!AK219+'Budget Filing Data'!AH219)/('Budget Filing Data'!AC219),"")</f>
        <v>0</v>
      </c>
      <c r="X225" s="477">
        <f>IFERROR(('Budget Filing Data'!AL219+'Budget Filing Data'!AM219+'Budget Filing Data'!AN219+'Budget Filing Data'!AH219)/('Budget Filing Data'!AD219),"")</f>
        <v>0</v>
      </c>
      <c r="Y225" s="478">
        <f>'Budget Filing Data'!Q219</f>
        <v>0</v>
      </c>
      <c r="Z225" s="478">
        <f>'Budget Filing Data'!R219</f>
        <v>0</v>
      </c>
      <c r="AA225" s="478">
        <f>'Budget Filing Data'!S219</f>
        <v>0</v>
      </c>
      <c r="AB225" s="478">
        <f>'Budget Filing Data'!AO219</f>
        <v>0</v>
      </c>
      <c r="AC225" s="478">
        <f>'Budget Filing Data'!AP219</f>
        <v>0</v>
      </c>
      <c r="AD225" s="478">
        <f>'Budget Filing Data'!T219</f>
        <v>0</v>
      </c>
      <c r="AE225" s="478">
        <f>'Budget Filing Data'!U219</f>
        <v>0</v>
      </c>
      <c r="AF225" s="478">
        <f>'Budget Filing Data'!$V219</f>
        <v>0</v>
      </c>
      <c r="AG225" s="478">
        <f>'Budget Filing Data'!$W219</f>
        <v>0</v>
      </c>
      <c r="AH225" s="479">
        <v>0</v>
      </c>
    </row>
    <row r="226" spans="3:34" ht="38.25">
      <c r="C226" s="470" t="str">
        <f>'Budget Filing Data'!D220</f>
        <v>SDGE_SW_HESC_PA</v>
      </c>
      <c r="D226" s="470" t="str">
        <f>'Budget Filing Data'!E220</f>
        <v>SW Home Energy Score California (Utility)</v>
      </c>
      <c r="E226" s="471" t="s">
        <v>42</v>
      </c>
      <c r="F226" s="471" t="s">
        <v>328</v>
      </c>
      <c r="G226" s="472" t="str">
        <f>'Budget Filing Data'!J220</f>
        <v>IOU Core</v>
      </c>
      <c r="H226" s="472" t="str">
        <f>IF('Budget Filing Data'!H220="","",'Budget Filing Data'!H220)</f>
        <v>SW_HESC - SW Home Energy Score California</v>
      </c>
      <c r="I226" s="473" t="s">
        <v>15</v>
      </c>
      <c r="J226" s="472" t="str">
        <f>'Budget Filing Data'!G220</f>
        <v>Residential</v>
      </c>
      <c r="K226" s="472" t="str">
        <f>'Budget Filing Data'!I220</f>
        <v>Market Transformation</v>
      </c>
      <c r="L226" s="472" t="str">
        <f>'Budget Filing Data'!L220</f>
        <v>Market Support</v>
      </c>
      <c r="M226" s="472">
        <f>'Budget Filing Data'!B220</f>
        <v>2030</v>
      </c>
      <c r="N226" s="474">
        <f t="shared" si="3"/>
        <v>5511.5146999999997</v>
      </c>
      <c r="O226" s="475">
        <f>'Budget Filing Data'!AQ220</f>
        <v>5511.5146999999997</v>
      </c>
      <c r="P226" s="475">
        <f>'Budget Filing Data'!AR220</f>
        <v>0</v>
      </c>
      <c r="Q226" s="475">
        <f>'Budget Filing Data'!AS220</f>
        <v>0</v>
      </c>
      <c r="R226" s="475">
        <f>'Budget Filing Data'!AT220</f>
        <v>0</v>
      </c>
      <c r="S226" s="476">
        <f>'Budget Filing Data'!X220</f>
        <v>0</v>
      </c>
      <c r="T226" s="477">
        <f>IFERROR((('Budget Filing Data'!AF220+'Budget Filing Data'!AG220+'Budget Filing Data'!AY220+'Budget Filing Data'!AH220)/'Budget Filing Data'!AA220),"")</f>
        <v>0</v>
      </c>
      <c r="U226" s="477">
        <f>IFERROR((('Budget Filing Data'!AF220+'Budget Filing Data'!AG220+'Budget Filing Data'!AY220+'Budget Filing Data'!AH220)/'Budget Filing Data'!AB220),"")</f>
        <v>0</v>
      </c>
      <c r="V226" s="477">
        <f>IFERROR((('Budget Filing Data'!AF220+'Budget Filing Data'!AG220+'Budget Filing Data'!AY220+'Budget Filing Data'!AH220+'Budget Filing Data'!AW220+'Budget Filing Data'!AX220)/('Budget Filing Data'!AE220)),"")</f>
        <v>0</v>
      </c>
      <c r="W226" s="477">
        <f>IFERROR(('Budget Filing Data'!AI220+'Budget Filing Data'!AJ220+'Budget Filing Data'!AK220+'Budget Filing Data'!AH220)/('Budget Filing Data'!AC220),"")</f>
        <v>0</v>
      </c>
      <c r="X226" s="477">
        <f>IFERROR(('Budget Filing Data'!AL220+'Budget Filing Data'!AM220+'Budget Filing Data'!AN220+'Budget Filing Data'!AH220)/('Budget Filing Data'!AD220),"")</f>
        <v>0</v>
      </c>
      <c r="Y226" s="478">
        <f>'Budget Filing Data'!Q220</f>
        <v>0</v>
      </c>
      <c r="Z226" s="478">
        <f>'Budget Filing Data'!R220</f>
        <v>0</v>
      </c>
      <c r="AA226" s="478">
        <f>'Budget Filing Data'!S220</f>
        <v>0</v>
      </c>
      <c r="AB226" s="478">
        <f>'Budget Filing Data'!AO220</f>
        <v>0</v>
      </c>
      <c r="AC226" s="478">
        <f>'Budget Filing Data'!AP220</f>
        <v>0</v>
      </c>
      <c r="AD226" s="478">
        <f>'Budget Filing Data'!T220</f>
        <v>0</v>
      </c>
      <c r="AE226" s="478">
        <f>'Budget Filing Data'!U220</f>
        <v>0</v>
      </c>
      <c r="AF226" s="478">
        <f>'Budget Filing Data'!$V220</f>
        <v>0</v>
      </c>
      <c r="AG226" s="478">
        <f>'Budget Filing Data'!$W220</f>
        <v>0</v>
      </c>
      <c r="AH226" s="479">
        <v>0</v>
      </c>
    </row>
    <row r="227" spans="3:34" ht="25.5">
      <c r="C227" s="470" t="str">
        <f>'Budget Filing Data'!D221</f>
        <v>SDGE4201</v>
      </c>
      <c r="D227" s="470" t="str">
        <f>'Budget Filing Data'!E221</f>
        <v>Market Access Program - Residential</v>
      </c>
      <c r="E227" s="471" t="s">
        <v>42</v>
      </c>
      <c r="F227" s="471" t="s">
        <v>321</v>
      </c>
      <c r="G227" s="472" t="str">
        <f>'Budget Filing Data'!J221</f>
        <v>Third-Party Solicited</v>
      </c>
      <c r="H227" s="472" t="str">
        <f>IF('Budget Filing Data'!H221="","",'Budget Filing Data'!H221)</f>
        <v/>
      </c>
      <c r="I227" s="473" t="s">
        <v>24</v>
      </c>
      <c r="J227" s="472" t="str">
        <f>'Budget Filing Data'!G221</f>
        <v>Residential</v>
      </c>
      <c r="K227" s="472" t="str">
        <f>'Budget Filing Data'!I221</f>
        <v>Other</v>
      </c>
      <c r="L227" s="472" t="str">
        <f>'Budget Filing Data'!L221</f>
        <v>Resource Acquisition</v>
      </c>
      <c r="M227" s="472">
        <f>'Budget Filing Data'!B221</f>
        <v>2030</v>
      </c>
      <c r="N227" s="474">
        <f t="shared" si="3"/>
        <v>326598.15850000002</v>
      </c>
      <c r="O227" s="475">
        <f>'Budget Filing Data'!AQ221</f>
        <v>45539.957500000004</v>
      </c>
      <c r="P227" s="475">
        <f>'Budget Filing Data'!AR221</f>
        <v>17714.1103</v>
      </c>
      <c r="Q227" s="475">
        <f>'Budget Filing Data'!AS221</f>
        <v>86046.390400000004</v>
      </c>
      <c r="R227" s="475">
        <f>'Budget Filing Data'!AT221</f>
        <v>177297.7003</v>
      </c>
      <c r="S227" s="476">
        <f>'Budget Filing Data'!X221</f>
        <v>329214.89241486002</v>
      </c>
      <c r="T227" s="477">
        <f>IFERROR((('Budget Filing Data'!AF221+'Budget Filing Data'!AG221+'Budget Filing Data'!AY221+'Budget Filing Data'!AH221)/'Budget Filing Data'!AA221),"")</f>
        <v>0.8821807495729217</v>
      </c>
      <c r="U227" s="477">
        <f>IFERROR((('Budget Filing Data'!AF221+'Budget Filing Data'!AG221+'Budget Filing Data'!AY221+'Budget Filing Data'!AH221)/'Budget Filing Data'!AB221),"")</f>
        <v>1.0237942526865302</v>
      </c>
      <c r="V227" s="477">
        <f>IFERROR((('Budget Filing Data'!AF221+'Budget Filing Data'!AG221+'Budget Filing Data'!AY221+'Budget Filing Data'!AH221+'Budget Filing Data'!AW221+'Budget Filing Data'!AX221)/('Budget Filing Data'!AE221)),"")</f>
        <v>0.50318829382867347</v>
      </c>
      <c r="W227" s="477">
        <f>IFERROR(('Budget Filing Data'!AI221+'Budget Filing Data'!AJ221+'Budget Filing Data'!AK221+'Budget Filing Data'!AH221)/('Budget Filing Data'!AC221),"")</f>
        <v>1.2550177211387048</v>
      </c>
      <c r="X227" s="477">
        <f>IFERROR(('Budget Filing Data'!AL221+'Budget Filing Data'!AM221+'Budget Filing Data'!AN221+'Budget Filing Data'!AH221)/('Budget Filing Data'!AD221),"")</f>
        <v>1.2550177211387048</v>
      </c>
      <c r="Y227" s="478">
        <f>'Budget Filing Data'!Q221</f>
        <v>48146.802974193401</v>
      </c>
      <c r="Z227" s="478">
        <f>'Budget Filing Data'!R221</f>
        <v>21.667349797378701</v>
      </c>
      <c r="AA227" s="478">
        <f>'Budget Filing Data'!S221</f>
        <v>11057.0009484735</v>
      </c>
      <c r="AB227" s="478">
        <f>'Budget Filing Data'!AO221</f>
        <v>12.651265795432099</v>
      </c>
      <c r="AC227" s="478">
        <f>'Budget Filing Data'!AP221</f>
        <v>58.712675036394501</v>
      </c>
      <c r="AD227" s="478">
        <f>'Budget Filing Data'!T221</f>
        <v>688037.07322241296</v>
      </c>
      <c r="AE227" s="478">
        <f>'Budget Filing Data'!U221</f>
        <v>158008.96635406601</v>
      </c>
      <c r="AF227" s="478">
        <f>'Budget Filing Data'!$V221</f>
        <v>191.71375687861101</v>
      </c>
      <c r="AG227" s="478">
        <f>'Budget Filing Data'!$W221</f>
        <v>839.02761134009302</v>
      </c>
      <c r="AH227" s="479">
        <v>0</v>
      </c>
    </row>
    <row r="228" spans="3:34" ht="25.5" hidden="1">
      <c r="C228" s="470" t="str">
        <f>'Budget Filing Data'!D222</f>
        <v>SDGE4202</v>
      </c>
      <c r="D228" s="470" t="str">
        <f>'Budget Filing Data'!E222</f>
        <v>Market Access Program - Commercial</v>
      </c>
      <c r="E228" s="471" t="s">
        <v>42</v>
      </c>
      <c r="F228" s="471" t="s">
        <v>321</v>
      </c>
      <c r="G228" s="472" t="str">
        <f>'Budget Filing Data'!J222</f>
        <v>Third-Party Solicited</v>
      </c>
      <c r="H228" s="472" t="str">
        <f>IF('Budget Filing Data'!H222="","",'Budget Filing Data'!H222)</f>
        <v/>
      </c>
      <c r="I228" s="473" t="s">
        <v>24</v>
      </c>
      <c r="J228" s="472" t="str">
        <f>'Budget Filing Data'!G222</f>
        <v>Commercial</v>
      </c>
      <c r="K228" s="472" t="str">
        <f>'Budget Filing Data'!I222</f>
        <v>Other</v>
      </c>
      <c r="L228" s="472" t="str">
        <f>'Budget Filing Data'!L222</f>
        <v>Resource Acquisition</v>
      </c>
      <c r="M228" s="472">
        <f>'Budget Filing Data'!B222</f>
        <v>2030</v>
      </c>
      <c r="N228" s="474">
        <f t="shared" si="3"/>
        <v>2036998.9911000002</v>
      </c>
      <c r="O228" s="475">
        <f>'Budget Filing Data'!AQ222</f>
        <v>275843.13430000003</v>
      </c>
      <c r="P228" s="475">
        <f>'Budget Filing Data'!AR222</f>
        <v>109030.1103</v>
      </c>
      <c r="Q228" s="475">
        <f>'Budget Filing Data'!AS222</f>
        <v>529685.75450000004</v>
      </c>
      <c r="R228" s="475">
        <f>'Budget Filing Data'!AT222</f>
        <v>1122439.9920000001</v>
      </c>
      <c r="S228" s="476">
        <f>'Budget Filing Data'!X222</f>
        <v>2644245.4768200298</v>
      </c>
      <c r="T228" s="477">
        <f>IFERROR((('Budget Filing Data'!AF222+'Budget Filing Data'!AG222+'Budget Filing Data'!AY222+'Budget Filing Data'!AH222)/'Budget Filing Data'!AA222),"")</f>
        <v>1.2523771940677288</v>
      </c>
      <c r="U228" s="477">
        <f>IFERROR((('Budget Filing Data'!AF222+'Budget Filing Data'!AG222+'Budget Filing Data'!AY222+'Budget Filing Data'!AH222)/'Budget Filing Data'!AB222),"")</f>
        <v>1.3242379168105147</v>
      </c>
      <c r="V228" s="477">
        <f>IFERROR((('Budget Filing Data'!AF222+'Budget Filing Data'!AG222+'Budget Filing Data'!AY222+'Budget Filing Data'!AH222+'Budget Filing Data'!AW222+'Budget Filing Data'!AX222)/('Budget Filing Data'!AE222)),"")</f>
        <v>0.17792602337503058</v>
      </c>
      <c r="W228" s="477">
        <f>IFERROR(('Budget Filing Data'!AI222+'Budget Filing Data'!AJ222+'Budget Filing Data'!AK222+'Budget Filing Data'!AH222)/('Budget Filing Data'!AC222),"")</f>
        <v>1.4395772756463183</v>
      </c>
      <c r="X228" s="477">
        <f>IFERROR(('Budget Filing Data'!AL222+'Budget Filing Data'!AM222+'Budget Filing Data'!AN222+'Budget Filing Data'!AH222)/('Budget Filing Data'!AD222),"")</f>
        <v>1.4395772756463183</v>
      </c>
      <c r="Y228" s="478">
        <f>'Budget Filing Data'!Q222</f>
        <v>3015518.9999850001</v>
      </c>
      <c r="Z228" s="478">
        <f>'Budget Filing Data'!R222</f>
        <v>448.62154722000002</v>
      </c>
      <c r="AA228" s="478">
        <f>'Budget Filing Data'!S222</f>
        <v>0</v>
      </c>
      <c r="AB228" s="478">
        <f>'Budget Filing Data'!AO222</f>
        <v>407.15778779317498</v>
      </c>
      <c r="AC228" s="478">
        <f>'Budget Filing Data'!AP222</f>
        <v>0</v>
      </c>
      <c r="AD228" s="478">
        <f>'Budget Filing Data'!T222</f>
        <v>39958099.475381203</v>
      </c>
      <c r="AE228" s="478">
        <f>'Budget Filing Data'!U222</f>
        <v>0</v>
      </c>
      <c r="AF228" s="478">
        <f>'Budget Filing Data'!$V222</f>
        <v>5617.6751402042901</v>
      </c>
      <c r="AG228" s="478">
        <f>'Budget Filing Data'!$W222</f>
        <v>0</v>
      </c>
      <c r="AH228" s="479">
        <v>0</v>
      </c>
    </row>
    <row r="229" spans="3:34" ht="25.5" hidden="1">
      <c r="C229" s="470" t="str">
        <f>'Budget Filing Data'!D223</f>
        <v>SDGE_SW_HVAC_AE_NonRes</v>
      </c>
      <c r="D229" s="470" t="str">
        <f>'Budget Filing Data'!E223</f>
        <v>SW HVAC All Electric Non-Residential</v>
      </c>
      <c r="E229" s="471" t="s">
        <v>42</v>
      </c>
      <c r="F229" s="471" t="s">
        <v>329</v>
      </c>
      <c r="G229" s="472" t="str">
        <f>'Budget Filing Data'!J223</f>
        <v>Third-Party Solicited</v>
      </c>
      <c r="H229" s="472" t="str">
        <f>IF('Budget Filing Data'!H223="","",'Budget Filing Data'!H223)</f>
        <v>SW_HVAC_AE_NonRes - SW HVAC All Electric Non-Residential</v>
      </c>
      <c r="I229" s="473" t="s">
        <v>24</v>
      </c>
      <c r="J229" s="472" t="str">
        <f>'Budget Filing Data'!G223</f>
        <v>Commercial</v>
      </c>
      <c r="K229" s="472" t="str">
        <f>'Budget Filing Data'!I223</f>
        <v>Market Transformation</v>
      </c>
      <c r="L229" s="472" t="str">
        <f>'Budget Filing Data'!L223</f>
        <v>Resource Acquisition</v>
      </c>
      <c r="M229" s="472">
        <f>'Budget Filing Data'!B223</f>
        <v>2030</v>
      </c>
      <c r="N229" s="474">
        <f t="shared" si="3"/>
        <v>903343.78261000011</v>
      </c>
      <c r="O229" s="475">
        <f>'Budget Filing Data'!AQ223</f>
        <v>108401.2542</v>
      </c>
      <c r="P229" s="475">
        <f>'Budget Filing Data'!AR223</f>
        <v>72267.502600000007</v>
      </c>
      <c r="Q229" s="475">
        <f>'Budget Filing Data'!AS223</f>
        <v>478722.8346</v>
      </c>
      <c r="R229" s="475">
        <f>'Budget Filing Data'!AT223</f>
        <v>243952.19121000002</v>
      </c>
      <c r="S229" s="476">
        <f>'Budget Filing Data'!X223</f>
        <v>907238.62485036545</v>
      </c>
      <c r="T229" s="477">
        <f>IFERROR((('Budget Filing Data'!AF223+'Budget Filing Data'!AG223+'Budget Filing Data'!AY223+'Budget Filing Data'!AH223)/'Budget Filing Data'!AA223),"")</f>
        <v>1.1007768611468458</v>
      </c>
      <c r="U229" s="477">
        <f>IFERROR((('Budget Filing Data'!AF223+'Budget Filing Data'!AG223+'Budget Filing Data'!AY223+'Budget Filing Data'!AH223)/'Budget Filing Data'!AB223),"")</f>
        <v>1.0158719014753577</v>
      </c>
      <c r="V229" s="477">
        <f>IFERROR((('Budget Filing Data'!AF223+'Budget Filing Data'!AG223+'Budget Filing Data'!AY223+'Budget Filing Data'!AH223+'Budget Filing Data'!AW223+'Budget Filing Data'!AX223)/('Budget Filing Data'!AE223)),"")</f>
        <v>1.0269613325479323</v>
      </c>
      <c r="W229" s="477">
        <f>IFERROR(('Budget Filing Data'!AI223+'Budget Filing Data'!AJ223+'Budget Filing Data'!AK223+'Budget Filing Data'!AH223)/('Budget Filing Data'!AC223),"")</f>
        <v>1.6782419986502317</v>
      </c>
      <c r="X229" s="477">
        <f>IFERROR(('Budget Filing Data'!AL223+'Budget Filing Data'!AM223+'Budget Filing Data'!AN223+'Budget Filing Data'!AH223)/('Budget Filing Data'!AD223),"")</f>
        <v>1.6782419986502317</v>
      </c>
      <c r="Y229" s="478">
        <f>'Budget Filing Data'!Q223</f>
        <v>-110950.1911699999</v>
      </c>
      <c r="Z229" s="478">
        <f>'Budget Filing Data'!R223</f>
        <v>7.6954564049999954</v>
      </c>
      <c r="AA229" s="478">
        <f>'Budget Filing Data'!S223</f>
        <v>29368.155613160001</v>
      </c>
      <c r="AB229" s="478">
        <f>'Budget Filing Data'!AO223</f>
        <v>-14.869394280282991</v>
      </c>
      <c r="AC229" s="478">
        <f>'Budget Filing Data'!AP223</f>
        <v>155.94490630587947</v>
      </c>
      <c r="AD229" s="478">
        <f>'Budget Filing Data'!T223</f>
        <v>-2342513.3458999982</v>
      </c>
      <c r="AE229" s="478">
        <f>'Budget Filing Data'!U223</f>
        <v>587363.13284739957</v>
      </c>
      <c r="AF229" s="478">
        <f>'Budget Filing Data'!$V223</f>
        <v>-311.41836031412976</v>
      </c>
      <c r="AG229" s="478">
        <f>'Budget Filing Data'!$W223</f>
        <v>3118.8982354196924</v>
      </c>
      <c r="AH229" s="479">
        <v>0</v>
      </c>
    </row>
    <row r="230" spans="3:34" ht="38.25" hidden="1">
      <c r="C230" s="470" t="str">
        <f>'Budget Filing Data'!D224</f>
        <v>SDGE_SW_HVAC_AE_NonRes_PA</v>
      </c>
      <c r="D230" s="470" t="str">
        <f>'Budget Filing Data'!E224</f>
        <v>SW HVAC All Electric Non-Residential (Utility)</v>
      </c>
      <c r="E230" s="471" t="s">
        <v>42</v>
      </c>
      <c r="F230" s="471" t="s">
        <v>330</v>
      </c>
      <c r="G230" s="472" t="str">
        <f>'Budget Filing Data'!J224</f>
        <v>IOU Core</v>
      </c>
      <c r="H230" s="472" t="str">
        <f>IF('Budget Filing Data'!H224="","",'Budget Filing Data'!H224)</f>
        <v>SW_HVAC_AE_NonRes - SW HVAC All Electric Non-Residential</v>
      </c>
      <c r="I230" s="473" t="s">
        <v>24</v>
      </c>
      <c r="J230" s="472" t="str">
        <f>'Budget Filing Data'!G224</f>
        <v>Commercial</v>
      </c>
      <c r="K230" s="472" t="str">
        <f>'Budget Filing Data'!I224</f>
        <v>Market Transformation</v>
      </c>
      <c r="L230" s="472" t="str">
        <f>'Budget Filing Data'!L224</f>
        <v>Resource Acquisition</v>
      </c>
      <c r="M230" s="472">
        <f>'Budget Filing Data'!B224</f>
        <v>2030</v>
      </c>
      <c r="N230" s="474">
        <f t="shared" si="3"/>
        <v>7391.4647000000004</v>
      </c>
      <c r="O230" s="475">
        <f>'Budget Filing Data'!AQ224</f>
        <v>7391.4647000000004</v>
      </c>
      <c r="P230" s="475">
        <f>'Budget Filing Data'!AR224</f>
        <v>0</v>
      </c>
      <c r="Q230" s="475">
        <f>'Budget Filing Data'!AS224</f>
        <v>0</v>
      </c>
      <c r="R230" s="475">
        <f>'Budget Filing Data'!AT224</f>
        <v>0</v>
      </c>
      <c r="S230" s="476">
        <f>'Budget Filing Data'!X224</f>
        <v>0</v>
      </c>
      <c r="T230" s="477">
        <f>IFERROR((('Budget Filing Data'!AF224+'Budget Filing Data'!AG224+'Budget Filing Data'!AY224+'Budget Filing Data'!AH224)/'Budget Filing Data'!AA224),"")</f>
        <v>0</v>
      </c>
      <c r="U230" s="477">
        <f>IFERROR((('Budget Filing Data'!AF224+'Budget Filing Data'!AG224+'Budget Filing Data'!AY224+'Budget Filing Data'!AH224)/'Budget Filing Data'!AB224),"")</f>
        <v>0</v>
      </c>
      <c r="V230" s="477">
        <f>IFERROR((('Budget Filing Data'!AF224+'Budget Filing Data'!AG224+'Budget Filing Data'!AY224+'Budget Filing Data'!AH224+'Budget Filing Data'!AW224+'Budget Filing Data'!AX224)/('Budget Filing Data'!AE224)),"")</f>
        <v>0</v>
      </c>
      <c r="W230" s="477">
        <f>IFERROR(('Budget Filing Data'!AI224+'Budget Filing Data'!AJ224+'Budget Filing Data'!AK224+'Budget Filing Data'!AH224)/('Budget Filing Data'!AC224),"")</f>
        <v>0</v>
      </c>
      <c r="X230" s="477">
        <f>IFERROR(('Budget Filing Data'!AL224+'Budget Filing Data'!AM224+'Budget Filing Data'!AN224+'Budget Filing Data'!AH224)/('Budget Filing Data'!AD224),"")</f>
        <v>0</v>
      </c>
      <c r="Y230" s="478">
        <f>'Budget Filing Data'!Q224</f>
        <v>0</v>
      </c>
      <c r="Z230" s="478">
        <f>'Budget Filing Data'!R224</f>
        <v>0</v>
      </c>
      <c r="AA230" s="478">
        <f>'Budget Filing Data'!S224</f>
        <v>0</v>
      </c>
      <c r="AB230" s="478">
        <f>'Budget Filing Data'!AO224</f>
        <v>0</v>
      </c>
      <c r="AC230" s="478">
        <f>'Budget Filing Data'!AP224</f>
        <v>0</v>
      </c>
      <c r="AD230" s="478">
        <f>'Budget Filing Data'!T224</f>
        <v>0</v>
      </c>
      <c r="AE230" s="478">
        <f>'Budget Filing Data'!U224</f>
        <v>0</v>
      </c>
      <c r="AF230" s="478">
        <f>'Budget Filing Data'!$V224</f>
        <v>0</v>
      </c>
      <c r="AG230" s="478">
        <f>'Budget Filing Data'!$W224</f>
        <v>0</v>
      </c>
      <c r="AH230" s="479">
        <v>0</v>
      </c>
    </row>
    <row r="231" spans="3:34" ht="25.5" hidden="1">
      <c r="C231" s="470" t="str">
        <f>'Budget Filing Data'!D225</f>
        <v>SDGE_OtherPA_Admin</v>
      </c>
      <c r="D231" s="470" t="str">
        <f>'Budget Filing Data'!E225</f>
        <v>Other PA Collaboration</v>
      </c>
      <c r="E231" s="471" t="s">
        <v>48</v>
      </c>
      <c r="F231" s="471" t="s">
        <v>331</v>
      </c>
      <c r="G231" s="472" t="str">
        <f>'Budget Filing Data'!J225</f>
        <v>Non-Program</v>
      </c>
      <c r="H231" s="472" t="str">
        <f>IF('Budget Filing Data'!H225="","",'Budget Filing Data'!H225)</f>
        <v/>
      </c>
      <c r="I231" s="473" t="s">
        <v>15</v>
      </c>
      <c r="J231" s="472" t="str">
        <f>'Budget Filing Data'!G225</f>
        <v>Cross Cutting</v>
      </c>
      <c r="K231" s="472" t="str">
        <f>'Budget Filing Data'!I225</f>
        <v>Other</v>
      </c>
      <c r="L231" s="472" t="str">
        <f>'Budget Filing Data'!L225</f>
        <v>Market Support</v>
      </c>
      <c r="M231" s="472">
        <f>'Budget Filing Data'!B225</f>
        <v>2030</v>
      </c>
      <c r="N231" s="474">
        <f t="shared" si="3"/>
        <v>129479.86500000001</v>
      </c>
      <c r="O231" s="475">
        <f>'Budget Filing Data'!AQ225</f>
        <v>129479.86500000001</v>
      </c>
      <c r="P231" s="475">
        <f>'Budget Filing Data'!AR225</f>
        <v>0</v>
      </c>
      <c r="Q231" s="475">
        <f>'Budget Filing Data'!AS225</f>
        <v>0</v>
      </c>
      <c r="R231" s="475">
        <f>'Budget Filing Data'!AT225</f>
        <v>0</v>
      </c>
      <c r="S231" s="476">
        <f>'Budget Filing Data'!X225</f>
        <v>0</v>
      </c>
      <c r="T231" s="477">
        <f>IFERROR((('Budget Filing Data'!AF225+'Budget Filing Data'!AG225+'Budget Filing Data'!AY225+'Budget Filing Data'!AH225)/'Budget Filing Data'!AA225),"")</f>
        <v>0</v>
      </c>
      <c r="U231" s="477">
        <f>IFERROR((('Budget Filing Data'!AF225+'Budget Filing Data'!AG225+'Budget Filing Data'!AY225+'Budget Filing Data'!AH225)/'Budget Filing Data'!AB225),"")</f>
        <v>0</v>
      </c>
      <c r="V231" s="477">
        <f>IFERROR((('Budget Filing Data'!AF225+'Budget Filing Data'!AG225+'Budget Filing Data'!AY225+'Budget Filing Data'!AH225+'Budget Filing Data'!AW225+'Budget Filing Data'!AX225)/('Budget Filing Data'!AE225)),"")</f>
        <v>0</v>
      </c>
      <c r="W231" s="477">
        <f>IFERROR(('Budget Filing Data'!AI225+'Budget Filing Data'!AJ225+'Budget Filing Data'!AK225+'Budget Filing Data'!AH225)/('Budget Filing Data'!AC225),"")</f>
        <v>0</v>
      </c>
      <c r="X231" s="477">
        <f>IFERROR(('Budget Filing Data'!AL225+'Budget Filing Data'!AM225+'Budget Filing Data'!AN225+'Budget Filing Data'!AH225)/('Budget Filing Data'!AD225),"")</f>
        <v>0</v>
      </c>
      <c r="Y231" s="478">
        <f>'Budget Filing Data'!Q225</f>
        <v>0</v>
      </c>
      <c r="Z231" s="478">
        <f>'Budget Filing Data'!R225</f>
        <v>0</v>
      </c>
      <c r="AA231" s="478">
        <f>'Budget Filing Data'!S225</f>
        <v>0</v>
      </c>
      <c r="AB231" s="478">
        <f>'Budget Filing Data'!AO225</f>
        <v>0</v>
      </c>
      <c r="AC231" s="478">
        <f>'Budget Filing Data'!AP225</f>
        <v>0</v>
      </c>
      <c r="AD231" s="478">
        <f>'Budget Filing Data'!T225</f>
        <v>0</v>
      </c>
      <c r="AE231" s="478">
        <f>'Budget Filing Data'!U225</f>
        <v>0</v>
      </c>
      <c r="AF231" s="478">
        <f>'Budget Filing Data'!$V225</f>
        <v>0</v>
      </c>
      <c r="AG231" s="478">
        <f>'Budget Filing Data'!$W225</f>
        <v>0</v>
      </c>
      <c r="AH231" s="479">
        <v>0</v>
      </c>
    </row>
    <row r="232" spans="3:34" hidden="1">
      <c r="C232" s="470" t="str">
        <f>'Budget Filing Data'!D226</f>
        <v>SDGE3251</v>
      </c>
      <c r="D232" s="470" t="str">
        <f>'Budget Filing Data'!E226</f>
        <v>SW C&amp;S - Compliance Enhancement</v>
      </c>
      <c r="E232" s="471" t="s">
        <v>42</v>
      </c>
      <c r="F232" s="471" t="s">
        <v>319</v>
      </c>
      <c r="G232" s="472" t="str">
        <f>'Budget Filing Data'!J226</f>
        <v>IOU Core</v>
      </c>
      <c r="H232" s="472" t="str">
        <f>IF('Budget Filing Data'!H226="","",'Budget Filing Data'!H226)</f>
        <v/>
      </c>
      <c r="I232" s="473" t="s">
        <v>15</v>
      </c>
      <c r="J232" s="472" t="str">
        <f>'Budget Filing Data'!G226</f>
        <v>Cross Cutting</v>
      </c>
      <c r="K232" s="472" t="str">
        <f>'Budget Filing Data'!I226</f>
        <v>Codes and Standards</v>
      </c>
      <c r="L232" s="472" t="str">
        <f>'Budget Filing Data'!L226</f>
        <v>Codes and Standards</v>
      </c>
      <c r="M232" s="472">
        <f>'Budget Filing Data'!B226</f>
        <v>2031</v>
      </c>
      <c r="N232" s="474">
        <f t="shared" si="3"/>
        <v>847506.62789999996</v>
      </c>
      <c r="O232" s="475">
        <f>'Budget Filing Data'!AQ226</f>
        <v>33969.127899999999</v>
      </c>
      <c r="P232" s="475">
        <f>'Budget Filing Data'!AR226</f>
        <v>0</v>
      </c>
      <c r="Q232" s="475">
        <f>'Budget Filing Data'!AS226</f>
        <v>813537.5</v>
      </c>
      <c r="R232" s="475">
        <f>'Budget Filing Data'!AT226</f>
        <v>0</v>
      </c>
      <c r="S232" s="476">
        <f>'Budget Filing Data'!X226</f>
        <v>0</v>
      </c>
      <c r="T232" s="477">
        <f>IFERROR((('Budget Filing Data'!AF226+'Budget Filing Data'!AG226+'Budget Filing Data'!AY226+'Budget Filing Data'!AH226)/'Budget Filing Data'!AA226),"")</f>
        <v>0</v>
      </c>
      <c r="U232" s="477">
        <f>IFERROR((('Budget Filing Data'!AF226+'Budget Filing Data'!AG226+'Budget Filing Data'!AY226+'Budget Filing Data'!AH226)/'Budget Filing Data'!AB226),"")</f>
        <v>0</v>
      </c>
      <c r="V232" s="477">
        <f>IFERROR((('Budget Filing Data'!AF226+'Budget Filing Data'!AG226+'Budget Filing Data'!AY226+'Budget Filing Data'!AH226+'Budget Filing Data'!AW226+'Budget Filing Data'!AX226)/('Budget Filing Data'!AE226)),"")</f>
        <v>0</v>
      </c>
      <c r="W232" s="477">
        <f>IFERROR(('Budget Filing Data'!AI226+'Budget Filing Data'!AJ226+'Budget Filing Data'!AK226+'Budget Filing Data'!AH226)/('Budget Filing Data'!AC226),"")</f>
        <v>0</v>
      </c>
      <c r="X232" s="477">
        <f>IFERROR(('Budget Filing Data'!AL226+'Budget Filing Data'!AM226+'Budget Filing Data'!AN226+'Budget Filing Data'!AH226)/('Budget Filing Data'!AD226),"")</f>
        <v>0</v>
      </c>
      <c r="Y232" s="478">
        <f>'Budget Filing Data'!Q226</f>
        <v>0</v>
      </c>
      <c r="Z232" s="478">
        <f>'Budget Filing Data'!R226</f>
        <v>0</v>
      </c>
      <c r="AA232" s="478">
        <f>'Budget Filing Data'!S226</f>
        <v>0</v>
      </c>
      <c r="AB232" s="478">
        <f>'Budget Filing Data'!AO226</f>
        <v>0</v>
      </c>
      <c r="AC232" s="478">
        <f>'Budget Filing Data'!AP226</f>
        <v>0</v>
      </c>
      <c r="AD232" s="478">
        <f>'Budget Filing Data'!T226</f>
        <v>0</v>
      </c>
      <c r="AE232" s="478">
        <f>'Budget Filing Data'!U226</f>
        <v>0</v>
      </c>
      <c r="AF232" s="478">
        <f>'Budget Filing Data'!$V226</f>
        <v>0</v>
      </c>
      <c r="AG232" s="478">
        <f>'Budget Filing Data'!$W226</f>
        <v>0</v>
      </c>
      <c r="AH232" s="479">
        <v>0</v>
      </c>
    </row>
    <row r="233" spans="3:34" hidden="1">
      <c r="C233" s="470" t="str">
        <f>'Budget Filing Data'!D227</f>
        <v>SDGE3252</v>
      </c>
      <c r="D233" s="470" t="str">
        <f>'Budget Filing Data'!E227</f>
        <v>SW C&amp;S - Reach Codes</v>
      </c>
      <c r="E233" s="471" t="s">
        <v>42</v>
      </c>
      <c r="F233" s="471" t="s">
        <v>319</v>
      </c>
      <c r="G233" s="472" t="str">
        <f>'Budget Filing Data'!J227</f>
        <v>IOU Core</v>
      </c>
      <c r="H233" s="472" t="str">
        <f>IF('Budget Filing Data'!H227="","",'Budget Filing Data'!H227)</f>
        <v/>
      </c>
      <c r="I233" s="473" t="s">
        <v>15</v>
      </c>
      <c r="J233" s="472" t="str">
        <f>'Budget Filing Data'!G227</f>
        <v>Cross Cutting</v>
      </c>
      <c r="K233" s="472" t="str">
        <f>'Budget Filing Data'!I227</f>
        <v>Codes and Standards</v>
      </c>
      <c r="L233" s="472" t="str">
        <f>'Budget Filing Data'!L227</f>
        <v>Codes and Standards</v>
      </c>
      <c r="M233" s="472">
        <f>'Budget Filing Data'!B227</f>
        <v>2031</v>
      </c>
      <c r="N233" s="474">
        <f t="shared" si="3"/>
        <v>773450.60609999998</v>
      </c>
      <c r="O233" s="475">
        <f>'Budget Filing Data'!AQ227</f>
        <v>22549.5016</v>
      </c>
      <c r="P233" s="475">
        <f>'Budget Filing Data'!AR227</f>
        <v>0</v>
      </c>
      <c r="Q233" s="475">
        <f>'Budget Filing Data'!AS227</f>
        <v>750901.10450000002</v>
      </c>
      <c r="R233" s="475">
        <f>'Budget Filing Data'!AT227</f>
        <v>0</v>
      </c>
      <c r="S233" s="476">
        <f>'Budget Filing Data'!X227</f>
        <v>0</v>
      </c>
      <c r="T233" s="477">
        <f>IFERROR((('Budget Filing Data'!AF227+'Budget Filing Data'!AG227+'Budget Filing Data'!AY227+'Budget Filing Data'!AH227)/'Budget Filing Data'!AA227),"")</f>
        <v>0</v>
      </c>
      <c r="U233" s="477">
        <f>IFERROR((('Budget Filing Data'!AF227+'Budget Filing Data'!AG227+'Budget Filing Data'!AY227+'Budget Filing Data'!AH227)/'Budget Filing Data'!AB227),"")</f>
        <v>0</v>
      </c>
      <c r="V233" s="477">
        <f>IFERROR((('Budget Filing Data'!AF227+'Budget Filing Data'!AG227+'Budget Filing Data'!AY227+'Budget Filing Data'!AH227+'Budget Filing Data'!AW227+'Budget Filing Data'!AX227)/('Budget Filing Data'!AE227)),"")</f>
        <v>0</v>
      </c>
      <c r="W233" s="477">
        <f>IFERROR(('Budget Filing Data'!AI227+'Budget Filing Data'!AJ227+'Budget Filing Data'!AK227+'Budget Filing Data'!AH227)/('Budget Filing Data'!AC227),"")</f>
        <v>0</v>
      </c>
      <c r="X233" s="477">
        <f>IFERROR(('Budget Filing Data'!AL227+'Budget Filing Data'!AM227+'Budget Filing Data'!AN227+'Budget Filing Data'!AH227)/('Budget Filing Data'!AD227),"")</f>
        <v>0</v>
      </c>
      <c r="Y233" s="478">
        <f>'Budget Filing Data'!Q227</f>
        <v>0</v>
      </c>
      <c r="Z233" s="478">
        <f>'Budget Filing Data'!R227</f>
        <v>0</v>
      </c>
      <c r="AA233" s="478">
        <f>'Budget Filing Data'!S227</f>
        <v>0</v>
      </c>
      <c r="AB233" s="478">
        <f>'Budget Filing Data'!AO227</f>
        <v>0</v>
      </c>
      <c r="AC233" s="478">
        <f>'Budget Filing Data'!AP227</f>
        <v>0</v>
      </c>
      <c r="AD233" s="478">
        <f>'Budget Filing Data'!T227</f>
        <v>0</v>
      </c>
      <c r="AE233" s="478">
        <f>'Budget Filing Data'!U227</f>
        <v>0</v>
      </c>
      <c r="AF233" s="478">
        <f>'Budget Filing Data'!$V227</f>
        <v>0</v>
      </c>
      <c r="AG233" s="478">
        <f>'Budget Filing Data'!$W227</f>
        <v>0</v>
      </c>
      <c r="AH233" s="479">
        <v>0</v>
      </c>
    </row>
    <row r="234" spans="3:34" hidden="1">
      <c r="C234" s="470" t="str">
        <f>'Budget Filing Data'!D228</f>
        <v>SDGE3253</v>
      </c>
      <c r="D234" s="470" t="str">
        <f>'Budget Filing Data'!E228</f>
        <v>SW C&amp;S - Planning Coordination</v>
      </c>
      <c r="E234" s="471" t="s">
        <v>42</v>
      </c>
      <c r="F234" s="471" t="s">
        <v>319</v>
      </c>
      <c r="G234" s="472" t="str">
        <f>'Budget Filing Data'!J228</f>
        <v>IOU Core</v>
      </c>
      <c r="H234" s="472" t="str">
        <f>IF('Budget Filing Data'!H228="","",'Budget Filing Data'!H228)</f>
        <v/>
      </c>
      <c r="I234" s="473" t="s">
        <v>15</v>
      </c>
      <c r="J234" s="472" t="str">
        <f>'Budget Filing Data'!G228</f>
        <v>Cross Cutting</v>
      </c>
      <c r="K234" s="472" t="str">
        <f>'Budget Filing Data'!I228</f>
        <v>Codes and Standards</v>
      </c>
      <c r="L234" s="472" t="str">
        <f>'Budget Filing Data'!L228</f>
        <v>Codes and Standards</v>
      </c>
      <c r="M234" s="472">
        <f>'Budget Filing Data'!B228</f>
        <v>2031</v>
      </c>
      <c r="N234" s="474">
        <f t="shared" si="3"/>
        <v>578745.42879999999</v>
      </c>
      <c r="O234" s="475">
        <f>'Budget Filing Data'!AQ228</f>
        <v>19919.219499999999</v>
      </c>
      <c r="P234" s="475">
        <f>'Budget Filing Data'!AR228</f>
        <v>0</v>
      </c>
      <c r="Q234" s="475">
        <f>'Budget Filing Data'!AS228</f>
        <v>558826.20929999999</v>
      </c>
      <c r="R234" s="475">
        <f>'Budget Filing Data'!AT228</f>
        <v>0</v>
      </c>
      <c r="S234" s="476">
        <f>'Budget Filing Data'!X228</f>
        <v>0</v>
      </c>
      <c r="T234" s="477">
        <f>IFERROR((('Budget Filing Data'!AF228+'Budget Filing Data'!AG228+'Budget Filing Data'!AY228+'Budget Filing Data'!AH228)/'Budget Filing Data'!AA228),"")</f>
        <v>0</v>
      </c>
      <c r="U234" s="477">
        <f>IFERROR((('Budget Filing Data'!AF228+'Budget Filing Data'!AG228+'Budget Filing Data'!AY228+'Budget Filing Data'!AH228)/'Budget Filing Data'!AB228),"")</f>
        <v>0</v>
      </c>
      <c r="V234" s="477">
        <f>IFERROR((('Budget Filing Data'!AF228+'Budget Filing Data'!AG228+'Budget Filing Data'!AY228+'Budget Filing Data'!AH228+'Budget Filing Data'!AW228+'Budget Filing Data'!AX228)/('Budget Filing Data'!AE228)),"")</f>
        <v>0</v>
      </c>
      <c r="W234" s="477">
        <f>IFERROR(('Budget Filing Data'!AI228+'Budget Filing Data'!AJ228+'Budget Filing Data'!AK228+'Budget Filing Data'!AH228)/('Budget Filing Data'!AC228),"")</f>
        <v>0</v>
      </c>
      <c r="X234" s="477">
        <f>IFERROR(('Budget Filing Data'!AL228+'Budget Filing Data'!AM228+'Budget Filing Data'!AN228+'Budget Filing Data'!AH228)/('Budget Filing Data'!AD228),"")</f>
        <v>0</v>
      </c>
      <c r="Y234" s="478">
        <f>'Budget Filing Data'!Q228</f>
        <v>0</v>
      </c>
      <c r="Z234" s="478">
        <f>'Budget Filing Data'!R228</f>
        <v>0</v>
      </c>
      <c r="AA234" s="478">
        <f>'Budget Filing Data'!S228</f>
        <v>0</v>
      </c>
      <c r="AB234" s="478">
        <f>'Budget Filing Data'!AO228</f>
        <v>0</v>
      </c>
      <c r="AC234" s="478">
        <f>'Budget Filing Data'!AP228</f>
        <v>0</v>
      </c>
      <c r="AD234" s="478">
        <f>'Budget Filing Data'!T228</f>
        <v>0</v>
      </c>
      <c r="AE234" s="478">
        <f>'Budget Filing Data'!U228</f>
        <v>0</v>
      </c>
      <c r="AF234" s="478">
        <f>'Budget Filing Data'!$V228</f>
        <v>0</v>
      </c>
      <c r="AG234" s="478">
        <f>'Budget Filing Data'!$W228</f>
        <v>0</v>
      </c>
      <c r="AH234" s="479">
        <v>0</v>
      </c>
    </row>
    <row r="235" spans="3:34" hidden="1">
      <c r="C235" s="470" t="str">
        <f>'Budget Filing Data'!D229</f>
        <v>SDGE3262</v>
      </c>
      <c r="D235" s="470" t="str">
        <f>'Budget Filing Data'!E229</f>
        <v>SW-FIN-On-Bill Finance</v>
      </c>
      <c r="E235" s="471"/>
      <c r="F235" s="480"/>
      <c r="G235" s="472" t="str">
        <f>'Budget Filing Data'!J229</f>
        <v>IOU Core</v>
      </c>
      <c r="H235" s="472" t="str">
        <f>IF('Budget Filing Data'!H229="","",'Budget Filing Data'!H229)</f>
        <v/>
      </c>
      <c r="I235" s="473" t="s">
        <v>15</v>
      </c>
      <c r="J235" s="472" t="str">
        <f>'Budget Filing Data'!G229</f>
        <v>Commercial</v>
      </c>
      <c r="K235" s="472" t="str">
        <f>'Budget Filing Data'!I229</f>
        <v>Financing</v>
      </c>
      <c r="L235" s="472" t="str">
        <f>'Budget Filing Data'!L229</f>
        <v>Market Support</v>
      </c>
      <c r="M235" s="472">
        <f>'Budget Filing Data'!B229</f>
        <v>2031</v>
      </c>
      <c r="N235" s="474">
        <f t="shared" si="3"/>
        <v>118951.2506</v>
      </c>
      <c r="O235" s="475">
        <f>'Budget Filing Data'!AQ229</f>
        <v>47198.206200000001</v>
      </c>
      <c r="P235" s="475">
        <f>'Budget Filing Data'!AR229</f>
        <v>796.30359999999996</v>
      </c>
      <c r="Q235" s="475">
        <f>'Budget Filing Data'!AS229</f>
        <v>70956.7408</v>
      </c>
      <c r="R235" s="475">
        <f>'Budget Filing Data'!AT229</f>
        <v>0</v>
      </c>
      <c r="S235" s="476">
        <f>'Budget Filing Data'!X229</f>
        <v>0</v>
      </c>
      <c r="T235" s="477">
        <f>IFERROR((('Budget Filing Data'!AF229+'Budget Filing Data'!AG229+'Budget Filing Data'!AY229+'Budget Filing Data'!AH229)/'Budget Filing Data'!AA229),"")</f>
        <v>0</v>
      </c>
      <c r="U235" s="477">
        <f>IFERROR((('Budget Filing Data'!AF229+'Budget Filing Data'!AG229+'Budget Filing Data'!AY229+'Budget Filing Data'!AH229)/'Budget Filing Data'!AB229),"")</f>
        <v>0</v>
      </c>
      <c r="V235" s="477">
        <f>IFERROR((('Budget Filing Data'!AF229+'Budget Filing Data'!AG229+'Budget Filing Data'!AY229+'Budget Filing Data'!AH229+'Budget Filing Data'!AW229+'Budget Filing Data'!AX229)/('Budget Filing Data'!AE229)),"")</f>
        <v>0</v>
      </c>
      <c r="W235" s="477">
        <f>IFERROR(('Budget Filing Data'!AI229+'Budget Filing Data'!AJ229+'Budget Filing Data'!AK229+'Budget Filing Data'!AH229)/('Budget Filing Data'!AC229),"")</f>
        <v>0</v>
      </c>
      <c r="X235" s="477">
        <f>IFERROR(('Budget Filing Data'!AL229+'Budget Filing Data'!AM229+'Budget Filing Data'!AN229+'Budget Filing Data'!AH229)/('Budget Filing Data'!AD229),"")</f>
        <v>0</v>
      </c>
      <c r="Y235" s="478">
        <f>'Budget Filing Data'!Q229</f>
        <v>0</v>
      </c>
      <c r="Z235" s="478">
        <f>'Budget Filing Data'!R229</f>
        <v>0</v>
      </c>
      <c r="AA235" s="478">
        <f>'Budget Filing Data'!S229</f>
        <v>0</v>
      </c>
      <c r="AB235" s="478">
        <f>'Budget Filing Data'!AO229</f>
        <v>0</v>
      </c>
      <c r="AC235" s="478">
        <f>'Budget Filing Data'!AP229</f>
        <v>0</v>
      </c>
      <c r="AD235" s="478">
        <f>'Budget Filing Data'!T229</f>
        <v>0</v>
      </c>
      <c r="AE235" s="478">
        <f>'Budget Filing Data'!U229</f>
        <v>0</v>
      </c>
      <c r="AF235" s="478">
        <f>'Budget Filing Data'!$V229</f>
        <v>0</v>
      </c>
      <c r="AG235" s="478">
        <f>'Budget Filing Data'!$W229</f>
        <v>0</v>
      </c>
      <c r="AH235" s="479">
        <v>0</v>
      </c>
    </row>
    <row r="236" spans="3:34" hidden="1">
      <c r="C236" s="470" t="str">
        <f>'Budget Filing Data'!D230</f>
        <v>SDGE3280</v>
      </c>
      <c r="D236" s="470" t="str">
        <f>'Budget Filing Data'!E230</f>
        <v>3P-IDEEA</v>
      </c>
      <c r="E236" s="471" t="s">
        <v>37</v>
      </c>
      <c r="F236" s="471" t="s">
        <v>320</v>
      </c>
      <c r="G236" s="472" t="str">
        <f>'Budget Filing Data'!J230</f>
        <v>Non-Program</v>
      </c>
      <c r="H236" s="472" t="str">
        <f>IF('Budget Filing Data'!H230="","",'Budget Filing Data'!H230)</f>
        <v/>
      </c>
      <c r="I236" s="473" t="s">
        <v>15</v>
      </c>
      <c r="J236" s="472" t="str">
        <f>'Budget Filing Data'!G230</f>
        <v>Cross Cutting</v>
      </c>
      <c r="K236" s="472" t="str">
        <f>'Budget Filing Data'!I230</f>
        <v>Market Education Outreach</v>
      </c>
      <c r="L236" s="472" t="str">
        <f>'Budget Filing Data'!L230</f>
        <v>Market Support</v>
      </c>
      <c r="M236" s="472">
        <f>'Budget Filing Data'!B230</f>
        <v>2031</v>
      </c>
      <c r="N236" s="474">
        <f t="shared" si="3"/>
        <v>161388.03769999999</v>
      </c>
      <c r="O236" s="475">
        <f>'Budget Filing Data'!AQ230</f>
        <v>161388.03769999999</v>
      </c>
      <c r="P236" s="475">
        <f>'Budget Filing Data'!AR230</f>
        <v>0</v>
      </c>
      <c r="Q236" s="475">
        <f>'Budget Filing Data'!AS230</f>
        <v>0</v>
      </c>
      <c r="R236" s="475">
        <f>'Budget Filing Data'!AT230</f>
        <v>0</v>
      </c>
      <c r="S236" s="476">
        <f>'Budget Filing Data'!X230</f>
        <v>0</v>
      </c>
      <c r="T236" s="477">
        <f>IFERROR((('Budget Filing Data'!AF230+'Budget Filing Data'!AG230+'Budget Filing Data'!AY230+'Budget Filing Data'!AH230)/'Budget Filing Data'!AA230),"")</f>
        <v>0</v>
      </c>
      <c r="U236" s="477">
        <f>IFERROR((('Budget Filing Data'!AF230+'Budget Filing Data'!AG230+'Budget Filing Data'!AY230+'Budget Filing Data'!AH230)/'Budget Filing Data'!AB230),"")</f>
        <v>0</v>
      </c>
      <c r="V236" s="477">
        <f>IFERROR((('Budget Filing Data'!AF230+'Budget Filing Data'!AG230+'Budget Filing Data'!AY230+'Budget Filing Data'!AH230+'Budget Filing Data'!AW230+'Budget Filing Data'!AX230)/('Budget Filing Data'!AE230)),"")</f>
        <v>0</v>
      </c>
      <c r="W236" s="477">
        <f>IFERROR(('Budget Filing Data'!AI230+'Budget Filing Data'!AJ230+'Budget Filing Data'!AK230+'Budget Filing Data'!AH230)/('Budget Filing Data'!AC230),"")</f>
        <v>0</v>
      </c>
      <c r="X236" s="477">
        <f>IFERROR(('Budget Filing Data'!AL230+'Budget Filing Data'!AM230+'Budget Filing Data'!AN230+'Budget Filing Data'!AH230)/('Budget Filing Data'!AD230),"")</f>
        <v>0</v>
      </c>
      <c r="Y236" s="478">
        <f>'Budget Filing Data'!Q230</f>
        <v>0</v>
      </c>
      <c r="Z236" s="478">
        <f>'Budget Filing Data'!R230</f>
        <v>0</v>
      </c>
      <c r="AA236" s="478">
        <f>'Budget Filing Data'!S230</f>
        <v>0</v>
      </c>
      <c r="AB236" s="478">
        <f>'Budget Filing Data'!AO230</f>
        <v>0</v>
      </c>
      <c r="AC236" s="478">
        <f>'Budget Filing Data'!AP230</f>
        <v>0</v>
      </c>
      <c r="AD236" s="478">
        <f>'Budget Filing Data'!T230</f>
        <v>0</v>
      </c>
      <c r="AE236" s="478">
        <f>'Budget Filing Data'!U230</f>
        <v>0</v>
      </c>
      <c r="AF236" s="478">
        <f>'Budget Filing Data'!$V230</f>
        <v>0</v>
      </c>
      <c r="AG236" s="478">
        <f>'Budget Filing Data'!$W230</f>
        <v>0</v>
      </c>
      <c r="AH236" s="479">
        <v>0</v>
      </c>
    </row>
    <row r="237" spans="3:34" hidden="1">
      <c r="C237" s="470" t="str">
        <f>'Budget Filing Data'!D231</f>
        <v>SDGE3281</v>
      </c>
      <c r="D237" s="470" t="str">
        <f>'Budget Filing Data'!E231</f>
        <v>EM&amp;V-Evaluation Measurement &amp; Verification</v>
      </c>
      <c r="E237" s="471"/>
      <c r="F237" s="471"/>
      <c r="G237" s="472" t="str">
        <f>'Budget Filing Data'!J231</f>
        <v>Non-Program</v>
      </c>
      <c r="H237" s="472" t="str">
        <f>IF('Budget Filing Data'!H231="","",'Budget Filing Data'!H231)</f>
        <v/>
      </c>
      <c r="I237" s="473" t="s">
        <v>24</v>
      </c>
      <c r="J237" s="472" t="str">
        <f>'Budget Filing Data'!G231</f>
        <v>Cross Cutting</v>
      </c>
      <c r="K237" s="472" t="str">
        <f>'Budget Filing Data'!I231</f>
        <v>Evaluation Measurement and Verification</v>
      </c>
      <c r="L237" s="472" t="str">
        <f>'Budget Filing Data'!L231</f>
        <v>Evaluation, Measurement, and Verification</v>
      </c>
      <c r="M237" s="472">
        <f>'Budget Filing Data'!B231</f>
        <v>2031</v>
      </c>
      <c r="N237" s="474">
        <f t="shared" si="3"/>
        <v>2873293.4942999999</v>
      </c>
      <c r="O237" s="475">
        <f>'Budget Filing Data'!AQ231</f>
        <v>2873293.4942999999</v>
      </c>
      <c r="P237" s="475">
        <f>'Budget Filing Data'!AR231</f>
        <v>0</v>
      </c>
      <c r="Q237" s="475">
        <f>'Budget Filing Data'!AS231</f>
        <v>0</v>
      </c>
      <c r="R237" s="475">
        <f>'Budget Filing Data'!AT231</f>
        <v>0</v>
      </c>
      <c r="S237" s="476">
        <f>'Budget Filing Data'!X231</f>
        <v>0</v>
      </c>
      <c r="T237" s="477">
        <f>IFERROR((('Budget Filing Data'!AF231+'Budget Filing Data'!AG231+'Budget Filing Data'!AY231+'Budget Filing Data'!AH231)/'Budget Filing Data'!AA231),"")</f>
        <v>0</v>
      </c>
      <c r="U237" s="477">
        <f>IFERROR((('Budget Filing Data'!AF231+'Budget Filing Data'!AG231+'Budget Filing Data'!AY231+'Budget Filing Data'!AH231)/'Budget Filing Data'!AB231),"")</f>
        <v>0</v>
      </c>
      <c r="V237" s="477">
        <f>IFERROR((('Budget Filing Data'!AF231+'Budget Filing Data'!AG231+'Budget Filing Data'!AY231+'Budget Filing Data'!AH231+'Budget Filing Data'!AW231+'Budget Filing Data'!AX231)/('Budget Filing Data'!AE231)),"")</f>
        <v>0</v>
      </c>
      <c r="W237" s="477">
        <f>IFERROR(('Budget Filing Data'!AI231+'Budget Filing Data'!AJ231+'Budget Filing Data'!AK231+'Budget Filing Data'!AH231)/('Budget Filing Data'!AC231),"")</f>
        <v>0</v>
      </c>
      <c r="X237" s="477">
        <f>IFERROR(('Budget Filing Data'!AL231+'Budget Filing Data'!AM231+'Budget Filing Data'!AN231+'Budget Filing Data'!AH231)/('Budget Filing Data'!AD231),"")</f>
        <v>0</v>
      </c>
      <c r="Y237" s="478">
        <f>'Budget Filing Data'!Q231</f>
        <v>0</v>
      </c>
      <c r="Z237" s="478">
        <f>'Budget Filing Data'!R231</f>
        <v>0</v>
      </c>
      <c r="AA237" s="478">
        <f>'Budget Filing Data'!S231</f>
        <v>0</v>
      </c>
      <c r="AB237" s="478">
        <f>'Budget Filing Data'!AO231</f>
        <v>0</v>
      </c>
      <c r="AC237" s="478">
        <f>'Budget Filing Data'!AP231</f>
        <v>0</v>
      </c>
      <c r="AD237" s="478">
        <f>'Budget Filing Data'!T231</f>
        <v>0</v>
      </c>
      <c r="AE237" s="478">
        <f>'Budget Filing Data'!U231</f>
        <v>0</v>
      </c>
      <c r="AF237" s="478">
        <f>'Budget Filing Data'!$V231</f>
        <v>0</v>
      </c>
      <c r="AG237" s="478">
        <f>'Budget Filing Data'!$W231</f>
        <v>0</v>
      </c>
      <c r="AH237" s="479">
        <v>0</v>
      </c>
    </row>
    <row r="238" spans="3:34" ht="25.5">
      <c r="C238" s="470" t="str">
        <f>'Budget Filing Data'!D232</f>
        <v>SDGE4001</v>
      </c>
      <c r="D238" s="470" t="str">
        <f>'Budget Filing Data'!E232</f>
        <v>Single Family Program</v>
      </c>
      <c r="E238" s="471" t="s">
        <v>42</v>
      </c>
      <c r="F238" s="471" t="s">
        <v>321</v>
      </c>
      <c r="G238" s="472" t="str">
        <f>'Budget Filing Data'!J232</f>
        <v>Third-Party Solicited</v>
      </c>
      <c r="H238" s="472" t="str">
        <f>IF('Budget Filing Data'!H232="","",'Budget Filing Data'!H232)</f>
        <v/>
      </c>
      <c r="I238" s="473" t="s">
        <v>24</v>
      </c>
      <c r="J238" s="472" t="str">
        <f>'Budget Filing Data'!G232</f>
        <v>Residential</v>
      </c>
      <c r="K238" s="472" t="str">
        <f>'Budget Filing Data'!I232</f>
        <v>Other</v>
      </c>
      <c r="L238" s="472" t="str">
        <f>'Budget Filing Data'!L232</f>
        <v>Resource Acquisition</v>
      </c>
      <c r="M238" s="472">
        <f>'Budget Filing Data'!B232</f>
        <v>2031</v>
      </c>
      <c r="N238" s="474">
        <f t="shared" si="3"/>
        <v>5489420.8757999996</v>
      </c>
      <c r="O238" s="475">
        <f>'Budget Filing Data'!AQ232</f>
        <v>305775.4633</v>
      </c>
      <c r="P238" s="475">
        <f>'Budget Filing Data'!AR232</f>
        <v>150796.30360000001</v>
      </c>
      <c r="Q238" s="475">
        <f>'Budget Filing Data'!AS232</f>
        <v>382849.10989999998</v>
      </c>
      <c r="R238" s="475">
        <f>'Budget Filing Data'!AT232</f>
        <v>4649999.9989999998</v>
      </c>
      <c r="S238" s="476">
        <f>'Budget Filing Data'!X232</f>
        <v>5654366.3534279298</v>
      </c>
      <c r="T238" s="477">
        <f>IFERROR((('Budget Filing Data'!AF232+'Budget Filing Data'!AG232+'Budget Filing Data'!AY232+'Budget Filing Data'!AH232)/'Budget Filing Data'!AA232),"")</f>
        <v>1.0608189861231632</v>
      </c>
      <c r="U238" s="477">
        <f>IFERROR((('Budget Filing Data'!AF232+'Budget Filing Data'!AG232+'Budget Filing Data'!AY232+'Budget Filing Data'!AH232)/'Budget Filing Data'!AB232),"")</f>
        <v>1.0622700392729021</v>
      </c>
      <c r="V238" s="477">
        <f>IFERROR((('Budget Filing Data'!AF232+'Budget Filing Data'!AG232+'Budget Filing Data'!AY232+'Budget Filing Data'!AH232+'Budget Filing Data'!AW232+'Budget Filing Data'!AX232)/('Budget Filing Data'!AE232)),"")</f>
        <v>0.48057343300421496</v>
      </c>
      <c r="W238" s="477">
        <f>IFERROR(('Budget Filing Data'!AI232+'Budget Filing Data'!AJ232+'Budget Filing Data'!AK232+'Budget Filing Data'!AH232)/('Budget Filing Data'!AC232),"")</f>
        <v>1.1304791579109199</v>
      </c>
      <c r="X238" s="477">
        <f>IFERROR(('Budget Filing Data'!AL232+'Budget Filing Data'!AM232+'Budget Filing Data'!AN232+'Budget Filing Data'!AH232)/('Budget Filing Data'!AD232),"")</f>
        <v>1.1304791579109199</v>
      </c>
      <c r="Y238" s="478">
        <f>'Budget Filing Data'!Q232</f>
        <v>1959777.85405282</v>
      </c>
      <c r="Z238" s="478">
        <f>'Budget Filing Data'!R232</f>
        <v>1978.0668126908399</v>
      </c>
      <c r="AA238" s="478">
        <f>'Budget Filing Data'!S232</f>
        <v>28002.873065117099</v>
      </c>
      <c r="AB238" s="478">
        <f>'Budget Filing Data'!AO232</f>
        <v>503.79489070507702</v>
      </c>
      <c r="AC238" s="478">
        <f>'Budget Filing Data'!AP232</f>
        <v>148.695255975772</v>
      </c>
      <c r="AD238" s="478">
        <f>'Budget Filing Data'!T232</f>
        <v>16664118.478571599</v>
      </c>
      <c r="AE238" s="478">
        <f>'Budget Filing Data'!U232</f>
        <v>238110.24985943999</v>
      </c>
      <c r="AF238" s="478">
        <f>'Budget Filing Data'!$V232</f>
        <v>4636.0345088468102</v>
      </c>
      <c r="AG238" s="478">
        <f>'Budget Filing Data'!$W232</f>
        <v>1264.3654267536299</v>
      </c>
      <c r="AH238" s="479">
        <v>5900.3999356004406</v>
      </c>
    </row>
    <row r="239" spans="3:34">
      <c r="C239" s="470" t="str">
        <f>'Budget Filing Data'!D233</f>
        <v>SDGE4002</v>
      </c>
      <c r="D239" s="470" t="str">
        <f>'Budget Filing Data'!E233</f>
        <v>Multi Family Program</v>
      </c>
      <c r="E239" s="471"/>
      <c r="F239" s="471"/>
      <c r="G239" s="472" t="str">
        <f>'Budget Filing Data'!J233</f>
        <v>Third-Party Solicited</v>
      </c>
      <c r="H239" s="472" t="str">
        <f>IF('Budget Filing Data'!H233="","",'Budget Filing Data'!H233)</f>
        <v/>
      </c>
      <c r="I239" s="473" t="s">
        <v>24</v>
      </c>
      <c r="J239" s="472" t="str">
        <f>'Budget Filing Data'!G233</f>
        <v>Residential</v>
      </c>
      <c r="K239" s="472" t="str">
        <f>'Budget Filing Data'!I233</f>
        <v>Other</v>
      </c>
      <c r="L239" s="472" t="str">
        <f>'Budget Filing Data'!L233</f>
        <v>Resource Acquisition</v>
      </c>
      <c r="M239" s="472">
        <f>'Budget Filing Data'!B233</f>
        <v>2031</v>
      </c>
      <c r="N239" s="474">
        <f t="shared" si="3"/>
        <v>13086164.273699999</v>
      </c>
      <c r="O239" s="475">
        <f>'Budget Filing Data'!AQ233</f>
        <v>682006.26340000005</v>
      </c>
      <c r="P239" s="475">
        <f>'Budget Filing Data'!AR233</f>
        <v>360796.30359999998</v>
      </c>
      <c r="Q239" s="475">
        <f>'Budget Filing Data'!AS233</f>
        <v>883361.70770000003</v>
      </c>
      <c r="R239" s="475">
        <f>'Budget Filing Data'!AT233</f>
        <v>11159999.999</v>
      </c>
      <c r="S239" s="476">
        <f>'Budget Filing Data'!X233</f>
        <v>15957247.832730301</v>
      </c>
      <c r="T239" s="477">
        <f>IFERROR((('Budget Filing Data'!AF233+'Budget Filing Data'!AG233+'Budget Filing Data'!AY233+'Budget Filing Data'!AH233)/'Budget Filing Data'!AA233),"")</f>
        <v>1.2543337478750278</v>
      </c>
      <c r="U239" s="477">
        <f>IFERROR((('Budget Filing Data'!AF233+'Budget Filing Data'!AG233+'Budget Filing Data'!AY233+'Budget Filing Data'!AH233)/'Budget Filing Data'!AB233),"")</f>
        <v>1.2578097956652614</v>
      </c>
      <c r="V239" s="477">
        <f>IFERROR((('Budget Filing Data'!AF233+'Budget Filing Data'!AG233+'Budget Filing Data'!AY233+'Budget Filing Data'!AH233+'Budget Filing Data'!AW233+'Budget Filing Data'!AX233)/('Budget Filing Data'!AE233)),"")</f>
        <v>0.50156117966872704</v>
      </c>
      <c r="W239" s="477">
        <f>IFERROR(('Budget Filing Data'!AI233+'Budget Filing Data'!AJ233+'Budget Filing Data'!AK233+'Budget Filing Data'!AH233)/('Budget Filing Data'!AC233),"")</f>
        <v>1.5838795167521891</v>
      </c>
      <c r="X239" s="477">
        <f>IFERROR(('Budget Filing Data'!AL233+'Budget Filing Data'!AM233+'Budget Filing Data'!AN233+'Budget Filing Data'!AH233)/('Budget Filing Data'!AD233),"")</f>
        <v>1.5838795167521891</v>
      </c>
      <c r="Y239" s="478">
        <f>'Budget Filing Data'!Q233</f>
        <v>3077518.2201426602</v>
      </c>
      <c r="Z239" s="478">
        <f>'Budget Filing Data'!R233</f>
        <v>3835.52181231656</v>
      </c>
      <c r="AA239" s="478">
        <f>'Budget Filing Data'!S233</f>
        <v>506334.945248615</v>
      </c>
      <c r="AB239" s="478">
        <f>'Budget Filing Data'!AO233</f>
        <v>675.90965030099699</v>
      </c>
      <c r="AC239" s="478">
        <f>'Budget Filing Data'!AP233</f>
        <v>2688.6385592701399</v>
      </c>
      <c r="AD239" s="478">
        <f>'Budget Filing Data'!T233</f>
        <v>27509239.850737501</v>
      </c>
      <c r="AE239" s="478">
        <f>'Budget Filing Data'!U233</f>
        <v>4526013.6438797396</v>
      </c>
      <c r="AF239" s="478">
        <f>'Budget Filing Data'!$V233</f>
        <v>6541.4726218440001</v>
      </c>
      <c r="AG239" s="478">
        <f>'Budget Filing Data'!$W233</f>
        <v>24033.132449001401</v>
      </c>
      <c r="AH239" s="479">
        <v>30574.605070845402</v>
      </c>
    </row>
    <row r="240" spans="3:34" hidden="1">
      <c r="C240" s="470" t="str">
        <f>'Budget Filing Data'!D234</f>
        <v>SDGE4006</v>
      </c>
      <c r="D240" s="470" t="str">
        <f>'Budget Filing Data'!E234</f>
        <v>Industrial Sector Program</v>
      </c>
      <c r="E240" s="471" t="s">
        <v>42</v>
      </c>
      <c r="F240" s="471" t="s">
        <v>322</v>
      </c>
      <c r="G240" s="472" t="str">
        <f>'Budget Filing Data'!J234</f>
        <v>Third-Party Solicited</v>
      </c>
      <c r="H240" s="472" t="str">
        <f>IF('Budget Filing Data'!H234="","",'Budget Filing Data'!H234)</f>
        <v/>
      </c>
      <c r="I240" s="473" t="s">
        <v>24</v>
      </c>
      <c r="J240" s="472" t="str">
        <f>'Budget Filing Data'!G234</f>
        <v>Industrial</v>
      </c>
      <c r="K240" s="472" t="str">
        <f>'Budget Filing Data'!I234</f>
        <v>Other</v>
      </c>
      <c r="L240" s="472" t="str">
        <f>'Budget Filing Data'!L234</f>
        <v>Resource Acquisition</v>
      </c>
      <c r="M240" s="472">
        <f>'Budget Filing Data'!B234</f>
        <v>2031</v>
      </c>
      <c r="N240" s="474">
        <f t="shared" si="3"/>
        <v>9298223.928199999</v>
      </c>
      <c r="O240" s="475">
        <f>'Budget Filing Data'!AQ234</f>
        <v>832778.1311</v>
      </c>
      <c r="P240" s="475">
        <f>'Budget Filing Data'!AR234</f>
        <v>406234.93359999999</v>
      </c>
      <c r="Q240" s="475">
        <f>'Budget Filing Data'!AS234</f>
        <v>6358418.8635</v>
      </c>
      <c r="R240" s="475">
        <f>'Budget Filing Data'!AT234</f>
        <v>1700792</v>
      </c>
      <c r="S240" s="476">
        <f>'Budget Filing Data'!X234</f>
        <v>9731876.6916343104</v>
      </c>
      <c r="T240" s="477">
        <f>IFERROR((('Budget Filing Data'!AF234+'Budget Filing Data'!AG234+'Budget Filing Data'!AY234+'Budget Filing Data'!AH234)/'Budget Filing Data'!AA234),"")</f>
        <v>1.088333379675352</v>
      </c>
      <c r="U240" s="477">
        <f>IFERROR((('Budget Filing Data'!AF234+'Budget Filing Data'!AG234+'Budget Filing Data'!AY234+'Budget Filing Data'!AH234)/'Budget Filing Data'!AB234),"")</f>
        <v>1.0569290116640584</v>
      </c>
      <c r="V240" s="477">
        <f>IFERROR((('Budget Filing Data'!AF234+'Budget Filing Data'!AG234+'Budget Filing Data'!AY234+'Budget Filing Data'!AH234+'Budget Filing Data'!AW234+'Budget Filing Data'!AX234)/('Budget Filing Data'!AE234)),"")</f>
        <v>0.22727241958866953</v>
      </c>
      <c r="W240" s="477">
        <f>IFERROR(('Budget Filing Data'!AI234+'Budget Filing Data'!AJ234+'Budget Filing Data'!AK234+'Budget Filing Data'!AH234)/('Budget Filing Data'!AC234),"")</f>
        <v>1.4876428064746499</v>
      </c>
      <c r="X240" s="477">
        <f>IFERROR(('Budget Filing Data'!AL234+'Budget Filing Data'!AM234+'Budget Filing Data'!AN234+'Budget Filing Data'!AH234)/('Budget Filing Data'!AD234),"")</f>
        <v>1.4843411366172095</v>
      </c>
      <c r="Y240" s="478">
        <f>'Budget Filing Data'!Q234</f>
        <v>17325000</v>
      </c>
      <c r="Z240" s="478">
        <f>'Budget Filing Data'!R234</f>
        <v>2229.5700000000002</v>
      </c>
      <c r="AA240" s="478">
        <f>'Budget Filing Data'!S234</f>
        <v>173250</v>
      </c>
      <c r="AB240" s="478">
        <f>'Budget Filing Data'!AO234</f>
        <v>3478.4034750000001</v>
      </c>
      <c r="AC240" s="478">
        <f>'Budget Filing Data'!AP234</f>
        <v>919.95749999999998</v>
      </c>
      <c r="AD240" s="478">
        <f>'Budget Filing Data'!T234</f>
        <v>86625000</v>
      </c>
      <c r="AE240" s="478">
        <f>'Budget Filing Data'!U234</f>
        <v>866250</v>
      </c>
      <c r="AF240" s="478">
        <f>'Budget Filing Data'!$V234</f>
        <v>18704.454502500001</v>
      </c>
      <c r="AG240" s="478">
        <f>'Budget Filing Data'!$W234</f>
        <v>4599.7875000000004</v>
      </c>
      <c r="AH240" s="479">
        <v>0</v>
      </c>
    </row>
    <row r="241" spans="3:34">
      <c r="C241" s="470" t="str">
        <f>'Budget Filing Data'!D235</f>
        <v>SDGE4040</v>
      </c>
      <c r="D241" s="470" t="str">
        <f>'Budget Filing Data'!E235</f>
        <v>IDSM Local Residential Behavioral Program (EE)</v>
      </c>
      <c r="E241" s="471"/>
      <c r="F241" s="480"/>
      <c r="G241" s="472" t="str">
        <f>'Budget Filing Data'!J235</f>
        <v>Third-Party Solicited</v>
      </c>
      <c r="H241" s="472" t="str">
        <f>IF('Budget Filing Data'!H235="","",'Budget Filing Data'!H235)</f>
        <v/>
      </c>
      <c r="I241" s="473" t="s">
        <v>24</v>
      </c>
      <c r="J241" s="472" t="str">
        <f>'Budget Filing Data'!G235</f>
        <v>Residential</v>
      </c>
      <c r="K241" s="472" t="str">
        <f>'Budget Filing Data'!I235</f>
        <v>Other</v>
      </c>
      <c r="L241" s="472" t="str">
        <f>'Budget Filing Data'!L235</f>
        <v>Resource Acquisition</v>
      </c>
      <c r="M241" s="472">
        <f>'Budget Filing Data'!B235</f>
        <v>2031</v>
      </c>
      <c r="N241" s="474">
        <f t="shared" si="3"/>
        <v>5340374.5418000007</v>
      </c>
      <c r="O241" s="475">
        <f>'Budget Filing Data'!AQ235</f>
        <v>626520.0318</v>
      </c>
      <c r="P241" s="475">
        <f>'Budget Filing Data'!AR235</f>
        <v>19111.2876</v>
      </c>
      <c r="Q241" s="475">
        <f>'Budget Filing Data'!AS235</f>
        <v>4694743.2224000003</v>
      </c>
      <c r="R241" s="475">
        <f>'Budget Filing Data'!AT235</f>
        <v>0</v>
      </c>
      <c r="S241" s="476">
        <f>'Budget Filing Data'!X235</f>
        <v>13899604.837108463</v>
      </c>
      <c r="T241" s="477">
        <f>IFERROR((('Budget Filing Data'!AF235+'Budget Filing Data'!AG235+'Budget Filing Data'!AY235+'Budget Filing Data'!AH235)/'Budget Filing Data'!AA235),"")</f>
        <v>2.6027397008044932</v>
      </c>
      <c r="U241" s="477">
        <f>IFERROR((('Budget Filing Data'!AF235+'Budget Filing Data'!AG235+'Budget Filing Data'!AY235+'Budget Filing Data'!AH235)/'Budget Filing Data'!AB235),"")</f>
        <v>2.6027397008044932</v>
      </c>
      <c r="V241" s="477">
        <f>IFERROR((('Budget Filing Data'!AF235+'Budget Filing Data'!AG235+'Budget Filing Data'!AY235+'Budget Filing Data'!AH235+'Budget Filing Data'!AW235+'Budget Filing Data'!AX235)/('Budget Filing Data'!AE235)),"")</f>
        <v>0.28270128183343463</v>
      </c>
      <c r="W241" s="477">
        <f>IFERROR(('Budget Filing Data'!AI235+'Budget Filing Data'!AJ235+'Budget Filing Data'!AK235+'Budget Filing Data'!AH235)/('Budget Filing Data'!AC235),"")</f>
        <v>2.736477555756049</v>
      </c>
      <c r="X241" s="477">
        <f>IFERROR(('Budget Filing Data'!AL235+'Budget Filing Data'!AM235+'Budget Filing Data'!AN235+'Budget Filing Data'!AH235)/('Budget Filing Data'!AD235),"")</f>
        <v>2.736477555756049</v>
      </c>
      <c r="Y241" s="478">
        <f>'Budget Filing Data'!Q235</f>
        <v>100828371.56</v>
      </c>
      <c r="Z241" s="478">
        <f>'Budget Filing Data'!R235</f>
        <v>5500</v>
      </c>
      <c r="AA241" s="478">
        <f>'Budget Filing Data'!S235</f>
        <v>462883.41259999998</v>
      </c>
      <c r="AB241" s="478">
        <f>'Budget Filing Data'!AO235</f>
        <v>17075.682995753621</v>
      </c>
      <c r="AC241" s="478">
        <f>'Budget Filing Data'!AP235</f>
        <v>2457.9109209059998</v>
      </c>
      <c r="AD241" s="478">
        <f>'Budget Filing Data'!T235</f>
        <v>100828371.56</v>
      </c>
      <c r="AE241" s="478">
        <f>'Budget Filing Data'!U235</f>
        <v>462883.41259999998</v>
      </c>
      <c r="AF241" s="478">
        <f>'Budget Filing Data'!$V235</f>
        <v>17075.682995753621</v>
      </c>
      <c r="AG241" s="478">
        <f>'Budget Filing Data'!$W235</f>
        <v>2457.9109209059998</v>
      </c>
      <c r="AH241" s="479">
        <v>0</v>
      </c>
    </row>
    <row r="242" spans="3:34" hidden="1">
      <c r="C242" s="470" t="str">
        <f>'Budget Filing Data'!D236</f>
        <v>SDGE_SW_CSA_Natl</v>
      </c>
      <c r="D242" s="470" t="str">
        <f>'Budget Filing Data'!E236</f>
        <v>SW Codes &amp; Standards Advocacy - National Codes &amp; Standards Advocacy</v>
      </c>
      <c r="E242" s="471"/>
      <c r="F242" s="480"/>
      <c r="G242" s="472" t="str">
        <f>'Budget Filing Data'!J236</f>
        <v>Third-Party Solicited</v>
      </c>
      <c r="H242" s="472" t="str">
        <f>IF('Budget Filing Data'!H236="","",'Budget Filing Data'!H236)</f>
        <v>SW_CSA_Natl - Codes and Standards National Codes Advocacy</v>
      </c>
      <c r="I242" s="473" t="s">
        <v>24</v>
      </c>
      <c r="J242" s="472" t="str">
        <f>'Budget Filing Data'!G236</f>
        <v>Cross Cutting</v>
      </c>
      <c r="K242" s="472" t="str">
        <f>'Budget Filing Data'!I236</f>
        <v>Codes and Standards</v>
      </c>
      <c r="L242" s="472" t="str">
        <f>'Budget Filing Data'!L236</f>
        <v>Codes and Standards</v>
      </c>
      <c r="M242" s="472">
        <f>'Budget Filing Data'!B236</f>
        <v>2031</v>
      </c>
      <c r="N242" s="474">
        <f t="shared" si="3"/>
        <v>423899.28909999999</v>
      </c>
      <c r="O242" s="475">
        <f>'Budget Filing Data'!AQ236</f>
        <v>0</v>
      </c>
      <c r="P242" s="475">
        <f>'Budget Filing Data'!AR236</f>
        <v>0</v>
      </c>
      <c r="Q242" s="475">
        <f>'Budget Filing Data'!AS236</f>
        <v>423899.28909999999</v>
      </c>
      <c r="R242" s="475">
        <f>'Budget Filing Data'!AT236</f>
        <v>0</v>
      </c>
      <c r="S242" s="476">
        <f>'Budget Filing Data'!X236</f>
        <v>24639786.284481816</v>
      </c>
      <c r="T242" s="477">
        <f>IFERROR((('Budget Filing Data'!AF236+'Budget Filing Data'!AG236+'Budget Filing Data'!AY236+'Budget Filing Data'!AH236)/'Budget Filing Data'!AA236),"")</f>
        <v>1.7402300508396191</v>
      </c>
      <c r="U242" s="477">
        <f>IFERROR((('Budget Filing Data'!AF236+'Budget Filing Data'!AG236+'Budget Filing Data'!AY236+'Budget Filing Data'!AH236)/'Budget Filing Data'!AB236),"")</f>
        <v>58.126510041561382</v>
      </c>
      <c r="V242" s="477">
        <f>IFERROR((('Budget Filing Data'!AF236+'Budget Filing Data'!AG236+'Budget Filing Data'!AY236+'Budget Filing Data'!AH236+'Budget Filing Data'!AW236+'Budget Filing Data'!AX236)/('Budget Filing Data'!AE236)),"")</f>
        <v>0.42710429673499589</v>
      </c>
      <c r="W242" s="477">
        <f>IFERROR(('Budget Filing Data'!AI236+'Budget Filing Data'!AJ236+'Budget Filing Data'!AK236+'Budget Filing Data'!AH236)/('Budget Filing Data'!AC236),"")</f>
        <v>2.4594857511707797</v>
      </c>
      <c r="X242" s="477">
        <f>IFERROR(('Budget Filing Data'!AL236+'Budget Filing Data'!AM236+'Budget Filing Data'!AN236+'Budget Filing Data'!AH236)/('Budget Filing Data'!AD236),"")</f>
        <v>2.4611534908299122</v>
      </c>
      <c r="Y242" s="478">
        <f>'Budget Filing Data'!Q236</f>
        <v>22852198.495157287</v>
      </c>
      <c r="Z242" s="478">
        <f>'Budget Filing Data'!R236</f>
        <v>9292.9447067105448</v>
      </c>
      <c r="AA242" s="478">
        <f>'Budget Filing Data'!S236</f>
        <v>29872.549817012008</v>
      </c>
      <c r="AB242" s="478">
        <f>'Budget Filing Data'!AO236</f>
        <v>4120.4085649061735</v>
      </c>
      <c r="AC242" s="478">
        <f>'Budget Filing Data'!AP236</f>
        <v>158.62323952833458</v>
      </c>
      <c r="AD242" s="478">
        <f>'Budget Filing Data'!T236</f>
        <v>341740899.16290683</v>
      </c>
      <c r="AE242" s="478">
        <f>'Budget Filing Data'!U236</f>
        <v>852855.18700859789</v>
      </c>
      <c r="AF242" s="478">
        <f>'Budget Filing Data'!$V236</f>
        <v>64058.927172776479</v>
      </c>
      <c r="AG242" s="478">
        <f>'Budget Filing Data'!$W236</f>
        <v>4528.6610430156643</v>
      </c>
      <c r="AH242" s="479">
        <v>0</v>
      </c>
    </row>
    <row r="243" spans="3:34" hidden="1">
      <c r="C243" s="470" t="str">
        <f>'Budget Filing Data'!D237</f>
        <v>SDGE_SW_CSA_Natl_PA</v>
      </c>
      <c r="D243" s="470" t="str">
        <f>'Budget Filing Data'!E237</f>
        <v>SW Codes &amp; Standards Advocacy - National Codes &amp; Standards Advocacy (Utility)</v>
      </c>
      <c r="E243" s="471"/>
      <c r="F243" s="480"/>
      <c r="G243" s="472" t="str">
        <f>'Budget Filing Data'!J237</f>
        <v>IOU Core</v>
      </c>
      <c r="H243" s="472" t="str">
        <f>IF('Budget Filing Data'!H237="","",'Budget Filing Data'!H237)</f>
        <v>SW_CSA_Natl - Codes and Standards National Codes Advocacy</v>
      </c>
      <c r="I243" s="473" t="s">
        <v>24</v>
      </c>
      <c r="J243" s="472" t="str">
        <f>'Budget Filing Data'!G237</f>
        <v>Cross Cutting</v>
      </c>
      <c r="K243" s="472" t="str">
        <f>'Budget Filing Data'!I237</f>
        <v>Codes and Standards</v>
      </c>
      <c r="L243" s="472" t="str">
        <f>'Budget Filing Data'!L237</f>
        <v>Codes and Standards</v>
      </c>
      <c r="M243" s="472">
        <f>'Budget Filing Data'!B237</f>
        <v>2031</v>
      </c>
      <c r="N243" s="474">
        <f t="shared" si="3"/>
        <v>65263.166400000002</v>
      </c>
      <c r="O243" s="475">
        <f>'Budget Filing Data'!AQ237</f>
        <v>14986.9292</v>
      </c>
      <c r="P243" s="475">
        <f>'Budget Filing Data'!AR237</f>
        <v>0</v>
      </c>
      <c r="Q243" s="475">
        <f>'Budget Filing Data'!AS237</f>
        <v>50276.237200000003</v>
      </c>
      <c r="R243" s="475">
        <f>'Budget Filing Data'!AT237</f>
        <v>0</v>
      </c>
      <c r="S243" s="476">
        <f>'Budget Filing Data'!X237</f>
        <v>0</v>
      </c>
      <c r="T243" s="477">
        <f>IFERROR((('Budget Filing Data'!AF237+'Budget Filing Data'!AG237+'Budget Filing Data'!AY237+'Budget Filing Data'!AH237)/'Budget Filing Data'!AA237),"")</f>
        <v>0</v>
      </c>
      <c r="U243" s="477">
        <f>IFERROR((('Budget Filing Data'!AF237+'Budget Filing Data'!AG237+'Budget Filing Data'!AY237+'Budget Filing Data'!AH237)/'Budget Filing Data'!AB237),"")</f>
        <v>0</v>
      </c>
      <c r="V243" s="477">
        <f>IFERROR((('Budget Filing Data'!AF237+'Budget Filing Data'!AG237+'Budget Filing Data'!AY237+'Budget Filing Data'!AH237+'Budget Filing Data'!AW237+'Budget Filing Data'!AX237)/('Budget Filing Data'!AE237)),"")</f>
        <v>0</v>
      </c>
      <c r="W243" s="477">
        <f>IFERROR(('Budget Filing Data'!AI237+'Budget Filing Data'!AJ237+'Budget Filing Data'!AK237+'Budget Filing Data'!AH237)/('Budget Filing Data'!AC237),"")</f>
        <v>0</v>
      </c>
      <c r="X243" s="477">
        <f>IFERROR(('Budget Filing Data'!AL237+'Budget Filing Data'!AM237+'Budget Filing Data'!AN237+'Budget Filing Data'!AH237)/('Budget Filing Data'!AD237),"")</f>
        <v>0</v>
      </c>
      <c r="Y243" s="478">
        <f>'Budget Filing Data'!Q237</f>
        <v>0</v>
      </c>
      <c r="Z243" s="478">
        <f>'Budget Filing Data'!R237</f>
        <v>0</v>
      </c>
      <c r="AA243" s="478">
        <f>'Budget Filing Data'!S237</f>
        <v>0</v>
      </c>
      <c r="AB243" s="478">
        <f>'Budget Filing Data'!AO237</f>
        <v>0</v>
      </c>
      <c r="AC243" s="478">
        <f>'Budget Filing Data'!AP237</f>
        <v>0</v>
      </c>
      <c r="AD243" s="478">
        <f>'Budget Filing Data'!T237</f>
        <v>0</v>
      </c>
      <c r="AE243" s="478">
        <f>'Budget Filing Data'!U237</f>
        <v>0</v>
      </c>
      <c r="AF243" s="478">
        <f>'Budget Filing Data'!$V237</f>
        <v>0</v>
      </c>
      <c r="AG243" s="478">
        <f>'Budget Filing Data'!$W237</f>
        <v>0</v>
      </c>
      <c r="AH243" s="479">
        <v>0</v>
      </c>
    </row>
    <row r="244" spans="3:34" hidden="1">
      <c r="C244" s="470" t="str">
        <f>'Budget Filing Data'!D238</f>
        <v>SDGE_SW_CSA_Appl</v>
      </c>
      <c r="D244" s="470" t="str">
        <f>'Budget Filing Data'!E238</f>
        <v>SW Codes &amp; Standards Advocacy - State Appliance Standards</v>
      </c>
      <c r="E244" s="471" t="s">
        <v>42</v>
      </c>
      <c r="F244" s="471" t="s">
        <v>323</v>
      </c>
      <c r="G244" s="472" t="str">
        <f>'Budget Filing Data'!J238</f>
        <v>Third-Party Solicited</v>
      </c>
      <c r="H244" s="472" t="str">
        <f>IF('Budget Filing Data'!H238="","",'Budget Filing Data'!H238)</f>
        <v>SW_CSA_Appl - Codes and Standards Appliance Advocacy</v>
      </c>
      <c r="I244" s="473" t="s">
        <v>24</v>
      </c>
      <c r="J244" s="472" t="str">
        <f>'Budget Filing Data'!G238</f>
        <v>Cross Cutting</v>
      </c>
      <c r="K244" s="472" t="str">
        <f>'Budget Filing Data'!I238</f>
        <v>Codes and Standards</v>
      </c>
      <c r="L244" s="472" t="str">
        <f>'Budget Filing Data'!L238</f>
        <v>Codes and Standards</v>
      </c>
      <c r="M244" s="472">
        <f>'Budget Filing Data'!B238</f>
        <v>2031</v>
      </c>
      <c r="N244" s="474">
        <f t="shared" si="3"/>
        <v>333070.63510000001</v>
      </c>
      <c r="O244" s="475">
        <f>'Budget Filing Data'!AQ238</f>
        <v>0</v>
      </c>
      <c r="P244" s="475">
        <f>'Budget Filing Data'!AR238</f>
        <v>0</v>
      </c>
      <c r="Q244" s="475">
        <f>'Budget Filing Data'!AS238</f>
        <v>333070.63510000001</v>
      </c>
      <c r="R244" s="475">
        <f>'Budget Filing Data'!AT238</f>
        <v>0</v>
      </c>
      <c r="S244" s="476">
        <f>'Budget Filing Data'!X238</f>
        <v>14744903.754383139</v>
      </c>
      <c r="T244" s="477">
        <f>IFERROR((('Budget Filing Data'!AF238+'Budget Filing Data'!AG238+'Budget Filing Data'!AY238+'Budget Filing Data'!AH238)/'Budget Filing Data'!AA238),"")</f>
        <v>6.9504127457803584</v>
      </c>
      <c r="U244" s="477">
        <f>IFERROR((('Budget Filing Data'!AF238+'Budget Filing Data'!AG238+'Budget Filing Data'!AY238+'Budget Filing Data'!AH238)/'Budget Filing Data'!AB238),"")</f>
        <v>44.269599900201968</v>
      </c>
      <c r="V244" s="477">
        <f>IFERROR((('Budget Filing Data'!AF238+'Budget Filing Data'!AG238+'Budget Filing Data'!AY238+'Budget Filing Data'!AH238+'Budget Filing Data'!AW238+'Budget Filing Data'!AX238)/('Budget Filing Data'!AE238)),"")</f>
        <v>0.37193042379094032</v>
      </c>
      <c r="W244" s="477">
        <f>IFERROR(('Budget Filing Data'!AI238+'Budget Filing Data'!AJ238+'Budget Filing Data'!AK238+'Budget Filing Data'!AH238)/('Budget Filing Data'!AC238),"")</f>
        <v>9.5887837466267243</v>
      </c>
      <c r="X244" s="477">
        <f>IFERROR(('Budget Filing Data'!AL238+'Budget Filing Data'!AM238+'Budget Filing Data'!AN238+'Budget Filing Data'!AH238)/('Budget Filing Data'!AD238),"")</f>
        <v>9.588625863929737</v>
      </c>
      <c r="Y244" s="478">
        <f>'Budget Filing Data'!Q238</f>
        <v>13900470.818370821</v>
      </c>
      <c r="Z244" s="478">
        <f>'Budget Filing Data'!R238</f>
        <v>1580.7791089369689</v>
      </c>
      <c r="AA244" s="478">
        <f>'Budget Filing Data'!S238</f>
        <v>41429.703707314402</v>
      </c>
      <c r="AB244" s="478">
        <f>'Budget Filing Data'!AO238</f>
        <v>2655.0011783172363</v>
      </c>
      <c r="AC244" s="478">
        <f>'Budget Filing Data'!AP238</f>
        <v>219.99172668583952</v>
      </c>
      <c r="AD244" s="478">
        <f>'Budget Filing Data'!T238</f>
        <v>182817268.36513954</v>
      </c>
      <c r="AE244" s="478">
        <f>'Budget Filing Data'!U238</f>
        <v>495461.68994350039</v>
      </c>
      <c r="AF244" s="478">
        <f>'Budget Filing Data'!$V238</f>
        <v>37391.408333034058</v>
      </c>
      <c r="AG244" s="478">
        <f>'Budget Filing Data'!$W238</f>
        <v>2630.9015735999878</v>
      </c>
      <c r="AH244" s="479">
        <v>0</v>
      </c>
    </row>
    <row r="245" spans="3:34" hidden="1">
      <c r="C245" s="470" t="str">
        <f>'Budget Filing Data'!D239</f>
        <v>SDGE_SW_CSA_Appl_PA</v>
      </c>
      <c r="D245" s="470" t="str">
        <f>'Budget Filing Data'!E239</f>
        <v>SW Codes &amp; Standards Advocacy - State Appliance Standards (Utility)</v>
      </c>
      <c r="E245" s="471"/>
      <c r="F245" s="480"/>
      <c r="G245" s="472" t="str">
        <f>'Budget Filing Data'!J239</f>
        <v>IOU Core</v>
      </c>
      <c r="H245" s="472" t="str">
        <f>IF('Budget Filing Data'!H239="","",'Budget Filing Data'!H239)</f>
        <v>SW_CSA_Appl - Codes and Standards Appliance Advocacy</v>
      </c>
      <c r="I245" s="473" t="s">
        <v>24</v>
      </c>
      <c r="J245" s="472" t="str">
        <f>'Budget Filing Data'!G239</f>
        <v>Cross Cutting</v>
      </c>
      <c r="K245" s="472" t="str">
        <f>'Budget Filing Data'!I239</f>
        <v>Codes and Standards</v>
      </c>
      <c r="L245" s="472" t="str">
        <f>'Budget Filing Data'!L239</f>
        <v>Codes and Standards</v>
      </c>
      <c r="M245" s="472">
        <f>'Budget Filing Data'!B239</f>
        <v>2031</v>
      </c>
      <c r="N245" s="474">
        <f t="shared" si="3"/>
        <v>66917.715599999996</v>
      </c>
      <c r="O245" s="475">
        <f>'Budget Filing Data'!AQ239</f>
        <v>14566.5766</v>
      </c>
      <c r="P245" s="475">
        <f>'Budget Filing Data'!AR239</f>
        <v>0</v>
      </c>
      <c r="Q245" s="475">
        <f>'Budget Filing Data'!AS239</f>
        <v>52351.139000000003</v>
      </c>
      <c r="R245" s="475">
        <f>'Budget Filing Data'!AT239</f>
        <v>0</v>
      </c>
      <c r="S245" s="476">
        <f>'Budget Filing Data'!X239</f>
        <v>0</v>
      </c>
      <c r="T245" s="477">
        <f>IFERROR((('Budget Filing Data'!AF239+'Budget Filing Data'!AG239+'Budget Filing Data'!AY239+'Budget Filing Data'!AH239)/'Budget Filing Data'!AA239),"")</f>
        <v>0</v>
      </c>
      <c r="U245" s="477">
        <f>IFERROR((('Budget Filing Data'!AF239+'Budget Filing Data'!AG239+'Budget Filing Data'!AY239+'Budget Filing Data'!AH239)/'Budget Filing Data'!AB239),"")</f>
        <v>0</v>
      </c>
      <c r="V245" s="477">
        <f>IFERROR((('Budget Filing Data'!AF239+'Budget Filing Data'!AG239+'Budget Filing Data'!AY239+'Budget Filing Data'!AH239+'Budget Filing Data'!AW239+'Budget Filing Data'!AX239)/('Budget Filing Data'!AE239)),"")</f>
        <v>0</v>
      </c>
      <c r="W245" s="477">
        <f>IFERROR(('Budget Filing Data'!AI239+'Budget Filing Data'!AJ239+'Budget Filing Data'!AK239+'Budget Filing Data'!AH239)/('Budget Filing Data'!AC239),"")</f>
        <v>0</v>
      </c>
      <c r="X245" s="477">
        <f>IFERROR(('Budget Filing Data'!AL239+'Budget Filing Data'!AM239+'Budget Filing Data'!AN239+'Budget Filing Data'!AH239)/('Budget Filing Data'!AD239),"")</f>
        <v>0</v>
      </c>
      <c r="Y245" s="478">
        <f>'Budget Filing Data'!Q239</f>
        <v>0</v>
      </c>
      <c r="Z245" s="478">
        <f>'Budget Filing Data'!R239</f>
        <v>0</v>
      </c>
      <c r="AA245" s="478">
        <f>'Budget Filing Data'!S239</f>
        <v>0</v>
      </c>
      <c r="AB245" s="478">
        <f>'Budget Filing Data'!AO239</f>
        <v>0</v>
      </c>
      <c r="AC245" s="478">
        <f>'Budget Filing Data'!AP239</f>
        <v>0</v>
      </c>
      <c r="AD245" s="478">
        <f>'Budget Filing Data'!T239</f>
        <v>0</v>
      </c>
      <c r="AE245" s="478">
        <f>'Budget Filing Data'!U239</f>
        <v>0</v>
      </c>
      <c r="AF245" s="478">
        <f>'Budget Filing Data'!$V239</f>
        <v>0</v>
      </c>
      <c r="AG245" s="478">
        <f>'Budget Filing Data'!$W239</f>
        <v>0</v>
      </c>
      <c r="AH245" s="479">
        <v>0</v>
      </c>
    </row>
    <row r="246" spans="3:34" hidden="1">
      <c r="C246" s="470" t="str">
        <f>'Budget Filing Data'!D240</f>
        <v>SDGE_SW_CSA_Bldg</v>
      </c>
      <c r="D246" s="470" t="str">
        <f>'Budget Filing Data'!E240</f>
        <v>SW Codes &amp; Standards Advocacy - State Building Codes</v>
      </c>
      <c r="E246" s="471"/>
      <c r="F246" s="480"/>
      <c r="G246" s="472" t="str">
        <f>'Budget Filing Data'!J240</f>
        <v>Third-Party Solicited</v>
      </c>
      <c r="H246" s="472" t="str">
        <f>IF('Budget Filing Data'!H240="","",'Budget Filing Data'!H240)</f>
        <v>SW_CSA_Bldg - Codes and Standards Building Codes Advocacy</v>
      </c>
      <c r="I246" s="473" t="s">
        <v>24</v>
      </c>
      <c r="J246" s="472" t="str">
        <f>'Budget Filing Data'!G240</f>
        <v>Cross Cutting</v>
      </c>
      <c r="K246" s="472" t="str">
        <f>'Budget Filing Data'!I240</f>
        <v>Codes and Standards</v>
      </c>
      <c r="L246" s="472" t="str">
        <f>'Budget Filing Data'!L240</f>
        <v>Codes and Standards</v>
      </c>
      <c r="M246" s="472">
        <f>'Budget Filing Data'!B240</f>
        <v>2031</v>
      </c>
      <c r="N246" s="474">
        <f t="shared" si="3"/>
        <v>699685.34719999996</v>
      </c>
      <c r="O246" s="475">
        <f>'Budget Filing Data'!AQ240</f>
        <v>0</v>
      </c>
      <c r="P246" s="475">
        <f>'Budget Filing Data'!AR240</f>
        <v>0</v>
      </c>
      <c r="Q246" s="475">
        <f>'Budget Filing Data'!AS240</f>
        <v>699685.34719999996</v>
      </c>
      <c r="R246" s="475">
        <f>'Budget Filing Data'!AT240</f>
        <v>0</v>
      </c>
      <c r="S246" s="476">
        <f>'Budget Filing Data'!X240</f>
        <v>140333699.29479885</v>
      </c>
      <c r="T246" s="477">
        <f>IFERROR((('Budget Filing Data'!AF240+'Budget Filing Data'!AG240+'Budget Filing Data'!AY240+'Budget Filing Data'!AH240)/'Budget Filing Data'!AA240),"")</f>
        <v>1.8502996802165861</v>
      </c>
      <c r="U246" s="477">
        <f>IFERROR((('Budget Filing Data'!AF240+'Budget Filing Data'!AG240+'Budget Filing Data'!AY240+'Budget Filing Data'!AH240)/'Budget Filing Data'!AB240),"")</f>
        <v>200.56686888811683</v>
      </c>
      <c r="V246" s="477">
        <f>IFERROR((('Budget Filing Data'!AF240+'Budget Filing Data'!AG240+'Budget Filing Data'!AY240+'Budget Filing Data'!AH240+'Budget Filing Data'!AW240+'Budget Filing Data'!AX240)/('Budget Filing Data'!AE240)),"")</f>
        <v>0.6010048992500362</v>
      </c>
      <c r="W246" s="477">
        <f>IFERROR(('Budget Filing Data'!AI240+'Budget Filing Data'!AJ240+'Budget Filing Data'!AK240+'Budget Filing Data'!AH240)/('Budget Filing Data'!AC240),"")</f>
        <v>2.7103171552763259</v>
      </c>
      <c r="X246" s="477">
        <f>IFERROR(('Budget Filing Data'!AL240+'Budget Filing Data'!AM240+'Budget Filing Data'!AN240+'Budget Filing Data'!AH240)/('Budget Filing Data'!AD240),"")</f>
        <v>2.7110776992734871</v>
      </c>
      <c r="Y246" s="478">
        <f>'Budget Filing Data'!Q240</f>
        <v>64842031.690747209</v>
      </c>
      <c r="Z246" s="478">
        <f>'Budget Filing Data'!R240</f>
        <v>13048.645594504596</v>
      </c>
      <c r="AA246" s="478">
        <f>'Budget Filing Data'!S240</f>
        <v>1435355.3121729426</v>
      </c>
      <c r="AB246" s="478">
        <f>'Budget Filing Data'!AO240</f>
        <v>10155.838842388424</v>
      </c>
      <c r="AC246" s="478">
        <f>'Budget Filing Data'!AP240</f>
        <v>7621.7367076383161</v>
      </c>
      <c r="AD246" s="478">
        <f>'Budget Filing Data'!T240</f>
        <v>1001365323.7139559</v>
      </c>
      <c r="AE246" s="478">
        <f>'Budget Filing Data'!U240</f>
        <v>22394760.132757287</v>
      </c>
      <c r="AF246" s="478">
        <f>'Budget Filing Data'!$V240</f>
        <v>160387.03183644731</v>
      </c>
      <c r="AG246" s="478">
        <f>'Budget Filing Data'!$W240</f>
        <v>118916.17630494128</v>
      </c>
      <c r="AH246" s="479">
        <v>0</v>
      </c>
    </row>
    <row r="247" spans="3:34" hidden="1">
      <c r="C247" s="470" t="str">
        <f>'Budget Filing Data'!D241</f>
        <v>SDGE_SW_CSA_Bldg_PA</v>
      </c>
      <c r="D247" s="470" t="str">
        <f>'Budget Filing Data'!E241</f>
        <v>SW Codes &amp; Standards Advocacy - State Building Codes (Utility)</v>
      </c>
      <c r="E247" s="471"/>
      <c r="F247" s="480"/>
      <c r="G247" s="472" t="str">
        <f>'Budget Filing Data'!J241</f>
        <v>IOU Core</v>
      </c>
      <c r="H247" s="472" t="str">
        <f>IF('Budget Filing Data'!H241="","",'Budget Filing Data'!H241)</f>
        <v>SW_CSA_Bldg - Codes and Standards Building Codes Advocacy</v>
      </c>
      <c r="I247" s="473" t="s">
        <v>24</v>
      </c>
      <c r="J247" s="472" t="str">
        <f>'Budget Filing Data'!G241</f>
        <v>Cross Cutting</v>
      </c>
      <c r="K247" s="472" t="str">
        <f>'Budget Filing Data'!I241</f>
        <v>Codes and Standards</v>
      </c>
      <c r="L247" s="472" t="str">
        <f>'Budget Filing Data'!L241</f>
        <v>Codes and Standards</v>
      </c>
      <c r="M247" s="472">
        <f>'Budget Filing Data'!B241</f>
        <v>2031</v>
      </c>
      <c r="N247" s="474">
        <f t="shared" si="3"/>
        <v>83820.895399999994</v>
      </c>
      <c r="O247" s="475">
        <f>'Budget Filing Data'!AQ241</f>
        <v>17583.818599999999</v>
      </c>
      <c r="P247" s="475">
        <f>'Budget Filing Data'!AR241</f>
        <v>0</v>
      </c>
      <c r="Q247" s="475">
        <f>'Budget Filing Data'!AS241</f>
        <v>66237.076799999995</v>
      </c>
      <c r="R247" s="475">
        <f>'Budget Filing Data'!AT241</f>
        <v>0</v>
      </c>
      <c r="S247" s="476">
        <f>'Budget Filing Data'!X241</f>
        <v>0</v>
      </c>
      <c r="T247" s="477">
        <f>IFERROR((('Budget Filing Data'!AF241+'Budget Filing Data'!AG241+'Budget Filing Data'!AY241+'Budget Filing Data'!AH241)/'Budget Filing Data'!AA241),"")</f>
        <v>0</v>
      </c>
      <c r="U247" s="477">
        <f>IFERROR((('Budget Filing Data'!AF241+'Budget Filing Data'!AG241+'Budget Filing Data'!AY241+'Budget Filing Data'!AH241)/'Budget Filing Data'!AB241),"")</f>
        <v>0</v>
      </c>
      <c r="V247" s="477">
        <f>IFERROR((('Budget Filing Data'!AF241+'Budget Filing Data'!AG241+'Budget Filing Data'!AY241+'Budget Filing Data'!AH241+'Budget Filing Data'!AW241+'Budget Filing Data'!AX241)/('Budget Filing Data'!AE241)),"")</f>
        <v>0</v>
      </c>
      <c r="W247" s="477">
        <f>IFERROR(('Budget Filing Data'!AI241+'Budget Filing Data'!AJ241+'Budget Filing Data'!AK241+'Budget Filing Data'!AH241)/('Budget Filing Data'!AC241),"")</f>
        <v>0</v>
      </c>
      <c r="X247" s="477">
        <f>IFERROR(('Budget Filing Data'!AL241+'Budget Filing Data'!AM241+'Budget Filing Data'!AN241+'Budget Filing Data'!AH241)/('Budget Filing Data'!AD241),"")</f>
        <v>0</v>
      </c>
      <c r="Y247" s="478">
        <f>'Budget Filing Data'!Q241</f>
        <v>0</v>
      </c>
      <c r="Z247" s="478">
        <f>'Budget Filing Data'!R241</f>
        <v>0</v>
      </c>
      <c r="AA247" s="478">
        <f>'Budget Filing Data'!S241</f>
        <v>0</v>
      </c>
      <c r="AB247" s="478">
        <f>'Budget Filing Data'!AO241</f>
        <v>0</v>
      </c>
      <c r="AC247" s="478">
        <f>'Budget Filing Data'!AP241</f>
        <v>0</v>
      </c>
      <c r="AD247" s="478">
        <f>'Budget Filing Data'!T241</f>
        <v>0</v>
      </c>
      <c r="AE247" s="478">
        <f>'Budget Filing Data'!U241</f>
        <v>0</v>
      </c>
      <c r="AF247" s="478">
        <f>'Budget Filing Data'!$V241</f>
        <v>0</v>
      </c>
      <c r="AG247" s="478">
        <f>'Budget Filing Data'!$W241</f>
        <v>0</v>
      </c>
      <c r="AH247" s="479">
        <v>0</v>
      </c>
    </row>
    <row r="248" spans="3:34" hidden="1">
      <c r="C248" s="470" t="str">
        <f>'Budget Filing Data'!D242</f>
        <v>SDGE_SW_ETP_Elec</v>
      </c>
      <c r="D248" s="470" t="str">
        <f>'Budget Filing Data'!E242</f>
        <v>SW Emerging Technologies - Electric</v>
      </c>
      <c r="E248" s="471"/>
      <c r="F248" s="471"/>
      <c r="G248" s="472" t="str">
        <f>'Budget Filing Data'!J242</f>
        <v>Third-Party Solicited</v>
      </c>
      <c r="H248" s="472" t="str">
        <f>IF('Budget Filing Data'!H242="","",'Budget Filing Data'!H242)</f>
        <v>SW_ETP_Elec - Emerging Technology Programs - Electric</v>
      </c>
      <c r="I248" s="473" t="s">
        <v>15</v>
      </c>
      <c r="J248" s="472" t="str">
        <f>'Budget Filing Data'!G242</f>
        <v>Cross Cutting</v>
      </c>
      <c r="K248" s="472" t="str">
        <f>'Budget Filing Data'!I242</f>
        <v>Emerging Technologies</v>
      </c>
      <c r="L248" s="472" t="str">
        <f>'Budget Filing Data'!L242</f>
        <v>Market Support</v>
      </c>
      <c r="M248" s="472">
        <f>'Budget Filing Data'!B242</f>
        <v>2031</v>
      </c>
      <c r="N248" s="474">
        <f t="shared" si="3"/>
        <v>1547000</v>
      </c>
      <c r="O248" s="475">
        <f>'Budget Filing Data'!AQ242</f>
        <v>0</v>
      </c>
      <c r="P248" s="475">
        <f>'Budget Filing Data'!AR242</f>
        <v>0</v>
      </c>
      <c r="Q248" s="475">
        <f>'Budget Filing Data'!AS242</f>
        <v>1547000</v>
      </c>
      <c r="R248" s="475">
        <f>'Budget Filing Data'!AT242</f>
        <v>0</v>
      </c>
      <c r="S248" s="476">
        <f>'Budget Filing Data'!X242</f>
        <v>0</v>
      </c>
      <c r="T248" s="477">
        <f>IFERROR((('Budget Filing Data'!AF242+'Budget Filing Data'!AG242+'Budget Filing Data'!AY242+'Budget Filing Data'!AH242)/'Budget Filing Data'!AA242),"")</f>
        <v>0</v>
      </c>
      <c r="U248" s="477">
        <f>IFERROR((('Budget Filing Data'!AF242+'Budget Filing Data'!AG242+'Budget Filing Data'!AY242+'Budget Filing Data'!AH242)/'Budget Filing Data'!AB242),"")</f>
        <v>0</v>
      </c>
      <c r="V248" s="477">
        <f>IFERROR((('Budget Filing Data'!AF242+'Budget Filing Data'!AG242+'Budget Filing Data'!AY242+'Budget Filing Data'!AH242+'Budget Filing Data'!AW242+'Budget Filing Data'!AX242)/('Budget Filing Data'!AE242)),"")</f>
        <v>0</v>
      </c>
      <c r="W248" s="477">
        <f>IFERROR(('Budget Filing Data'!AI242+'Budget Filing Data'!AJ242+'Budget Filing Data'!AK242+'Budget Filing Data'!AH242)/('Budget Filing Data'!AC242),"")</f>
        <v>0</v>
      </c>
      <c r="X248" s="477">
        <f>IFERROR(('Budget Filing Data'!AL242+'Budget Filing Data'!AM242+'Budget Filing Data'!AN242+'Budget Filing Data'!AH242)/('Budget Filing Data'!AD242),"")</f>
        <v>0</v>
      </c>
      <c r="Y248" s="478">
        <f>'Budget Filing Data'!Q242</f>
        <v>0</v>
      </c>
      <c r="Z248" s="478">
        <f>'Budget Filing Data'!R242</f>
        <v>0</v>
      </c>
      <c r="AA248" s="478">
        <f>'Budget Filing Data'!S242</f>
        <v>0</v>
      </c>
      <c r="AB248" s="478">
        <f>'Budget Filing Data'!AO242</f>
        <v>0</v>
      </c>
      <c r="AC248" s="478">
        <f>'Budget Filing Data'!AP242</f>
        <v>0</v>
      </c>
      <c r="AD248" s="478">
        <f>'Budget Filing Data'!T242</f>
        <v>0</v>
      </c>
      <c r="AE248" s="478">
        <f>'Budget Filing Data'!U242</f>
        <v>0</v>
      </c>
      <c r="AF248" s="478">
        <f>'Budget Filing Data'!$V242</f>
        <v>0</v>
      </c>
      <c r="AG248" s="478">
        <f>'Budget Filing Data'!$W242</f>
        <v>0</v>
      </c>
      <c r="AH248" s="479">
        <v>0</v>
      </c>
    </row>
    <row r="249" spans="3:34" hidden="1">
      <c r="C249" s="470" t="str">
        <f>'Budget Filing Data'!D243</f>
        <v>SDGE_SW_ETP_Elec_PA</v>
      </c>
      <c r="D249" s="470" t="str">
        <f>'Budget Filing Data'!E243</f>
        <v>SW Emerging Technologies - Electric (Utility)</v>
      </c>
      <c r="E249" s="471" t="s">
        <v>37</v>
      </c>
      <c r="F249" s="471" t="s">
        <v>324</v>
      </c>
      <c r="G249" s="472" t="str">
        <f>'Budget Filing Data'!J243</f>
        <v>IOU Core</v>
      </c>
      <c r="H249" s="472" t="str">
        <f>IF('Budget Filing Data'!H243="","",'Budget Filing Data'!H243)</f>
        <v>SW_ETP_Elec - Emerging Technology Programs - Electric</v>
      </c>
      <c r="I249" s="473" t="s">
        <v>15</v>
      </c>
      <c r="J249" s="472" t="str">
        <f>'Budget Filing Data'!G243</f>
        <v>Cross Cutting</v>
      </c>
      <c r="K249" s="472" t="str">
        <f>'Budget Filing Data'!I243</f>
        <v>Emerging Technologies</v>
      </c>
      <c r="L249" s="472" t="str">
        <f>'Budget Filing Data'!L243</f>
        <v>Market Support</v>
      </c>
      <c r="M249" s="472">
        <f>'Budget Filing Data'!B243</f>
        <v>2031</v>
      </c>
      <c r="N249" s="474">
        <f t="shared" si="3"/>
        <v>106642.0865</v>
      </c>
      <c r="O249" s="475">
        <f>'Budget Filing Data'!AQ243</f>
        <v>24924.246899999998</v>
      </c>
      <c r="P249" s="475">
        <f>'Budget Filing Data'!AR243</f>
        <v>0</v>
      </c>
      <c r="Q249" s="475">
        <f>'Budget Filing Data'!AS243</f>
        <v>81717.839600000007</v>
      </c>
      <c r="R249" s="475">
        <f>'Budget Filing Data'!AT243</f>
        <v>0</v>
      </c>
      <c r="S249" s="476">
        <f>'Budget Filing Data'!X243</f>
        <v>0</v>
      </c>
      <c r="T249" s="477">
        <f>IFERROR((('Budget Filing Data'!AF243+'Budget Filing Data'!AG243+'Budget Filing Data'!AY243+'Budget Filing Data'!AH243)/'Budget Filing Data'!AA243),"")</f>
        <v>0</v>
      </c>
      <c r="U249" s="477">
        <f>IFERROR((('Budget Filing Data'!AF243+'Budget Filing Data'!AG243+'Budget Filing Data'!AY243+'Budget Filing Data'!AH243)/'Budget Filing Data'!AB243),"")</f>
        <v>0</v>
      </c>
      <c r="V249" s="477">
        <f>IFERROR((('Budget Filing Data'!AF243+'Budget Filing Data'!AG243+'Budget Filing Data'!AY243+'Budget Filing Data'!AH243+'Budget Filing Data'!AW243+'Budget Filing Data'!AX243)/('Budget Filing Data'!AE243)),"")</f>
        <v>0</v>
      </c>
      <c r="W249" s="477">
        <f>IFERROR(('Budget Filing Data'!AI243+'Budget Filing Data'!AJ243+'Budget Filing Data'!AK243+'Budget Filing Data'!AH243)/('Budget Filing Data'!AC243),"")</f>
        <v>0</v>
      </c>
      <c r="X249" s="477">
        <f>IFERROR(('Budget Filing Data'!AL243+'Budget Filing Data'!AM243+'Budget Filing Data'!AN243+'Budget Filing Data'!AH243)/('Budget Filing Data'!AD243),"")</f>
        <v>0</v>
      </c>
      <c r="Y249" s="478">
        <f>'Budget Filing Data'!Q243</f>
        <v>0</v>
      </c>
      <c r="Z249" s="478">
        <f>'Budget Filing Data'!R243</f>
        <v>0</v>
      </c>
      <c r="AA249" s="478">
        <f>'Budget Filing Data'!S243</f>
        <v>0</v>
      </c>
      <c r="AB249" s="478">
        <f>'Budget Filing Data'!AO243</f>
        <v>0</v>
      </c>
      <c r="AC249" s="478">
        <f>'Budget Filing Data'!AP243</f>
        <v>0</v>
      </c>
      <c r="AD249" s="478">
        <f>'Budget Filing Data'!T243</f>
        <v>0</v>
      </c>
      <c r="AE249" s="478">
        <f>'Budget Filing Data'!U243</f>
        <v>0</v>
      </c>
      <c r="AF249" s="478">
        <f>'Budget Filing Data'!$V243</f>
        <v>0</v>
      </c>
      <c r="AG249" s="478">
        <f>'Budget Filing Data'!$W243</f>
        <v>0</v>
      </c>
      <c r="AH249" s="479">
        <v>0</v>
      </c>
    </row>
    <row r="250" spans="3:34" hidden="1">
      <c r="C250" s="470" t="str">
        <f>'Budget Filing Data'!D244</f>
        <v>SDGE_SW_IP_Gov</v>
      </c>
      <c r="D250" s="470" t="str">
        <f>'Budget Filing Data'!E244</f>
        <v>SW Institutional Partnerships: DGS &amp; DoC</v>
      </c>
      <c r="E250" s="471"/>
      <c r="F250" s="480"/>
      <c r="G250" s="472" t="str">
        <f>'Budget Filing Data'!J244</f>
        <v>Third-Party Solicited</v>
      </c>
      <c r="H250" s="472" t="str">
        <f>IF('Budget Filing Data'!H244="","",'Budget Filing Data'!H244)</f>
        <v>SW_IP_Gov - Institutional Partnerships - Government</v>
      </c>
      <c r="I250" s="473" t="s">
        <v>24</v>
      </c>
      <c r="J250" s="472" t="str">
        <f>'Budget Filing Data'!G244</f>
        <v>Public</v>
      </c>
      <c r="K250" s="472" t="str">
        <f>'Budget Filing Data'!I244</f>
        <v>Government Partnerships</v>
      </c>
      <c r="L250" s="472" t="str">
        <f>'Budget Filing Data'!L244</f>
        <v>Resource Acquisition</v>
      </c>
      <c r="M250" s="472">
        <f>'Budget Filing Data'!B244</f>
        <v>2031</v>
      </c>
      <c r="N250" s="474">
        <f t="shared" si="3"/>
        <v>230942.560214</v>
      </c>
      <c r="O250" s="475">
        <f>'Budget Filing Data'!AQ244</f>
        <v>9523.2000000000007</v>
      </c>
      <c r="P250" s="475">
        <f>'Budget Filing Data'!AR244</f>
        <v>496</v>
      </c>
      <c r="Q250" s="475">
        <f>'Budget Filing Data'!AS244</f>
        <v>142335.41380000001</v>
      </c>
      <c r="R250" s="475">
        <f>'Budget Filing Data'!AT244</f>
        <v>78587.946413999991</v>
      </c>
      <c r="S250" s="476">
        <f>'Budget Filing Data'!X244</f>
        <v>153362.13125711156</v>
      </c>
      <c r="T250" s="477">
        <f>IFERROR((('Budget Filing Data'!AF244+'Budget Filing Data'!AG244+'Budget Filing Data'!AY244+'Budget Filing Data'!AH244)/'Budget Filing Data'!AA244),"")</f>
        <v>0.54804988322417869</v>
      </c>
      <c r="U250" s="477">
        <f>IFERROR((('Budget Filing Data'!AF244+'Budget Filing Data'!AG244+'Budget Filing Data'!AY244+'Budget Filing Data'!AH244)/'Budget Filing Data'!AB244),"")</f>
        <v>0.70859791797848215</v>
      </c>
      <c r="V250" s="477">
        <f>IFERROR((('Budget Filing Data'!AF244+'Budget Filing Data'!AG244+'Budget Filing Data'!AY244+'Budget Filing Data'!AH244+'Budget Filing Data'!AW244+'Budget Filing Data'!AX244)/('Budget Filing Data'!AE244)),"")</f>
        <v>0.50365581190644204</v>
      </c>
      <c r="W250" s="477">
        <f>IFERROR(('Budget Filing Data'!AI244+'Budget Filing Data'!AJ244+'Budget Filing Data'!AK244+'Budget Filing Data'!AH244)/('Budget Filing Data'!AC244),"")</f>
        <v>0.73528495230270219</v>
      </c>
      <c r="X250" s="477">
        <f>IFERROR(('Budget Filing Data'!AL244+'Budget Filing Data'!AM244+'Budget Filing Data'!AN244+'Budget Filing Data'!AH244)/('Budget Filing Data'!AD244),"")</f>
        <v>0.73462728320303516</v>
      </c>
      <c r="Y250" s="478">
        <f>'Budget Filing Data'!Q244</f>
        <v>114343.77500136499</v>
      </c>
      <c r="Z250" s="478">
        <f>'Budget Filing Data'!R244</f>
        <v>51.886380000136498</v>
      </c>
      <c r="AA250" s="478">
        <f>'Budget Filing Data'!S244</f>
        <v>5508.1488000197996</v>
      </c>
      <c r="AB250" s="478">
        <f>'Budget Filing Data'!AO244</f>
        <v>15.51172255832461</v>
      </c>
      <c r="AC250" s="478">
        <f>'Budget Filing Data'!AP244</f>
        <v>29.24827012810513</v>
      </c>
      <c r="AD250" s="478">
        <f>'Budget Filing Data'!T244</f>
        <v>306931.62500655197</v>
      </c>
      <c r="AE250" s="478">
        <f>'Budget Filing Data'!U244</f>
        <v>72369.528000237595</v>
      </c>
      <c r="AF250" s="478">
        <f>'Budget Filing Data'!$V244</f>
        <v>100.01179510928061</v>
      </c>
      <c r="AG250" s="478">
        <f>'Budget Filing Data'!$W244</f>
        <v>384.28219368126162</v>
      </c>
      <c r="AH250" s="479">
        <v>0</v>
      </c>
    </row>
    <row r="251" spans="3:34" hidden="1">
      <c r="C251" s="470" t="str">
        <f>'Budget Filing Data'!D245</f>
        <v>SDGE_SW_IP_Gov_PA</v>
      </c>
      <c r="D251" s="470" t="str">
        <f>'Budget Filing Data'!E245</f>
        <v>SW Institutional Partnerships: DGS &amp; DoC (Utility)</v>
      </c>
      <c r="E251" s="471"/>
      <c r="F251" s="480"/>
      <c r="G251" s="472" t="str">
        <f>'Budget Filing Data'!J245</f>
        <v>IOU Core</v>
      </c>
      <c r="H251" s="472" t="str">
        <f>IF('Budget Filing Data'!H245="","",'Budget Filing Data'!H245)</f>
        <v>SW_IP_Gov - Institutional Partnerships - Government</v>
      </c>
      <c r="I251" s="473" t="s">
        <v>24</v>
      </c>
      <c r="J251" s="472" t="str">
        <f>'Budget Filing Data'!G245</f>
        <v>Public</v>
      </c>
      <c r="K251" s="472" t="str">
        <f>'Budget Filing Data'!I245</f>
        <v>Government Partnerships</v>
      </c>
      <c r="L251" s="472" t="str">
        <f>'Budget Filing Data'!L245</f>
        <v>Resource Acquisition</v>
      </c>
      <c r="M251" s="472">
        <f>'Budget Filing Data'!B245</f>
        <v>2031</v>
      </c>
      <c r="N251" s="474">
        <f t="shared" si="3"/>
        <v>3321.1621</v>
      </c>
      <c r="O251" s="475">
        <f>'Budget Filing Data'!AQ245</f>
        <v>3321.1621</v>
      </c>
      <c r="P251" s="475">
        <f>'Budget Filing Data'!AR245</f>
        <v>0</v>
      </c>
      <c r="Q251" s="475">
        <f>'Budget Filing Data'!AS245</f>
        <v>0</v>
      </c>
      <c r="R251" s="475">
        <f>'Budget Filing Data'!AT245</f>
        <v>0</v>
      </c>
      <c r="S251" s="476">
        <f>'Budget Filing Data'!X245</f>
        <v>0</v>
      </c>
      <c r="T251" s="477">
        <f>IFERROR((('Budget Filing Data'!AF245+'Budget Filing Data'!AG245+'Budget Filing Data'!AY245+'Budget Filing Data'!AH245)/'Budget Filing Data'!AA245),"")</f>
        <v>0</v>
      </c>
      <c r="U251" s="477">
        <f>IFERROR((('Budget Filing Data'!AF245+'Budget Filing Data'!AG245+'Budget Filing Data'!AY245+'Budget Filing Data'!AH245)/'Budget Filing Data'!AB245),"")</f>
        <v>0</v>
      </c>
      <c r="V251" s="477">
        <f>IFERROR((('Budget Filing Data'!AF245+'Budget Filing Data'!AG245+'Budget Filing Data'!AY245+'Budget Filing Data'!AH245+'Budget Filing Data'!AW245+'Budget Filing Data'!AX245)/('Budget Filing Data'!AE245)),"")</f>
        <v>0</v>
      </c>
      <c r="W251" s="477">
        <f>IFERROR(('Budget Filing Data'!AI245+'Budget Filing Data'!AJ245+'Budget Filing Data'!AK245+'Budget Filing Data'!AH245)/('Budget Filing Data'!AC245),"")</f>
        <v>0</v>
      </c>
      <c r="X251" s="477">
        <f>IFERROR(('Budget Filing Data'!AL245+'Budget Filing Data'!AM245+'Budget Filing Data'!AN245+'Budget Filing Data'!AH245)/('Budget Filing Data'!AD245),"")</f>
        <v>0</v>
      </c>
      <c r="Y251" s="478">
        <f>'Budget Filing Data'!Q245</f>
        <v>0</v>
      </c>
      <c r="Z251" s="478">
        <f>'Budget Filing Data'!R245</f>
        <v>0</v>
      </c>
      <c r="AA251" s="478">
        <f>'Budget Filing Data'!S245</f>
        <v>0</v>
      </c>
      <c r="AB251" s="478">
        <f>'Budget Filing Data'!AO245</f>
        <v>0</v>
      </c>
      <c r="AC251" s="478">
        <f>'Budget Filing Data'!AP245</f>
        <v>0</v>
      </c>
      <c r="AD251" s="478">
        <f>'Budget Filing Data'!T245</f>
        <v>0</v>
      </c>
      <c r="AE251" s="478">
        <f>'Budget Filing Data'!U245</f>
        <v>0</v>
      </c>
      <c r="AF251" s="478">
        <f>'Budget Filing Data'!$V245</f>
        <v>0</v>
      </c>
      <c r="AG251" s="478">
        <f>'Budget Filing Data'!$W245</f>
        <v>0</v>
      </c>
      <c r="AH251" s="479">
        <v>0</v>
      </c>
    </row>
    <row r="252" spans="3:34" hidden="1">
      <c r="C252" s="470" t="str">
        <f>'Budget Filing Data'!D246</f>
        <v>SDGE_SW_IP_Colleges</v>
      </c>
      <c r="D252" s="470" t="str">
        <f>'Budget Filing Data'!E246</f>
        <v>SW Higher Education</v>
      </c>
      <c r="E252" s="471" t="s">
        <v>42</v>
      </c>
      <c r="F252" s="471" t="s">
        <v>323</v>
      </c>
      <c r="G252" s="472" t="str">
        <f>'Budget Filing Data'!J246</f>
        <v>Third-Party Solicited</v>
      </c>
      <c r="H252" s="472" t="str">
        <f>IF('Budget Filing Data'!H246="","",'Budget Filing Data'!H246)</f>
        <v>SW_IP_Colleges - Institutional Partnerships - Colleges</v>
      </c>
      <c r="I252" s="473" t="s">
        <v>24</v>
      </c>
      <c r="J252" s="472" t="str">
        <f>'Budget Filing Data'!G246</f>
        <v>Public</v>
      </c>
      <c r="K252" s="472" t="str">
        <f>'Budget Filing Data'!I246</f>
        <v>Government Partnerships</v>
      </c>
      <c r="L252" s="472" t="str">
        <f>'Budget Filing Data'!L246</f>
        <v>Resource Acquisition</v>
      </c>
      <c r="M252" s="472">
        <f>'Budget Filing Data'!B246</f>
        <v>2031</v>
      </c>
      <c r="N252" s="474">
        <f t="shared" si="3"/>
        <v>523607.82382480003</v>
      </c>
      <c r="O252" s="475">
        <f>'Budget Filing Data'!AQ246</f>
        <v>0</v>
      </c>
      <c r="P252" s="475">
        <f>'Budget Filing Data'!AR246</f>
        <v>0</v>
      </c>
      <c r="Q252" s="475">
        <f>'Budget Filing Data'!AS246</f>
        <v>327292.01890000002</v>
      </c>
      <c r="R252" s="475">
        <f>'Budget Filing Data'!AT246</f>
        <v>196315.8049248</v>
      </c>
      <c r="S252" s="476">
        <f>'Budget Filing Data'!X246</f>
        <v>1020275.25345278</v>
      </c>
      <c r="T252" s="477">
        <f>IFERROR((('Budget Filing Data'!AF246+'Budget Filing Data'!AG246+'Budget Filing Data'!AY246+'Budget Filing Data'!AH246)/'Budget Filing Data'!AA246),"")</f>
        <v>1.2303493128173255</v>
      </c>
      <c r="U252" s="477">
        <f>IFERROR((('Budget Filing Data'!AF246+'Budget Filing Data'!AG246+'Budget Filing Data'!AY246+'Budget Filing Data'!AH246)/'Budget Filing Data'!AB246),"")</f>
        <v>1.9897647850553366</v>
      </c>
      <c r="V252" s="477">
        <f>IFERROR((('Budget Filing Data'!AF246+'Budget Filing Data'!AG246+'Budget Filing Data'!AY246+'Budget Filing Data'!AH246+'Budget Filing Data'!AW246+'Budget Filing Data'!AX246)/('Budget Filing Data'!AE246)),"")</f>
        <v>0.38848365771945348</v>
      </c>
      <c r="W252" s="477">
        <f>IFERROR(('Budget Filing Data'!AI246+'Budget Filing Data'!AJ246+'Budget Filing Data'!AK246+'Budget Filing Data'!AH246)/('Budget Filing Data'!AC246),"")</f>
        <v>1.3649258393263668</v>
      </c>
      <c r="X252" s="477">
        <f>IFERROR(('Budget Filing Data'!AL246+'Budget Filing Data'!AM246+'Budget Filing Data'!AN246+'Budget Filing Data'!AH246)/('Budget Filing Data'!AD246),"")</f>
        <v>1.3649258393263668</v>
      </c>
      <c r="Y252" s="478">
        <f>'Budget Filing Data'!Q246</f>
        <v>1080528.5231280201</v>
      </c>
      <c r="Z252" s="478">
        <f>'Budget Filing Data'!R246</f>
        <v>896.83866334613401</v>
      </c>
      <c r="AA252" s="478">
        <f>'Budget Filing Data'!S246</f>
        <v>0</v>
      </c>
      <c r="AB252" s="478">
        <f>'Budget Filing Data'!AO246</f>
        <v>158.66945460876801</v>
      </c>
      <c r="AC252" s="478">
        <f>'Budget Filing Data'!AP246</f>
        <v>0</v>
      </c>
      <c r="AD252" s="478">
        <f>'Budget Filing Data'!T246</f>
        <v>8644228.1850242093</v>
      </c>
      <c r="AE252" s="478">
        <f>'Budget Filing Data'!U246</f>
        <v>0</v>
      </c>
      <c r="AF252" s="478">
        <f>'Budget Filing Data'!$V246</f>
        <v>1386.86635534588</v>
      </c>
      <c r="AG252" s="478">
        <f>'Budget Filing Data'!$W246</f>
        <v>0</v>
      </c>
      <c r="AH252" s="479">
        <v>0</v>
      </c>
    </row>
    <row r="253" spans="3:34" ht="25.5" hidden="1">
      <c r="C253" s="470" t="str">
        <f>'Budget Filing Data'!D247</f>
        <v>SDGE_SW_IP_Colleges_PA</v>
      </c>
      <c r="D253" s="470" t="str">
        <f>'Budget Filing Data'!E247</f>
        <v>SW Higher Education (Utility)</v>
      </c>
      <c r="E253" s="471" t="s">
        <v>42</v>
      </c>
      <c r="F253" s="471" t="s">
        <v>325</v>
      </c>
      <c r="G253" s="472" t="str">
        <f>'Budget Filing Data'!J247</f>
        <v>IOU Core</v>
      </c>
      <c r="H253" s="472" t="str">
        <f>IF('Budget Filing Data'!H247="","",'Budget Filing Data'!H247)</f>
        <v>SW_IP_Colleges - Institutional Partnerships - Colleges</v>
      </c>
      <c r="I253" s="473" t="s">
        <v>24</v>
      </c>
      <c r="J253" s="472" t="str">
        <f>'Budget Filing Data'!G247</f>
        <v>Public</v>
      </c>
      <c r="K253" s="472" t="str">
        <f>'Budget Filing Data'!I247</f>
        <v>Government Partnerships</v>
      </c>
      <c r="L253" s="472" t="str">
        <f>'Budget Filing Data'!L247</f>
        <v>Resource Acquisition</v>
      </c>
      <c r="M253" s="472">
        <f>'Budget Filing Data'!B247</f>
        <v>2031</v>
      </c>
      <c r="N253" s="474">
        <f t="shared" si="3"/>
        <v>5072.2120999999997</v>
      </c>
      <c r="O253" s="475">
        <f>'Budget Filing Data'!AQ247</f>
        <v>5072.2120999999997</v>
      </c>
      <c r="P253" s="475">
        <f>'Budget Filing Data'!AR247</f>
        <v>0</v>
      </c>
      <c r="Q253" s="475">
        <f>'Budget Filing Data'!AS247</f>
        <v>0</v>
      </c>
      <c r="R253" s="475">
        <f>'Budget Filing Data'!AT247</f>
        <v>0</v>
      </c>
      <c r="S253" s="476">
        <f>'Budget Filing Data'!X247</f>
        <v>0</v>
      </c>
      <c r="T253" s="477">
        <f>IFERROR((('Budget Filing Data'!AF247+'Budget Filing Data'!AG247+'Budget Filing Data'!AY247+'Budget Filing Data'!AH247)/'Budget Filing Data'!AA247),"")</f>
        <v>0</v>
      </c>
      <c r="U253" s="477">
        <f>IFERROR((('Budget Filing Data'!AF247+'Budget Filing Data'!AG247+'Budget Filing Data'!AY247+'Budget Filing Data'!AH247)/'Budget Filing Data'!AB247),"")</f>
        <v>0</v>
      </c>
      <c r="V253" s="477">
        <f>IFERROR((('Budget Filing Data'!AF247+'Budget Filing Data'!AG247+'Budget Filing Data'!AY247+'Budget Filing Data'!AH247+'Budget Filing Data'!AW247+'Budget Filing Data'!AX247)/('Budget Filing Data'!AE247)),"")</f>
        <v>0</v>
      </c>
      <c r="W253" s="477">
        <f>IFERROR(('Budget Filing Data'!AI247+'Budget Filing Data'!AJ247+'Budget Filing Data'!AK247+'Budget Filing Data'!AH247)/('Budget Filing Data'!AC247),"")</f>
        <v>0</v>
      </c>
      <c r="X253" s="477">
        <f>IFERROR(('Budget Filing Data'!AL247+'Budget Filing Data'!AM247+'Budget Filing Data'!AN247+'Budget Filing Data'!AH247)/('Budget Filing Data'!AD247),"")</f>
        <v>0</v>
      </c>
      <c r="Y253" s="478">
        <f>'Budget Filing Data'!Q247</f>
        <v>0</v>
      </c>
      <c r="Z253" s="478">
        <f>'Budget Filing Data'!R247</f>
        <v>0</v>
      </c>
      <c r="AA253" s="478">
        <f>'Budget Filing Data'!S247</f>
        <v>0</v>
      </c>
      <c r="AB253" s="478">
        <f>'Budget Filing Data'!AO247</f>
        <v>0</v>
      </c>
      <c r="AC253" s="478">
        <f>'Budget Filing Data'!AP247</f>
        <v>0</v>
      </c>
      <c r="AD253" s="478">
        <f>'Budget Filing Data'!T247</f>
        <v>0</v>
      </c>
      <c r="AE253" s="478">
        <f>'Budget Filing Data'!U247</f>
        <v>0</v>
      </c>
      <c r="AF253" s="478">
        <f>'Budget Filing Data'!$V247</f>
        <v>0</v>
      </c>
      <c r="AG253" s="478">
        <f>'Budget Filing Data'!$W247</f>
        <v>0</v>
      </c>
      <c r="AH253" s="479">
        <v>0</v>
      </c>
    </row>
    <row r="254" spans="3:34" hidden="1">
      <c r="C254" s="470" t="str">
        <f>'Budget Filing Data'!D248</f>
        <v>SDGE_SW_MCWH</v>
      </c>
      <c r="D254" s="470" t="str">
        <f>'Budget Filing Data'!E248</f>
        <v>SW Midstream Commercial Water Heating</v>
      </c>
      <c r="E254" s="471"/>
      <c r="F254" s="480"/>
      <c r="G254" s="472" t="str">
        <f>'Budget Filing Data'!J248</f>
        <v>Third-Party Solicited</v>
      </c>
      <c r="H254" s="472" t="str">
        <f>IF('Budget Filing Data'!H248="","",'Budget Filing Data'!H248)</f>
        <v>SW_MCWH - Midstream Commercial Water Heating</v>
      </c>
      <c r="I254" s="473" t="s">
        <v>24</v>
      </c>
      <c r="J254" s="472" t="str">
        <f>'Budget Filing Data'!G248</f>
        <v>Commercial</v>
      </c>
      <c r="K254" s="472" t="str">
        <f>'Budget Filing Data'!I248</f>
        <v>Other</v>
      </c>
      <c r="L254" s="472" t="str">
        <f>'Budget Filing Data'!L248</f>
        <v>Resource Acquisition</v>
      </c>
      <c r="M254" s="472">
        <f>'Budget Filing Data'!B248</f>
        <v>2031</v>
      </c>
      <c r="N254" s="474">
        <f t="shared" si="3"/>
        <v>2427599.9999266239</v>
      </c>
      <c r="O254" s="475">
        <f>'Budget Filing Data'!AQ248</f>
        <v>284760.36629999999</v>
      </c>
      <c r="P254" s="475">
        <f>'Budget Filing Data'!AR248</f>
        <v>207222.9277</v>
      </c>
      <c r="Q254" s="475">
        <f>'Budget Filing Data'!AS248</f>
        <v>702690.96600000001</v>
      </c>
      <c r="R254" s="475">
        <f>'Budget Filing Data'!AT248</f>
        <v>1232925.7399266236</v>
      </c>
      <c r="S254" s="476">
        <f>'Budget Filing Data'!X248</f>
        <v>16971839.198702186</v>
      </c>
      <c r="T254" s="477">
        <f>IFERROR((('Budget Filing Data'!AF248+'Budget Filing Data'!AG248+'Budget Filing Data'!AY248+'Budget Filing Data'!AH248)/'Budget Filing Data'!AA248),"")</f>
        <v>4.5761622352519566</v>
      </c>
      <c r="U254" s="477">
        <f>IFERROR((('Budget Filing Data'!AF248+'Budget Filing Data'!AG248+'Budget Filing Data'!AY248+'Budget Filing Data'!AH248)/'Budget Filing Data'!AB248),"")</f>
        <v>5.4314717986434182</v>
      </c>
      <c r="V254" s="477">
        <f>IFERROR((('Budget Filing Data'!AF248+'Budget Filing Data'!AG248+'Budget Filing Data'!AY248+'Budget Filing Data'!AH248+'Budget Filing Data'!AW248+'Budget Filing Data'!AX248)/('Budget Filing Data'!AE248)),"")</f>
        <v>1.3597982821289198</v>
      </c>
      <c r="W254" s="477">
        <f>IFERROR(('Budget Filing Data'!AI248+'Budget Filing Data'!AJ248+'Budget Filing Data'!AK248+'Budget Filing Data'!AH248)/('Budget Filing Data'!AC248),"")</f>
        <v>6.7279387576985563</v>
      </c>
      <c r="X254" s="477">
        <f>IFERROR(('Budget Filing Data'!AL248+'Budget Filing Data'!AM248+'Budget Filing Data'!AN248+'Budget Filing Data'!AH248)/('Budget Filing Data'!AD248),"")</f>
        <v>6.7279387576985563</v>
      </c>
      <c r="Y254" s="478">
        <f>'Budget Filing Data'!Q248</f>
        <v>-520731.14178689889</v>
      </c>
      <c r="Z254" s="478">
        <f>'Budget Filing Data'!R248</f>
        <v>-1.4474483183296509</v>
      </c>
      <c r="AA254" s="478">
        <f>'Budget Filing Data'!S248</f>
        <v>573622.42326910736</v>
      </c>
      <c r="AB254" s="478">
        <f>'Budget Filing Data'!AO248</f>
        <v>-78.254453017617038</v>
      </c>
      <c r="AC254" s="478">
        <f>'Budget Filing Data'!AP248</f>
        <v>3045.9350675589585</v>
      </c>
      <c r="AD254" s="478">
        <f>'Budget Filing Data'!T248</f>
        <v>-8894952.6766490526</v>
      </c>
      <c r="AE254" s="478">
        <f>'Budget Filing Data'!U248</f>
        <v>10475710.522140376</v>
      </c>
      <c r="AF254" s="478">
        <f>'Budget Filing Data'!$V248</f>
        <v>-1365.9604269536301</v>
      </c>
      <c r="AG254" s="478">
        <f>'Budget Filing Data'!$W248</f>
        <v>55626.022872565372</v>
      </c>
      <c r="AH254" s="479">
        <v>0</v>
      </c>
    </row>
    <row r="255" spans="3:34" ht="25.5" hidden="1">
      <c r="C255" s="470" t="str">
        <f>'Budget Filing Data'!D249</f>
        <v>SDGE_SW_MCWH_PA</v>
      </c>
      <c r="D255" s="470" t="str">
        <f>'Budget Filing Data'!E249</f>
        <v>SW Midstream Commercial Water Heating (Utility)</v>
      </c>
      <c r="E255" s="471" t="s">
        <v>42</v>
      </c>
      <c r="F255" s="471" t="s">
        <v>325</v>
      </c>
      <c r="G255" s="472" t="str">
        <f>'Budget Filing Data'!J249</f>
        <v>IOU Core</v>
      </c>
      <c r="H255" s="472" t="str">
        <f>IF('Budget Filing Data'!H249="","",'Budget Filing Data'!H249)</f>
        <v>SW_MCWH - Midstream Commercial Water Heating</v>
      </c>
      <c r="I255" s="473" t="s">
        <v>24</v>
      </c>
      <c r="J255" s="472" t="str">
        <f>'Budget Filing Data'!G249</f>
        <v>Commercial</v>
      </c>
      <c r="K255" s="472" t="str">
        <f>'Budget Filing Data'!I249</f>
        <v>Other</v>
      </c>
      <c r="L255" s="472" t="str">
        <f>'Budget Filing Data'!L249</f>
        <v>Resource Acquisition</v>
      </c>
      <c r="M255" s="472">
        <f>'Budget Filing Data'!B249</f>
        <v>2031</v>
      </c>
      <c r="N255" s="474">
        <f t="shared" si="3"/>
        <v>16464.0321</v>
      </c>
      <c r="O255" s="475">
        <f>'Budget Filing Data'!AQ249</f>
        <v>16464.0321</v>
      </c>
      <c r="P255" s="475">
        <f>'Budget Filing Data'!AR249</f>
        <v>0</v>
      </c>
      <c r="Q255" s="475">
        <f>'Budget Filing Data'!AS249</f>
        <v>0</v>
      </c>
      <c r="R255" s="475">
        <f>'Budget Filing Data'!AT249</f>
        <v>0</v>
      </c>
      <c r="S255" s="476">
        <f>'Budget Filing Data'!X249</f>
        <v>0</v>
      </c>
      <c r="T255" s="477">
        <f>IFERROR((('Budget Filing Data'!AF249+'Budget Filing Data'!AG249+'Budget Filing Data'!AY249+'Budget Filing Data'!AH249)/'Budget Filing Data'!AA249),"")</f>
        <v>0</v>
      </c>
      <c r="U255" s="477">
        <f>IFERROR((('Budget Filing Data'!AF249+'Budget Filing Data'!AG249+'Budget Filing Data'!AY249+'Budget Filing Data'!AH249)/'Budget Filing Data'!AB249),"")</f>
        <v>0</v>
      </c>
      <c r="V255" s="477">
        <f>IFERROR((('Budget Filing Data'!AF249+'Budget Filing Data'!AG249+'Budget Filing Data'!AY249+'Budget Filing Data'!AH249+'Budget Filing Data'!AW249+'Budget Filing Data'!AX249)/('Budget Filing Data'!AE249)),"")</f>
        <v>0</v>
      </c>
      <c r="W255" s="477">
        <f>IFERROR(('Budget Filing Data'!AI249+'Budget Filing Data'!AJ249+'Budget Filing Data'!AK249+'Budget Filing Data'!AH249)/('Budget Filing Data'!AC249),"")</f>
        <v>0</v>
      </c>
      <c r="X255" s="477">
        <f>IFERROR(('Budget Filing Data'!AL249+'Budget Filing Data'!AM249+'Budget Filing Data'!AN249+'Budget Filing Data'!AH249)/('Budget Filing Data'!AD249),"")</f>
        <v>0</v>
      </c>
      <c r="Y255" s="478">
        <f>'Budget Filing Data'!Q249</f>
        <v>0</v>
      </c>
      <c r="Z255" s="478">
        <f>'Budget Filing Data'!R249</f>
        <v>0</v>
      </c>
      <c r="AA255" s="478">
        <f>'Budget Filing Data'!S249</f>
        <v>0</v>
      </c>
      <c r="AB255" s="478">
        <f>'Budget Filing Data'!AO249</f>
        <v>0</v>
      </c>
      <c r="AC255" s="478">
        <f>'Budget Filing Data'!AP249</f>
        <v>0</v>
      </c>
      <c r="AD255" s="478">
        <f>'Budget Filing Data'!T249</f>
        <v>0</v>
      </c>
      <c r="AE255" s="478">
        <f>'Budget Filing Data'!U249</f>
        <v>0</v>
      </c>
      <c r="AF255" s="478">
        <f>'Budget Filing Data'!$V249</f>
        <v>0</v>
      </c>
      <c r="AG255" s="478">
        <f>'Budget Filing Data'!$W249</f>
        <v>0</v>
      </c>
      <c r="AH255" s="479">
        <v>0</v>
      </c>
    </row>
    <row r="256" spans="3:34" hidden="1">
      <c r="C256" s="470" t="str">
        <f>'Budget Filing Data'!D250</f>
        <v>SDGE_SW_FS</v>
      </c>
      <c r="D256" s="470" t="str">
        <f>'Budget Filing Data'!E250</f>
        <v>SW Foodservice Point of Sale Program</v>
      </c>
      <c r="E256" s="471"/>
      <c r="F256" s="480"/>
      <c r="G256" s="472" t="str">
        <f>'Budget Filing Data'!J250</f>
        <v>Third-Party Solicited</v>
      </c>
      <c r="H256" s="472" t="str">
        <f>IF('Budget Filing Data'!H250="","",'Budget Filing Data'!H250)</f>
        <v>SW_FS - Food Service</v>
      </c>
      <c r="I256" s="473" t="s">
        <v>24</v>
      </c>
      <c r="J256" s="472" t="str">
        <f>'Budget Filing Data'!G250</f>
        <v>Commercial</v>
      </c>
      <c r="K256" s="472" t="str">
        <f>'Budget Filing Data'!I250</f>
        <v>Other</v>
      </c>
      <c r="L256" s="472" t="str">
        <f>'Budget Filing Data'!L250</f>
        <v>Resource Acquisition</v>
      </c>
      <c r="M256" s="472">
        <f>'Budget Filing Data'!B250</f>
        <v>2031</v>
      </c>
      <c r="N256" s="474">
        <f t="shared" si="3"/>
        <v>2196400.0000000005</v>
      </c>
      <c r="O256" s="475">
        <f>'Budget Filing Data'!AQ250</f>
        <v>205597.0736</v>
      </c>
      <c r="P256" s="475">
        <f>'Budget Filing Data'!AR250</f>
        <v>158680.76879999999</v>
      </c>
      <c r="Q256" s="475">
        <f>'Budget Filing Data'!AS250</f>
        <v>931002.81759999995</v>
      </c>
      <c r="R256" s="475">
        <f>'Budget Filing Data'!AT250</f>
        <v>901119.34000000043</v>
      </c>
      <c r="S256" s="476">
        <f>'Budget Filing Data'!X250</f>
        <v>4838839.9744256493</v>
      </c>
      <c r="T256" s="477">
        <f>IFERROR((('Budget Filing Data'!AF250+'Budget Filing Data'!AG250+'Budget Filing Data'!AY250+'Budget Filing Data'!AH250)/'Budget Filing Data'!AA250),"")</f>
        <v>1.52738622668619</v>
      </c>
      <c r="U256" s="477">
        <f>IFERROR((('Budget Filing Data'!AF250+'Budget Filing Data'!AG250+'Budget Filing Data'!AY250+'Budget Filing Data'!AH250)/'Budget Filing Data'!AB250),"")</f>
        <v>2.2464597481726214</v>
      </c>
      <c r="V256" s="477">
        <f>IFERROR((('Budget Filing Data'!AF250+'Budget Filing Data'!AG250+'Budget Filing Data'!AY250+'Budget Filing Data'!AH250+'Budget Filing Data'!AW250+'Budget Filing Data'!AX250)/('Budget Filing Data'!AE250)),"")</f>
        <v>0.53790644001976828</v>
      </c>
      <c r="W256" s="477">
        <f>IFERROR(('Budget Filing Data'!AI250+'Budget Filing Data'!AJ250+'Budget Filing Data'!AK250+'Budget Filing Data'!AH250)/('Budget Filing Data'!AC250),"")</f>
        <v>2.0776322041791713</v>
      </c>
      <c r="X256" s="477">
        <f>IFERROR(('Budget Filing Data'!AL250+'Budget Filing Data'!AM250+'Budget Filing Data'!AN250+'Budget Filing Data'!AH250)/('Budget Filing Data'!AD250),"")</f>
        <v>2.0776322041791713</v>
      </c>
      <c r="Y256" s="478">
        <f>'Budget Filing Data'!Q250</f>
        <v>1190628.3698582</v>
      </c>
      <c r="Z256" s="478">
        <f>'Budget Filing Data'!R250</f>
        <v>140.59611236667342</v>
      </c>
      <c r="AA256" s="478">
        <f>'Budget Filing Data'!S250</f>
        <v>152538.96424800003</v>
      </c>
      <c r="AB256" s="478">
        <f>'Budget Filing Data'!AO250</f>
        <v>150.65673132466779</v>
      </c>
      <c r="AC256" s="478">
        <f>'Budget Filing Data'!AP250</f>
        <v>809.98190015687965</v>
      </c>
      <c r="AD256" s="478">
        <f>'Budget Filing Data'!T250</f>
        <v>14332469.249498373</v>
      </c>
      <c r="AE256" s="478">
        <f>'Budget Filing Data'!U250</f>
        <v>1797572.6588160007</v>
      </c>
      <c r="AF256" s="478">
        <f>'Budget Filing Data'!$V250</f>
        <v>1943.9228952768303</v>
      </c>
      <c r="AG256" s="478">
        <f>'Budget Filing Data'!$W250</f>
        <v>9545.1108183129636</v>
      </c>
      <c r="AH256" s="479">
        <v>0</v>
      </c>
    </row>
    <row r="257" spans="3:34" ht="25.5" hidden="1">
      <c r="C257" s="470" t="str">
        <f>'Budget Filing Data'!D251</f>
        <v>SDGE_SW_FS_PA</v>
      </c>
      <c r="D257" s="470" t="str">
        <f>'Budget Filing Data'!E251</f>
        <v>SW Foodservice Point of Sale Program (Utility)</v>
      </c>
      <c r="E257" s="471" t="s">
        <v>42</v>
      </c>
      <c r="F257" s="471" t="s">
        <v>325</v>
      </c>
      <c r="G257" s="472" t="str">
        <f>'Budget Filing Data'!J251</f>
        <v>IOU Core</v>
      </c>
      <c r="H257" s="472" t="str">
        <f>IF('Budget Filing Data'!H251="","",'Budget Filing Data'!H251)</f>
        <v>SW_FS - Food Service</v>
      </c>
      <c r="I257" s="473" t="s">
        <v>24</v>
      </c>
      <c r="J257" s="472" t="str">
        <f>'Budget Filing Data'!G251</f>
        <v>Commercial</v>
      </c>
      <c r="K257" s="472" t="str">
        <f>'Budget Filing Data'!I251</f>
        <v>Other</v>
      </c>
      <c r="L257" s="472" t="str">
        <f>'Budget Filing Data'!L251</f>
        <v>Resource Acquisition</v>
      </c>
      <c r="M257" s="472">
        <f>'Budget Filing Data'!B251</f>
        <v>2031</v>
      </c>
      <c r="N257" s="474">
        <f t="shared" si="3"/>
        <v>15080.732099999999</v>
      </c>
      <c r="O257" s="475">
        <f>'Budget Filing Data'!AQ251</f>
        <v>15080.732099999999</v>
      </c>
      <c r="P257" s="475">
        <f>'Budget Filing Data'!AR251</f>
        <v>0</v>
      </c>
      <c r="Q257" s="475">
        <f>'Budget Filing Data'!AS251</f>
        <v>0</v>
      </c>
      <c r="R257" s="475">
        <f>'Budget Filing Data'!AT251</f>
        <v>0</v>
      </c>
      <c r="S257" s="476">
        <f>'Budget Filing Data'!X251</f>
        <v>0</v>
      </c>
      <c r="T257" s="477">
        <f>IFERROR((('Budget Filing Data'!AF251+'Budget Filing Data'!AG251+'Budget Filing Data'!AY251+'Budget Filing Data'!AH251)/'Budget Filing Data'!AA251),"")</f>
        <v>0</v>
      </c>
      <c r="U257" s="477">
        <f>IFERROR((('Budget Filing Data'!AF251+'Budget Filing Data'!AG251+'Budget Filing Data'!AY251+'Budget Filing Data'!AH251)/'Budget Filing Data'!AB251),"")</f>
        <v>0</v>
      </c>
      <c r="V257" s="477">
        <f>IFERROR((('Budget Filing Data'!AF251+'Budget Filing Data'!AG251+'Budget Filing Data'!AY251+'Budget Filing Data'!AH251+'Budget Filing Data'!AW251+'Budget Filing Data'!AX251)/('Budget Filing Data'!AE251)),"")</f>
        <v>0</v>
      </c>
      <c r="W257" s="477">
        <f>IFERROR(('Budget Filing Data'!AI251+'Budget Filing Data'!AJ251+'Budget Filing Data'!AK251+'Budget Filing Data'!AH251)/('Budget Filing Data'!AC251),"")</f>
        <v>0</v>
      </c>
      <c r="X257" s="477">
        <f>IFERROR(('Budget Filing Data'!AL251+'Budget Filing Data'!AM251+'Budget Filing Data'!AN251+'Budget Filing Data'!AH251)/('Budget Filing Data'!AD251),"")</f>
        <v>0</v>
      </c>
      <c r="Y257" s="478">
        <f>'Budget Filing Data'!Q251</f>
        <v>0</v>
      </c>
      <c r="Z257" s="478">
        <f>'Budget Filing Data'!R251</f>
        <v>0</v>
      </c>
      <c r="AA257" s="478">
        <f>'Budget Filing Data'!S251</f>
        <v>0</v>
      </c>
      <c r="AB257" s="478">
        <f>'Budget Filing Data'!AO251</f>
        <v>0</v>
      </c>
      <c r="AC257" s="478">
        <f>'Budget Filing Data'!AP251</f>
        <v>0</v>
      </c>
      <c r="AD257" s="478">
        <f>'Budget Filing Data'!T251</f>
        <v>0</v>
      </c>
      <c r="AE257" s="478">
        <f>'Budget Filing Data'!U251</f>
        <v>0</v>
      </c>
      <c r="AF257" s="478">
        <f>'Budget Filing Data'!$V251</f>
        <v>0</v>
      </c>
      <c r="AG257" s="478">
        <f>'Budget Filing Data'!$W251</f>
        <v>0</v>
      </c>
      <c r="AH257" s="479">
        <v>0</v>
      </c>
    </row>
    <row r="258" spans="3:34" hidden="1">
      <c r="C258" s="470" t="str">
        <f>'Budget Filing Data'!D252</f>
        <v>SDGE_SW_WET_CC</v>
      </c>
      <c r="D258" s="470" t="str">
        <f>'Budget Filing Data'!E252</f>
        <v>SW WET Career Connections</v>
      </c>
      <c r="E258" s="471"/>
      <c r="F258" s="480"/>
      <c r="G258" s="472" t="str">
        <f>'Budget Filing Data'!J252</f>
        <v>Third-Party Solicited</v>
      </c>
      <c r="H258" s="472" t="str">
        <f>IF('Budget Filing Data'!H252="","",'Budget Filing Data'!H252)</f>
        <v>SW_WET_CC - Workforce Education and Training - Career Connections</v>
      </c>
      <c r="I258" s="473" t="s">
        <v>15</v>
      </c>
      <c r="J258" s="472" t="str">
        <f>'Budget Filing Data'!G252</f>
        <v>Cross Cutting</v>
      </c>
      <c r="K258" s="472" t="str">
        <f>'Budget Filing Data'!I252</f>
        <v>Workforce Education and Training</v>
      </c>
      <c r="L258" s="472" t="str">
        <f>'Budget Filing Data'!L252</f>
        <v>Market Support</v>
      </c>
      <c r="M258" s="472">
        <f>'Budget Filing Data'!B252</f>
        <v>2031</v>
      </c>
      <c r="N258" s="474">
        <f t="shared" si="3"/>
        <v>109120</v>
      </c>
      <c r="O258" s="475">
        <f>'Budget Filing Data'!AQ252</f>
        <v>1091.2</v>
      </c>
      <c r="P258" s="475">
        <f>'Budget Filing Data'!AR252</f>
        <v>7638.4</v>
      </c>
      <c r="Q258" s="475">
        <f>'Budget Filing Data'!AS252</f>
        <v>100390.39999999999</v>
      </c>
      <c r="R258" s="475">
        <f>'Budget Filing Data'!AT252</f>
        <v>0</v>
      </c>
      <c r="S258" s="476">
        <f>'Budget Filing Data'!X252</f>
        <v>0</v>
      </c>
      <c r="T258" s="477">
        <f>IFERROR((('Budget Filing Data'!AF252+'Budget Filing Data'!AG252+'Budget Filing Data'!AY252+'Budget Filing Data'!AH252)/'Budget Filing Data'!AA252),"")</f>
        <v>0</v>
      </c>
      <c r="U258" s="477">
        <f>IFERROR((('Budget Filing Data'!AF252+'Budget Filing Data'!AG252+'Budget Filing Data'!AY252+'Budget Filing Data'!AH252)/'Budget Filing Data'!AB252),"")</f>
        <v>0</v>
      </c>
      <c r="V258" s="477">
        <f>IFERROR((('Budget Filing Data'!AF252+'Budget Filing Data'!AG252+'Budget Filing Data'!AY252+'Budget Filing Data'!AH252+'Budget Filing Data'!AW252+'Budget Filing Data'!AX252)/('Budget Filing Data'!AE252)),"")</f>
        <v>0</v>
      </c>
      <c r="W258" s="477">
        <f>IFERROR(('Budget Filing Data'!AI252+'Budget Filing Data'!AJ252+'Budget Filing Data'!AK252+'Budget Filing Data'!AH252)/('Budget Filing Data'!AC252),"")</f>
        <v>0</v>
      </c>
      <c r="X258" s="477">
        <f>IFERROR(('Budget Filing Data'!AL252+'Budget Filing Data'!AM252+'Budget Filing Data'!AN252+'Budget Filing Data'!AH252)/('Budget Filing Data'!AD252),"")</f>
        <v>0</v>
      </c>
      <c r="Y258" s="478">
        <f>'Budget Filing Data'!Q252</f>
        <v>0</v>
      </c>
      <c r="Z258" s="478">
        <f>'Budget Filing Data'!R252</f>
        <v>0</v>
      </c>
      <c r="AA258" s="478">
        <f>'Budget Filing Data'!S252</f>
        <v>0</v>
      </c>
      <c r="AB258" s="478">
        <f>'Budget Filing Data'!AO252</f>
        <v>0</v>
      </c>
      <c r="AC258" s="478">
        <f>'Budget Filing Data'!AP252</f>
        <v>0</v>
      </c>
      <c r="AD258" s="478">
        <f>'Budget Filing Data'!T252</f>
        <v>0</v>
      </c>
      <c r="AE258" s="478">
        <f>'Budget Filing Data'!U252</f>
        <v>0</v>
      </c>
      <c r="AF258" s="478">
        <f>'Budget Filing Data'!$V252</f>
        <v>0</v>
      </c>
      <c r="AG258" s="478">
        <f>'Budget Filing Data'!$W252</f>
        <v>0</v>
      </c>
      <c r="AH258" s="479">
        <v>0</v>
      </c>
    </row>
    <row r="259" spans="3:34" hidden="1">
      <c r="C259" s="470" t="str">
        <f>'Budget Filing Data'!D253</f>
        <v>SDGE_SW_WET_CC_PA</v>
      </c>
      <c r="D259" s="470" t="str">
        <f>'Budget Filing Data'!E253</f>
        <v>SW WET Career Connections (Utility)</v>
      </c>
      <c r="E259" s="471"/>
      <c r="F259" s="480"/>
      <c r="G259" s="472" t="str">
        <f>'Budget Filing Data'!J253</f>
        <v>IOU Core</v>
      </c>
      <c r="H259" s="472" t="str">
        <f>IF('Budget Filing Data'!H253="","",'Budget Filing Data'!H253)</f>
        <v>SW_WET_CC - Workforce Education and Training - Career Connections</v>
      </c>
      <c r="I259" s="473" t="s">
        <v>15</v>
      </c>
      <c r="J259" s="472" t="str">
        <f>'Budget Filing Data'!G253</f>
        <v>Cross Cutting</v>
      </c>
      <c r="K259" s="472" t="str">
        <f>'Budget Filing Data'!I253</f>
        <v>Workforce Education and Training</v>
      </c>
      <c r="L259" s="472" t="str">
        <f>'Budget Filing Data'!L253</f>
        <v>Market Support</v>
      </c>
      <c r="M259" s="472">
        <f>'Budget Filing Data'!B253</f>
        <v>2031</v>
      </c>
      <c r="N259" s="474">
        <f t="shared" si="3"/>
        <v>2592.2820999999999</v>
      </c>
      <c r="O259" s="475">
        <f>'Budget Filing Data'!AQ253</f>
        <v>2592.2820999999999</v>
      </c>
      <c r="P259" s="475">
        <f>'Budget Filing Data'!AR253</f>
        <v>0</v>
      </c>
      <c r="Q259" s="475">
        <f>'Budget Filing Data'!AS253</f>
        <v>0</v>
      </c>
      <c r="R259" s="475">
        <f>'Budget Filing Data'!AT253</f>
        <v>0</v>
      </c>
      <c r="S259" s="476">
        <f>'Budget Filing Data'!X253</f>
        <v>0</v>
      </c>
      <c r="T259" s="477">
        <f>IFERROR((('Budget Filing Data'!AF253+'Budget Filing Data'!AG253+'Budget Filing Data'!AY253+'Budget Filing Data'!AH253)/'Budget Filing Data'!AA253),"")</f>
        <v>0</v>
      </c>
      <c r="U259" s="477">
        <f>IFERROR((('Budget Filing Data'!AF253+'Budget Filing Data'!AG253+'Budget Filing Data'!AY253+'Budget Filing Data'!AH253)/'Budget Filing Data'!AB253),"")</f>
        <v>0</v>
      </c>
      <c r="V259" s="477">
        <f>IFERROR((('Budget Filing Data'!AF253+'Budget Filing Data'!AG253+'Budget Filing Data'!AY253+'Budget Filing Data'!AH253+'Budget Filing Data'!AW253+'Budget Filing Data'!AX253)/('Budget Filing Data'!AE253)),"")</f>
        <v>0</v>
      </c>
      <c r="W259" s="477">
        <f>IFERROR(('Budget Filing Data'!AI253+'Budget Filing Data'!AJ253+'Budget Filing Data'!AK253+'Budget Filing Data'!AH253)/('Budget Filing Data'!AC253),"")</f>
        <v>0</v>
      </c>
      <c r="X259" s="477">
        <f>IFERROR(('Budget Filing Data'!AL253+'Budget Filing Data'!AM253+'Budget Filing Data'!AN253+'Budget Filing Data'!AH253)/('Budget Filing Data'!AD253),"")</f>
        <v>0</v>
      </c>
      <c r="Y259" s="478">
        <f>'Budget Filing Data'!Q253</f>
        <v>0</v>
      </c>
      <c r="Z259" s="478">
        <f>'Budget Filing Data'!R253</f>
        <v>0</v>
      </c>
      <c r="AA259" s="478">
        <f>'Budget Filing Data'!S253</f>
        <v>0</v>
      </c>
      <c r="AB259" s="478">
        <f>'Budget Filing Data'!AO253</f>
        <v>0</v>
      </c>
      <c r="AC259" s="478">
        <f>'Budget Filing Data'!AP253</f>
        <v>0</v>
      </c>
      <c r="AD259" s="478">
        <f>'Budget Filing Data'!T253</f>
        <v>0</v>
      </c>
      <c r="AE259" s="478">
        <f>'Budget Filing Data'!U253</f>
        <v>0</v>
      </c>
      <c r="AF259" s="478">
        <f>'Budget Filing Data'!$V253</f>
        <v>0</v>
      </c>
      <c r="AG259" s="478">
        <f>'Budget Filing Data'!$W253</f>
        <v>0</v>
      </c>
      <c r="AH259" s="479">
        <v>0</v>
      </c>
    </row>
    <row r="260" spans="3:34" hidden="1">
      <c r="C260" s="470" t="str">
        <f>'Budget Filing Data'!D254</f>
        <v>SDGE_SW_WET_Work</v>
      </c>
      <c r="D260" s="470" t="str">
        <f>'Budget Filing Data'!E254</f>
        <v>SW WE&amp;T Career &amp; Workforce Readiness (CWR)</v>
      </c>
      <c r="E260" s="471"/>
      <c r="F260" s="480"/>
      <c r="G260" s="472" t="str">
        <f>'Budget Filing Data'!J254</f>
        <v>Third-Party Solicited</v>
      </c>
      <c r="H260" s="472" t="str">
        <f>IF('Budget Filing Data'!H254="","",'Budget Filing Data'!H254)</f>
        <v>SW_WET_Work - Workforce Education and Training Career &amp; Workforce Readiness</v>
      </c>
      <c r="I260" s="473" t="s">
        <v>15</v>
      </c>
      <c r="J260" s="472" t="str">
        <f>'Budget Filing Data'!G254</f>
        <v>Cross Cutting</v>
      </c>
      <c r="K260" s="472" t="str">
        <f>'Budget Filing Data'!I254</f>
        <v>Workforce Education and Training</v>
      </c>
      <c r="L260" s="472" t="str">
        <f>'Budget Filing Data'!L254</f>
        <v>Equity</v>
      </c>
      <c r="M260" s="472">
        <f>'Budget Filing Data'!B254</f>
        <v>2031</v>
      </c>
      <c r="N260" s="474">
        <f t="shared" si="3"/>
        <v>218240</v>
      </c>
      <c r="O260" s="475">
        <f>'Budget Filing Data'!AQ254</f>
        <v>21824</v>
      </c>
      <c r="P260" s="475">
        <f>'Budget Filing Data'!AR254</f>
        <v>13094.4</v>
      </c>
      <c r="Q260" s="475">
        <f>'Budget Filing Data'!AS254</f>
        <v>183321.60000000001</v>
      </c>
      <c r="R260" s="475">
        <f>'Budget Filing Data'!AT254</f>
        <v>0</v>
      </c>
      <c r="S260" s="476">
        <f>'Budget Filing Data'!X254</f>
        <v>0</v>
      </c>
      <c r="T260" s="477">
        <f>IFERROR((('Budget Filing Data'!AF254+'Budget Filing Data'!AG254+'Budget Filing Data'!AY254+'Budget Filing Data'!AH254)/'Budget Filing Data'!AA254),"")</f>
        <v>0</v>
      </c>
      <c r="U260" s="477">
        <f>IFERROR((('Budget Filing Data'!AF254+'Budget Filing Data'!AG254+'Budget Filing Data'!AY254+'Budget Filing Data'!AH254)/'Budget Filing Data'!AB254),"")</f>
        <v>0</v>
      </c>
      <c r="V260" s="477">
        <f>IFERROR((('Budget Filing Data'!AF254+'Budget Filing Data'!AG254+'Budget Filing Data'!AY254+'Budget Filing Data'!AH254+'Budget Filing Data'!AW254+'Budget Filing Data'!AX254)/('Budget Filing Data'!AE254)),"")</f>
        <v>0</v>
      </c>
      <c r="W260" s="477">
        <f>IFERROR(('Budget Filing Data'!AI254+'Budget Filing Data'!AJ254+'Budget Filing Data'!AK254+'Budget Filing Data'!AH254)/('Budget Filing Data'!AC254),"")</f>
        <v>0</v>
      </c>
      <c r="X260" s="477">
        <f>IFERROR(('Budget Filing Data'!AL254+'Budget Filing Data'!AM254+'Budget Filing Data'!AN254+'Budget Filing Data'!AH254)/('Budget Filing Data'!AD254),"")</f>
        <v>0</v>
      </c>
      <c r="Y260" s="478">
        <f>'Budget Filing Data'!Q254</f>
        <v>0</v>
      </c>
      <c r="Z260" s="478">
        <f>'Budget Filing Data'!R254</f>
        <v>0</v>
      </c>
      <c r="AA260" s="478">
        <f>'Budget Filing Data'!S254</f>
        <v>0</v>
      </c>
      <c r="AB260" s="478">
        <f>'Budget Filing Data'!AO254</f>
        <v>0</v>
      </c>
      <c r="AC260" s="478">
        <f>'Budget Filing Data'!AP254</f>
        <v>0</v>
      </c>
      <c r="AD260" s="478">
        <f>'Budget Filing Data'!T254</f>
        <v>0</v>
      </c>
      <c r="AE260" s="478">
        <f>'Budget Filing Data'!U254</f>
        <v>0</v>
      </c>
      <c r="AF260" s="478">
        <f>'Budget Filing Data'!$V254</f>
        <v>0</v>
      </c>
      <c r="AG260" s="478">
        <f>'Budget Filing Data'!$W254</f>
        <v>0</v>
      </c>
      <c r="AH260" s="479">
        <v>0</v>
      </c>
    </row>
    <row r="261" spans="3:34" hidden="1">
      <c r="C261" s="470" t="str">
        <f>'Budget Filing Data'!D255</f>
        <v>SDGE_SW_WET_Work_PA</v>
      </c>
      <c r="D261" s="470" t="str">
        <f>'Budget Filing Data'!E255</f>
        <v>SW WE&amp;T Career &amp; Workforce Readiness (CWR) (Utility)</v>
      </c>
      <c r="E261" s="471"/>
      <c r="F261" s="480"/>
      <c r="G261" s="472" t="str">
        <f>'Budget Filing Data'!J255</f>
        <v>IOU Core</v>
      </c>
      <c r="H261" s="472" t="str">
        <f>IF('Budget Filing Data'!H255="","",'Budget Filing Data'!H255)</f>
        <v>SW_WET_Work - Workforce Education and Training Career &amp; Workforce Readiness</v>
      </c>
      <c r="I261" s="473" t="s">
        <v>15</v>
      </c>
      <c r="J261" s="472" t="str">
        <f>'Budget Filing Data'!G255</f>
        <v>Cross Cutting</v>
      </c>
      <c r="K261" s="472" t="str">
        <f>'Budget Filing Data'!I255</f>
        <v>Workforce Education and Training</v>
      </c>
      <c r="L261" s="472" t="str">
        <f>'Budget Filing Data'!L255</f>
        <v>Equity</v>
      </c>
      <c r="M261" s="472">
        <f>'Budget Filing Data'!B255</f>
        <v>2031</v>
      </c>
      <c r="N261" s="474">
        <f t="shared" si="3"/>
        <v>3245.1621</v>
      </c>
      <c r="O261" s="475">
        <f>'Budget Filing Data'!AQ255</f>
        <v>3245.1621</v>
      </c>
      <c r="P261" s="475">
        <f>'Budget Filing Data'!AR255</f>
        <v>0</v>
      </c>
      <c r="Q261" s="475">
        <f>'Budget Filing Data'!AS255</f>
        <v>0</v>
      </c>
      <c r="R261" s="475">
        <f>'Budget Filing Data'!AT255</f>
        <v>0</v>
      </c>
      <c r="S261" s="476">
        <f>'Budget Filing Data'!X255</f>
        <v>0</v>
      </c>
      <c r="T261" s="477">
        <f>IFERROR((('Budget Filing Data'!AF255+'Budget Filing Data'!AG255+'Budget Filing Data'!AY255+'Budget Filing Data'!AH255)/'Budget Filing Data'!AA255),"")</f>
        <v>0</v>
      </c>
      <c r="U261" s="477">
        <f>IFERROR((('Budget Filing Data'!AF255+'Budget Filing Data'!AG255+'Budget Filing Data'!AY255+'Budget Filing Data'!AH255)/'Budget Filing Data'!AB255),"")</f>
        <v>0</v>
      </c>
      <c r="V261" s="477">
        <f>IFERROR((('Budget Filing Data'!AF255+'Budget Filing Data'!AG255+'Budget Filing Data'!AY255+'Budget Filing Data'!AH255+'Budget Filing Data'!AW255+'Budget Filing Data'!AX255)/('Budget Filing Data'!AE255)),"")</f>
        <v>0</v>
      </c>
      <c r="W261" s="477">
        <f>IFERROR(('Budget Filing Data'!AI255+'Budget Filing Data'!AJ255+'Budget Filing Data'!AK255+'Budget Filing Data'!AH255)/('Budget Filing Data'!AC255),"")</f>
        <v>0</v>
      </c>
      <c r="X261" s="477">
        <f>IFERROR(('Budget Filing Data'!AL255+'Budget Filing Data'!AM255+'Budget Filing Data'!AN255+'Budget Filing Data'!AH255)/('Budget Filing Data'!AD255),"")</f>
        <v>0</v>
      </c>
      <c r="Y261" s="478">
        <f>'Budget Filing Data'!Q255</f>
        <v>0</v>
      </c>
      <c r="Z261" s="478">
        <f>'Budget Filing Data'!R255</f>
        <v>0</v>
      </c>
      <c r="AA261" s="478">
        <f>'Budget Filing Data'!S255</f>
        <v>0</v>
      </c>
      <c r="AB261" s="478">
        <f>'Budget Filing Data'!AO255</f>
        <v>0</v>
      </c>
      <c r="AC261" s="478">
        <f>'Budget Filing Data'!AP255</f>
        <v>0</v>
      </c>
      <c r="AD261" s="478">
        <f>'Budget Filing Data'!T255</f>
        <v>0</v>
      </c>
      <c r="AE261" s="478">
        <f>'Budget Filing Data'!U255</f>
        <v>0</v>
      </c>
      <c r="AF261" s="478">
        <f>'Budget Filing Data'!$V255</f>
        <v>0</v>
      </c>
      <c r="AG261" s="478">
        <f>'Budget Filing Data'!$W255</f>
        <v>0</v>
      </c>
      <c r="AH261" s="479">
        <v>0</v>
      </c>
    </row>
    <row r="262" spans="3:34">
      <c r="C262" s="470" t="str">
        <f>'Budget Filing Data'!D256</f>
        <v>SDGE_SW_HVAC_QIQM</v>
      </c>
      <c r="D262" s="470" t="str">
        <f>'Budget Filing Data'!E256</f>
        <v>SW HVAC QI/QM Program</v>
      </c>
      <c r="E262" s="471"/>
      <c r="F262" s="480"/>
      <c r="G262" s="472" t="str">
        <f>'Budget Filing Data'!J256</f>
        <v>Third-Party Solicited</v>
      </c>
      <c r="H262" s="472" t="str">
        <f>IF('Budget Filing Data'!H256="","",'Budget Filing Data'!H256)</f>
        <v>SW_HVAC_QIQM - SW HVAC QI/QM Program</v>
      </c>
      <c r="I262" s="473" t="s">
        <v>15</v>
      </c>
      <c r="J262" s="472" t="str">
        <f>'Budget Filing Data'!G256</f>
        <v>Residential</v>
      </c>
      <c r="K262" s="472" t="str">
        <f>'Budget Filing Data'!I256</f>
        <v>Other</v>
      </c>
      <c r="L262" s="472" t="str">
        <f>'Budget Filing Data'!L256</f>
        <v>Market Support</v>
      </c>
      <c r="M262" s="472">
        <f>'Budget Filing Data'!B256</f>
        <v>2031</v>
      </c>
      <c r="N262" s="474">
        <f t="shared" si="3"/>
        <v>684480</v>
      </c>
      <c r="O262" s="475">
        <f>'Budget Filing Data'!AQ256</f>
        <v>34224</v>
      </c>
      <c r="P262" s="475">
        <f>'Budget Filing Data'!AR256</f>
        <v>34224</v>
      </c>
      <c r="Q262" s="475">
        <f>'Budget Filing Data'!AS256</f>
        <v>174964</v>
      </c>
      <c r="R262" s="475">
        <f>'Budget Filing Data'!AT256</f>
        <v>441068</v>
      </c>
      <c r="S262" s="476">
        <f>'Budget Filing Data'!X256</f>
        <v>0</v>
      </c>
      <c r="T262" s="477">
        <f>IFERROR((('Budget Filing Data'!AF256+'Budget Filing Data'!AG256+'Budget Filing Data'!AY256+'Budget Filing Data'!AH256)/'Budget Filing Data'!AA256),"")</f>
        <v>0</v>
      </c>
      <c r="U262" s="477">
        <f>IFERROR((('Budget Filing Data'!AF256+'Budget Filing Data'!AG256+'Budget Filing Data'!AY256+'Budget Filing Data'!AH256)/'Budget Filing Data'!AB256),"")</f>
        <v>0</v>
      </c>
      <c r="V262" s="477">
        <f>IFERROR((('Budget Filing Data'!AF256+'Budget Filing Data'!AG256+'Budget Filing Data'!AY256+'Budget Filing Data'!AH256+'Budget Filing Data'!AW256+'Budget Filing Data'!AX256)/('Budget Filing Data'!AE256)),"")</f>
        <v>0</v>
      </c>
      <c r="W262" s="477">
        <f>IFERROR(('Budget Filing Data'!AI256+'Budget Filing Data'!AJ256+'Budget Filing Data'!AK256+'Budget Filing Data'!AH256)/('Budget Filing Data'!AC256),"")</f>
        <v>0</v>
      </c>
      <c r="X262" s="477">
        <f>IFERROR(('Budget Filing Data'!AL256+'Budget Filing Data'!AM256+'Budget Filing Data'!AN256+'Budget Filing Data'!AH256)/('Budget Filing Data'!AD256),"")</f>
        <v>0</v>
      </c>
      <c r="Y262" s="478">
        <f>'Budget Filing Data'!Q256</f>
        <v>0</v>
      </c>
      <c r="Z262" s="478">
        <f>'Budget Filing Data'!R256</f>
        <v>0</v>
      </c>
      <c r="AA262" s="478">
        <f>'Budget Filing Data'!S256</f>
        <v>0</v>
      </c>
      <c r="AB262" s="478">
        <f>'Budget Filing Data'!AO256</f>
        <v>0</v>
      </c>
      <c r="AC262" s="478">
        <f>'Budget Filing Data'!AP256</f>
        <v>0</v>
      </c>
      <c r="AD262" s="478">
        <f>'Budget Filing Data'!T256</f>
        <v>0</v>
      </c>
      <c r="AE262" s="478">
        <f>'Budget Filing Data'!U256</f>
        <v>0</v>
      </c>
      <c r="AF262" s="478">
        <f>'Budget Filing Data'!$V256</f>
        <v>0</v>
      </c>
      <c r="AG262" s="478">
        <f>'Budget Filing Data'!$W256</f>
        <v>0</v>
      </c>
      <c r="AH262" s="479">
        <v>0</v>
      </c>
    </row>
    <row r="263" spans="3:34">
      <c r="C263" s="470" t="str">
        <f>'Budget Filing Data'!D257</f>
        <v>SDGE_SW_HVAC_QIQM_PA</v>
      </c>
      <c r="D263" s="470" t="str">
        <f>'Budget Filing Data'!E257</f>
        <v>SW HVAC QI/QM Program (Utility)</v>
      </c>
      <c r="E263" s="471"/>
      <c r="F263" s="480"/>
      <c r="G263" s="472" t="str">
        <f>'Budget Filing Data'!J257</f>
        <v>IOU Core</v>
      </c>
      <c r="H263" s="472" t="str">
        <f>IF('Budget Filing Data'!H257="","",'Budget Filing Data'!H257)</f>
        <v>SW_HVAC_QIQM - SW HVAC QI/QM Program</v>
      </c>
      <c r="I263" s="473" t="s">
        <v>15</v>
      </c>
      <c r="J263" s="472" t="str">
        <f>'Budget Filing Data'!G257</f>
        <v>Residential</v>
      </c>
      <c r="K263" s="472" t="str">
        <f>'Budget Filing Data'!I257</f>
        <v>Other</v>
      </c>
      <c r="L263" s="472" t="str">
        <f>'Budget Filing Data'!L257</f>
        <v>Market Support</v>
      </c>
      <c r="M263" s="472">
        <f>'Budget Filing Data'!B257</f>
        <v>2031</v>
      </c>
      <c r="N263" s="474">
        <f t="shared" si="3"/>
        <v>325609.42499999999</v>
      </c>
      <c r="O263" s="475">
        <f>'Budget Filing Data'!AQ257</f>
        <v>266625.87780000002</v>
      </c>
      <c r="P263" s="475">
        <f>'Budget Filing Data'!AR257</f>
        <v>796.30359999999996</v>
      </c>
      <c r="Q263" s="475">
        <f>'Budget Filing Data'!AS257</f>
        <v>58187.243600000002</v>
      </c>
      <c r="R263" s="475">
        <f>'Budget Filing Data'!AT257</f>
        <v>0</v>
      </c>
      <c r="S263" s="476">
        <f>'Budget Filing Data'!X257</f>
        <v>0</v>
      </c>
      <c r="T263" s="477">
        <f>IFERROR((('Budget Filing Data'!AF257+'Budget Filing Data'!AG257+'Budget Filing Data'!AY257+'Budget Filing Data'!AH257)/'Budget Filing Data'!AA257),"")</f>
        <v>0</v>
      </c>
      <c r="U263" s="477">
        <f>IFERROR((('Budget Filing Data'!AF257+'Budget Filing Data'!AG257+'Budget Filing Data'!AY257+'Budget Filing Data'!AH257)/'Budget Filing Data'!AB257),"")</f>
        <v>0</v>
      </c>
      <c r="V263" s="477">
        <f>IFERROR((('Budget Filing Data'!AF257+'Budget Filing Data'!AG257+'Budget Filing Data'!AY257+'Budget Filing Data'!AH257+'Budget Filing Data'!AW257+'Budget Filing Data'!AX257)/('Budget Filing Data'!AE257)),"")</f>
        <v>0</v>
      </c>
      <c r="W263" s="477">
        <f>IFERROR(('Budget Filing Data'!AI257+'Budget Filing Data'!AJ257+'Budget Filing Data'!AK257+'Budget Filing Data'!AH257)/('Budget Filing Data'!AC257),"")</f>
        <v>0</v>
      </c>
      <c r="X263" s="477">
        <f>IFERROR(('Budget Filing Data'!AL257+'Budget Filing Data'!AM257+'Budget Filing Data'!AN257+'Budget Filing Data'!AH257)/('Budget Filing Data'!AD257),"")</f>
        <v>0</v>
      </c>
      <c r="Y263" s="478">
        <f>'Budget Filing Data'!Q257</f>
        <v>0</v>
      </c>
      <c r="Z263" s="478">
        <f>'Budget Filing Data'!R257</f>
        <v>0</v>
      </c>
      <c r="AA263" s="478">
        <f>'Budget Filing Data'!S257</f>
        <v>0</v>
      </c>
      <c r="AB263" s="478">
        <f>'Budget Filing Data'!AO257</f>
        <v>0</v>
      </c>
      <c r="AC263" s="478">
        <f>'Budget Filing Data'!AP257</f>
        <v>0</v>
      </c>
      <c r="AD263" s="478">
        <f>'Budget Filing Data'!T257</f>
        <v>0</v>
      </c>
      <c r="AE263" s="478">
        <f>'Budget Filing Data'!U257</f>
        <v>0</v>
      </c>
      <c r="AF263" s="478">
        <f>'Budget Filing Data'!$V257</f>
        <v>0</v>
      </c>
      <c r="AG263" s="478">
        <f>'Budget Filing Data'!$W257</f>
        <v>0</v>
      </c>
      <c r="AH263" s="479">
        <v>0</v>
      </c>
    </row>
    <row r="264" spans="3:34" hidden="1">
      <c r="C264" s="470" t="str">
        <f>'Budget Filing Data'!D258</f>
        <v>SDGE_SW_ETP_Gas</v>
      </c>
      <c r="D264" s="470" t="str">
        <f>'Budget Filing Data'!E258</f>
        <v>SW Emerging Technologies - Gas</v>
      </c>
      <c r="E264" s="471"/>
      <c r="F264" s="471"/>
      <c r="G264" s="472" t="str">
        <f>'Budget Filing Data'!J258</f>
        <v>Third-Party Solicited</v>
      </c>
      <c r="H264" s="472" t="str">
        <f>IF('Budget Filing Data'!H258="","",'Budget Filing Data'!H258)</f>
        <v>SW_ETP_Gas - Emerging Technology Programs - Gas</v>
      </c>
      <c r="I264" s="473" t="s">
        <v>15</v>
      </c>
      <c r="J264" s="472" t="str">
        <f>'Budget Filing Data'!G258</f>
        <v>Cross Cutting</v>
      </c>
      <c r="K264" s="472" t="str">
        <f>'Budget Filing Data'!I258</f>
        <v>Emerging Technologies</v>
      </c>
      <c r="L264" s="472" t="str">
        <f>'Budget Filing Data'!L258</f>
        <v>Market Support</v>
      </c>
      <c r="M264" s="472">
        <f>'Budget Filing Data'!B258</f>
        <v>2031</v>
      </c>
      <c r="N264" s="474">
        <f t="shared" si="3"/>
        <v>495000</v>
      </c>
      <c r="O264" s="475">
        <f>'Budget Filing Data'!AQ258</f>
        <v>6600</v>
      </c>
      <c r="P264" s="475">
        <f>'Budget Filing Data'!AR258</f>
        <v>1914</v>
      </c>
      <c r="Q264" s="475">
        <f>'Budget Filing Data'!AS258</f>
        <v>486486</v>
      </c>
      <c r="R264" s="475">
        <f>'Budget Filing Data'!AT258</f>
        <v>0</v>
      </c>
      <c r="S264" s="476">
        <f>'Budget Filing Data'!X258</f>
        <v>0</v>
      </c>
      <c r="T264" s="477">
        <f>IFERROR((('Budget Filing Data'!AF258+'Budget Filing Data'!AG258+'Budget Filing Data'!AY258+'Budget Filing Data'!AH258)/'Budget Filing Data'!AA258),"")</f>
        <v>0</v>
      </c>
      <c r="U264" s="477">
        <f>IFERROR((('Budget Filing Data'!AF258+'Budget Filing Data'!AG258+'Budget Filing Data'!AY258+'Budget Filing Data'!AH258)/'Budget Filing Data'!AB258),"")</f>
        <v>0</v>
      </c>
      <c r="V264" s="477">
        <f>IFERROR((('Budget Filing Data'!AF258+'Budget Filing Data'!AG258+'Budget Filing Data'!AY258+'Budget Filing Data'!AH258+'Budget Filing Data'!AW258+'Budget Filing Data'!AX258)/('Budget Filing Data'!AE258)),"")</f>
        <v>0</v>
      </c>
      <c r="W264" s="477">
        <f>IFERROR(('Budget Filing Data'!AI258+'Budget Filing Data'!AJ258+'Budget Filing Data'!AK258+'Budget Filing Data'!AH258)/('Budget Filing Data'!AC258),"")</f>
        <v>0</v>
      </c>
      <c r="X264" s="477">
        <f>IFERROR(('Budget Filing Data'!AL258+'Budget Filing Data'!AM258+'Budget Filing Data'!AN258+'Budget Filing Data'!AH258)/('Budget Filing Data'!AD258),"")</f>
        <v>0</v>
      </c>
      <c r="Y264" s="478">
        <f>'Budget Filing Data'!Q258</f>
        <v>0</v>
      </c>
      <c r="Z264" s="478">
        <f>'Budget Filing Data'!R258</f>
        <v>0</v>
      </c>
      <c r="AA264" s="478">
        <f>'Budget Filing Data'!S258</f>
        <v>0</v>
      </c>
      <c r="AB264" s="478">
        <f>'Budget Filing Data'!AO258</f>
        <v>0</v>
      </c>
      <c r="AC264" s="478">
        <f>'Budget Filing Data'!AP258</f>
        <v>0</v>
      </c>
      <c r="AD264" s="478">
        <f>'Budget Filing Data'!T258</f>
        <v>0</v>
      </c>
      <c r="AE264" s="478">
        <f>'Budget Filing Data'!U258</f>
        <v>0</v>
      </c>
      <c r="AF264" s="478">
        <f>'Budget Filing Data'!$V258</f>
        <v>0</v>
      </c>
      <c r="AG264" s="478">
        <f>'Budget Filing Data'!$W258</f>
        <v>0</v>
      </c>
      <c r="AH264" s="479">
        <v>0</v>
      </c>
    </row>
    <row r="265" spans="3:34" hidden="1">
      <c r="C265" s="470" t="str">
        <f>'Budget Filing Data'!D259</f>
        <v>SDGE_SW_ETP_Gas_PA</v>
      </c>
      <c r="D265" s="470" t="str">
        <f>'Budget Filing Data'!E259</f>
        <v>SW Emerging Technologies - Gas (Utility)</v>
      </c>
      <c r="E265" s="471" t="s">
        <v>37</v>
      </c>
      <c r="F265" s="471" t="s">
        <v>324</v>
      </c>
      <c r="G265" s="472" t="str">
        <f>'Budget Filing Data'!J259</f>
        <v>IOU Core</v>
      </c>
      <c r="H265" s="472" t="str">
        <f>IF('Budget Filing Data'!H259="","",'Budget Filing Data'!H259)</f>
        <v>SW_ETP_Gas - Emerging Technology Programs - Gas</v>
      </c>
      <c r="I265" s="473" t="s">
        <v>15</v>
      </c>
      <c r="J265" s="472" t="str">
        <f>'Budget Filing Data'!G259</f>
        <v>Cross Cutting</v>
      </c>
      <c r="K265" s="472" t="str">
        <f>'Budget Filing Data'!I259</f>
        <v>Emerging Technologies</v>
      </c>
      <c r="L265" s="472" t="str">
        <f>'Budget Filing Data'!L259</f>
        <v>Market Support</v>
      </c>
      <c r="M265" s="472">
        <f>'Budget Filing Data'!B259</f>
        <v>2031</v>
      </c>
      <c r="N265" s="474">
        <f t="shared" si="3"/>
        <v>13782.3385</v>
      </c>
      <c r="O265" s="475">
        <f>'Budget Filing Data'!AQ259</f>
        <v>6488.3747999999996</v>
      </c>
      <c r="P265" s="475">
        <f>'Budget Filing Data'!AR259</f>
        <v>0</v>
      </c>
      <c r="Q265" s="475">
        <f>'Budget Filing Data'!AS259</f>
        <v>7293.9637000000002</v>
      </c>
      <c r="R265" s="475">
        <f>'Budget Filing Data'!AT259</f>
        <v>0</v>
      </c>
      <c r="S265" s="476">
        <f>'Budget Filing Data'!X259</f>
        <v>0</v>
      </c>
      <c r="T265" s="477">
        <f>IFERROR((('Budget Filing Data'!AF259+'Budget Filing Data'!AG259+'Budget Filing Data'!AY259+'Budget Filing Data'!AH259)/'Budget Filing Data'!AA259),"")</f>
        <v>0</v>
      </c>
      <c r="U265" s="477">
        <f>IFERROR((('Budget Filing Data'!AF259+'Budget Filing Data'!AG259+'Budget Filing Data'!AY259+'Budget Filing Data'!AH259)/'Budget Filing Data'!AB259),"")</f>
        <v>0</v>
      </c>
      <c r="V265" s="477">
        <f>IFERROR((('Budget Filing Data'!AF259+'Budget Filing Data'!AG259+'Budget Filing Data'!AY259+'Budget Filing Data'!AH259+'Budget Filing Data'!AW259+'Budget Filing Data'!AX259)/('Budget Filing Data'!AE259)),"")</f>
        <v>0</v>
      </c>
      <c r="W265" s="477">
        <f>IFERROR(('Budget Filing Data'!AI259+'Budget Filing Data'!AJ259+'Budget Filing Data'!AK259+'Budget Filing Data'!AH259)/('Budget Filing Data'!AC259),"")</f>
        <v>0</v>
      </c>
      <c r="X265" s="477">
        <f>IFERROR(('Budget Filing Data'!AL259+'Budget Filing Data'!AM259+'Budget Filing Data'!AN259+'Budget Filing Data'!AH259)/('Budget Filing Data'!AD259),"")</f>
        <v>0</v>
      </c>
      <c r="Y265" s="478">
        <f>'Budget Filing Data'!Q259</f>
        <v>0</v>
      </c>
      <c r="Z265" s="478">
        <f>'Budget Filing Data'!R259</f>
        <v>0</v>
      </c>
      <c r="AA265" s="478">
        <f>'Budget Filing Data'!S259</f>
        <v>0</v>
      </c>
      <c r="AB265" s="478">
        <f>'Budget Filing Data'!AO259</f>
        <v>0</v>
      </c>
      <c r="AC265" s="478">
        <f>'Budget Filing Data'!AP259</f>
        <v>0</v>
      </c>
      <c r="AD265" s="478">
        <f>'Budget Filing Data'!T259</f>
        <v>0</v>
      </c>
      <c r="AE265" s="478">
        <f>'Budget Filing Data'!U259</f>
        <v>0</v>
      </c>
      <c r="AF265" s="478">
        <f>'Budget Filing Data'!$V259</f>
        <v>0</v>
      </c>
      <c r="AG265" s="478">
        <f>'Budget Filing Data'!$W259</f>
        <v>0</v>
      </c>
      <c r="AH265" s="479">
        <v>0</v>
      </c>
    </row>
    <row r="266" spans="3:34" hidden="1">
      <c r="C266" s="470" t="str">
        <f>'Budget Filing Data'!D260</f>
        <v>SDGE_SW_NC_NonRes_Ag_electric</v>
      </c>
      <c r="D266" s="470" t="str">
        <f>'Budget Filing Data'!E260</f>
        <v>SW New Construction Non Residential - Agricultural - All Electric</v>
      </c>
      <c r="E266" s="471"/>
      <c r="F266" s="480"/>
      <c r="G266" s="472" t="str">
        <f>'Budget Filing Data'!J260</f>
        <v>Third-Party Solicited</v>
      </c>
      <c r="H266" s="472" t="str">
        <f>IF('Budget Filing Data'!H260="","",'Budget Filing Data'!H260)</f>
        <v>SW_NC_NonRes_Ag_electric - New Construction - NonResidential - All Electric</v>
      </c>
      <c r="I266" s="473" t="s">
        <v>24</v>
      </c>
      <c r="J266" s="472" t="str">
        <f>'Budget Filing Data'!G260</f>
        <v>Agricultural</v>
      </c>
      <c r="K266" s="472" t="str">
        <f>'Budget Filing Data'!I260</f>
        <v>New Construction</v>
      </c>
      <c r="L266" s="472" t="str">
        <f>'Budget Filing Data'!L260</f>
        <v>Market Support</v>
      </c>
      <c r="M266" s="472">
        <f>'Budget Filing Data'!B260</f>
        <v>2031</v>
      </c>
      <c r="N266" s="474">
        <f t="shared" si="3"/>
        <v>13787.5888</v>
      </c>
      <c r="O266" s="475">
        <f>'Budget Filing Data'!AQ260</f>
        <v>567.48080000000004</v>
      </c>
      <c r="P266" s="475">
        <f>'Budget Filing Data'!AR260</f>
        <v>425.61059999999998</v>
      </c>
      <c r="Q266" s="475">
        <f>'Budget Filing Data'!AS260</f>
        <v>1844.3126999999999</v>
      </c>
      <c r="R266" s="475">
        <f>'Budget Filing Data'!AT260</f>
        <v>10950.1847</v>
      </c>
      <c r="S266" s="476">
        <f>'Budget Filing Data'!X260</f>
        <v>2979.3327062612188</v>
      </c>
      <c r="T266" s="477">
        <f>IFERROR((('Budget Filing Data'!AF260+'Budget Filing Data'!AG260+'Budget Filing Data'!AY260+'Budget Filing Data'!AH260)/'Budget Filing Data'!AA260),"")</f>
        <v>0.30527999862483557</v>
      </c>
      <c r="U266" s="477">
        <f>IFERROR((('Budget Filing Data'!AF260+'Budget Filing Data'!AG260+'Budget Filing Data'!AY260+'Budget Filing Data'!AH260)/'Budget Filing Data'!AB260),"")</f>
        <v>0.22530502697810445</v>
      </c>
      <c r="V266" s="477">
        <f>IFERROR((('Budget Filing Data'!AF260+'Budget Filing Data'!AG260+'Budget Filing Data'!AY260+'Budget Filing Data'!AH260+'Budget Filing Data'!AW260+'Budget Filing Data'!AX260)/('Budget Filing Data'!AE260)),"")</f>
        <v>0.14978522382445875</v>
      </c>
      <c r="W266" s="477">
        <f>IFERROR(('Budget Filing Data'!AI260+'Budget Filing Data'!AJ260+'Budget Filing Data'!AK260+'Budget Filing Data'!AH260)/('Budget Filing Data'!AC260),"")</f>
        <v>0.32368641426113509</v>
      </c>
      <c r="X266" s="477">
        <f>IFERROR(('Budget Filing Data'!AL260+'Budget Filing Data'!AM260+'Budget Filing Data'!AN260+'Budget Filing Data'!AH260)/('Budget Filing Data'!AD260),"")</f>
        <v>0.32368641426113509</v>
      </c>
      <c r="Y266" s="478">
        <f>'Budget Filing Data'!Q260</f>
        <v>1732.6399999999981</v>
      </c>
      <c r="Z266" s="478">
        <f>'Budget Filing Data'!R260</f>
        <v>7.4547199999999994E-2</v>
      </c>
      <c r="AA266" s="478">
        <f>'Budget Filing Data'!S260</f>
        <v>0</v>
      </c>
      <c r="AB266" s="478">
        <f>'Budget Filing Data'!AO260</f>
        <v>0.30615142375999904</v>
      </c>
      <c r="AC266" s="478">
        <f>'Budget Filing Data'!AP260</f>
        <v>0</v>
      </c>
      <c r="AD266" s="478">
        <f>'Budget Filing Data'!T260</f>
        <v>17326.39999999998</v>
      </c>
      <c r="AE266" s="478">
        <f>'Budget Filing Data'!U260</f>
        <v>0</v>
      </c>
      <c r="AF266" s="478">
        <f>'Budget Filing Data'!$V260</f>
        <v>3.3438803259679899</v>
      </c>
      <c r="AG266" s="478">
        <f>'Budget Filing Data'!$W260</f>
        <v>0</v>
      </c>
      <c r="AH266" s="479">
        <v>0</v>
      </c>
    </row>
    <row r="267" spans="3:34" hidden="1">
      <c r="C267" s="470" t="str">
        <f>'Budget Filing Data'!D261</f>
        <v>SDGE_SW_NC_NonRes_Ag_electric_PA</v>
      </c>
      <c r="D267" s="470" t="str">
        <f>'Budget Filing Data'!E261</f>
        <v>SW New Construction Non Residential - Agricultural - All Electric (Utility)</v>
      </c>
      <c r="E267" s="471"/>
      <c r="F267" s="480"/>
      <c r="G267" s="472" t="str">
        <f>'Budget Filing Data'!J261</f>
        <v>IOU Core</v>
      </c>
      <c r="H267" s="472" t="str">
        <f>IF('Budget Filing Data'!H261="","",'Budget Filing Data'!H261)</f>
        <v>SW_NC_NonRes_Ag_electric - New Construction - NonResidential - All Electric</v>
      </c>
      <c r="I267" s="473" t="s">
        <v>24</v>
      </c>
      <c r="J267" s="472" t="str">
        <f>'Budget Filing Data'!G261</f>
        <v>Agricultural</v>
      </c>
      <c r="K267" s="472" t="str">
        <f>'Budget Filing Data'!I261</f>
        <v>New Construction</v>
      </c>
      <c r="L267" s="472" t="str">
        <f>'Budget Filing Data'!L261</f>
        <v>Market Support</v>
      </c>
      <c r="M267" s="472">
        <f>'Budget Filing Data'!B261</f>
        <v>2031</v>
      </c>
      <c r="N267" s="474">
        <f t="shared" si="3"/>
        <v>276.43029999999999</v>
      </c>
      <c r="O267" s="475">
        <f>'Budget Filing Data'!AQ261</f>
        <v>276.43029999999999</v>
      </c>
      <c r="P267" s="475">
        <f>'Budget Filing Data'!AR261</f>
        <v>0</v>
      </c>
      <c r="Q267" s="475">
        <f>'Budget Filing Data'!AS261</f>
        <v>0</v>
      </c>
      <c r="R267" s="475">
        <f>'Budget Filing Data'!AT261</f>
        <v>0</v>
      </c>
      <c r="S267" s="476">
        <f>'Budget Filing Data'!X261</f>
        <v>0</v>
      </c>
      <c r="T267" s="477">
        <f>IFERROR((('Budget Filing Data'!AF261+'Budget Filing Data'!AG261+'Budget Filing Data'!AY261+'Budget Filing Data'!AH261)/'Budget Filing Data'!AA261),"")</f>
        <v>0</v>
      </c>
      <c r="U267" s="477">
        <f>IFERROR((('Budget Filing Data'!AF261+'Budget Filing Data'!AG261+'Budget Filing Data'!AY261+'Budget Filing Data'!AH261)/'Budget Filing Data'!AB261),"")</f>
        <v>0</v>
      </c>
      <c r="V267" s="477">
        <f>IFERROR((('Budget Filing Data'!AF261+'Budget Filing Data'!AG261+'Budget Filing Data'!AY261+'Budget Filing Data'!AH261+'Budget Filing Data'!AW261+'Budget Filing Data'!AX261)/('Budget Filing Data'!AE261)),"")</f>
        <v>0</v>
      </c>
      <c r="W267" s="477">
        <f>IFERROR(('Budget Filing Data'!AI261+'Budget Filing Data'!AJ261+'Budget Filing Data'!AK261+'Budget Filing Data'!AH261)/('Budget Filing Data'!AC261),"")</f>
        <v>0</v>
      </c>
      <c r="X267" s="477">
        <f>IFERROR(('Budget Filing Data'!AL261+'Budget Filing Data'!AM261+'Budget Filing Data'!AN261+'Budget Filing Data'!AH261)/('Budget Filing Data'!AD261),"")</f>
        <v>0</v>
      </c>
      <c r="Y267" s="478">
        <f>'Budget Filing Data'!Q261</f>
        <v>0</v>
      </c>
      <c r="Z267" s="478">
        <f>'Budget Filing Data'!R261</f>
        <v>0</v>
      </c>
      <c r="AA267" s="478">
        <f>'Budget Filing Data'!S261</f>
        <v>0</v>
      </c>
      <c r="AB267" s="478">
        <f>'Budget Filing Data'!AO261</f>
        <v>0</v>
      </c>
      <c r="AC267" s="478">
        <f>'Budget Filing Data'!AP261</f>
        <v>0</v>
      </c>
      <c r="AD267" s="478">
        <f>'Budget Filing Data'!T261</f>
        <v>0</v>
      </c>
      <c r="AE267" s="478">
        <f>'Budget Filing Data'!U261</f>
        <v>0</v>
      </c>
      <c r="AF267" s="478">
        <f>'Budget Filing Data'!$V261</f>
        <v>0</v>
      </c>
      <c r="AG267" s="478">
        <f>'Budget Filing Data'!$W261</f>
        <v>0</v>
      </c>
      <c r="AH267" s="479">
        <v>0</v>
      </c>
    </row>
    <row r="268" spans="3:34" hidden="1">
      <c r="C268" s="470" t="str">
        <f>'Budget Filing Data'!D262</f>
        <v>SDGE_SW_NC_NonRes_Com_electric</v>
      </c>
      <c r="D268" s="470" t="str">
        <f>'Budget Filing Data'!E262</f>
        <v>SW New Construction Non Residential - Commercial - All Electric</v>
      </c>
      <c r="E268" s="471"/>
      <c r="F268" s="471"/>
      <c r="G268" s="472" t="str">
        <f>'Budget Filing Data'!J262</f>
        <v>Third-Party Solicited</v>
      </c>
      <c r="H268" s="472" t="str">
        <f>IF('Budget Filing Data'!H262="","",'Budget Filing Data'!H262)</f>
        <v>SW_NC_NonRes_Com_electric - New Construction - NonResidential - All Electric</v>
      </c>
      <c r="I268" s="473" t="s">
        <v>24</v>
      </c>
      <c r="J268" s="472" t="str">
        <f>'Budget Filing Data'!G262</f>
        <v>Commercial</v>
      </c>
      <c r="K268" s="472" t="str">
        <f>'Budget Filing Data'!I262</f>
        <v>New Construction</v>
      </c>
      <c r="L268" s="472" t="str">
        <f>'Budget Filing Data'!L262</f>
        <v>Market Support</v>
      </c>
      <c r="M268" s="472">
        <f>'Budget Filing Data'!B262</f>
        <v>2031</v>
      </c>
      <c r="N268" s="474">
        <f t="shared" si="3"/>
        <v>372264.89779239992</v>
      </c>
      <c r="O268" s="475">
        <f>'Budget Filing Data'!AQ262</f>
        <v>15321.9822</v>
      </c>
      <c r="P268" s="475">
        <f>'Budget Filing Data'!AR262</f>
        <v>11491.4866</v>
      </c>
      <c r="Q268" s="475">
        <f>'Budget Filing Data'!AS262</f>
        <v>49796.4421</v>
      </c>
      <c r="R268" s="475">
        <f>'Budget Filing Data'!AT262</f>
        <v>295654.9868923999</v>
      </c>
      <c r="S268" s="476">
        <f>'Budget Filing Data'!X262</f>
        <v>219680.55909294719</v>
      </c>
      <c r="T268" s="477">
        <f>IFERROR((('Budget Filing Data'!AF262+'Budget Filing Data'!AG262+'Budget Filing Data'!AY262+'Budget Filing Data'!AH262)/'Budget Filing Data'!AA262),"")</f>
        <v>0.79931611690454296</v>
      </c>
      <c r="U268" s="477">
        <f>IFERROR((('Budget Filing Data'!AF262+'Budget Filing Data'!AG262+'Budget Filing Data'!AY262+'Budget Filing Data'!AH262)/'Budget Filing Data'!AB262),"")</f>
        <v>0.61643613608997139</v>
      </c>
      <c r="V268" s="477">
        <f>IFERROR((('Budget Filing Data'!AF262+'Budget Filing Data'!AG262+'Budget Filing Data'!AY262+'Budget Filing Data'!AH262+'Budget Filing Data'!AW262+'Budget Filing Data'!AX262)/('Budget Filing Data'!AE262)),"")</f>
        <v>0.24921540014921517</v>
      </c>
      <c r="W268" s="477">
        <f>IFERROR(('Budget Filing Data'!AI262+'Budget Filing Data'!AJ262+'Budget Filing Data'!AK262+'Budget Filing Data'!AH262)/('Budget Filing Data'!AC262),"")</f>
        <v>0.93571929887972538</v>
      </c>
      <c r="X268" s="477">
        <f>IFERROR(('Budget Filing Data'!AL262+'Budget Filing Data'!AM262+'Budget Filing Data'!AN262+'Budget Filing Data'!AH262)/('Budget Filing Data'!AD262),"")</f>
        <v>0.93571929887972538</v>
      </c>
      <c r="Y268" s="478">
        <f>'Budget Filing Data'!Q262</f>
        <v>169636.39856799951</v>
      </c>
      <c r="Z268" s="478">
        <f>'Budget Filing Data'!R262</f>
        <v>23.07487254799997</v>
      </c>
      <c r="AA268" s="478">
        <f>'Budget Filing Data'!S262</f>
        <v>419.88077040000013</v>
      </c>
      <c r="AB268" s="478">
        <f>'Budget Filing Data'!AO262</f>
        <v>24.329008455902759</v>
      </c>
      <c r="AC268" s="478">
        <f>'Budget Filing Data'!AP262</f>
        <v>2.2295668908239961</v>
      </c>
      <c r="AD268" s="478">
        <f>'Budget Filing Data'!T262</f>
        <v>2170126.6772639947</v>
      </c>
      <c r="AE268" s="478">
        <f>'Budget Filing Data'!U262</f>
        <v>5877.4545647999976</v>
      </c>
      <c r="AF268" s="478">
        <f>'Budget Filing Data'!$V262</f>
        <v>329.89115921230933</v>
      </c>
      <c r="AG268" s="478">
        <f>'Budget Filing Data'!$W262</f>
        <v>31.209283739087972</v>
      </c>
      <c r="AH268" s="479">
        <v>0</v>
      </c>
    </row>
    <row r="269" spans="3:34" ht="25.5" hidden="1">
      <c r="C269" s="470" t="str">
        <f>'Budget Filing Data'!D263</f>
        <v>SDGE_SW_NC_NonRes_Com_electric_PA</v>
      </c>
      <c r="D269" s="470" t="str">
        <f>'Budget Filing Data'!E263</f>
        <v>SW New Construction Non Residential - Commercial - All Electric (Utility)</v>
      </c>
      <c r="E269" s="471" t="s">
        <v>42</v>
      </c>
      <c r="F269" s="471" t="s">
        <v>325</v>
      </c>
      <c r="G269" s="472" t="str">
        <f>'Budget Filing Data'!J263</f>
        <v>IOU Core</v>
      </c>
      <c r="H269" s="472" t="str">
        <f>IF('Budget Filing Data'!H263="","",'Budget Filing Data'!H263)</f>
        <v>SW_NC_NonRes_Com_electric - New Construction - NonResidential - All Electric</v>
      </c>
      <c r="I269" s="473" t="s">
        <v>24</v>
      </c>
      <c r="J269" s="472" t="str">
        <f>'Budget Filing Data'!G263</f>
        <v>Commercial</v>
      </c>
      <c r="K269" s="472" t="str">
        <f>'Budget Filing Data'!I263</f>
        <v>New Construction</v>
      </c>
      <c r="L269" s="472" t="str">
        <f>'Budget Filing Data'!L263</f>
        <v>Market Support</v>
      </c>
      <c r="M269" s="472">
        <f>'Budget Filing Data'!B263</f>
        <v>2031</v>
      </c>
      <c r="N269" s="474">
        <f t="shared" si="3"/>
        <v>2421.2503000000002</v>
      </c>
      <c r="O269" s="475">
        <f>'Budget Filing Data'!AQ263</f>
        <v>2421.2503000000002</v>
      </c>
      <c r="P269" s="475">
        <f>'Budget Filing Data'!AR263</f>
        <v>0</v>
      </c>
      <c r="Q269" s="475">
        <f>'Budget Filing Data'!AS263</f>
        <v>0</v>
      </c>
      <c r="R269" s="475">
        <f>'Budget Filing Data'!AT263</f>
        <v>0</v>
      </c>
      <c r="S269" s="476">
        <f>'Budget Filing Data'!X263</f>
        <v>0</v>
      </c>
      <c r="T269" s="477">
        <f>IFERROR((('Budget Filing Data'!AF263+'Budget Filing Data'!AG263+'Budget Filing Data'!AY263+'Budget Filing Data'!AH263)/'Budget Filing Data'!AA263),"")</f>
        <v>0</v>
      </c>
      <c r="U269" s="477">
        <f>IFERROR((('Budget Filing Data'!AF263+'Budget Filing Data'!AG263+'Budget Filing Data'!AY263+'Budget Filing Data'!AH263)/'Budget Filing Data'!AB263),"")</f>
        <v>0</v>
      </c>
      <c r="V269" s="477">
        <f>IFERROR((('Budget Filing Data'!AF263+'Budget Filing Data'!AG263+'Budget Filing Data'!AY263+'Budget Filing Data'!AH263+'Budget Filing Data'!AW263+'Budget Filing Data'!AX263)/('Budget Filing Data'!AE263)),"")</f>
        <v>0</v>
      </c>
      <c r="W269" s="477">
        <f>IFERROR(('Budget Filing Data'!AI263+'Budget Filing Data'!AJ263+'Budget Filing Data'!AK263+'Budget Filing Data'!AH263)/('Budget Filing Data'!AC263),"")</f>
        <v>0</v>
      </c>
      <c r="X269" s="477">
        <f>IFERROR(('Budget Filing Data'!AL263+'Budget Filing Data'!AM263+'Budget Filing Data'!AN263+'Budget Filing Data'!AH263)/('Budget Filing Data'!AD263),"")</f>
        <v>0</v>
      </c>
      <c r="Y269" s="478">
        <f>'Budget Filing Data'!Q263</f>
        <v>0</v>
      </c>
      <c r="Z269" s="478">
        <f>'Budget Filing Data'!R263</f>
        <v>0</v>
      </c>
      <c r="AA269" s="478">
        <f>'Budget Filing Data'!S263</f>
        <v>0</v>
      </c>
      <c r="AB269" s="478">
        <f>'Budget Filing Data'!AO263</f>
        <v>0</v>
      </c>
      <c r="AC269" s="478">
        <f>'Budget Filing Data'!AP263</f>
        <v>0</v>
      </c>
      <c r="AD269" s="478">
        <f>'Budget Filing Data'!T263</f>
        <v>0</v>
      </c>
      <c r="AE269" s="478">
        <f>'Budget Filing Data'!U263</f>
        <v>0</v>
      </c>
      <c r="AF269" s="478">
        <f>'Budget Filing Data'!$V263</f>
        <v>0</v>
      </c>
      <c r="AG269" s="478">
        <f>'Budget Filing Data'!$W263</f>
        <v>0</v>
      </c>
      <c r="AH269" s="479">
        <v>0</v>
      </c>
    </row>
    <row r="270" spans="3:34" hidden="1">
      <c r="C270" s="470" t="str">
        <f>'Budget Filing Data'!D264</f>
        <v>SDGE_SW_NC_NonRes_Ind_electric</v>
      </c>
      <c r="D270" s="470" t="str">
        <f>'Budget Filing Data'!E264</f>
        <v>SW New Construction Non Residential - Industrial - All Electric</v>
      </c>
      <c r="E270" s="471"/>
      <c r="F270" s="480"/>
      <c r="G270" s="472" t="str">
        <f>'Budget Filing Data'!J264</f>
        <v>Third-Party Solicited</v>
      </c>
      <c r="H270" s="472" t="str">
        <f>IF('Budget Filing Data'!H264="","",'Budget Filing Data'!H264)</f>
        <v>SW_NC_NonRes_Ind_electric - New Construction - NonResidential - All Electric</v>
      </c>
      <c r="I270" s="473" t="s">
        <v>24</v>
      </c>
      <c r="J270" s="472" t="str">
        <f>'Budget Filing Data'!G264</f>
        <v>Industrial</v>
      </c>
      <c r="K270" s="472" t="str">
        <f>'Budget Filing Data'!I264</f>
        <v>New Construction</v>
      </c>
      <c r="L270" s="472" t="str">
        <f>'Budget Filing Data'!L264</f>
        <v>Market Support</v>
      </c>
      <c r="M270" s="472">
        <f>'Budget Filing Data'!B264</f>
        <v>2031</v>
      </c>
      <c r="N270" s="474">
        <f t="shared" si="3"/>
        <v>13787.5888</v>
      </c>
      <c r="O270" s="475">
        <f>'Budget Filing Data'!AQ264</f>
        <v>567.48080000000004</v>
      </c>
      <c r="P270" s="475">
        <f>'Budget Filing Data'!AR264</f>
        <v>425.61059999999998</v>
      </c>
      <c r="Q270" s="475">
        <f>'Budget Filing Data'!AS264</f>
        <v>1844.3126999999999</v>
      </c>
      <c r="R270" s="475">
        <f>'Budget Filing Data'!AT264</f>
        <v>10950.1847</v>
      </c>
      <c r="S270" s="476">
        <f>'Budget Filing Data'!X264</f>
        <v>1704.6066218249159</v>
      </c>
      <c r="T270" s="477">
        <f>IFERROR((('Budget Filing Data'!AF264+'Budget Filing Data'!AG264+'Budget Filing Data'!AY264+'Budget Filing Data'!AH264)/'Budget Filing Data'!AA264),"")</f>
        <v>0.19164043762882704</v>
      </c>
      <c r="U270" s="477">
        <f>IFERROR((('Budget Filing Data'!AF264+'Budget Filing Data'!AG264+'Budget Filing Data'!AY264+'Budget Filing Data'!AH264)/'Budget Filing Data'!AB264),"")</f>
        <v>0.12906874861088904</v>
      </c>
      <c r="V270" s="477">
        <f>IFERROR((('Budget Filing Data'!AF264+'Budget Filing Data'!AG264+'Budget Filing Data'!AY264+'Budget Filing Data'!AH264+'Budget Filing Data'!AW264+'Budget Filing Data'!AX264)/('Budget Filing Data'!AE264)),"")</f>
        <v>0.10305628841165922</v>
      </c>
      <c r="W270" s="477">
        <f>IFERROR(('Budget Filing Data'!AI264+'Budget Filing Data'!AJ264+'Budget Filing Data'!AK264+'Budget Filing Data'!AH264)/('Budget Filing Data'!AC264),"")</f>
        <v>0.20110254962074184</v>
      </c>
      <c r="X270" s="477">
        <f>IFERROR(('Budget Filing Data'!AL264+'Budget Filing Data'!AM264+'Budget Filing Data'!AN264+'Budget Filing Data'!AH264)/('Budget Filing Data'!AD264),"")</f>
        <v>0.20110254962074184</v>
      </c>
      <c r="Y270" s="478">
        <f>'Budget Filing Data'!Q264</f>
        <v>866.31999999999903</v>
      </c>
      <c r="Z270" s="478">
        <f>'Budget Filing Data'!R264</f>
        <v>3.7273599999999997E-2</v>
      </c>
      <c r="AA270" s="478">
        <f>'Budget Filing Data'!S264</f>
        <v>0</v>
      </c>
      <c r="AB270" s="478">
        <f>'Budget Filing Data'!AO264</f>
        <v>0.153182529136</v>
      </c>
      <c r="AC270" s="478">
        <f>'Budget Filing Data'!AP264</f>
        <v>0</v>
      </c>
      <c r="AD270" s="478">
        <f>'Budget Filing Data'!T264</f>
        <v>8663.1999999999898</v>
      </c>
      <c r="AE270" s="478">
        <f>'Budget Filing Data'!U264</f>
        <v>0</v>
      </c>
      <c r="AF270" s="478">
        <f>'Budget Filing Data'!$V264</f>
        <v>1.6699318599599899</v>
      </c>
      <c r="AG270" s="478">
        <f>'Budget Filing Data'!$W264</f>
        <v>0</v>
      </c>
      <c r="AH270" s="479">
        <v>0</v>
      </c>
    </row>
    <row r="271" spans="3:34" hidden="1">
      <c r="C271" s="470" t="str">
        <f>'Budget Filing Data'!D265</f>
        <v>SDGE_SW_NC_NonRes_Ind_electric_PA</v>
      </c>
      <c r="D271" s="470" t="str">
        <f>'Budget Filing Data'!E265</f>
        <v>SW New Construction Non Residential - Industrial - All Electric (Utility)</v>
      </c>
      <c r="E271" s="471"/>
      <c r="F271" s="480"/>
      <c r="G271" s="472" t="str">
        <f>'Budget Filing Data'!J265</f>
        <v>IOU Core</v>
      </c>
      <c r="H271" s="472" t="str">
        <f>IF('Budget Filing Data'!H265="","",'Budget Filing Data'!H265)</f>
        <v>SW_NC_NonRes_Ind_electric - New Construction - NonResidential - All Electric</v>
      </c>
      <c r="I271" s="473" t="s">
        <v>24</v>
      </c>
      <c r="J271" s="472" t="str">
        <f>'Budget Filing Data'!G265</f>
        <v>Industrial</v>
      </c>
      <c r="K271" s="472" t="str">
        <f>'Budget Filing Data'!I265</f>
        <v>New Construction</v>
      </c>
      <c r="L271" s="472" t="str">
        <f>'Budget Filing Data'!L265</f>
        <v>Market Support</v>
      </c>
      <c r="M271" s="472">
        <f>'Budget Filing Data'!B265</f>
        <v>2031</v>
      </c>
      <c r="N271" s="474">
        <f t="shared" si="3"/>
        <v>276.43029999999999</v>
      </c>
      <c r="O271" s="475">
        <f>'Budget Filing Data'!AQ265</f>
        <v>276.43029999999999</v>
      </c>
      <c r="P271" s="475">
        <f>'Budget Filing Data'!AR265</f>
        <v>0</v>
      </c>
      <c r="Q271" s="475">
        <f>'Budget Filing Data'!AS265</f>
        <v>0</v>
      </c>
      <c r="R271" s="475">
        <f>'Budget Filing Data'!AT265</f>
        <v>0</v>
      </c>
      <c r="S271" s="476">
        <f>'Budget Filing Data'!X265</f>
        <v>0</v>
      </c>
      <c r="T271" s="477">
        <f>IFERROR((('Budget Filing Data'!AF265+'Budget Filing Data'!AG265+'Budget Filing Data'!AY265+'Budget Filing Data'!AH265)/'Budget Filing Data'!AA265),"")</f>
        <v>0</v>
      </c>
      <c r="U271" s="477">
        <f>IFERROR((('Budget Filing Data'!AF265+'Budget Filing Data'!AG265+'Budget Filing Data'!AY265+'Budget Filing Data'!AH265)/'Budget Filing Data'!AB265),"")</f>
        <v>0</v>
      </c>
      <c r="V271" s="477">
        <f>IFERROR((('Budget Filing Data'!AF265+'Budget Filing Data'!AG265+'Budget Filing Data'!AY265+'Budget Filing Data'!AH265+'Budget Filing Data'!AW265+'Budget Filing Data'!AX265)/('Budget Filing Data'!AE265)),"")</f>
        <v>0</v>
      </c>
      <c r="W271" s="477">
        <f>IFERROR(('Budget Filing Data'!AI265+'Budget Filing Data'!AJ265+'Budget Filing Data'!AK265+'Budget Filing Data'!AH265)/('Budget Filing Data'!AC265),"")</f>
        <v>0</v>
      </c>
      <c r="X271" s="477">
        <f>IFERROR(('Budget Filing Data'!AL265+'Budget Filing Data'!AM265+'Budget Filing Data'!AN265+'Budget Filing Data'!AH265)/('Budget Filing Data'!AD265),"")</f>
        <v>0</v>
      </c>
      <c r="Y271" s="478">
        <f>'Budget Filing Data'!Q265</f>
        <v>0</v>
      </c>
      <c r="Z271" s="478">
        <f>'Budget Filing Data'!R265</f>
        <v>0</v>
      </c>
      <c r="AA271" s="478">
        <f>'Budget Filing Data'!S265</f>
        <v>0</v>
      </c>
      <c r="AB271" s="478">
        <f>'Budget Filing Data'!AO265</f>
        <v>0</v>
      </c>
      <c r="AC271" s="478">
        <f>'Budget Filing Data'!AP265</f>
        <v>0</v>
      </c>
      <c r="AD271" s="478">
        <f>'Budget Filing Data'!T265</f>
        <v>0</v>
      </c>
      <c r="AE271" s="478">
        <f>'Budget Filing Data'!U265</f>
        <v>0</v>
      </c>
      <c r="AF271" s="478">
        <f>'Budget Filing Data'!$V265</f>
        <v>0</v>
      </c>
      <c r="AG271" s="478">
        <f>'Budget Filing Data'!$W265</f>
        <v>0</v>
      </c>
      <c r="AH271" s="479">
        <v>0</v>
      </c>
    </row>
    <row r="272" spans="3:34" hidden="1">
      <c r="C272" s="470" t="str">
        <f>'Budget Filing Data'!D266</f>
        <v>SDGE_SW_NC_NonRes_Pub_electric</v>
      </c>
      <c r="D272" s="470" t="str">
        <f>'Budget Filing Data'!E266</f>
        <v>SW New Construction Non Residential - Public - All Electric</v>
      </c>
      <c r="E272" s="471"/>
      <c r="F272" s="480"/>
      <c r="G272" s="472" t="str">
        <f>'Budget Filing Data'!J266</f>
        <v>Third-Party Solicited</v>
      </c>
      <c r="H272" s="472" t="str">
        <f>IF('Budget Filing Data'!H266="","",'Budget Filing Data'!H266)</f>
        <v>SW_NC_NonRes_Pub_electric - New Construction - NonResidential - All Electric</v>
      </c>
      <c r="I272" s="473" t="s">
        <v>24</v>
      </c>
      <c r="J272" s="472" t="str">
        <f>'Budget Filing Data'!G266</f>
        <v>Public</v>
      </c>
      <c r="K272" s="472" t="str">
        <f>'Budget Filing Data'!I266</f>
        <v>New Construction</v>
      </c>
      <c r="L272" s="472" t="str">
        <f>'Budget Filing Data'!L266</f>
        <v>Market Support</v>
      </c>
      <c r="M272" s="472">
        <f>'Budget Filing Data'!B266</f>
        <v>2031</v>
      </c>
      <c r="N272" s="474">
        <f t="shared" ref="N272:N303" si="4">SUM(O272:R272)</f>
        <v>282645.57088620012</v>
      </c>
      <c r="O272" s="475">
        <f>'Budget Filing Data'!AQ266</f>
        <v>11633.3568</v>
      </c>
      <c r="P272" s="475">
        <f>'Budget Filing Data'!AR266</f>
        <v>8725.0175999999992</v>
      </c>
      <c r="Q272" s="475">
        <f>'Budget Filing Data'!AS266</f>
        <v>37808.409699999997</v>
      </c>
      <c r="R272" s="475">
        <f>'Budget Filing Data'!AT266</f>
        <v>224478.7867862001</v>
      </c>
      <c r="S272" s="476">
        <f>'Budget Filing Data'!X266</f>
        <v>47901.535084743409</v>
      </c>
      <c r="T272" s="477">
        <f>IFERROR((('Budget Filing Data'!AF266+'Budget Filing Data'!AG266+'Budget Filing Data'!AY266+'Budget Filing Data'!AH266)/'Budget Filing Data'!AA266),"")</f>
        <v>0.26546835385522105</v>
      </c>
      <c r="U272" s="477">
        <f>IFERROR((('Budget Filing Data'!AF266+'Budget Filing Data'!AG266+'Budget Filing Data'!AY266+'Budget Filing Data'!AH266)/'Budget Filing Data'!AB266),"")</f>
        <v>0.17731001780529065</v>
      </c>
      <c r="V272" s="477">
        <f>IFERROR((('Budget Filing Data'!AF266+'Budget Filing Data'!AG266+'Budget Filing Data'!AY266+'Budget Filing Data'!AH266+'Budget Filing Data'!AW266+'Budget Filing Data'!AX266)/('Budget Filing Data'!AE266)),"")</f>
        <v>0.1408407295168983</v>
      </c>
      <c r="W272" s="477">
        <f>IFERROR(('Budget Filing Data'!AI266+'Budget Filing Data'!AJ266+'Budget Filing Data'!AK266+'Budget Filing Data'!AH266)/('Budget Filing Data'!AC266),"")</f>
        <v>0.27987279186309078</v>
      </c>
      <c r="X272" s="477">
        <f>IFERROR(('Budget Filing Data'!AL266+'Budget Filing Data'!AM266+'Budget Filing Data'!AN266+'Budget Filing Data'!AH266)/('Budget Filing Data'!AD266),"")</f>
        <v>0.27987279186309078</v>
      </c>
      <c r="Y272" s="478">
        <f>'Budget Filing Data'!Q266</f>
        <v>17803.384507999999</v>
      </c>
      <c r="Z272" s="478">
        <f>'Budget Filing Data'!R266</f>
        <v>2.6608046919999979</v>
      </c>
      <c r="AA272" s="478">
        <f>'Budget Filing Data'!S266</f>
        <v>-1.6786223999999565</v>
      </c>
      <c r="AB272" s="478">
        <f>'Budget Filing Data'!AO266</f>
        <v>2.5543632842744324</v>
      </c>
      <c r="AC272" s="478">
        <f>'Budget Filing Data'!AP266</f>
        <v>-8.9134849440004101E-3</v>
      </c>
      <c r="AD272" s="478">
        <f>'Budget Filing Data'!T266</f>
        <v>226076.8418999998</v>
      </c>
      <c r="AE272" s="478">
        <f>'Budget Filing Data'!U266</f>
        <v>69.387427200000303</v>
      </c>
      <c r="AF272" s="478">
        <f>'Budget Filing Data'!$V266</f>
        <v>34.879236518136899</v>
      </c>
      <c r="AG272" s="478">
        <f>'Budget Filing Data'!$W266</f>
        <v>0.36844723843199995</v>
      </c>
      <c r="AH272" s="479">
        <v>0</v>
      </c>
    </row>
    <row r="273" spans="3:34" ht="25.5" hidden="1">
      <c r="C273" s="470" t="str">
        <f>'Budget Filing Data'!D267</f>
        <v>SDGE_SW_NC_NonRes_Pub_electric_PA</v>
      </c>
      <c r="D273" s="470" t="str">
        <f>'Budget Filing Data'!E267</f>
        <v>SW New Construction Non Residential - Public - All Electric (Utility)</v>
      </c>
      <c r="E273" s="471" t="s">
        <v>42</v>
      </c>
      <c r="F273" s="471" t="s">
        <v>325</v>
      </c>
      <c r="G273" s="472" t="str">
        <f>'Budget Filing Data'!J267</f>
        <v>IOU Core</v>
      </c>
      <c r="H273" s="472" t="str">
        <f>IF('Budget Filing Data'!H267="","",'Budget Filing Data'!H267)</f>
        <v>SW_NC_NonRes_Pub_electric - New Construction - NonResidential - All Electric</v>
      </c>
      <c r="I273" s="473" t="s">
        <v>24</v>
      </c>
      <c r="J273" s="472" t="str">
        <f>'Budget Filing Data'!G267</f>
        <v>Public</v>
      </c>
      <c r="K273" s="472" t="str">
        <f>'Budget Filing Data'!I267</f>
        <v>New Construction</v>
      </c>
      <c r="L273" s="472" t="str">
        <f>'Budget Filing Data'!L267</f>
        <v>Market Support</v>
      </c>
      <c r="M273" s="472">
        <f>'Budget Filing Data'!B267</f>
        <v>2031</v>
      </c>
      <c r="N273" s="474">
        <f t="shared" si="4"/>
        <v>1885.0402999999999</v>
      </c>
      <c r="O273" s="475">
        <f>'Budget Filing Data'!AQ267</f>
        <v>1885.0402999999999</v>
      </c>
      <c r="P273" s="475">
        <f>'Budget Filing Data'!AR267</f>
        <v>0</v>
      </c>
      <c r="Q273" s="475">
        <f>'Budget Filing Data'!AS267</f>
        <v>0</v>
      </c>
      <c r="R273" s="475">
        <f>'Budget Filing Data'!AT267</f>
        <v>0</v>
      </c>
      <c r="S273" s="476">
        <f>'Budget Filing Data'!X267</f>
        <v>0</v>
      </c>
      <c r="T273" s="477">
        <f>IFERROR((('Budget Filing Data'!AF267+'Budget Filing Data'!AG267+'Budget Filing Data'!AY267+'Budget Filing Data'!AH267)/'Budget Filing Data'!AA267),"")</f>
        <v>0</v>
      </c>
      <c r="U273" s="477">
        <f>IFERROR((('Budget Filing Data'!AF267+'Budget Filing Data'!AG267+'Budget Filing Data'!AY267+'Budget Filing Data'!AH267)/'Budget Filing Data'!AB267),"")</f>
        <v>0</v>
      </c>
      <c r="V273" s="477">
        <f>IFERROR((('Budget Filing Data'!AF267+'Budget Filing Data'!AG267+'Budget Filing Data'!AY267+'Budget Filing Data'!AH267+'Budget Filing Data'!AW267+'Budget Filing Data'!AX267)/('Budget Filing Data'!AE267)),"")</f>
        <v>0</v>
      </c>
      <c r="W273" s="477">
        <f>IFERROR(('Budget Filing Data'!AI267+'Budget Filing Data'!AJ267+'Budget Filing Data'!AK267+'Budget Filing Data'!AH267)/('Budget Filing Data'!AC267),"")</f>
        <v>0</v>
      </c>
      <c r="X273" s="477">
        <f>IFERROR(('Budget Filing Data'!AL267+'Budget Filing Data'!AM267+'Budget Filing Data'!AN267+'Budget Filing Data'!AH267)/('Budget Filing Data'!AD267),"")</f>
        <v>0</v>
      </c>
      <c r="Y273" s="478">
        <f>'Budget Filing Data'!Q267</f>
        <v>0</v>
      </c>
      <c r="Z273" s="478">
        <f>'Budget Filing Data'!R267</f>
        <v>0</v>
      </c>
      <c r="AA273" s="478">
        <f>'Budget Filing Data'!S267</f>
        <v>0</v>
      </c>
      <c r="AB273" s="478">
        <f>'Budget Filing Data'!AO267</f>
        <v>0</v>
      </c>
      <c r="AC273" s="478">
        <f>'Budget Filing Data'!AP267</f>
        <v>0</v>
      </c>
      <c r="AD273" s="478">
        <f>'Budget Filing Data'!T267</f>
        <v>0</v>
      </c>
      <c r="AE273" s="478">
        <f>'Budget Filing Data'!U267</f>
        <v>0</v>
      </c>
      <c r="AF273" s="478">
        <f>'Budget Filing Data'!$V267</f>
        <v>0</v>
      </c>
      <c r="AG273" s="478">
        <f>'Budget Filing Data'!$W267</f>
        <v>0</v>
      </c>
      <c r="AH273" s="479">
        <v>0</v>
      </c>
    </row>
    <row r="274" spans="3:34">
      <c r="C274" s="470" t="str">
        <f>'Budget Filing Data'!D268</f>
        <v>SDGE_SW_NC_NonRes_Res_electric</v>
      </c>
      <c r="D274" s="470" t="str">
        <f>'Budget Filing Data'!E268</f>
        <v>SW New Construction NonResidential - Residential - All Electric</v>
      </c>
      <c r="E274" s="471" t="s">
        <v>42</v>
      </c>
      <c r="F274" s="471" t="s">
        <v>323</v>
      </c>
      <c r="G274" s="472" t="str">
        <f>'Budget Filing Data'!J268</f>
        <v>Third-Party Solicited</v>
      </c>
      <c r="H274" s="472" t="str">
        <f>IF('Budget Filing Data'!H268="","",'Budget Filing Data'!H268)</f>
        <v>SW_NC_NonRes_Res_electric - New Construction - NonResidential - All Electric</v>
      </c>
      <c r="I274" s="473" t="s">
        <v>24</v>
      </c>
      <c r="J274" s="472" t="str">
        <f>'Budget Filing Data'!G268</f>
        <v>Residential</v>
      </c>
      <c r="K274" s="472" t="str">
        <f>'Budget Filing Data'!I268</f>
        <v>New Construction</v>
      </c>
      <c r="L274" s="472" t="str">
        <f>'Budget Filing Data'!L268</f>
        <v>Market Support</v>
      </c>
      <c r="M274" s="472">
        <f>'Budget Filing Data'!B268</f>
        <v>2031</v>
      </c>
      <c r="N274" s="474">
        <f t="shared" si="4"/>
        <v>889299.47724118759</v>
      </c>
      <c r="O274" s="475">
        <f>'Budget Filing Data'!AQ268</f>
        <v>36602.512999999999</v>
      </c>
      <c r="P274" s="475">
        <f>'Budget Filing Data'!AR268</f>
        <v>27451.884699999999</v>
      </c>
      <c r="Q274" s="475">
        <f>'Budget Filing Data'!AS268</f>
        <v>118958.16710000001</v>
      </c>
      <c r="R274" s="475">
        <f>'Budget Filing Data'!AT268</f>
        <v>706286.91244118765</v>
      </c>
      <c r="S274" s="476">
        <f>'Budget Filing Data'!X268</f>
        <v>525444.70011920808</v>
      </c>
      <c r="T274" s="477">
        <f>IFERROR((('Budget Filing Data'!AF268+'Budget Filing Data'!AG268+'Budget Filing Data'!AY268+'Budget Filing Data'!AH268)/'Budget Filing Data'!AA268),"")</f>
        <v>0.38169390568170813</v>
      </c>
      <c r="U274" s="477">
        <f>IFERROR((('Budget Filing Data'!AF268+'Budget Filing Data'!AG268+'Budget Filing Data'!AY268+'Budget Filing Data'!AH268)/'Budget Filing Data'!AB268),"")</f>
        <v>0.61677285449030794</v>
      </c>
      <c r="V274" s="477">
        <f>IFERROR((('Budget Filing Data'!AF268+'Budget Filing Data'!AG268+'Budget Filing Data'!AY268+'Budget Filing Data'!AH268+'Budget Filing Data'!AW268+'Budget Filing Data'!AX268)/('Budget Filing Data'!AE268)),"")</f>
        <v>0.33319401346352273</v>
      </c>
      <c r="W274" s="477">
        <f>IFERROR(('Budget Filing Data'!AI268+'Budget Filing Data'!AJ268+'Budget Filing Data'!AK268+'Budget Filing Data'!AH268)/('Budget Filing Data'!AC268),"")</f>
        <v>0.42795416589615581</v>
      </c>
      <c r="X274" s="477">
        <f>IFERROR(('Budget Filing Data'!AL268+'Budget Filing Data'!AM268+'Budget Filing Data'!AN268+'Budget Filing Data'!AH268)/('Budget Filing Data'!AD268),"")</f>
        <v>0.42795416589615581</v>
      </c>
      <c r="Y274" s="478">
        <f>'Budget Filing Data'!Q268</f>
        <v>149156.36220172467</v>
      </c>
      <c r="Z274" s="478">
        <f>'Budget Filing Data'!R268</f>
        <v>52.036552141323277</v>
      </c>
      <c r="AA274" s="478">
        <f>'Budget Filing Data'!S268</f>
        <v>811.30065616599848</v>
      </c>
      <c r="AB274" s="478">
        <f>'Budget Filing Data'!AO268</f>
        <v>30.669629463044785</v>
      </c>
      <c r="AC274" s="478">
        <f>'Budget Filing Data'!AP268</f>
        <v>4.3080064842414538</v>
      </c>
      <c r="AD274" s="478">
        <f>'Budget Filing Data'!T268</f>
        <v>2594825.8537254278</v>
      </c>
      <c r="AE274" s="478">
        <f>'Budget Filing Data'!U268</f>
        <v>8718.5730641099963</v>
      </c>
      <c r="AF274" s="478">
        <f>'Budget Filing Data'!$V268</f>
        <v>592.88118547513614</v>
      </c>
      <c r="AG274" s="478">
        <f>'Budget Filing Data'!$W268</f>
        <v>46.295622970424049</v>
      </c>
      <c r="AH274" s="479">
        <v>0</v>
      </c>
    </row>
    <row r="275" spans="3:34" ht="25.5">
      <c r="C275" s="470" t="str">
        <f>'Budget Filing Data'!D269</f>
        <v>SDGE_SW_NC_NonRes_Res_electric_PA</v>
      </c>
      <c r="D275" s="470" t="str">
        <f>'Budget Filing Data'!E269</f>
        <v>SW New Construction NonResidential - Residential - All Electric (Utility)</v>
      </c>
      <c r="E275" s="471" t="s">
        <v>42</v>
      </c>
      <c r="F275" s="471" t="s">
        <v>325</v>
      </c>
      <c r="G275" s="472" t="str">
        <f>'Budget Filing Data'!J269</f>
        <v>IOU Core</v>
      </c>
      <c r="H275" s="472" t="str">
        <f>IF('Budget Filing Data'!H269="","",'Budget Filing Data'!H269)</f>
        <v>SW_NC_NonRes_Res_electric - New Construction - NonResidential - All Electric</v>
      </c>
      <c r="I275" s="473" t="s">
        <v>24</v>
      </c>
      <c r="J275" s="472" t="str">
        <f>'Budget Filing Data'!G269</f>
        <v>Residential</v>
      </c>
      <c r="K275" s="472" t="str">
        <f>'Budget Filing Data'!I269</f>
        <v>New Construction</v>
      </c>
      <c r="L275" s="472" t="str">
        <f>'Budget Filing Data'!L269</f>
        <v>Market Support</v>
      </c>
      <c r="M275" s="472">
        <f>'Budget Filing Data'!B269</f>
        <v>2031</v>
      </c>
      <c r="N275" s="474">
        <f t="shared" si="4"/>
        <v>5708.6704</v>
      </c>
      <c r="O275" s="475">
        <f>'Budget Filing Data'!AQ269</f>
        <v>5708.6704</v>
      </c>
      <c r="P275" s="475">
        <f>'Budget Filing Data'!AR269</f>
        <v>0</v>
      </c>
      <c r="Q275" s="475">
        <f>'Budget Filing Data'!AS269</f>
        <v>0</v>
      </c>
      <c r="R275" s="475">
        <f>'Budget Filing Data'!AT269</f>
        <v>0</v>
      </c>
      <c r="S275" s="476">
        <f>'Budget Filing Data'!X269</f>
        <v>0</v>
      </c>
      <c r="T275" s="477">
        <f>IFERROR((('Budget Filing Data'!AF269+'Budget Filing Data'!AG269+'Budget Filing Data'!AY269+'Budget Filing Data'!AH269)/'Budget Filing Data'!AA269),"")</f>
        <v>0</v>
      </c>
      <c r="U275" s="477">
        <f>IFERROR((('Budget Filing Data'!AF269+'Budget Filing Data'!AG269+'Budget Filing Data'!AY269+'Budget Filing Data'!AH269)/'Budget Filing Data'!AB269),"")</f>
        <v>0</v>
      </c>
      <c r="V275" s="477">
        <f>IFERROR((('Budget Filing Data'!AF269+'Budget Filing Data'!AG269+'Budget Filing Data'!AY269+'Budget Filing Data'!AH269+'Budget Filing Data'!AW269+'Budget Filing Data'!AX269)/('Budget Filing Data'!AE269)),"")</f>
        <v>0</v>
      </c>
      <c r="W275" s="477">
        <f>IFERROR(('Budget Filing Data'!AI269+'Budget Filing Data'!AJ269+'Budget Filing Data'!AK269+'Budget Filing Data'!AH269)/('Budget Filing Data'!AC269),"")</f>
        <v>0</v>
      </c>
      <c r="X275" s="477">
        <f>IFERROR(('Budget Filing Data'!AL269+'Budget Filing Data'!AM269+'Budget Filing Data'!AN269+'Budget Filing Data'!AH269)/('Budget Filing Data'!AD269),"")</f>
        <v>0</v>
      </c>
      <c r="Y275" s="478">
        <f>'Budget Filing Data'!Q269</f>
        <v>0</v>
      </c>
      <c r="Z275" s="478">
        <f>'Budget Filing Data'!R269</f>
        <v>0</v>
      </c>
      <c r="AA275" s="478">
        <f>'Budget Filing Data'!S269</f>
        <v>0</v>
      </c>
      <c r="AB275" s="478">
        <f>'Budget Filing Data'!AO269</f>
        <v>0</v>
      </c>
      <c r="AC275" s="478">
        <f>'Budget Filing Data'!AP269</f>
        <v>0</v>
      </c>
      <c r="AD275" s="478">
        <f>'Budget Filing Data'!T269</f>
        <v>0</v>
      </c>
      <c r="AE275" s="478">
        <f>'Budget Filing Data'!U269</f>
        <v>0</v>
      </c>
      <c r="AF275" s="478">
        <f>'Budget Filing Data'!$V269</f>
        <v>0</v>
      </c>
      <c r="AG275" s="478">
        <f>'Budget Filing Data'!$W269</f>
        <v>0</v>
      </c>
      <c r="AH275" s="479">
        <v>0</v>
      </c>
    </row>
    <row r="276" spans="3:34" hidden="1">
      <c r="C276" s="470" t="str">
        <f>'Budget Filing Data'!D270</f>
        <v>SDGE_SW_NC_NonRes_Ag_mixed</v>
      </c>
      <c r="D276" s="470" t="str">
        <f>'Budget Filing Data'!E270</f>
        <v>SW New Construction Non Residential - Agricultural - Mixed Fuel</v>
      </c>
      <c r="E276" s="471"/>
      <c r="F276" s="480"/>
      <c r="G276" s="472" t="str">
        <f>'Budget Filing Data'!J270</f>
        <v>Third-Party Solicited</v>
      </c>
      <c r="H276" s="472" t="str">
        <f>IF('Budget Filing Data'!H270="","",'Budget Filing Data'!H270)</f>
        <v>SW_NC_NonRes_Ag_mixed - New Construction - NonResidential - Mixed Fuel</v>
      </c>
      <c r="I276" s="473" t="s">
        <v>24</v>
      </c>
      <c r="J276" s="472" t="str">
        <f>'Budget Filing Data'!G270</f>
        <v>Agricultural</v>
      </c>
      <c r="K276" s="472" t="str">
        <f>'Budget Filing Data'!I270</f>
        <v>New Construction</v>
      </c>
      <c r="L276" s="472" t="str">
        <f>'Budget Filing Data'!L270</f>
        <v>Market Support</v>
      </c>
      <c r="M276" s="472">
        <f>'Budget Filing Data'!B270</f>
        <v>2031</v>
      </c>
      <c r="N276" s="474">
        <f t="shared" si="4"/>
        <v>55239.867410120001</v>
      </c>
      <c r="O276" s="475">
        <f>'Budget Filing Data'!AQ270</f>
        <v>2692.1401999999998</v>
      </c>
      <c r="P276" s="475">
        <f>'Budget Filing Data'!AR270</f>
        <v>2019.1051</v>
      </c>
      <c r="Q276" s="475">
        <f>'Budget Filing Data'!AS270</f>
        <v>8749.4555999999993</v>
      </c>
      <c r="R276" s="475">
        <f>'Budget Filing Data'!AT270</f>
        <v>41779.166510119998</v>
      </c>
      <c r="S276" s="476">
        <f>'Budget Filing Data'!X270</f>
        <v>17022.51319810564</v>
      </c>
      <c r="T276" s="477">
        <f>IFERROR((('Budget Filing Data'!AF270+'Budget Filing Data'!AG270+'Budget Filing Data'!AY270+'Budget Filing Data'!AH270)/'Budget Filing Data'!AA270),"")</f>
        <v>0.43905156918605998</v>
      </c>
      <c r="U276" s="477">
        <f>IFERROR((('Budget Filing Data'!AF270+'Budget Filing Data'!AG270+'Budget Filing Data'!AY270+'Budget Filing Data'!AH270)/'Budget Filing Data'!AB270),"")</f>
        <v>0.32396289156138552</v>
      </c>
      <c r="V276" s="477">
        <f>IFERROR((('Budget Filing Data'!AF270+'Budget Filing Data'!AG270+'Budget Filing Data'!AY270+'Budget Filing Data'!AH270+'Budget Filing Data'!AW270+'Budget Filing Data'!AX270)/('Budget Filing Data'!AE270)),"")</f>
        <v>0.16740843221785093</v>
      </c>
      <c r="W276" s="477">
        <f>IFERROR(('Budget Filing Data'!AI270+'Budget Filing Data'!AJ270+'Budget Filing Data'!AK270+'Budget Filing Data'!AH270)/('Budget Filing Data'!AC270),"")</f>
        <v>0.50142233625975086</v>
      </c>
      <c r="X276" s="477">
        <f>IFERROR(('Budget Filing Data'!AL270+'Budget Filing Data'!AM270+'Budget Filing Data'!AN270+'Budget Filing Data'!AH270)/('Budget Filing Data'!AD270),"")</f>
        <v>0.50142233625975086</v>
      </c>
      <c r="Y276" s="478">
        <f>'Budget Filing Data'!Q270</f>
        <v>15712.600175999985</v>
      </c>
      <c r="Z276" s="478">
        <f>'Budget Filing Data'!R270</f>
        <v>2.7607032179999944</v>
      </c>
      <c r="AA276" s="478">
        <f>'Budget Filing Data'!S270</f>
        <v>0</v>
      </c>
      <c r="AB276" s="478">
        <f>'Budget Filing Data'!AO270</f>
        <v>2.3821346713982199</v>
      </c>
      <c r="AC276" s="478">
        <f>'Budget Filing Data'!AP270</f>
        <v>0</v>
      </c>
      <c r="AD276" s="478">
        <f>'Budget Filing Data'!T270</f>
        <v>200212.98751999994</v>
      </c>
      <c r="AE276" s="478">
        <f>'Budget Filing Data'!U270</f>
        <v>0</v>
      </c>
      <c r="AF276" s="478">
        <f>'Budget Filing Data'!$V270</f>
        <v>31.722234659211473</v>
      </c>
      <c r="AG276" s="478">
        <f>'Budget Filing Data'!$W270</f>
        <v>0</v>
      </c>
      <c r="AH276" s="479">
        <v>0</v>
      </c>
    </row>
    <row r="277" spans="3:34" hidden="1">
      <c r="C277" s="470" t="str">
        <f>'Budget Filing Data'!D271</f>
        <v>SDGE_SW_NC_NonRes_Ag_mixed_PA</v>
      </c>
      <c r="D277" s="470" t="str">
        <f>'Budget Filing Data'!E271</f>
        <v>SW New Construction Non Residential - Agricultural - Mixed Fuel (Utility)</v>
      </c>
      <c r="E277" s="471"/>
      <c r="F277" s="480"/>
      <c r="G277" s="472" t="str">
        <f>'Budget Filing Data'!J271</f>
        <v>IOU Core</v>
      </c>
      <c r="H277" s="472" t="str">
        <f>IF('Budget Filing Data'!H271="","",'Budget Filing Data'!H271)</f>
        <v>SW_NC_NonRes_Ag_mixed - New Construction - NonResidential - Mixed Fuel</v>
      </c>
      <c r="I277" s="473" t="s">
        <v>24</v>
      </c>
      <c r="J277" s="472" t="str">
        <f>'Budget Filing Data'!G271</f>
        <v>Agricultural</v>
      </c>
      <c r="K277" s="472" t="str">
        <f>'Budget Filing Data'!I271</f>
        <v>New Construction</v>
      </c>
      <c r="L277" s="472" t="str">
        <f>'Budget Filing Data'!L271</f>
        <v>Market Support</v>
      </c>
      <c r="M277" s="472">
        <f>'Budget Filing Data'!B271</f>
        <v>2031</v>
      </c>
      <c r="N277" s="474">
        <f t="shared" si="4"/>
        <v>524.45029999999997</v>
      </c>
      <c r="O277" s="475">
        <f>'Budget Filing Data'!AQ271</f>
        <v>524.45029999999997</v>
      </c>
      <c r="P277" s="475">
        <f>'Budget Filing Data'!AR271</f>
        <v>0</v>
      </c>
      <c r="Q277" s="475">
        <f>'Budget Filing Data'!AS271</f>
        <v>0</v>
      </c>
      <c r="R277" s="475">
        <f>'Budget Filing Data'!AT271</f>
        <v>0</v>
      </c>
      <c r="S277" s="476">
        <f>'Budget Filing Data'!X271</f>
        <v>0</v>
      </c>
      <c r="T277" s="477">
        <f>IFERROR((('Budget Filing Data'!AF271+'Budget Filing Data'!AG271+'Budget Filing Data'!AY271+'Budget Filing Data'!AH271)/'Budget Filing Data'!AA271),"")</f>
        <v>0</v>
      </c>
      <c r="U277" s="477">
        <f>IFERROR((('Budget Filing Data'!AF271+'Budget Filing Data'!AG271+'Budget Filing Data'!AY271+'Budget Filing Data'!AH271)/'Budget Filing Data'!AB271),"")</f>
        <v>0</v>
      </c>
      <c r="V277" s="477">
        <f>IFERROR((('Budget Filing Data'!AF271+'Budget Filing Data'!AG271+'Budget Filing Data'!AY271+'Budget Filing Data'!AH271+'Budget Filing Data'!AW271+'Budget Filing Data'!AX271)/('Budget Filing Data'!AE271)),"")</f>
        <v>0</v>
      </c>
      <c r="W277" s="477">
        <f>IFERROR(('Budget Filing Data'!AI271+'Budget Filing Data'!AJ271+'Budget Filing Data'!AK271+'Budget Filing Data'!AH271)/('Budget Filing Data'!AC271),"")</f>
        <v>0</v>
      </c>
      <c r="X277" s="477">
        <f>IFERROR(('Budget Filing Data'!AL271+'Budget Filing Data'!AM271+'Budget Filing Data'!AN271+'Budget Filing Data'!AH271)/('Budget Filing Data'!AD271),"")</f>
        <v>0</v>
      </c>
      <c r="Y277" s="478">
        <f>'Budget Filing Data'!Q271</f>
        <v>0</v>
      </c>
      <c r="Z277" s="478">
        <f>'Budget Filing Data'!R271</f>
        <v>0</v>
      </c>
      <c r="AA277" s="478">
        <f>'Budget Filing Data'!S271</f>
        <v>0</v>
      </c>
      <c r="AB277" s="478">
        <f>'Budget Filing Data'!AO271</f>
        <v>0</v>
      </c>
      <c r="AC277" s="478">
        <f>'Budget Filing Data'!AP271</f>
        <v>0</v>
      </c>
      <c r="AD277" s="478">
        <f>'Budget Filing Data'!T271</f>
        <v>0</v>
      </c>
      <c r="AE277" s="478">
        <f>'Budget Filing Data'!U271</f>
        <v>0</v>
      </c>
      <c r="AF277" s="478">
        <f>'Budget Filing Data'!$V271</f>
        <v>0</v>
      </c>
      <c r="AG277" s="478">
        <f>'Budget Filing Data'!$W271</f>
        <v>0</v>
      </c>
      <c r="AH277" s="479">
        <v>0</v>
      </c>
    </row>
    <row r="278" spans="3:34" hidden="1">
      <c r="C278" s="470" t="str">
        <f>'Budget Filing Data'!D272</f>
        <v>SDGE_SW_NC_NonRes_Com_mixed</v>
      </c>
      <c r="D278" s="470" t="str">
        <f>'Budget Filing Data'!E272</f>
        <v>SW New Construction Non Residential - Commercial - Mixed Fuel</v>
      </c>
      <c r="E278" s="471"/>
      <c r="F278" s="480"/>
      <c r="G278" s="472" t="str">
        <f>'Budget Filing Data'!J272</f>
        <v>Third-Party Solicited</v>
      </c>
      <c r="H278" s="472" t="str">
        <f>IF('Budget Filing Data'!H272="","",'Budget Filing Data'!H272)</f>
        <v>SW_NC_NonRes_Com_mixed - New Construction - NonResidential - Mixed Fuel</v>
      </c>
      <c r="I278" s="473" t="s">
        <v>24</v>
      </c>
      <c r="J278" s="472" t="str">
        <f>'Budget Filing Data'!G272</f>
        <v>Commercial</v>
      </c>
      <c r="K278" s="472" t="str">
        <f>'Budget Filing Data'!I272</f>
        <v>New Construction</v>
      </c>
      <c r="L278" s="472" t="str">
        <f>'Budget Filing Data'!L272</f>
        <v>Market Support</v>
      </c>
      <c r="M278" s="472">
        <f>'Budget Filing Data'!B272</f>
        <v>2031</v>
      </c>
      <c r="N278" s="474">
        <f t="shared" si="4"/>
        <v>284090.74558779999</v>
      </c>
      <c r="O278" s="475">
        <f>'Budget Filing Data'!AQ272</f>
        <v>13845.2924</v>
      </c>
      <c r="P278" s="475">
        <f>'Budget Filing Data'!AR272</f>
        <v>10383.969300000001</v>
      </c>
      <c r="Q278" s="475">
        <f>'Budget Filing Data'!AS272</f>
        <v>44997.200400000002</v>
      </c>
      <c r="R278" s="475">
        <f>'Budget Filing Data'!AT272</f>
        <v>214864.28348779998</v>
      </c>
      <c r="S278" s="476">
        <f>'Budget Filing Data'!X272</f>
        <v>59093.101253122106</v>
      </c>
      <c r="T278" s="477">
        <f>IFERROR((('Budget Filing Data'!AF272+'Budget Filing Data'!AG272+'Budget Filing Data'!AY272+'Budget Filing Data'!AH272)/'Budget Filing Data'!AA272),"")</f>
        <v>0.27791047063343216</v>
      </c>
      <c r="U278" s="477">
        <f>IFERROR((('Budget Filing Data'!AF272+'Budget Filing Data'!AG272+'Budget Filing Data'!AY272+'Budget Filing Data'!AH272)/'Budget Filing Data'!AB272),"")</f>
        <v>0.21737544467284409</v>
      </c>
      <c r="V278" s="477">
        <f>IFERROR((('Budget Filing Data'!AF272+'Budget Filing Data'!AG272+'Budget Filing Data'!AY272+'Budget Filing Data'!AH272+'Budget Filing Data'!AW272+'Budget Filing Data'!AX272)/('Budget Filing Data'!AE272)),"")</f>
        <v>0.13304207625336173</v>
      </c>
      <c r="W278" s="477">
        <f>IFERROR(('Budget Filing Data'!AI272+'Budget Filing Data'!AJ272+'Budget Filing Data'!AK272+'Budget Filing Data'!AH272)/('Budget Filing Data'!AC272),"")</f>
        <v>0.33696233727766761</v>
      </c>
      <c r="X278" s="477">
        <f>IFERROR(('Budget Filing Data'!AL272+'Budget Filing Data'!AM272+'Budget Filing Data'!AN272+'Budget Filing Data'!AH272)/('Budget Filing Data'!AD272),"")</f>
        <v>0.33696233727766761</v>
      </c>
      <c r="Y278" s="478">
        <f>'Budget Filing Data'!Q272</f>
        <v>32783.835070531946</v>
      </c>
      <c r="Z278" s="478">
        <f>'Budget Filing Data'!R272</f>
        <v>7.8489990271419989</v>
      </c>
      <c r="AA278" s="478">
        <f>'Budget Filing Data'!S272</f>
        <v>452.34925032000012</v>
      </c>
      <c r="AB278" s="478">
        <f>'Budget Filing Data'!AO272</f>
        <v>5.1451350344029514</v>
      </c>
      <c r="AC278" s="478">
        <f>'Budget Filing Data'!AP272</f>
        <v>2.4019745191991992</v>
      </c>
      <c r="AD278" s="478">
        <f>'Budget Filing Data'!T272</f>
        <v>487520.83502576977</v>
      </c>
      <c r="AE278" s="478">
        <f>'Budget Filing Data'!U272</f>
        <v>6155.8102082399973</v>
      </c>
      <c r="AF278" s="478">
        <f>'Budget Filing Data'!$V272</f>
        <v>82.776313192350258</v>
      </c>
      <c r="AG278" s="478">
        <f>'Budget Filing Data'!$W272</f>
        <v>32.687352205754379</v>
      </c>
      <c r="AH278" s="479">
        <v>0</v>
      </c>
    </row>
    <row r="279" spans="3:34" ht="25.5" hidden="1">
      <c r="C279" s="470" t="str">
        <f>'Budget Filing Data'!D273</f>
        <v>SDGE_SW_NC_NonRes_Com_mixed_PA</v>
      </c>
      <c r="D279" s="470" t="str">
        <f>'Budget Filing Data'!E273</f>
        <v>SW New Construction Non Residential - Commercial - Mixed Fuel (Utility)</v>
      </c>
      <c r="E279" s="471" t="s">
        <v>42</v>
      </c>
      <c r="F279" s="471" t="s">
        <v>325</v>
      </c>
      <c r="G279" s="472" t="str">
        <f>'Budget Filing Data'!J273</f>
        <v>IOU Core</v>
      </c>
      <c r="H279" s="472" t="str">
        <f>IF('Budget Filing Data'!H273="","",'Budget Filing Data'!H273)</f>
        <v>SW_NC_NonRes_Com_mixed - New Construction - NonResidential - Mixed Fuel</v>
      </c>
      <c r="I279" s="473" t="s">
        <v>24</v>
      </c>
      <c r="J279" s="472" t="str">
        <f>'Budget Filing Data'!G273</f>
        <v>Commercial</v>
      </c>
      <c r="K279" s="472" t="str">
        <f>'Budget Filing Data'!I273</f>
        <v>New Construction</v>
      </c>
      <c r="L279" s="472" t="str">
        <f>'Budget Filing Data'!L273</f>
        <v>Market Support</v>
      </c>
      <c r="M279" s="472">
        <f>'Budget Filing Data'!B273</f>
        <v>2031</v>
      </c>
      <c r="N279" s="474">
        <f t="shared" si="4"/>
        <v>1893.6903</v>
      </c>
      <c r="O279" s="475">
        <f>'Budget Filing Data'!AQ273</f>
        <v>1893.6903</v>
      </c>
      <c r="P279" s="475">
        <f>'Budget Filing Data'!AR273</f>
        <v>0</v>
      </c>
      <c r="Q279" s="475">
        <f>'Budget Filing Data'!AS273</f>
        <v>0</v>
      </c>
      <c r="R279" s="475">
        <f>'Budget Filing Data'!AT273</f>
        <v>0</v>
      </c>
      <c r="S279" s="476">
        <f>'Budget Filing Data'!X273</f>
        <v>0</v>
      </c>
      <c r="T279" s="477">
        <f>IFERROR((('Budget Filing Data'!AF273+'Budget Filing Data'!AG273+'Budget Filing Data'!AY273+'Budget Filing Data'!AH273)/'Budget Filing Data'!AA273),"")</f>
        <v>0</v>
      </c>
      <c r="U279" s="477">
        <f>IFERROR((('Budget Filing Data'!AF273+'Budget Filing Data'!AG273+'Budget Filing Data'!AY273+'Budget Filing Data'!AH273)/'Budget Filing Data'!AB273),"")</f>
        <v>0</v>
      </c>
      <c r="V279" s="477">
        <f>IFERROR((('Budget Filing Data'!AF273+'Budget Filing Data'!AG273+'Budget Filing Data'!AY273+'Budget Filing Data'!AH273+'Budget Filing Data'!AW273+'Budget Filing Data'!AX273)/('Budget Filing Data'!AE273)),"")</f>
        <v>0</v>
      </c>
      <c r="W279" s="477">
        <f>IFERROR(('Budget Filing Data'!AI273+'Budget Filing Data'!AJ273+'Budget Filing Data'!AK273+'Budget Filing Data'!AH273)/('Budget Filing Data'!AC273),"")</f>
        <v>0</v>
      </c>
      <c r="X279" s="477">
        <f>IFERROR(('Budget Filing Data'!AL273+'Budget Filing Data'!AM273+'Budget Filing Data'!AN273+'Budget Filing Data'!AH273)/('Budget Filing Data'!AD273),"")</f>
        <v>0</v>
      </c>
      <c r="Y279" s="478">
        <f>'Budget Filing Data'!Q273</f>
        <v>0</v>
      </c>
      <c r="Z279" s="478">
        <f>'Budget Filing Data'!R273</f>
        <v>0</v>
      </c>
      <c r="AA279" s="478">
        <f>'Budget Filing Data'!S273</f>
        <v>0</v>
      </c>
      <c r="AB279" s="478">
        <f>'Budget Filing Data'!AO273</f>
        <v>0</v>
      </c>
      <c r="AC279" s="478">
        <f>'Budget Filing Data'!AP273</f>
        <v>0</v>
      </c>
      <c r="AD279" s="478">
        <f>'Budget Filing Data'!T273</f>
        <v>0</v>
      </c>
      <c r="AE279" s="478">
        <f>'Budget Filing Data'!U273</f>
        <v>0</v>
      </c>
      <c r="AF279" s="478">
        <f>'Budget Filing Data'!$V273</f>
        <v>0</v>
      </c>
      <c r="AG279" s="478">
        <f>'Budget Filing Data'!$W273</f>
        <v>0</v>
      </c>
      <c r="AH279" s="479">
        <v>0</v>
      </c>
    </row>
    <row r="280" spans="3:34" hidden="1">
      <c r="C280" s="470" t="str">
        <f>'Budget Filing Data'!D274</f>
        <v>SDGE_SW_NC_NonRes_Ind_mixed</v>
      </c>
      <c r="D280" s="470" t="str">
        <f>'Budget Filing Data'!E274</f>
        <v>SW New Construction Non Residential - Industrial - Mixed Fuel</v>
      </c>
      <c r="E280" s="471" t="s">
        <v>37</v>
      </c>
      <c r="F280" s="471" t="s">
        <v>323</v>
      </c>
      <c r="G280" s="472" t="str">
        <f>'Budget Filing Data'!J274</f>
        <v>Third-Party Solicited</v>
      </c>
      <c r="H280" s="472" t="str">
        <f>IF('Budget Filing Data'!H274="","",'Budget Filing Data'!H274)</f>
        <v>SW_NC_NonRes_Ind_mixed - New Construction - NonResidential - Mixed Fuel</v>
      </c>
      <c r="I280" s="473" t="s">
        <v>24</v>
      </c>
      <c r="J280" s="472" t="str">
        <f>'Budget Filing Data'!G274</f>
        <v>Industrial</v>
      </c>
      <c r="K280" s="472" t="str">
        <f>'Budget Filing Data'!I274</f>
        <v>New Construction</v>
      </c>
      <c r="L280" s="472" t="str">
        <f>'Budget Filing Data'!L274</f>
        <v>Market Support</v>
      </c>
      <c r="M280" s="472">
        <f>'Budget Filing Data'!B274</f>
        <v>2031</v>
      </c>
      <c r="N280" s="474">
        <f t="shared" si="4"/>
        <v>55239.868300000002</v>
      </c>
      <c r="O280" s="475">
        <f>'Budget Filing Data'!AQ274</f>
        <v>2692.1401999999998</v>
      </c>
      <c r="P280" s="475">
        <f>'Budget Filing Data'!AR274</f>
        <v>2019.1051</v>
      </c>
      <c r="Q280" s="475">
        <f>'Budget Filing Data'!AS274</f>
        <v>8749.4555999999993</v>
      </c>
      <c r="R280" s="475">
        <f>'Budget Filing Data'!AT274</f>
        <v>41779.167400000006</v>
      </c>
      <c r="S280" s="476">
        <f>'Budget Filing Data'!X274</f>
        <v>21862.241429795769</v>
      </c>
      <c r="T280" s="477">
        <f>IFERROR((('Budget Filing Data'!AF274+'Budget Filing Data'!AG274+'Budget Filing Data'!AY274+'Budget Filing Data'!AH274)/'Budget Filing Data'!AA274),"")</f>
        <v>0.61939057848359191</v>
      </c>
      <c r="U280" s="477">
        <f>IFERROR((('Budget Filing Data'!AF274+'Budget Filing Data'!AG274+'Budget Filing Data'!AY274+'Budget Filing Data'!AH274)/'Budget Filing Data'!AB274),"")</f>
        <v>0.41269717297108627</v>
      </c>
      <c r="V280" s="477">
        <f>IFERROR((('Budget Filing Data'!AF274+'Budget Filing Data'!AG274+'Budget Filing Data'!AY274+'Budget Filing Data'!AH274+'Budget Filing Data'!AW274+'Budget Filing Data'!AX274)/('Budget Filing Data'!AE274)),"")</f>
        <v>0.32675071961498314</v>
      </c>
      <c r="W280" s="477">
        <f>IFERROR(('Budget Filing Data'!AI274+'Budget Filing Data'!AJ274+'Budget Filing Data'!AK274+'Budget Filing Data'!AH274)/('Budget Filing Data'!AC274),"")</f>
        <v>0.9193585613443398</v>
      </c>
      <c r="X280" s="477">
        <f>IFERROR(('Budget Filing Data'!AL274+'Budget Filing Data'!AM274+'Budget Filing Data'!AN274+'Budget Filing Data'!AH274)/('Budget Filing Data'!AD274),"")</f>
        <v>0.9193585613443398</v>
      </c>
      <c r="Y280" s="478">
        <f>'Budget Filing Data'!Q274</f>
        <v>496.49599999999998</v>
      </c>
      <c r="Z280" s="478">
        <f>'Budget Filing Data'!R274</f>
        <v>0.10142859999999999</v>
      </c>
      <c r="AA280" s="478">
        <f>'Budget Filing Data'!S274</f>
        <v>909.82979999999998</v>
      </c>
      <c r="AB280" s="478">
        <f>'Budget Filing Data'!AO274</f>
        <v>6.1734345181599801E-2</v>
      </c>
      <c r="AC280" s="478">
        <f>'Budget Filing Data'!AP274</f>
        <v>4.8311962380000004</v>
      </c>
      <c r="AD280" s="478">
        <f>'Budget Filing Data'!T274</f>
        <v>6982.2479999999996</v>
      </c>
      <c r="AE280" s="478">
        <f>'Budget Filing Data'!U274</f>
        <v>13647.447</v>
      </c>
      <c r="AF280" s="478">
        <f>'Budget Filing Data'!$V274</f>
        <v>0.85991181883879997</v>
      </c>
      <c r="AG280" s="478">
        <f>'Budget Filing Data'!$W274</f>
        <v>72.467943570000003</v>
      </c>
      <c r="AH280" s="479">
        <v>0</v>
      </c>
    </row>
    <row r="281" spans="3:34" hidden="1">
      <c r="C281" s="470" t="str">
        <f>'Budget Filing Data'!D275</f>
        <v>SDGE_SW_NC_NonRes_Ind_mixed_PA</v>
      </c>
      <c r="D281" s="470" t="str">
        <f>'Budget Filing Data'!E275</f>
        <v>SW New Construction Non Residential - Industrial - Mixed Fuel (Utility)</v>
      </c>
      <c r="E281" s="471"/>
      <c r="F281" s="480"/>
      <c r="G281" s="472" t="str">
        <f>'Budget Filing Data'!J275</f>
        <v>IOU Core</v>
      </c>
      <c r="H281" s="472" t="str">
        <f>IF('Budget Filing Data'!H275="","",'Budget Filing Data'!H275)</f>
        <v>SW_NC_NonRes_Ind_mixed - New Construction - NonResidential - Mixed Fuel</v>
      </c>
      <c r="I281" s="473" t="s">
        <v>24</v>
      </c>
      <c r="J281" s="472" t="str">
        <f>'Budget Filing Data'!G275</f>
        <v>Industrial</v>
      </c>
      <c r="K281" s="472" t="str">
        <f>'Budget Filing Data'!I275</f>
        <v>New Construction</v>
      </c>
      <c r="L281" s="472" t="str">
        <f>'Budget Filing Data'!L275</f>
        <v>Market Support</v>
      </c>
      <c r="M281" s="472">
        <f>'Budget Filing Data'!B275</f>
        <v>2031</v>
      </c>
      <c r="N281" s="474">
        <f t="shared" si="4"/>
        <v>524.45029999999997</v>
      </c>
      <c r="O281" s="475">
        <f>'Budget Filing Data'!AQ275</f>
        <v>524.45029999999997</v>
      </c>
      <c r="P281" s="475">
        <f>'Budget Filing Data'!AR275</f>
        <v>0</v>
      </c>
      <c r="Q281" s="475">
        <f>'Budget Filing Data'!AS275</f>
        <v>0</v>
      </c>
      <c r="R281" s="475">
        <f>'Budget Filing Data'!AT275</f>
        <v>0</v>
      </c>
      <c r="S281" s="476">
        <f>'Budget Filing Data'!X275</f>
        <v>0</v>
      </c>
      <c r="T281" s="477">
        <f>IFERROR((('Budget Filing Data'!AF275+'Budget Filing Data'!AG275+'Budget Filing Data'!AY275+'Budget Filing Data'!AH275)/'Budget Filing Data'!AA275),"")</f>
        <v>0</v>
      </c>
      <c r="U281" s="477">
        <f>IFERROR((('Budget Filing Data'!AF275+'Budget Filing Data'!AG275+'Budget Filing Data'!AY275+'Budget Filing Data'!AH275)/'Budget Filing Data'!AB275),"")</f>
        <v>0</v>
      </c>
      <c r="V281" s="477">
        <f>IFERROR((('Budget Filing Data'!AF275+'Budget Filing Data'!AG275+'Budget Filing Data'!AY275+'Budget Filing Data'!AH275+'Budget Filing Data'!AW275+'Budget Filing Data'!AX275)/('Budget Filing Data'!AE275)),"")</f>
        <v>0</v>
      </c>
      <c r="W281" s="477">
        <f>IFERROR(('Budget Filing Data'!AI275+'Budget Filing Data'!AJ275+'Budget Filing Data'!AK275+'Budget Filing Data'!AH275)/('Budget Filing Data'!AC275),"")</f>
        <v>0</v>
      </c>
      <c r="X281" s="477">
        <f>IFERROR(('Budget Filing Data'!AL275+'Budget Filing Data'!AM275+'Budget Filing Data'!AN275+'Budget Filing Data'!AH275)/('Budget Filing Data'!AD275),"")</f>
        <v>0</v>
      </c>
      <c r="Y281" s="478">
        <f>'Budget Filing Data'!Q275</f>
        <v>0</v>
      </c>
      <c r="Z281" s="478">
        <f>'Budget Filing Data'!R275</f>
        <v>0</v>
      </c>
      <c r="AA281" s="478">
        <f>'Budget Filing Data'!S275</f>
        <v>0</v>
      </c>
      <c r="AB281" s="478">
        <f>'Budget Filing Data'!AO275</f>
        <v>0</v>
      </c>
      <c r="AC281" s="478">
        <f>'Budget Filing Data'!AP275</f>
        <v>0</v>
      </c>
      <c r="AD281" s="478">
        <f>'Budget Filing Data'!T275</f>
        <v>0</v>
      </c>
      <c r="AE281" s="478">
        <f>'Budget Filing Data'!U275</f>
        <v>0</v>
      </c>
      <c r="AF281" s="478">
        <f>'Budget Filing Data'!$V275</f>
        <v>0</v>
      </c>
      <c r="AG281" s="478">
        <f>'Budget Filing Data'!$W275</f>
        <v>0</v>
      </c>
      <c r="AH281" s="479">
        <v>0</v>
      </c>
    </row>
    <row r="282" spans="3:34" hidden="1">
      <c r="C282" s="470" t="str">
        <f>'Budget Filing Data'!D276</f>
        <v>SDGE_SW_NC_NonRes_Pub_mixed</v>
      </c>
      <c r="D282" s="470" t="str">
        <f>'Budget Filing Data'!E276</f>
        <v>SW New Construction Non Residential - Public - Mixed Fuel</v>
      </c>
      <c r="E282" s="471"/>
      <c r="F282" s="480"/>
      <c r="G282" s="472" t="str">
        <f>'Budget Filing Data'!J276</f>
        <v>Third-Party Solicited</v>
      </c>
      <c r="H282" s="472" t="str">
        <f>IF('Budget Filing Data'!H276="","",'Budget Filing Data'!H276)</f>
        <v>SW_NC_NonRes_Pub_mixed - New Construction - NonResidential - Mixed Fuel</v>
      </c>
      <c r="I282" s="473" t="s">
        <v>24</v>
      </c>
      <c r="J282" s="472" t="str">
        <f>'Budget Filing Data'!G276</f>
        <v>Public</v>
      </c>
      <c r="K282" s="472" t="str">
        <f>'Budget Filing Data'!I276</f>
        <v>New Construction</v>
      </c>
      <c r="L282" s="472" t="str">
        <f>'Budget Filing Data'!L276</f>
        <v>Market Support</v>
      </c>
      <c r="M282" s="472">
        <f>'Budget Filing Data'!B276</f>
        <v>2031</v>
      </c>
      <c r="N282" s="474">
        <f t="shared" si="4"/>
        <v>173611.01133399995</v>
      </c>
      <c r="O282" s="475">
        <f>'Budget Filing Data'!AQ276</f>
        <v>8461.0120000000006</v>
      </c>
      <c r="P282" s="475">
        <f>'Budget Filing Data'!AR276</f>
        <v>6345.759</v>
      </c>
      <c r="Q282" s="475">
        <f>'Budget Filing Data'!AS276</f>
        <v>27498.289100000002</v>
      </c>
      <c r="R282" s="475">
        <f>'Budget Filing Data'!AT276</f>
        <v>131305.95123399995</v>
      </c>
      <c r="S282" s="476">
        <f>'Budget Filing Data'!X276</f>
        <v>16193.798130997329</v>
      </c>
      <c r="T282" s="477">
        <f>IFERROR((('Budget Filing Data'!AF276+'Budget Filing Data'!AG276+'Budget Filing Data'!AY276+'Budget Filing Data'!AH276)/'Budget Filing Data'!AA276),"")</f>
        <v>0.14040065546003633</v>
      </c>
      <c r="U282" s="477">
        <f>IFERROR((('Budget Filing Data'!AF276+'Budget Filing Data'!AG276+'Budget Filing Data'!AY276+'Budget Filing Data'!AH276)/'Budget Filing Data'!AB276),"")</f>
        <v>9.7450932874006829E-2</v>
      </c>
      <c r="V282" s="477">
        <f>IFERROR((('Budget Filing Data'!AF276+'Budget Filing Data'!AG276+'Budget Filing Data'!AY276+'Budget Filing Data'!AH276+'Budget Filing Data'!AW276+'Budget Filing Data'!AX276)/('Budget Filing Data'!AE276)),"")</f>
        <v>8.2484145102465836E-2</v>
      </c>
      <c r="W282" s="477">
        <f>IFERROR(('Budget Filing Data'!AI276+'Budget Filing Data'!AJ276+'Budget Filing Data'!AK276+'Budget Filing Data'!AH276)/('Budget Filing Data'!AC276),"")</f>
        <v>0.1552756231247131</v>
      </c>
      <c r="X282" s="477">
        <f>IFERROR(('Budget Filing Data'!AL276+'Budget Filing Data'!AM276+'Budget Filing Data'!AN276+'Budget Filing Data'!AH276)/('Budget Filing Data'!AD276),"")</f>
        <v>0.1552756231247131</v>
      </c>
      <c r="Y282" s="478">
        <f>'Budget Filing Data'!Q276</f>
        <v>5856.7563599999949</v>
      </c>
      <c r="Z282" s="478">
        <f>'Budget Filing Data'!R276</f>
        <v>2.5574621799999977</v>
      </c>
      <c r="AA282" s="478">
        <f>'Budget Filing Data'!S276</f>
        <v>40.320720000000001</v>
      </c>
      <c r="AB282" s="478">
        <f>'Budget Filing Data'!AO276</f>
        <v>0.83765943395425091</v>
      </c>
      <c r="AC282" s="478">
        <f>'Budget Filing Data'!AP276</f>
        <v>0.21410302319999996</v>
      </c>
      <c r="AD282" s="478">
        <f>'Budget Filing Data'!T276</f>
        <v>85726.346159999928</v>
      </c>
      <c r="AE282" s="478">
        <f>'Budget Filing Data'!U276</f>
        <v>571.28543999999999</v>
      </c>
      <c r="AF282" s="478">
        <f>'Budget Filing Data'!$V276</f>
        <v>12.394679063240654</v>
      </c>
      <c r="AG282" s="478">
        <f>'Budget Filing Data'!$W276</f>
        <v>3.0335256864</v>
      </c>
      <c r="AH282" s="479">
        <v>0</v>
      </c>
    </row>
    <row r="283" spans="3:34" hidden="1">
      <c r="C283" s="470" t="str">
        <f>'Budget Filing Data'!D277</f>
        <v>SDGE_SW_NC_NonRes_Pub_mixed_PA</v>
      </c>
      <c r="D283" s="470" t="str">
        <f>'Budget Filing Data'!E277</f>
        <v>SW New Construction Non Residential - Public - Mixed Fuel (Utility)</v>
      </c>
      <c r="E283" s="471"/>
      <c r="F283" s="480"/>
      <c r="G283" s="472" t="str">
        <f>'Budget Filing Data'!J277</f>
        <v>IOU Core</v>
      </c>
      <c r="H283" s="472" t="str">
        <f>IF('Budget Filing Data'!H277="","",'Budget Filing Data'!H277)</f>
        <v>SW_NC_NonRes_Pub_mixed - New Construction - NonResidential - Mixed Fuel</v>
      </c>
      <c r="I283" s="473" t="s">
        <v>24</v>
      </c>
      <c r="J283" s="472" t="str">
        <f>'Budget Filing Data'!G277</f>
        <v>Public</v>
      </c>
      <c r="K283" s="472" t="str">
        <f>'Budget Filing Data'!I277</f>
        <v>New Construction</v>
      </c>
      <c r="L283" s="472" t="str">
        <f>'Budget Filing Data'!L277</f>
        <v>Market Support</v>
      </c>
      <c r="M283" s="472">
        <f>'Budget Filing Data'!B277</f>
        <v>2031</v>
      </c>
      <c r="N283" s="474">
        <f t="shared" si="4"/>
        <v>1232.6803</v>
      </c>
      <c r="O283" s="475">
        <f>'Budget Filing Data'!AQ277</f>
        <v>1232.6803</v>
      </c>
      <c r="P283" s="475">
        <f>'Budget Filing Data'!AR277</f>
        <v>0</v>
      </c>
      <c r="Q283" s="475">
        <f>'Budget Filing Data'!AS277</f>
        <v>0</v>
      </c>
      <c r="R283" s="475">
        <f>'Budget Filing Data'!AT277</f>
        <v>0</v>
      </c>
      <c r="S283" s="476">
        <f>'Budget Filing Data'!X277</f>
        <v>0</v>
      </c>
      <c r="T283" s="477">
        <f>IFERROR((('Budget Filing Data'!AF277+'Budget Filing Data'!AG277+'Budget Filing Data'!AY277+'Budget Filing Data'!AH277)/'Budget Filing Data'!AA277),"")</f>
        <v>0</v>
      </c>
      <c r="U283" s="477">
        <f>IFERROR((('Budget Filing Data'!AF277+'Budget Filing Data'!AG277+'Budget Filing Data'!AY277+'Budget Filing Data'!AH277)/'Budget Filing Data'!AB277),"")</f>
        <v>0</v>
      </c>
      <c r="V283" s="477">
        <f>IFERROR((('Budget Filing Data'!AF277+'Budget Filing Data'!AG277+'Budget Filing Data'!AY277+'Budget Filing Data'!AH277+'Budget Filing Data'!AW277+'Budget Filing Data'!AX277)/('Budget Filing Data'!AE277)),"")</f>
        <v>0</v>
      </c>
      <c r="W283" s="477">
        <f>IFERROR(('Budget Filing Data'!AI277+'Budget Filing Data'!AJ277+'Budget Filing Data'!AK277+'Budget Filing Data'!AH277)/('Budget Filing Data'!AC277),"")</f>
        <v>0</v>
      </c>
      <c r="X283" s="477">
        <f>IFERROR(('Budget Filing Data'!AL277+'Budget Filing Data'!AM277+'Budget Filing Data'!AN277+'Budget Filing Data'!AH277)/('Budget Filing Data'!AD277),"")</f>
        <v>0</v>
      </c>
      <c r="Y283" s="478">
        <f>'Budget Filing Data'!Q277</f>
        <v>0</v>
      </c>
      <c r="Z283" s="478">
        <f>'Budget Filing Data'!R277</f>
        <v>0</v>
      </c>
      <c r="AA283" s="478">
        <f>'Budget Filing Data'!S277</f>
        <v>0</v>
      </c>
      <c r="AB283" s="478">
        <f>'Budget Filing Data'!AO277</f>
        <v>0</v>
      </c>
      <c r="AC283" s="478">
        <f>'Budget Filing Data'!AP277</f>
        <v>0</v>
      </c>
      <c r="AD283" s="478">
        <f>'Budget Filing Data'!T277</f>
        <v>0</v>
      </c>
      <c r="AE283" s="478">
        <f>'Budget Filing Data'!U277</f>
        <v>0</v>
      </c>
      <c r="AF283" s="478">
        <f>'Budget Filing Data'!$V277</f>
        <v>0</v>
      </c>
      <c r="AG283" s="478">
        <f>'Budget Filing Data'!$W277</f>
        <v>0</v>
      </c>
      <c r="AH283" s="479">
        <v>0</v>
      </c>
    </row>
    <row r="284" spans="3:34">
      <c r="C284" s="470" t="str">
        <f>'Budget Filing Data'!D278</f>
        <v>SDGE_SW_NC_NonRes_Res_mixed</v>
      </c>
      <c r="D284" s="470" t="str">
        <f>'Budget Filing Data'!E278</f>
        <v>SW New Construction NonResidential - Residential - Mixed Fuel</v>
      </c>
      <c r="E284" s="471"/>
      <c r="F284" s="480"/>
      <c r="G284" s="472" t="str">
        <f>'Budget Filing Data'!J278</f>
        <v>Third-Party Solicited</v>
      </c>
      <c r="H284" s="472" t="str">
        <f>IF('Budget Filing Data'!H278="","",'Budget Filing Data'!H278)</f>
        <v>SW_NC_NonRes_Res_mixed - New Construction - NonResidential - Mixed Fuel</v>
      </c>
      <c r="I284" s="473" t="s">
        <v>24</v>
      </c>
      <c r="J284" s="472" t="str">
        <f>'Budget Filing Data'!G278</f>
        <v>Residential</v>
      </c>
      <c r="K284" s="472" t="str">
        <f>'Budget Filing Data'!I278</f>
        <v>New Construction</v>
      </c>
      <c r="L284" s="472" t="str">
        <f>'Budget Filing Data'!L278</f>
        <v>Market Support</v>
      </c>
      <c r="M284" s="472">
        <f>'Budget Filing Data'!B278</f>
        <v>2031</v>
      </c>
      <c r="N284" s="474">
        <f t="shared" si="4"/>
        <v>0</v>
      </c>
      <c r="O284" s="475">
        <f>'Budget Filing Data'!AQ278</f>
        <v>0</v>
      </c>
      <c r="P284" s="475">
        <f>'Budget Filing Data'!AR278</f>
        <v>0</v>
      </c>
      <c r="Q284" s="475">
        <f>'Budget Filing Data'!AS278</f>
        <v>0</v>
      </c>
      <c r="R284" s="475">
        <f>'Budget Filing Data'!AT278</f>
        <v>0</v>
      </c>
      <c r="S284" s="476">
        <f>'Budget Filing Data'!X278</f>
        <v>0</v>
      </c>
      <c r="T284" s="477" t="str">
        <f>IFERROR((('Budget Filing Data'!AF278+'Budget Filing Data'!AG278+'Budget Filing Data'!AY278+'Budget Filing Data'!AH278)/'Budget Filing Data'!AA278),"")</f>
        <v/>
      </c>
      <c r="U284" s="477" t="str">
        <f>IFERROR((('Budget Filing Data'!AF278+'Budget Filing Data'!AG278+'Budget Filing Data'!AY278+'Budget Filing Data'!AH278)/'Budget Filing Data'!AB278),"")</f>
        <v/>
      </c>
      <c r="V284" s="477" t="str">
        <f>IFERROR((('Budget Filing Data'!AF278+'Budget Filing Data'!AG278+'Budget Filing Data'!AY278+'Budget Filing Data'!AH278+'Budget Filing Data'!AW278+'Budget Filing Data'!AX278)/('Budget Filing Data'!AE278)),"")</f>
        <v/>
      </c>
      <c r="W284" s="477" t="str">
        <f>IFERROR(('Budget Filing Data'!AI278+'Budget Filing Data'!AJ278+'Budget Filing Data'!AK278+'Budget Filing Data'!AH278)/('Budget Filing Data'!AC278),"")</f>
        <v/>
      </c>
      <c r="X284" s="477" t="str">
        <f>IFERROR(('Budget Filing Data'!AL278+'Budget Filing Data'!AM278+'Budget Filing Data'!AN278+'Budget Filing Data'!AH278)/('Budget Filing Data'!AD278),"")</f>
        <v/>
      </c>
      <c r="Y284" s="478">
        <f>'Budget Filing Data'!Q278</f>
        <v>0</v>
      </c>
      <c r="Z284" s="478">
        <f>'Budget Filing Data'!R278</f>
        <v>0</v>
      </c>
      <c r="AA284" s="478">
        <f>'Budget Filing Data'!S278</f>
        <v>0</v>
      </c>
      <c r="AB284" s="478">
        <f>'Budget Filing Data'!AO278</f>
        <v>0</v>
      </c>
      <c r="AC284" s="478">
        <f>'Budget Filing Data'!AP278</f>
        <v>0</v>
      </c>
      <c r="AD284" s="478">
        <f>'Budget Filing Data'!T278</f>
        <v>0</v>
      </c>
      <c r="AE284" s="478">
        <f>'Budget Filing Data'!U278</f>
        <v>0</v>
      </c>
      <c r="AF284" s="478">
        <f>'Budget Filing Data'!$V278</f>
        <v>0</v>
      </c>
      <c r="AG284" s="478">
        <f>'Budget Filing Data'!$W278</f>
        <v>0</v>
      </c>
      <c r="AH284" s="479">
        <v>0</v>
      </c>
    </row>
    <row r="285" spans="3:34">
      <c r="C285" s="470" t="str">
        <f>'Budget Filing Data'!D279</f>
        <v>SDGE_SW_NC_NonRes_Res_mixed_PA</v>
      </c>
      <c r="D285" s="470" t="str">
        <f>'Budget Filing Data'!E279</f>
        <v>SW New Construction NonResidential - Residential - Mixed Fuel (Utility)</v>
      </c>
      <c r="E285" s="471"/>
      <c r="F285" s="480"/>
      <c r="G285" s="472" t="str">
        <f>'Budget Filing Data'!J279</f>
        <v>IOU Core</v>
      </c>
      <c r="H285" s="472" t="str">
        <f>IF('Budget Filing Data'!H279="","",'Budget Filing Data'!H279)</f>
        <v>SW_NC_NonRes_Res_mixed - New Construction - NonResidential - Mixed Fuel</v>
      </c>
      <c r="I285" s="473" t="s">
        <v>24</v>
      </c>
      <c r="J285" s="472" t="str">
        <f>'Budget Filing Data'!G279</f>
        <v>Residential</v>
      </c>
      <c r="K285" s="472" t="str">
        <f>'Budget Filing Data'!I279</f>
        <v>New Construction</v>
      </c>
      <c r="L285" s="472" t="str">
        <f>'Budget Filing Data'!L279</f>
        <v>Market Support</v>
      </c>
      <c r="M285" s="472">
        <f>'Budget Filing Data'!B279</f>
        <v>2031</v>
      </c>
      <c r="N285" s="474">
        <f t="shared" si="4"/>
        <v>0</v>
      </c>
      <c r="O285" s="475">
        <f>'Budget Filing Data'!AQ279</f>
        <v>0</v>
      </c>
      <c r="P285" s="475">
        <f>'Budget Filing Data'!AR279</f>
        <v>0</v>
      </c>
      <c r="Q285" s="475">
        <f>'Budget Filing Data'!AS279</f>
        <v>0</v>
      </c>
      <c r="R285" s="475">
        <f>'Budget Filing Data'!AT279</f>
        <v>0</v>
      </c>
      <c r="S285" s="476">
        <f>'Budget Filing Data'!X279</f>
        <v>0</v>
      </c>
      <c r="T285" s="477" t="str">
        <f>IFERROR((('Budget Filing Data'!AF279+'Budget Filing Data'!AG279+'Budget Filing Data'!AY279+'Budget Filing Data'!AH279)/'Budget Filing Data'!AA279),"")</f>
        <v/>
      </c>
      <c r="U285" s="477" t="str">
        <f>IFERROR((('Budget Filing Data'!AF279+'Budget Filing Data'!AG279+'Budget Filing Data'!AY279+'Budget Filing Data'!AH279)/'Budget Filing Data'!AB279),"")</f>
        <v/>
      </c>
      <c r="V285" s="477" t="str">
        <f>IFERROR((('Budget Filing Data'!AF279+'Budget Filing Data'!AG279+'Budget Filing Data'!AY279+'Budget Filing Data'!AH279+'Budget Filing Data'!AW279+'Budget Filing Data'!AX279)/('Budget Filing Data'!AE279)),"")</f>
        <v/>
      </c>
      <c r="W285" s="477" t="str">
        <f>IFERROR(('Budget Filing Data'!AI279+'Budget Filing Data'!AJ279+'Budget Filing Data'!AK279+'Budget Filing Data'!AH279)/('Budget Filing Data'!AC279),"")</f>
        <v/>
      </c>
      <c r="X285" s="477" t="str">
        <f>IFERROR(('Budget Filing Data'!AL279+'Budget Filing Data'!AM279+'Budget Filing Data'!AN279+'Budget Filing Data'!AH279)/('Budget Filing Data'!AD279),"")</f>
        <v/>
      </c>
      <c r="Y285" s="478">
        <f>'Budget Filing Data'!Q279</f>
        <v>0</v>
      </c>
      <c r="Z285" s="478">
        <f>'Budget Filing Data'!R279</f>
        <v>0</v>
      </c>
      <c r="AA285" s="478">
        <f>'Budget Filing Data'!S279</f>
        <v>0</v>
      </c>
      <c r="AB285" s="478">
        <f>'Budget Filing Data'!AO279</f>
        <v>0</v>
      </c>
      <c r="AC285" s="478">
        <f>'Budget Filing Data'!AP279</f>
        <v>0</v>
      </c>
      <c r="AD285" s="478">
        <f>'Budget Filing Data'!T279</f>
        <v>0</v>
      </c>
      <c r="AE285" s="478">
        <f>'Budget Filing Data'!U279</f>
        <v>0</v>
      </c>
      <c r="AF285" s="478">
        <f>'Budget Filing Data'!$V279</f>
        <v>0</v>
      </c>
      <c r="AG285" s="478">
        <f>'Budget Filing Data'!$W279</f>
        <v>0</v>
      </c>
      <c r="AH285" s="479">
        <v>0</v>
      </c>
    </row>
    <row r="286" spans="3:34">
      <c r="C286" s="470" t="str">
        <f>'Budget Filing Data'!D280</f>
        <v>SDGE_SW_NC_Res_electric</v>
      </c>
      <c r="D286" s="470" t="str">
        <f>'Budget Filing Data'!E280</f>
        <v>SW New Construction Residential - All Electric</v>
      </c>
      <c r="E286" s="471"/>
      <c r="F286" s="480"/>
      <c r="G286" s="472" t="str">
        <f>'Budget Filing Data'!J280</f>
        <v>Third-Party Solicited</v>
      </c>
      <c r="H286" s="472" t="str">
        <f>IF('Budget Filing Data'!H280="","",'Budget Filing Data'!H280)</f>
        <v>SW_NC_Res_electric - New Construction - Residential - All Electric</v>
      </c>
      <c r="I286" s="473" t="s">
        <v>24</v>
      </c>
      <c r="J286" s="472" t="str">
        <f>'Budget Filing Data'!G280</f>
        <v>Residential</v>
      </c>
      <c r="K286" s="472" t="str">
        <f>'Budget Filing Data'!I280</f>
        <v>New Construction</v>
      </c>
      <c r="L286" s="472" t="str">
        <f>'Budget Filing Data'!L280</f>
        <v>Market Support</v>
      </c>
      <c r="M286" s="472">
        <f>'Budget Filing Data'!B280</f>
        <v>2031</v>
      </c>
      <c r="N286" s="474">
        <f t="shared" si="4"/>
        <v>996423.9738830002</v>
      </c>
      <c r="O286" s="475">
        <f>'Budget Filing Data'!AQ280</f>
        <v>31889.858</v>
      </c>
      <c r="P286" s="475">
        <f>'Budget Filing Data'!AR280</f>
        <v>20020</v>
      </c>
      <c r="Q286" s="475">
        <f>'Budget Filing Data'!AS280</f>
        <v>324899.66600000003</v>
      </c>
      <c r="R286" s="475">
        <f>'Budget Filing Data'!AT280</f>
        <v>619614.44988300011</v>
      </c>
      <c r="S286" s="476">
        <f>'Budget Filing Data'!X280</f>
        <v>758360.47530088737</v>
      </c>
      <c r="T286" s="477">
        <f>IFERROR((('Budget Filing Data'!AF280+'Budget Filing Data'!AG280+'Budget Filing Data'!AY280+'Budget Filing Data'!AH280)/'Budget Filing Data'!AA280),"")</f>
        <v>0.72974227581555251</v>
      </c>
      <c r="U286" s="477">
        <f>IFERROR((('Budget Filing Data'!AF280+'Budget Filing Data'!AG280+'Budget Filing Data'!AY280+'Budget Filing Data'!AH280)/'Budget Filing Data'!AB280),"")</f>
        <v>0.80986680725537752</v>
      </c>
      <c r="V286" s="477">
        <f>IFERROR((('Budget Filing Data'!AF280+'Budget Filing Data'!AG280+'Budget Filing Data'!AY280+'Budget Filing Data'!AH280+'Budget Filing Data'!AW280+'Budget Filing Data'!AX280)/('Budget Filing Data'!AE280)),"")</f>
        <v>0.80553972144035269</v>
      </c>
      <c r="W286" s="477">
        <f>IFERROR(('Budget Filing Data'!AI280+'Budget Filing Data'!AJ280+'Budget Filing Data'!AK280+'Budget Filing Data'!AH280)/('Budget Filing Data'!AC280),"")</f>
        <v>0.87734767551223281</v>
      </c>
      <c r="X286" s="477">
        <f>IFERROR(('Budget Filing Data'!AL280+'Budget Filing Data'!AM280+'Budget Filing Data'!AN280+'Budget Filing Data'!AH280)/('Budget Filing Data'!AD280),"")</f>
        <v>0.87734767551223281</v>
      </c>
      <c r="Y286" s="478">
        <f>'Budget Filing Data'!Q280</f>
        <v>-110451.3769784977</v>
      </c>
      <c r="Z286" s="478">
        <f>'Budget Filing Data'!R280</f>
        <v>0</v>
      </c>
      <c r="AA286" s="478">
        <f>'Budget Filing Data'!S280</f>
        <v>17136.452128098463</v>
      </c>
      <c r="AB286" s="478">
        <f>'Budget Filing Data'!AO280</f>
        <v>-20.89481627119083</v>
      </c>
      <c r="AC286" s="478">
        <f>'Budget Filing Data'!AP280</f>
        <v>90.994560800202862</v>
      </c>
      <c r="AD286" s="478">
        <f>'Budget Filing Data'!T280</f>
        <v>-1250737.7640155666</v>
      </c>
      <c r="AE286" s="478">
        <f>'Budget Filing Data'!U280</f>
        <v>210907.5895456849</v>
      </c>
      <c r="AF286" s="478">
        <f>'Budget Filing Data'!$V280</f>
        <v>-263.8768405580484</v>
      </c>
      <c r="AG286" s="478">
        <f>'Budget Filing Data'!$W280</f>
        <v>1119.9193004875856</v>
      </c>
      <c r="AH286" s="479">
        <v>0</v>
      </c>
    </row>
    <row r="287" spans="3:34" ht="25.5">
      <c r="C287" s="470" t="str">
        <f>'Budget Filing Data'!D281</f>
        <v>SDGE_SW_NC_Res_electric_PA</v>
      </c>
      <c r="D287" s="470" t="str">
        <f>'Budget Filing Data'!E281</f>
        <v>SW New Construction Residential - All Electric (Utility)</v>
      </c>
      <c r="E287" s="471" t="s">
        <v>42</v>
      </c>
      <c r="F287" s="471" t="s">
        <v>325</v>
      </c>
      <c r="G287" s="472" t="str">
        <f>'Budget Filing Data'!J281</f>
        <v>IOU Core</v>
      </c>
      <c r="H287" s="472" t="str">
        <f>IF('Budget Filing Data'!H281="","",'Budget Filing Data'!H281)</f>
        <v>SW_NC_Res_electric - New Construction - Residential - All Electric</v>
      </c>
      <c r="I287" s="473" t="s">
        <v>24</v>
      </c>
      <c r="J287" s="472" t="str">
        <f>'Budget Filing Data'!G281</f>
        <v>Residential</v>
      </c>
      <c r="K287" s="472" t="str">
        <f>'Budget Filing Data'!I281</f>
        <v>New Construction</v>
      </c>
      <c r="L287" s="472" t="str">
        <f>'Budget Filing Data'!L281</f>
        <v>Market Support</v>
      </c>
      <c r="M287" s="472">
        <f>'Budget Filing Data'!B281</f>
        <v>2031</v>
      </c>
      <c r="N287" s="474">
        <f t="shared" si="4"/>
        <v>7901.1320999999998</v>
      </c>
      <c r="O287" s="475">
        <f>'Budget Filing Data'!AQ281</f>
        <v>7901.1320999999998</v>
      </c>
      <c r="P287" s="475">
        <f>'Budget Filing Data'!AR281</f>
        <v>0</v>
      </c>
      <c r="Q287" s="475">
        <f>'Budget Filing Data'!AS281</f>
        <v>0</v>
      </c>
      <c r="R287" s="475">
        <f>'Budget Filing Data'!AT281</f>
        <v>0</v>
      </c>
      <c r="S287" s="476">
        <f>'Budget Filing Data'!X281</f>
        <v>0</v>
      </c>
      <c r="T287" s="477">
        <f>IFERROR((('Budget Filing Data'!AF281+'Budget Filing Data'!AG281+'Budget Filing Data'!AY281+'Budget Filing Data'!AH281)/'Budget Filing Data'!AA281),"")</f>
        <v>0</v>
      </c>
      <c r="U287" s="477">
        <f>IFERROR((('Budget Filing Data'!AF281+'Budget Filing Data'!AG281+'Budget Filing Data'!AY281+'Budget Filing Data'!AH281)/'Budget Filing Data'!AB281),"")</f>
        <v>0</v>
      </c>
      <c r="V287" s="477">
        <f>IFERROR((('Budget Filing Data'!AF281+'Budget Filing Data'!AG281+'Budget Filing Data'!AY281+'Budget Filing Data'!AH281+'Budget Filing Data'!AW281+'Budget Filing Data'!AX281)/('Budget Filing Data'!AE281)),"")</f>
        <v>0</v>
      </c>
      <c r="W287" s="477">
        <f>IFERROR(('Budget Filing Data'!AI281+'Budget Filing Data'!AJ281+'Budget Filing Data'!AK281+'Budget Filing Data'!AH281)/('Budget Filing Data'!AC281),"")</f>
        <v>0</v>
      </c>
      <c r="X287" s="477">
        <f>IFERROR(('Budget Filing Data'!AL281+'Budget Filing Data'!AM281+'Budget Filing Data'!AN281+'Budget Filing Data'!AH281)/('Budget Filing Data'!AD281),"")</f>
        <v>0</v>
      </c>
      <c r="Y287" s="478">
        <f>'Budget Filing Data'!Q281</f>
        <v>0</v>
      </c>
      <c r="Z287" s="478">
        <f>'Budget Filing Data'!R281</f>
        <v>0</v>
      </c>
      <c r="AA287" s="478">
        <f>'Budget Filing Data'!S281</f>
        <v>0</v>
      </c>
      <c r="AB287" s="478">
        <f>'Budget Filing Data'!AO281</f>
        <v>0</v>
      </c>
      <c r="AC287" s="478">
        <f>'Budget Filing Data'!AP281</f>
        <v>0</v>
      </c>
      <c r="AD287" s="478">
        <f>'Budget Filing Data'!T281</f>
        <v>0</v>
      </c>
      <c r="AE287" s="478">
        <f>'Budget Filing Data'!U281</f>
        <v>0</v>
      </c>
      <c r="AF287" s="478">
        <f>'Budget Filing Data'!$V281</f>
        <v>0</v>
      </c>
      <c r="AG287" s="478">
        <f>'Budget Filing Data'!$W281</f>
        <v>0</v>
      </c>
      <c r="AH287" s="479">
        <v>0</v>
      </c>
    </row>
    <row r="288" spans="3:34" ht="25.5" hidden="1">
      <c r="C288" s="470" t="str">
        <f>'Budget Filing Data'!D282</f>
        <v>SDGE4168</v>
      </c>
      <c r="D288" s="470" t="str">
        <f>'Budget Filing Data'!E282</f>
        <v>Lodging (Hotels/Motels)</v>
      </c>
      <c r="E288" s="471" t="s">
        <v>42</v>
      </c>
      <c r="F288" s="471" t="s">
        <v>321</v>
      </c>
      <c r="G288" s="472" t="str">
        <f>'Budget Filing Data'!J282</f>
        <v>Third-Party Solicited</v>
      </c>
      <c r="H288" s="472" t="str">
        <f>IF('Budget Filing Data'!H282="","",'Budget Filing Data'!H282)</f>
        <v/>
      </c>
      <c r="I288" s="473" t="s">
        <v>24</v>
      </c>
      <c r="J288" s="472" t="str">
        <f>'Budget Filing Data'!G282</f>
        <v>Commercial</v>
      </c>
      <c r="K288" s="472" t="str">
        <f>'Budget Filing Data'!I282</f>
        <v>Other</v>
      </c>
      <c r="L288" s="472" t="str">
        <f>'Budget Filing Data'!L282</f>
        <v>Resource Acquisition</v>
      </c>
      <c r="M288" s="472">
        <f>'Budget Filing Data'!B282</f>
        <v>2031</v>
      </c>
      <c r="N288" s="474">
        <f t="shared" si="4"/>
        <v>1837753.2179999999</v>
      </c>
      <c r="O288" s="475">
        <f>'Budget Filing Data'!AQ282</f>
        <v>251005.73800000001</v>
      </c>
      <c r="P288" s="475">
        <f>'Budget Filing Data'!AR282</f>
        <v>99913.303599999999</v>
      </c>
      <c r="Q288" s="475">
        <f>'Budget Filing Data'!AS282</f>
        <v>597837.39939999999</v>
      </c>
      <c r="R288" s="475">
        <f>'Budget Filing Data'!AT282</f>
        <v>888996.777</v>
      </c>
      <c r="S288" s="476">
        <f>'Budget Filing Data'!X282</f>
        <v>2540964.7289906498</v>
      </c>
      <c r="T288" s="477">
        <f>IFERROR((('Budget Filing Data'!AF282+'Budget Filing Data'!AG282+'Budget Filing Data'!AY282+'Budget Filing Data'!AH282)/'Budget Filing Data'!AA282),"")</f>
        <v>1.1601479982975311</v>
      </c>
      <c r="U288" s="477">
        <f>IFERROR((('Budget Filing Data'!AF282+'Budget Filing Data'!AG282+'Budget Filing Data'!AY282+'Budget Filing Data'!AH282)/'Budget Filing Data'!AB282),"")</f>
        <v>1.4070202764818638</v>
      </c>
      <c r="V288" s="477">
        <f>IFERROR((('Budget Filing Data'!AF282+'Budget Filing Data'!AG282+'Budget Filing Data'!AY282+'Budget Filing Data'!AH282+'Budget Filing Data'!AW282+'Budget Filing Data'!AX282)/('Budget Filing Data'!AE282)),"")</f>
        <v>0.19092799266078692</v>
      </c>
      <c r="W288" s="477">
        <f>IFERROR(('Budget Filing Data'!AI282+'Budget Filing Data'!AJ282+'Budget Filing Data'!AK282+'Budget Filing Data'!AH282)/('Budget Filing Data'!AC282),"")</f>
        <v>1.3318198214173869</v>
      </c>
      <c r="X288" s="477">
        <f>IFERROR(('Budget Filing Data'!AL282+'Budget Filing Data'!AM282+'Budget Filing Data'!AN282+'Budget Filing Data'!AH282)/('Budget Filing Data'!AD282),"")</f>
        <v>1.3318198214173869</v>
      </c>
      <c r="Y288" s="478">
        <f>'Budget Filing Data'!Q282</f>
        <v>2946467.8824300002</v>
      </c>
      <c r="Z288" s="478">
        <f>'Budget Filing Data'!R282</f>
        <v>450.03268709999998</v>
      </c>
      <c r="AA288" s="478">
        <f>'Budget Filing Data'!S282</f>
        <v>6812.24867163</v>
      </c>
      <c r="AB288" s="478">
        <f>'Budget Filing Data'!AO282</f>
        <v>390.79445494851399</v>
      </c>
      <c r="AC288" s="478">
        <f>'Budget Filing Data'!AP282</f>
        <v>36.173040446355301</v>
      </c>
      <c r="AD288" s="478">
        <f>'Budget Filing Data'!T282</f>
        <v>33241579.214714099</v>
      </c>
      <c r="AE288" s="478">
        <f>'Budget Filing Data'!U282</f>
        <v>76854.699553542203</v>
      </c>
      <c r="AF288" s="478">
        <f>'Budget Filing Data'!$V282</f>
        <v>4749.8452443204696</v>
      </c>
      <c r="AG288" s="478">
        <f>'Budget Filing Data'!$W282</f>
        <v>408.098454629309</v>
      </c>
      <c r="AH288" s="479">
        <v>0</v>
      </c>
    </row>
    <row r="289" spans="3:34" hidden="1">
      <c r="C289" s="470" t="str">
        <f>'Budget Filing Data'!D283</f>
        <v>SDGE4169</v>
      </c>
      <c r="D289" s="470" t="str">
        <f>'Budget Filing Data'!E283</f>
        <v>Groceries, Restaurants and Food Storage</v>
      </c>
      <c r="E289" s="471"/>
      <c r="F289" s="480"/>
      <c r="G289" s="472" t="str">
        <f>'Budget Filing Data'!J283</f>
        <v>Third-Party Solicited</v>
      </c>
      <c r="H289" s="472" t="str">
        <f>IF('Budget Filing Data'!H283="","",'Budget Filing Data'!H283)</f>
        <v/>
      </c>
      <c r="I289" s="473" t="s">
        <v>24</v>
      </c>
      <c r="J289" s="472" t="str">
        <f>'Budget Filing Data'!G283</f>
        <v>Commercial</v>
      </c>
      <c r="K289" s="472" t="str">
        <f>'Budget Filing Data'!I283</f>
        <v>Other</v>
      </c>
      <c r="L289" s="472" t="str">
        <f>'Budget Filing Data'!L283</f>
        <v>Resource Acquisition</v>
      </c>
      <c r="M289" s="472">
        <f>'Budget Filing Data'!B283</f>
        <v>2031</v>
      </c>
      <c r="N289" s="474">
        <f t="shared" si="4"/>
        <v>2000155.3293999999</v>
      </c>
      <c r="O289" s="475">
        <f>'Budget Filing Data'!AQ283</f>
        <v>185328.77340000001</v>
      </c>
      <c r="P289" s="475">
        <f>'Budget Filing Data'!AR283</f>
        <v>111448.3036</v>
      </c>
      <c r="Q289" s="475">
        <f>'Budget Filing Data'!AS283</f>
        <v>903230.43550000002</v>
      </c>
      <c r="R289" s="475">
        <f>'Budget Filing Data'!AT283</f>
        <v>800147.81689999998</v>
      </c>
      <c r="S289" s="476">
        <f>'Budget Filing Data'!X283</f>
        <v>2754503.7140586898</v>
      </c>
      <c r="T289" s="477">
        <f>IFERROR((('Budget Filing Data'!AF283+'Budget Filing Data'!AG283+'Budget Filing Data'!AY283+'Budget Filing Data'!AH283)/'Budget Filing Data'!AA283),"")</f>
        <v>0.83745453649092061</v>
      </c>
      <c r="U289" s="477">
        <f>IFERROR((('Budget Filing Data'!AF283+'Budget Filing Data'!AG283+'Budget Filing Data'!AY283+'Budget Filing Data'!AH283)/'Budget Filing Data'!AB283),"")</f>
        <v>1.3971066413330511</v>
      </c>
      <c r="V289" s="477">
        <f>IFERROR((('Budget Filing Data'!AF283+'Budget Filing Data'!AG283+'Budget Filing Data'!AY283+'Budget Filing Data'!AH283+'Budget Filing Data'!AW283+'Budget Filing Data'!AX283)/('Budget Filing Data'!AE283)),"")</f>
        <v>0.14612059357455215</v>
      </c>
      <c r="W289" s="477">
        <f>IFERROR(('Budget Filing Data'!AI283+'Budget Filing Data'!AJ283+'Budget Filing Data'!AK283+'Budget Filing Data'!AH283)/('Budget Filing Data'!AC283),"")</f>
        <v>0.97911087904910166</v>
      </c>
      <c r="X289" s="477">
        <f>IFERROR(('Budget Filing Data'!AL283+'Budget Filing Data'!AM283+'Budget Filing Data'!AN283+'Budget Filing Data'!AH283)/('Budget Filing Data'!AD283),"")</f>
        <v>0.97911087904910166</v>
      </c>
      <c r="Y289" s="478">
        <f>'Budget Filing Data'!Q283</f>
        <v>3475537.8421181901</v>
      </c>
      <c r="Z289" s="478">
        <f>'Budget Filing Data'!R283</f>
        <v>507.89385279482599</v>
      </c>
      <c r="AA289" s="478">
        <f>'Budget Filing Data'!S283</f>
        <v>4212.1203632551296</v>
      </c>
      <c r="AB289" s="478">
        <f>'Budget Filing Data'!AO283</f>
        <v>304.40850199034799</v>
      </c>
      <c r="AC289" s="478">
        <f>'Budget Filing Data'!AP283</f>
        <v>22.366359128884799</v>
      </c>
      <c r="AD289" s="478">
        <f>'Budget Filing Data'!T283</f>
        <v>52133067.631772801</v>
      </c>
      <c r="AE289" s="478">
        <f>'Budget Filing Data'!U283</f>
        <v>63181.805448826999</v>
      </c>
      <c r="AF289" s="478">
        <f>'Budget Filing Data'!$V283</f>
        <v>4344.5009504098698</v>
      </c>
      <c r="AG289" s="478">
        <f>'Budget Filing Data'!$W283</f>
        <v>335.49538693327099</v>
      </c>
      <c r="AH289" s="479">
        <v>0</v>
      </c>
    </row>
    <row r="290" spans="3:34" ht="25.5" hidden="1">
      <c r="C290" s="470" t="str">
        <f>'Budget Filing Data'!D284</f>
        <v>SDGE4170</v>
      </c>
      <c r="D290" s="470" t="str">
        <f>'Budget Filing Data'!E284</f>
        <v>Wholesale/Retail/Office, including Entertainment Services</v>
      </c>
      <c r="E290" s="471" t="s">
        <v>42</v>
      </c>
      <c r="F290" s="471" t="s">
        <v>321</v>
      </c>
      <c r="G290" s="472" t="str">
        <f>'Budget Filing Data'!J284</f>
        <v>Third-Party Solicited</v>
      </c>
      <c r="H290" s="472" t="str">
        <f>IF('Budget Filing Data'!H284="","",'Budget Filing Data'!H284)</f>
        <v/>
      </c>
      <c r="I290" s="473" t="s">
        <v>24</v>
      </c>
      <c r="J290" s="472" t="str">
        <f>'Budget Filing Data'!G284</f>
        <v>Commercial</v>
      </c>
      <c r="K290" s="472" t="str">
        <f>'Budget Filing Data'!I284</f>
        <v>Other</v>
      </c>
      <c r="L290" s="472" t="str">
        <f>'Budget Filing Data'!L284</f>
        <v>Resource Acquisition</v>
      </c>
      <c r="M290" s="472">
        <f>'Budget Filing Data'!B284</f>
        <v>2031</v>
      </c>
      <c r="N290" s="474">
        <f t="shared" si="4"/>
        <v>6183970.0920000002</v>
      </c>
      <c r="O290" s="475">
        <f>'Budget Filing Data'!AQ284</f>
        <v>416084.32189999998</v>
      </c>
      <c r="P290" s="475">
        <f>'Budget Filing Data'!AR284</f>
        <v>94396.303599999999</v>
      </c>
      <c r="Q290" s="475">
        <f>'Budget Filing Data'!AS284</f>
        <v>3090575.5065000001</v>
      </c>
      <c r="R290" s="475">
        <f>'Budget Filing Data'!AT284</f>
        <v>2582913.96</v>
      </c>
      <c r="S290" s="476">
        <f>'Budget Filing Data'!X284</f>
        <v>10086549.29208</v>
      </c>
      <c r="T290" s="477">
        <f>IFERROR((('Budget Filing Data'!AF284+'Budget Filing Data'!AG284+'Budget Filing Data'!AY284+'Budget Filing Data'!AH284)/'Budget Filing Data'!AA284),"")</f>
        <v>1.4955757369595299</v>
      </c>
      <c r="U290" s="477">
        <f>IFERROR((('Budget Filing Data'!AF284+'Budget Filing Data'!AG284+'Budget Filing Data'!AY284+'Budget Filing Data'!AH284)/'Budget Filing Data'!AB284),"")</f>
        <v>1.652207892971298</v>
      </c>
      <c r="V290" s="477">
        <f>IFERROR((('Budget Filing Data'!AF284+'Budget Filing Data'!AG284+'Budget Filing Data'!AY284+'Budget Filing Data'!AH284+'Budget Filing Data'!AW284+'Budget Filing Data'!AX284)/('Budget Filing Data'!AE284)),"")</f>
        <v>0.53344421311923573</v>
      </c>
      <c r="W290" s="477">
        <f>IFERROR(('Budget Filing Data'!AI284+'Budget Filing Data'!AJ284+'Budget Filing Data'!AK284+'Budget Filing Data'!AH284)/('Budget Filing Data'!AC284),"")</f>
        <v>2.0640793739269037</v>
      </c>
      <c r="X290" s="477">
        <f>IFERROR(('Budget Filing Data'!AL284+'Budget Filing Data'!AM284+'Budget Filing Data'!AN284+'Budget Filing Data'!AH284)/('Budget Filing Data'!AD284),"")</f>
        <v>2.0640793739269037</v>
      </c>
      <c r="Y290" s="478">
        <f>'Budget Filing Data'!Q284</f>
        <v>2135538.6396508701</v>
      </c>
      <c r="Z290" s="478">
        <f>'Budget Filing Data'!R284</f>
        <v>259.69415411677801</v>
      </c>
      <c r="AA290" s="478">
        <f>'Budget Filing Data'!S284</f>
        <v>332729.81458231597</v>
      </c>
      <c r="AB290" s="478">
        <f>'Budget Filing Data'!AO284</f>
        <v>328.24797974681502</v>
      </c>
      <c r="AC290" s="478">
        <f>'Budget Filing Data'!AP284</f>
        <v>1766.7953154321001</v>
      </c>
      <c r="AD290" s="478">
        <f>'Budget Filing Data'!T284</f>
        <v>24479850.269409101</v>
      </c>
      <c r="AE290" s="478">
        <f>'Budget Filing Data'!U284</f>
        <v>3814108.4829422501</v>
      </c>
      <c r="AF290" s="478">
        <f>'Budget Filing Data'!$V284</f>
        <v>4083.90740173523</v>
      </c>
      <c r="AG290" s="478">
        <f>'Budget Filing Data'!$W284</f>
        <v>20252.9160444234</v>
      </c>
      <c r="AH290" s="479">
        <v>0</v>
      </c>
    </row>
    <row r="291" spans="3:34" ht="25.5" hidden="1">
      <c r="C291" s="470" t="str">
        <f>'Budget Filing Data'!D285</f>
        <v>SDGE4171</v>
      </c>
      <c r="D291" s="470" t="str">
        <f>'Budget Filing Data'!E285</f>
        <v>Private Institutions/Healthcare</v>
      </c>
      <c r="E291" s="471" t="s">
        <v>42</v>
      </c>
      <c r="F291" s="471" t="s">
        <v>321</v>
      </c>
      <c r="G291" s="472" t="str">
        <f>'Budget Filing Data'!J285</f>
        <v>Third-Party Solicited</v>
      </c>
      <c r="H291" s="472" t="str">
        <f>IF('Budget Filing Data'!H285="","",'Budget Filing Data'!H285)</f>
        <v/>
      </c>
      <c r="I291" s="473" t="s">
        <v>24</v>
      </c>
      <c r="J291" s="472" t="str">
        <f>'Budget Filing Data'!G285</f>
        <v>Commercial</v>
      </c>
      <c r="K291" s="472" t="str">
        <f>'Budget Filing Data'!I285</f>
        <v>Other</v>
      </c>
      <c r="L291" s="472" t="str">
        <f>'Budget Filing Data'!L285</f>
        <v>Resource Acquisition</v>
      </c>
      <c r="M291" s="472">
        <f>'Budget Filing Data'!B285</f>
        <v>2031</v>
      </c>
      <c r="N291" s="474">
        <f t="shared" si="4"/>
        <v>1702501.9780999999</v>
      </c>
      <c r="O291" s="475">
        <f>'Budget Filing Data'!AQ285</f>
        <v>233003.56690000001</v>
      </c>
      <c r="P291" s="475">
        <f>'Budget Filing Data'!AR285</f>
        <v>92453.303599999999</v>
      </c>
      <c r="Q291" s="475">
        <f>'Budget Filing Data'!AS285</f>
        <v>485982.28759999998</v>
      </c>
      <c r="R291" s="475">
        <f>'Budget Filing Data'!AT285</f>
        <v>891062.82</v>
      </c>
      <c r="S291" s="476">
        <f>'Budget Filing Data'!X285</f>
        <v>3441337.95609533</v>
      </c>
      <c r="T291" s="477">
        <f>IFERROR((('Budget Filing Data'!AF285+'Budget Filing Data'!AG285+'Budget Filing Data'!AY285+'Budget Filing Data'!AH285)/'Budget Filing Data'!AA285),"")</f>
        <v>1.4668000293969123</v>
      </c>
      <c r="U291" s="477">
        <f>IFERROR((('Budget Filing Data'!AF285+'Budget Filing Data'!AG285+'Budget Filing Data'!AY285+'Budget Filing Data'!AH285)/'Budget Filing Data'!AB285),"")</f>
        <v>2.0599489168785956</v>
      </c>
      <c r="V291" s="477">
        <f>IFERROR((('Budget Filing Data'!AF285+'Budget Filing Data'!AG285+'Budget Filing Data'!AY285+'Budget Filing Data'!AH285+'Budget Filing Data'!AW285+'Budget Filing Data'!AX285)/('Budget Filing Data'!AE285)),"")</f>
        <v>0.28590862346966694</v>
      </c>
      <c r="W291" s="477">
        <f>IFERROR(('Budget Filing Data'!AI285+'Budget Filing Data'!AJ285+'Budget Filing Data'!AK285+'Budget Filing Data'!AH285)/('Budget Filing Data'!AC285),"")</f>
        <v>1.7722298332358535</v>
      </c>
      <c r="X291" s="477">
        <f>IFERROR(('Budget Filing Data'!AL285+'Budget Filing Data'!AM285+'Budget Filing Data'!AN285+'Budget Filing Data'!AH285)/('Budget Filing Data'!AD285),"")</f>
        <v>1.7722298332358535</v>
      </c>
      <c r="Y291" s="478">
        <f>'Budget Filing Data'!Q285</f>
        <v>3415229.2444950002</v>
      </c>
      <c r="Z291" s="478">
        <f>'Budget Filing Data'!R285</f>
        <v>319.16045750400002</v>
      </c>
      <c r="AA291" s="478">
        <f>'Budget Filing Data'!S285</f>
        <v>76780.587640950005</v>
      </c>
      <c r="AB291" s="478">
        <f>'Budget Filing Data'!AO285</f>
        <v>452.96697754123898</v>
      </c>
      <c r="AC291" s="478">
        <f>'Budget Filing Data'!AP285</f>
        <v>407.704920373444</v>
      </c>
      <c r="AD291" s="478">
        <f>'Budget Filing Data'!T285</f>
        <v>27145478.348232798</v>
      </c>
      <c r="AE291" s="478">
        <f>'Budget Filing Data'!U285</f>
        <v>610279.90514299704</v>
      </c>
      <c r="AF291" s="478">
        <f>'Budget Filing Data'!$V285</f>
        <v>3932.73160328218</v>
      </c>
      <c r="AG291" s="478">
        <f>'Budget Filing Data'!$W285</f>
        <v>3240.58629630931</v>
      </c>
      <c r="AH291" s="479">
        <v>0</v>
      </c>
    </row>
    <row r="292" spans="3:34">
      <c r="C292" s="470" t="str">
        <f>'Budget Filing Data'!D286</f>
        <v>SDGE4175</v>
      </c>
      <c r="D292" s="470" t="str">
        <f>'Budget Filing Data'!E286</f>
        <v>Local Residential Fuel-Substitution</v>
      </c>
      <c r="E292" s="471"/>
      <c r="F292" s="480"/>
      <c r="G292" s="472" t="str">
        <f>'Budget Filing Data'!J286</f>
        <v>IOU Core</v>
      </c>
      <c r="H292" s="472" t="str">
        <f>IF('Budget Filing Data'!H286="","",'Budget Filing Data'!H286)</f>
        <v/>
      </c>
      <c r="I292" s="473" t="s">
        <v>15</v>
      </c>
      <c r="J292" s="472" t="str">
        <f>'Budget Filing Data'!G286</f>
        <v>Residential</v>
      </c>
      <c r="K292" s="472" t="str">
        <f>'Budget Filing Data'!I286</f>
        <v>Other</v>
      </c>
      <c r="L292" s="472" t="str">
        <f>'Budget Filing Data'!L286</f>
        <v>Market Support</v>
      </c>
      <c r="M292" s="472">
        <f>'Budget Filing Data'!B286</f>
        <v>2031</v>
      </c>
      <c r="N292" s="474">
        <f t="shared" si="4"/>
        <v>1076048.9668000001</v>
      </c>
      <c r="O292" s="475">
        <f>'Budget Filing Data'!AQ286</f>
        <v>253623.71479999999</v>
      </c>
      <c r="P292" s="475">
        <f>'Budget Filing Data'!AR286</f>
        <v>104537.51820000001</v>
      </c>
      <c r="Q292" s="475">
        <f>'Budget Filing Data'!AS286</f>
        <v>651887.73380000005</v>
      </c>
      <c r="R292" s="475">
        <f>'Budget Filing Data'!AT286</f>
        <v>66000</v>
      </c>
      <c r="S292" s="476">
        <f>'Budget Filing Data'!X286</f>
        <v>0</v>
      </c>
      <c r="T292" s="477">
        <f>IFERROR((('Budget Filing Data'!AF286+'Budget Filing Data'!AG286+'Budget Filing Data'!AY286+'Budget Filing Data'!AH286)/'Budget Filing Data'!AA286),"")</f>
        <v>0</v>
      </c>
      <c r="U292" s="477">
        <f>IFERROR((('Budget Filing Data'!AF286+'Budget Filing Data'!AG286+'Budget Filing Data'!AY286+'Budget Filing Data'!AH286)/'Budget Filing Data'!AB286),"")</f>
        <v>0</v>
      </c>
      <c r="V292" s="477">
        <f>IFERROR((('Budget Filing Data'!AF286+'Budget Filing Data'!AG286+'Budget Filing Data'!AY286+'Budget Filing Data'!AH286+'Budget Filing Data'!AW286+'Budget Filing Data'!AX286)/('Budget Filing Data'!AE286)),"")</f>
        <v>0</v>
      </c>
      <c r="W292" s="477">
        <f>IFERROR(('Budget Filing Data'!AI286+'Budget Filing Data'!AJ286+'Budget Filing Data'!AK286+'Budget Filing Data'!AH286)/('Budget Filing Data'!AC286),"")</f>
        <v>0</v>
      </c>
      <c r="X292" s="477">
        <f>IFERROR(('Budget Filing Data'!AL286+'Budget Filing Data'!AM286+'Budget Filing Data'!AN286+'Budget Filing Data'!AH286)/('Budget Filing Data'!AD286),"")</f>
        <v>0</v>
      </c>
      <c r="Y292" s="478">
        <f>'Budget Filing Data'!Q286</f>
        <v>0</v>
      </c>
      <c r="Z292" s="478">
        <f>'Budget Filing Data'!R286</f>
        <v>0</v>
      </c>
      <c r="AA292" s="478">
        <f>'Budget Filing Data'!S286</f>
        <v>0</v>
      </c>
      <c r="AB292" s="478">
        <f>'Budget Filing Data'!AO286</f>
        <v>0</v>
      </c>
      <c r="AC292" s="478">
        <f>'Budget Filing Data'!AP286</f>
        <v>0</v>
      </c>
      <c r="AD292" s="478">
        <f>'Budget Filing Data'!T286</f>
        <v>0</v>
      </c>
      <c r="AE292" s="478">
        <f>'Budget Filing Data'!U286</f>
        <v>0</v>
      </c>
      <c r="AF292" s="478">
        <f>'Budget Filing Data'!$V286</f>
        <v>0</v>
      </c>
      <c r="AG292" s="478">
        <f>'Budget Filing Data'!$W286</f>
        <v>0</v>
      </c>
      <c r="AH292" s="479">
        <v>0</v>
      </c>
    </row>
    <row r="293" spans="3:34" hidden="1">
      <c r="C293" s="470" t="str">
        <f>'Budget Filing Data'!D287</f>
        <v>SDGE_CS_PortfolioSupport</v>
      </c>
      <c r="D293" s="470" t="str">
        <f>'Budget Filing Data'!E287</f>
        <v>Codes &amp; Standards Portfolio Support PA Costs</v>
      </c>
      <c r="E293" s="471"/>
      <c r="F293" s="480"/>
      <c r="G293" s="472" t="str">
        <f>'Budget Filing Data'!J287</f>
        <v>IOU Core</v>
      </c>
      <c r="H293" s="472" t="str">
        <f>IF('Budget Filing Data'!H287="","",'Budget Filing Data'!H287)</f>
        <v/>
      </c>
      <c r="I293" s="473" t="s">
        <v>24</v>
      </c>
      <c r="J293" s="472" t="str">
        <f>'Budget Filing Data'!G287</f>
        <v>Portfolio Support</v>
      </c>
      <c r="K293" s="472" t="str">
        <f>'Budget Filing Data'!I287</f>
        <v>Other</v>
      </c>
      <c r="L293" s="472" t="str">
        <f>'Budget Filing Data'!L287</f>
        <v>Codes and Standards</v>
      </c>
      <c r="M293" s="472">
        <f>'Budget Filing Data'!B287</f>
        <v>2031</v>
      </c>
      <c r="N293" s="474">
        <f t="shared" si="4"/>
        <v>163795.3651</v>
      </c>
      <c r="O293" s="475">
        <f>'Budget Filing Data'!AQ287</f>
        <v>163795.3651</v>
      </c>
      <c r="P293" s="475">
        <f>'Budget Filing Data'!AR287</f>
        <v>0</v>
      </c>
      <c r="Q293" s="475">
        <f>'Budget Filing Data'!AS287</f>
        <v>0</v>
      </c>
      <c r="R293" s="475">
        <f>'Budget Filing Data'!AT287</f>
        <v>0</v>
      </c>
      <c r="S293" s="476">
        <f>'Budget Filing Data'!X287</f>
        <v>0</v>
      </c>
      <c r="T293" s="477">
        <f>IFERROR((('Budget Filing Data'!AF287+'Budget Filing Data'!AG287+'Budget Filing Data'!AY287+'Budget Filing Data'!AH287)/'Budget Filing Data'!AA287),"")</f>
        <v>0</v>
      </c>
      <c r="U293" s="477">
        <f>IFERROR((('Budget Filing Data'!AF287+'Budget Filing Data'!AG287+'Budget Filing Data'!AY287+'Budget Filing Data'!AH287)/'Budget Filing Data'!AB287),"")</f>
        <v>0</v>
      </c>
      <c r="V293" s="477">
        <f>IFERROR((('Budget Filing Data'!AF287+'Budget Filing Data'!AG287+'Budget Filing Data'!AY287+'Budget Filing Data'!AH287+'Budget Filing Data'!AW287+'Budget Filing Data'!AX287)/('Budget Filing Data'!AE287)),"")</f>
        <v>0</v>
      </c>
      <c r="W293" s="477">
        <f>IFERROR(('Budget Filing Data'!AI287+'Budget Filing Data'!AJ287+'Budget Filing Data'!AK287+'Budget Filing Data'!AH287)/('Budget Filing Data'!AC287),"")</f>
        <v>0</v>
      </c>
      <c r="X293" s="477">
        <f>IFERROR(('Budget Filing Data'!AL287+'Budget Filing Data'!AM287+'Budget Filing Data'!AN287+'Budget Filing Data'!AH287)/('Budget Filing Data'!AD287),"")</f>
        <v>0</v>
      </c>
      <c r="Y293" s="478">
        <f>'Budget Filing Data'!Q287</f>
        <v>0</v>
      </c>
      <c r="Z293" s="478">
        <f>'Budget Filing Data'!R287</f>
        <v>0</v>
      </c>
      <c r="AA293" s="478">
        <f>'Budget Filing Data'!S287</f>
        <v>0</v>
      </c>
      <c r="AB293" s="478">
        <f>'Budget Filing Data'!AO287</f>
        <v>0</v>
      </c>
      <c r="AC293" s="478">
        <f>'Budget Filing Data'!AP287</f>
        <v>0</v>
      </c>
      <c r="AD293" s="478">
        <f>'Budget Filing Data'!T287</f>
        <v>0</v>
      </c>
      <c r="AE293" s="478">
        <f>'Budget Filing Data'!U287</f>
        <v>0</v>
      </c>
      <c r="AF293" s="478">
        <f>'Budget Filing Data'!$V287</f>
        <v>0</v>
      </c>
      <c r="AG293" s="478">
        <f>'Budget Filing Data'!$W287</f>
        <v>0</v>
      </c>
      <c r="AH293" s="479">
        <v>0</v>
      </c>
    </row>
    <row r="294" spans="3:34" hidden="1">
      <c r="C294" s="470" t="str">
        <f>'Budget Filing Data'!D288</f>
        <v>SDGE_Equity_PortfolioSupport</v>
      </c>
      <c r="D294" s="470" t="str">
        <f>'Budget Filing Data'!E288</f>
        <v>Equity Portfolio Support PA Costs</v>
      </c>
      <c r="E294" s="471" t="s">
        <v>37</v>
      </c>
      <c r="F294" s="471" t="s">
        <v>326</v>
      </c>
      <c r="G294" s="472" t="str">
        <f>'Budget Filing Data'!J288</f>
        <v>IOU Core</v>
      </c>
      <c r="H294" s="472" t="str">
        <f>IF('Budget Filing Data'!H288="","",'Budget Filing Data'!H288)</f>
        <v/>
      </c>
      <c r="I294" s="473" t="s">
        <v>24</v>
      </c>
      <c r="J294" s="472" t="str">
        <f>'Budget Filing Data'!G288</f>
        <v>Portfolio Support</v>
      </c>
      <c r="K294" s="472" t="str">
        <f>'Budget Filing Data'!I288</f>
        <v>Other</v>
      </c>
      <c r="L294" s="472" t="str">
        <f>'Budget Filing Data'!L288</f>
        <v>Equity</v>
      </c>
      <c r="M294" s="472">
        <f>'Budget Filing Data'!B288</f>
        <v>2031</v>
      </c>
      <c r="N294" s="474">
        <f t="shared" si="4"/>
        <v>9368.5105999999996</v>
      </c>
      <c r="O294" s="475">
        <f>'Budget Filing Data'!AQ288</f>
        <v>9368.5105999999996</v>
      </c>
      <c r="P294" s="475">
        <f>'Budget Filing Data'!AR288</f>
        <v>0</v>
      </c>
      <c r="Q294" s="475">
        <f>'Budget Filing Data'!AS288</f>
        <v>0</v>
      </c>
      <c r="R294" s="475">
        <f>'Budget Filing Data'!AT288</f>
        <v>0</v>
      </c>
      <c r="S294" s="476">
        <f>'Budget Filing Data'!X288</f>
        <v>0</v>
      </c>
      <c r="T294" s="477">
        <f>IFERROR((('Budget Filing Data'!AF288+'Budget Filing Data'!AG288+'Budget Filing Data'!AY288+'Budget Filing Data'!AH288)/'Budget Filing Data'!AA288),"")</f>
        <v>0</v>
      </c>
      <c r="U294" s="477">
        <f>IFERROR((('Budget Filing Data'!AF288+'Budget Filing Data'!AG288+'Budget Filing Data'!AY288+'Budget Filing Data'!AH288)/'Budget Filing Data'!AB288),"")</f>
        <v>0</v>
      </c>
      <c r="V294" s="477">
        <f>IFERROR((('Budget Filing Data'!AF288+'Budget Filing Data'!AG288+'Budget Filing Data'!AY288+'Budget Filing Data'!AH288+'Budget Filing Data'!AW288+'Budget Filing Data'!AX288)/('Budget Filing Data'!AE288)),"")</f>
        <v>0</v>
      </c>
      <c r="W294" s="477">
        <f>IFERROR(('Budget Filing Data'!AI288+'Budget Filing Data'!AJ288+'Budget Filing Data'!AK288+'Budget Filing Data'!AH288)/('Budget Filing Data'!AC288),"")</f>
        <v>0</v>
      </c>
      <c r="X294" s="477">
        <f>IFERROR(('Budget Filing Data'!AL288+'Budget Filing Data'!AM288+'Budget Filing Data'!AN288+'Budget Filing Data'!AH288)/('Budget Filing Data'!AD288),"")</f>
        <v>0</v>
      </c>
      <c r="Y294" s="478">
        <f>'Budget Filing Data'!Q288</f>
        <v>0</v>
      </c>
      <c r="Z294" s="478">
        <f>'Budget Filing Data'!R288</f>
        <v>0</v>
      </c>
      <c r="AA294" s="478">
        <f>'Budget Filing Data'!S288</f>
        <v>0</v>
      </c>
      <c r="AB294" s="478">
        <f>'Budget Filing Data'!AO288</f>
        <v>0</v>
      </c>
      <c r="AC294" s="478">
        <f>'Budget Filing Data'!AP288</f>
        <v>0</v>
      </c>
      <c r="AD294" s="478">
        <f>'Budget Filing Data'!T288</f>
        <v>0</v>
      </c>
      <c r="AE294" s="478">
        <f>'Budget Filing Data'!U288</f>
        <v>0</v>
      </c>
      <c r="AF294" s="478">
        <f>'Budget Filing Data'!$V288</f>
        <v>0</v>
      </c>
      <c r="AG294" s="478">
        <f>'Budget Filing Data'!$W288</f>
        <v>0</v>
      </c>
      <c r="AH294" s="479">
        <v>0</v>
      </c>
    </row>
    <row r="295" spans="3:34" hidden="1">
      <c r="C295" s="470" t="str">
        <f>'Budget Filing Data'!D289</f>
        <v>SDGE_MS_PortfolioSupport</v>
      </c>
      <c r="D295" s="470" t="str">
        <f>'Budget Filing Data'!E289</f>
        <v>Market Support Portfolio Support PA Costs</v>
      </c>
      <c r="E295" s="471" t="s">
        <v>37</v>
      </c>
      <c r="F295" s="471" t="s">
        <v>327</v>
      </c>
      <c r="G295" s="472" t="str">
        <f>'Budget Filing Data'!J289</f>
        <v>IOU Core</v>
      </c>
      <c r="H295" s="472" t="str">
        <f>IF('Budget Filing Data'!H289="","",'Budget Filing Data'!H289)</f>
        <v/>
      </c>
      <c r="I295" s="473" t="s">
        <v>24</v>
      </c>
      <c r="J295" s="472" t="str">
        <f>'Budget Filing Data'!G289</f>
        <v>Portfolio Support</v>
      </c>
      <c r="K295" s="472" t="str">
        <f>'Budget Filing Data'!I289</f>
        <v>Other</v>
      </c>
      <c r="L295" s="472" t="str">
        <f>'Budget Filing Data'!L289</f>
        <v>Market Support</v>
      </c>
      <c r="M295" s="472">
        <f>'Budget Filing Data'!B289</f>
        <v>2031</v>
      </c>
      <c r="N295" s="474">
        <f t="shared" si="4"/>
        <v>363396.40279999998</v>
      </c>
      <c r="O295" s="475">
        <f>'Budget Filing Data'!AQ289</f>
        <v>363396.40279999998</v>
      </c>
      <c r="P295" s="475">
        <f>'Budget Filing Data'!AR289</f>
        <v>0</v>
      </c>
      <c r="Q295" s="475">
        <f>'Budget Filing Data'!AS289</f>
        <v>0</v>
      </c>
      <c r="R295" s="475">
        <f>'Budget Filing Data'!AT289</f>
        <v>0</v>
      </c>
      <c r="S295" s="476">
        <f>'Budget Filing Data'!X289</f>
        <v>0</v>
      </c>
      <c r="T295" s="477">
        <f>IFERROR((('Budget Filing Data'!AF289+'Budget Filing Data'!AG289+'Budget Filing Data'!AY289+'Budget Filing Data'!AH289)/'Budget Filing Data'!AA289),"")</f>
        <v>0</v>
      </c>
      <c r="U295" s="477">
        <f>IFERROR((('Budget Filing Data'!AF289+'Budget Filing Data'!AG289+'Budget Filing Data'!AY289+'Budget Filing Data'!AH289)/'Budget Filing Data'!AB289),"")</f>
        <v>0</v>
      </c>
      <c r="V295" s="477">
        <f>IFERROR((('Budget Filing Data'!AF289+'Budget Filing Data'!AG289+'Budget Filing Data'!AY289+'Budget Filing Data'!AH289+'Budget Filing Data'!AW289+'Budget Filing Data'!AX289)/('Budget Filing Data'!AE289)),"")</f>
        <v>0</v>
      </c>
      <c r="W295" s="477">
        <f>IFERROR(('Budget Filing Data'!AI289+'Budget Filing Data'!AJ289+'Budget Filing Data'!AK289+'Budget Filing Data'!AH289)/('Budget Filing Data'!AC289),"")</f>
        <v>0</v>
      </c>
      <c r="X295" s="477">
        <f>IFERROR(('Budget Filing Data'!AL289+'Budget Filing Data'!AM289+'Budget Filing Data'!AN289+'Budget Filing Data'!AH289)/('Budget Filing Data'!AD289),"")</f>
        <v>0</v>
      </c>
      <c r="Y295" s="478">
        <f>'Budget Filing Data'!Q289</f>
        <v>0</v>
      </c>
      <c r="Z295" s="478">
        <f>'Budget Filing Data'!R289</f>
        <v>0</v>
      </c>
      <c r="AA295" s="478">
        <f>'Budget Filing Data'!S289</f>
        <v>0</v>
      </c>
      <c r="AB295" s="478">
        <f>'Budget Filing Data'!AO289</f>
        <v>0</v>
      </c>
      <c r="AC295" s="478">
        <f>'Budget Filing Data'!AP289</f>
        <v>0</v>
      </c>
      <c r="AD295" s="478">
        <f>'Budget Filing Data'!T289</f>
        <v>0</v>
      </c>
      <c r="AE295" s="478">
        <f>'Budget Filing Data'!U289</f>
        <v>0</v>
      </c>
      <c r="AF295" s="478">
        <f>'Budget Filing Data'!$V289</f>
        <v>0</v>
      </c>
      <c r="AG295" s="478">
        <f>'Budget Filing Data'!$W289</f>
        <v>0</v>
      </c>
      <c r="AH295" s="479">
        <v>0</v>
      </c>
    </row>
    <row r="296" spans="3:34" hidden="1">
      <c r="C296" s="470" t="str">
        <f>'Budget Filing Data'!D290</f>
        <v>SDGE_RA_PortfolioSupport</v>
      </c>
      <c r="D296" s="470" t="str">
        <f>'Budget Filing Data'!E290</f>
        <v>Resource Acquisition Portfolio Support PA Costs</v>
      </c>
      <c r="E296" s="471"/>
      <c r="F296" s="480"/>
      <c r="G296" s="472" t="str">
        <f>'Budget Filing Data'!J290</f>
        <v>IOU Core</v>
      </c>
      <c r="H296" s="472" t="str">
        <f>IF('Budget Filing Data'!H290="","",'Budget Filing Data'!H290)</f>
        <v/>
      </c>
      <c r="I296" s="473" t="s">
        <v>24</v>
      </c>
      <c r="J296" s="472" t="str">
        <f>'Budget Filing Data'!G290</f>
        <v>Portfolio Support</v>
      </c>
      <c r="K296" s="472" t="str">
        <f>'Budget Filing Data'!I290</f>
        <v>Other</v>
      </c>
      <c r="L296" s="472" t="str">
        <f>'Budget Filing Data'!L290</f>
        <v>Resource Acquisition</v>
      </c>
      <c r="M296" s="472">
        <f>'Budget Filing Data'!B290</f>
        <v>2031</v>
      </c>
      <c r="N296" s="474">
        <f t="shared" si="4"/>
        <v>2261937.6878</v>
      </c>
      <c r="O296" s="475">
        <f>'Budget Filing Data'!AQ290</f>
        <v>2261937.6878</v>
      </c>
      <c r="P296" s="475">
        <f>'Budget Filing Data'!AR290</f>
        <v>0</v>
      </c>
      <c r="Q296" s="475">
        <f>'Budget Filing Data'!AS290</f>
        <v>0</v>
      </c>
      <c r="R296" s="475">
        <f>'Budget Filing Data'!AT290</f>
        <v>0</v>
      </c>
      <c r="S296" s="476">
        <f>'Budget Filing Data'!X290</f>
        <v>0</v>
      </c>
      <c r="T296" s="477">
        <f>IFERROR((('Budget Filing Data'!AF290+'Budget Filing Data'!AG290+'Budget Filing Data'!AY290+'Budget Filing Data'!AH290)/'Budget Filing Data'!AA290),"")</f>
        <v>0</v>
      </c>
      <c r="U296" s="477">
        <f>IFERROR((('Budget Filing Data'!AF290+'Budget Filing Data'!AG290+'Budget Filing Data'!AY290+'Budget Filing Data'!AH290)/'Budget Filing Data'!AB290),"")</f>
        <v>0</v>
      </c>
      <c r="V296" s="477">
        <f>IFERROR((('Budget Filing Data'!AF290+'Budget Filing Data'!AG290+'Budget Filing Data'!AY290+'Budget Filing Data'!AH290+'Budget Filing Data'!AW290+'Budget Filing Data'!AX290)/('Budget Filing Data'!AE290)),"")</f>
        <v>0</v>
      </c>
      <c r="W296" s="477">
        <f>IFERROR(('Budget Filing Data'!AI290+'Budget Filing Data'!AJ290+'Budget Filing Data'!AK290+'Budget Filing Data'!AH290)/('Budget Filing Data'!AC290),"")</f>
        <v>0</v>
      </c>
      <c r="X296" s="477">
        <f>IFERROR(('Budget Filing Data'!AL290+'Budget Filing Data'!AM290+'Budget Filing Data'!AN290+'Budget Filing Data'!AH290)/('Budget Filing Data'!AD290),"")</f>
        <v>0</v>
      </c>
      <c r="Y296" s="478">
        <f>'Budget Filing Data'!Q290</f>
        <v>0</v>
      </c>
      <c r="Z296" s="478">
        <f>'Budget Filing Data'!R290</f>
        <v>0</v>
      </c>
      <c r="AA296" s="478">
        <f>'Budget Filing Data'!S290</f>
        <v>0</v>
      </c>
      <c r="AB296" s="478">
        <f>'Budget Filing Data'!AO290</f>
        <v>0</v>
      </c>
      <c r="AC296" s="478">
        <f>'Budget Filing Data'!AP290</f>
        <v>0</v>
      </c>
      <c r="AD296" s="478">
        <f>'Budget Filing Data'!T290</f>
        <v>0</v>
      </c>
      <c r="AE296" s="478">
        <f>'Budget Filing Data'!U290</f>
        <v>0</v>
      </c>
      <c r="AF296" s="478">
        <f>'Budget Filing Data'!$V290</f>
        <v>0</v>
      </c>
      <c r="AG296" s="478">
        <f>'Budget Filing Data'!$W290</f>
        <v>0</v>
      </c>
      <c r="AH296" s="479">
        <v>0</v>
      </c>
    </row>
    <row r="297" spans="3:34">
      <c r="C297" s="470" t="str">
        <f>'Budget Filing Data'!D291</f>
        <v>SDGE_SW_HESC</v>
      </c>
      <c r="D297" s="470" t="str">
        <f>'Budget Filing Data'!E291</f>
        <v>SW Home Energy Score California</v>
      </c>
      <c r="E297" s="471" t="s">
        <v>42</v>
      </c>
      <c r="F297" s="471" t="s">
        <v>323</v>
      </c>
      <c r="G297" s="472" t="str">
        <f>'Budget Filing Data'!J291</f>
        <v>REN/CCA</v>
      </c>
      <c r="H297" s="472" t="str">
        <f>IF('Budget Filing Data'!H291="","",'Budget Filing Data'!H291)</f>
        <v>SW_HESC - SW Home Energy Score California</v>
      </c>
      <c r="I297" s="473" t="s">
        <v>15</v>
      </c>
      <c r="J297" s="472" t="str">
        <f>'Budget Filing Data'!G291</f>
        <v>Residential</v>
      </c>
      <c r="K297" s="472" t="str">
        <f>'Budget Filing Data'!I291</f>
        <v>Market Transformation</v>
      </c>
      <c r="L297" s="472" t="str">
        <f>'Budget Filing Data'!L291</f>
        <v>Market Support</v>
      </c>
      <c r="M297" s="472">
        <f>'Budget Filing Data'!B291</f>
        <v>2031</v>
      </c>
      <c r="N297" s="474">
        <f t="shared" si="4"/>
        <v>648377.25120000006</v>
      </c>
      <c r="O297" s="475">
        <f>'Budget Filing Data'!AQ291</f>
        <v>16754.284800000001</v>
      </c>
      <c r="P297" s="475">
        <f>'Budget Filing Data'!AR291</f>
        <v>34720</v>
      </c>
      <c r="Q297" s="475">
        <f>'Budget Filing Data'!AS291</f>
        <v>138102.9664</v>
      </c>
      <c r="R297" s="475">
        <f>'Budget Filing Data'!AT291</f>
        <v>458800</v>
      </c>
      <c r="S297" s="476">
        <f>'Budget Filing Data'!X291</f>
        <v>0</v>
      </c>
      <c r="T297" s="477">
        <f>IFERROR((('Budget Filing Data'!AF291+'Budget Filing Data'!AG291+'Budget Filing Data'!AY291+'Budget Filing Data'!AH291)/'Budget Filing Data'!AA291),"")</f>
        <v>0</v>
      </c>
      <c r="U297" s="477">
        <f>IFERROR((('Budget Filing Data'!AF291+'Budget Filing Data'!AG291+'Budget Filing Data'!AY291+'Budget Filing Data'!AH291)/'Budget Filing Data'!AB291),"")</f>
        <v>0</v>
      </c>
      <c r="V297" s="477">
        <f>IFERROR((('Budget Filing Data'!AF291+'Budget Filing Data'!AG291+'Budget Filing Data'!AY291+'Budget Filing Data'!AH291+'Budget Filing Data'!AW291+'Budget Filing Data'!AX291)/('Budget Filing Data'!AE291)),"")</f>
        <v>0</v>
      </c>
      <c r="W297" s="477">
        <f>IFERROR(('Budget Filing Data'!AI291+'Budget Filing Data'!AJ291+'Budget Filing Data'!AK291+'Budget Filing Data'!AH291)/('Budget Filing Data'!AC291),"")</f>
        <v>0</v>
      </c>
      <c r="X297" s="477">
        <f>IFERROR(('Budget Filing Data'!AL291+'Budget Filing Data'!AM291+'Budget Filing Data'!AN291+'Budget Filing Data'!AH291)/('Budget Filing Data'!AD291),"")</f>
        <v>0</v>
      </c>
      <c r="Y297" s="478">
        <f>'Budget Filing Data'!Q291</f>
        <v>0</v>
      </c>
      <c r="Z297" s="478">
        <f>'Budget Filing Data'!R291</f>
        <v>0</v>
      </c>
      <c r="AA297" s="478">
        <f>'Budget Filing Data'!S291</f>
        <v>0</v>
      </c>
      <c r="AB297" s="478">
        <f>'Budget Filing Data'!AO291</f>
        <v>0</v>
      </c>
      <c r="AC297" s="478">
        <f>'Budget Filing Data'!AP291</f>
        <v>0</v>
      </c>
      <c r="AD297" s="478">
        <f>'Budget Filing Data'!T291</f>
        <v>0</v>
      </c>
      <c r="AE297" s="478">
        <f>'Budget Filing Data'!U291</f>
        <v>0</v>
      </c>
      <c r="AF297" s="478">
        <f>'Budget Filing Data'!$V291</f>
        <v>0</v>
      </c>
      <c r="AG297" s="478">
        <f>'Budget Filing Data'!$W291</f>
        <v>0</v>
      </c>
      <c r="AH297" s="479">
        <v>0</v>
      </c>
    </row>
    <row r="298" spans="3:34" ht="38.25">
      <c r="C298" s="470" t="str">
        <f>'Budget Filing Data'!D292</f>
        <v>SDGE_SW_HESC_PA</v>
      </c>
      <c r="D298" s="470" t="str">
        <f>'Budget Filing Data'!E292</f>
        <v>SW Home Energy Score California (Utility)</v>
      </c>
      <c r="E298" s="471" t="s">
        <v>42</v>
      </c>
      <c r="F298" s="471" t="s">
        <v>328</v>
      </c>
      <c r="G298" s="472" t="str">
        <f>'Budget Filing Data'!J292</f>
        <v>IOU Core</v>
      </c>
      <c r="H298" s="472" t="str">
        <f>IF('Budget Filing Data'!H292="","",'Budget Filing Data'!H292)</f>
        <v>SW_HESC - SW Home Energy Score California</v>
      </c>
      <c r="I298" s="473" t="s">
        <v>15</v>
      </c>
      <c r="J298" s="472" t="str">
        <f>'Budget Filing Data'!G292</f>
        <v>Residential</v>
      </c>
      <c r="K298" s="472" t="str">
        <f>'Budget Filing Data'!I292</f>
        <v>Market Transformation</v>
      </c>
      <c r="L298" s="472" t="str">
        <f>'Budget Filing Data'!L292</f>
        <v>Market Support</v>
      </c>
      <c r="M298" s="472">
        <f>'Budget Filing Data'!B292</f>
        <v>2031</v>
      </c>
      <c r="N298" s="474">
        <f t="shared" si="4"/>
        <v>5889.1121000000003</v>
      </c>
      <c r="O298" s="475">
        <f>'Budget Filing Data'!AQ292</f>
        <v>5889.1121000000003</v>
      </c>
      <c r="P298" s="475">
        <f>'Budget Filing Data'!AR292</f>
        <v>0</v>
      </c>
      <c r="Q298" s="475">
        <f>'Budget Filing Data'!AS292</f>
        <v>0</v>
      </c>
      <c r="R298" s="475">
        <f>'Budget Filing Data'!AT292</f>
        <v>0</v>
      </c>
      <c r="S298" s="476">
        <f>'Budget Filing Data'!X292</f>
        <v>0</v>
      </c>
      <c r="T298" s="477">
        <f>IFERROR((('Budget Filing Data'!AF292+'Budget Filing Data'!AG292+'Budget Filing Data'!AY292+'Budget Filing Data'!AH292)/'Budget Filing Data'!AA292),"")</f>
        <v>0</v>
      </c>
      <c r="U298" s="477">
        <f>IFERROR((('Budget Filing Data'!AF292+'Budget Filing Data'!AG292+'Budget Filing Data'!AY292+'Budget Filing Data'!AH292)/'Budget Filing Data'!AB292),"")</f>
        <v>0</v>
      </c>
      <c r="V298" s="477">
        <f>IFERROR((('Budget Filing Data'!AF292+'Budget Filing Data'!AG292+'Budget Filing Data'!AY292+'Budget Filing Data'!AH292+'Budget Filing Data'!AW292+'Budget Filing Data'!AX292)/('Budget Filing Data'!AE292)),"")</f>
        <v>0</v>
      </c>
      <c r="W298" s="477">
        <f>IFERROR(('Budget Filing Data'!AI292+'Budget Filing Data'!AJ292+'Budget Filing Data'!AK292+'Budget Filing Data'!AH292)/('Budget Filing Data'!AC292),"")</f>
        <v>0</v>
      </c>
      <c r="X298" s="477">
        <f>IFERROR(('Budget Filing Data'!AL292+'Budget Filing Data'!AM292+'Budget Filing Data'!AN292+'Budget Filing Data'!AH292)/('Budget Filing Data'!AD292),"")</f>
        <v>0</v>
      </c>
      <c r="Y298" s="478">
        <f>'Budget Filing Data'!Q292</f>
        <v>0</v>
      </c>
      <c r="Z298" s="478">
        <f>'Budget Filing Data'!R292</f>
        <v>0</v>
      </c>
      <c r="AA298" s="478">
        <f>'Budget Filing Data'!S292</f>
        <v>0</v>
      </c>
      <c r="AB298" s="478">
        <f>'Budget Filing Data'!AO292</f>
        <v>0</v>
      </c>
      <c r="AC298" s="478">
        <f>'Budget Filing Data'!AP292</f>
        <v>0</v>
      </c>
      <c r="AD298" s="478">
        <f>'Budget Filing Data'!T292</f>
        <v>0</v>
      </c>
      <c r="AE298" s="478">
        <f>'Budget Filing Data'!U292</f>
        <v>0</v>
      </c>
      <c r="AF298" s="478">
        <f>'Budget Filing Data'!$V292</f>
        <v>0</v>
      </c>
      <c r="AG298" s="478">
        <f>'Budget Filing Data'!$W292</f>
        <v>0</v>
      </c>
      <c r="AH298" s="479">
        <v>0</v>
      </c>
    </row>
    <row r="299" spans="3:34" ht="25.5">
      <c r="C299" s="470" t="str">
        <f>'Budget Filing Data'!D293</f>
        <v>SDGE4201</v>
      </c>
      <c r="D299" s="470" t="str">
        <f>'Budget Filing Data'!E293</f>
        <v>Market Access Program - Residential</v>
      </c>
      <c r="E299" s="471" t="s">
        <v>42</v>
      </c>
      <c r="F299" s="471" t="s">
        <v>321</v>
      </c>
      <c r="G299" s="472" t="str">
        <f>'Budget Filing Data'!J293</f>
        <v>Third-Party Solicited</v>
      </c>
      <c r="H299" s="472" t="str">
        <f>IF('Budget Filing Data'!H293="","",'Budget Filing Data'!H293)</f>
        <v/>
      </c>
      <c r="I299" s="473" t="s">
        <v>24</v>
      </c>
      <c r="J299" s="472" t="str">
        <f>'Budget Filing Data'!G293</f>
        <v>Residential</v>
      </c>
      <c r="K299" s="472" t="str">
        <f>'Budget Filing Data'!I293</f>
        <v>Other</v>
      </c>
      <c r="L299" s="472" t="str">
        <f>'Budget Filing Data'!L293</f>
        <v>Resource Acquisition</v>
      </c>
      <c r="M299" s="472">
        <f>'Budget Filing Data'!B293</f>
        <v>2031</v>
      </c>
      <c r="N299" s="474">
        <f t="shared" si="4"/>
        <v>327329.11190000002</v>
      </c>
      <c r="O299" s="475">
        <f>'Budget Filing Data'!AQ293</f>
        <v>46058.222500000003</v>
      </c>
      <c r="P299" s="475">
        <f>'Budget Filing Data'!AR293</f>
        <v>17737.303599999999</v>
      </c>
      <c r="Q299" s="475">
        <f>'Budget Filing Data'!AS293</f>
        <v>86235.885500000004</v>
      </c>
      <c r="R299" s="475">
        <f>'Budget Filing Data'!AT293</f>
        <v>177297.7003</v>
      </c>
      <c r="S299" s="476">
        <f>'Budget Filing Data'!X293</f>
        <v>348057.846469677</v>
      </c>
      <c r="T299" s="477">
        <f>IFERROR((('Budget Filing Data'!AF293+'Budget Filing Data'!AG293+'Budget Filing Data'!AY293+'Budget Filing Data'!AH293)/'Budget Filing Data'!AA293),"")</f>
        <v>0.91755305778663376</v>
      </c>
      <c r="U299" s="477">
        <f>IFERROR((('Budget Filing Data'!AF293+'Budget Filing Data'!AG293+'Budget Filing Data'!AY293+'Budget Filing Data'!AH293)/'Budget Filing Data'!AB293),"")</f>
        <v>1.0717234428859437</v>
      </c>
      <c r="V299" s="477">
        <f>IFERROR((('Budget Filing Data'!AF293+'Budget Filing Data'!AG293+'Budget Filing Data'!AY293+'Budget Filing Data'!AH293+'Budget Filing Data'!AW293+'Budget Filing Data'!AX293)/('Budget Filing Data'!AE293)),"")</f>
        <v>0.52107853418593797</v>
      </c>
      <c r="W299" s="477">
        <f>IFERROR(('Budget Filing Data'!AI293+'Budget Filing Data'!AJ293+'Budget Filing Data'!AK293+'Budget Filing Data'!AH293)/('Budget Filing Data'!AC293),"")</f>
        <v>1.3017202669795325</v>
      </c>
      <c r="X299" s="477">
        <f>IFERROR(('Budget Filing Data'!AL293+'Budget Filing Data'!AM293+'Budget Filing Data'!AN293+'Budget Filing Data'!AH293)/('Budget Filing Data'!AD293),"")</f>
        <v>1.3017202669795325</v>
      </c>
      <c r="Y299" s="478">
        <f>'Budget Filing Data'!Q293</f>
        <v>47592.745334658597</v>
      </c>
      <c r="Z299" s="478">
        <f>'Budget Filing Data'!R293</f>
        <v>21.667349797378701</v>
      </c>
      <c r="AA299" s="478">
        <f>'Budget Filing Data'!S293</f>
        <v>11072.314349500301</v>
      </c>
      <c r="AB299" s="478">
        <f>'Budget Filing Data'!AO293</f>
        <v>12.2634273391864</v>
      </c>
      <c r="AC299" s="478">
        <f>'Budget Filing Data'!AP293</f>
        <v>58.7939891958464</v>
      </c>
      <c r="AD299" s="478">
        <f>'Budget Filing Data'!T293</f>
        <v>680119.36793040496</v>
      </c>
      <c r="AE299" s="478">
        <f>'Budget Filing Data'!U293</f>
        <v>158227.80098009901</v>
      </c>
      <c r="AF299" s="478">
        <f>'Budget Filing Data'!$V293</f>
        <v>189.11725741321001</v>
      </c>
      <c r="AG299" s="478">
        <f>'Budget Filing Data'!$W293</f>
        <v>840.18962320432297</v>
      </c>
      <c r="AH299" s="479">
        <v>0</v>
      </c>
    </row>
    <row r="300" spans="3:34" ht="25.5" hidden="1">
      <c r="C300" s="470" t="str">
        <f>'Budget Filing Data'!D294</f>
        <v>SDGE4202</v>
      </c>
      <c r="D300" s="470" t="str">
        <f>'Budget Filing Data'!E294</f>
        <v>Market Access Program - Commercial</v>
      </c>
      <c r="E300" s="471" t="s">
        <v>42</v>
      </c>
      <c r="F300" s="471" t="s">
        <v>321</v>
      </c>
      <c r="G300" s="472" t="str">
        <f>'Budget Filing Data'!J294</f>
        <v>Third-Party Solicited</v>
      </c>
      <c r="H300" s="472" t="str">
        <f>IF('Budget Filing Data'!H294="","",'Budget Filing Data'!H294)</f>
        <v/>
      </c>
      <c r="I300" s="473" t="s">
        <v>24</v>
      </c>
      <c r="J300" s="472" t="str">
        <f>'Budget Filing Data'!G294</f>
        <v>Commercial</v>
      </c>
      <c r="K300" s="472" t="str">
        <f>'Budget Filing Data'!I294</f>
        <v>Other</v>
      </c>
      <c r="L300" s="472" t="str">
        <f>'Budget Filing Data'!L294</f>
        <v>Resource Acquisition</v>
      </c>
      <c r="M300" s="472">
        <f>'Budget Filing Data'!B294</f>
        <v>2031</v>
      </c>
      <c r="N300" s="474">
        <f t="shared" si="4"/>
        <v>2073522.8702</v>
      </c>
      <c r="O300" s="475">
        <f>'Budget Filing Data'!AQ294</f>
        <v>278892.6495</v>
      </c>
      <c r="P300" s="475">
        <f>'Budget Filing Data'!AR294</f>
        <v>109053.3036</v>
      </c>
      <c r="Q300" s="475">
        <f>'Budget Filing Data'!AS294</f>
        <v>531467.92310000001</v>
      </c>
      <c r="R300" s="475">
        <f>'Budget Filing Data'!AT294</f>
        <v>1154108.9939999999</v>
      </c>
      <c r="S300" s="476">
        <f>'Budget Filing Data'!X294</f>
        <v>2692047.57244875</v>
      </c>
      <c r="T300" s="477">
        <f>IFERROR((('Budget Filing Data'!AF294+'Budget Filing Data'!AG294+'Budget Filing Data'!AY294+'Budget Filing Data'!AH294)/'Budget Filing Data'!AA294),"")</f>
        <v>1.2638017838772075</v>
      </c>
      <c r="U300" s="477">
        <f>IFERROR((('Budget Filing Data'!AF294+'Budget Filing Data'!AG294+'Budget Filing Data'!AY294+'Budget Filing Data'!AH294)/'Budget Filing Data'!AB294),"")</f>
        <v>1.3246992534834472</v>
      </c>
      <c r="V300" s="477">
        <f>IFERROR((('Budget Filing Data'!AF294+'Budget Filing Data'!AG294+'Budget Filing Data'!AY294+'Budget Filing Data'!AH294+'Budget Filing Data'!AW294+'Budget Filing Data'!AX294)/('Budget Filing Data'!AE294)),"")</f>
        <v>0.1766934582735866</v>
      </c>
      <c r="W300" s="477">
        <f>IFERROR(('Budget Filing Data'!AI294+'Budget Filing Data'!AJ294+'Budget Filing Data'!AK294+'Budget Filing Data'!AH294)/('Budget Filing Data'!AC294),"")</f>
        <v>1.4505956330505854</v>
      </c>
      <c r="X300" s="477">
        <f>IFERROR(('Budget Filing Data'!AL294+'Budget Filing Data'!AM294+'Budget Filing Data'!AN294+'Budget Filing Data'!AH294)/('Budget Filing Data'!AD294),"")</f>
        <v>1.4505956330505854</v>
      </c>
      <c r="Y300" s="478">
        <f>'Budget Filing Data'!Q294</f>
        <v>3006708.1719749998</v>
      </c>
      <c r="Z300" s="478">
        <f>'Budget Filing Data'!R294</f>
        <v>448.83195929999999</v>
      </c>
      <c r="AA300" s="478">
        <f>'Budget Filing Data'!S294</f>
        <v>0</v>
      </c>
      <c r="AB300" s="478">
        <f>'Budget Filing Data'!AO294</f>
        <v>398.784214911302</v>
      </c>
      <c r="AC300" s="478">
        <f>'Budget Filing Data'!AP294</f>
        <v>0</v>
      </c>
      <c r="AD300" s="478">
        <f>'Budget Filing Data'!T294</f>
        <v>39841348.779369801</v>
      </c>
      <c r="AE300" s="478">
        <f>'Budget Filing Data'!U294</f>
        <v>0</v>
      </c>
      <c r="AF300" s="478">
        <f>'Budget Filing Data'!$V294</f>
        <v>5533.8783258739504</v>
      </c>
      <c r="AG300" s="478">
        <f>'Budget Filing Data'!$W294</f>
        <v>0</v>
      </c>
      <c r="AH300" s="479">
        <v>0</v>
      </c>
    </row>
    <row r="301" spans="3:34" ht="25.5" hidden="1">
      <c r="C301" s="470" t="str">
        <f>'Budget Filing Data'!D295</f>
        <v>SDGE_SW_HVAC_AE_NonRes</v>
      </c>
      <c r="D301" s="470" t="str">
        <f>'Budget Filing Data'!E295</f>
        <v>SW HVAC All Electric Non-Residential</v>
      </c>
      <c r="E301" s="471" t="s">
        <v>42</v>
      </c>
      <c r="F301" s="471" t="s">
        <v>329</v>
      </c>
      <c r="G301" s="472" t="str">
        <f>'Budget Filing Data'!J295</f>
        <v>Third-Party Solicited</v>
      </c>
      <c r="H301" s="472" t="str">
        <f>IF('Budget Filing Data'!H295="","",'Budget Filing Data'!H295)</f>
        <v>SW_HVAC_AE_NonRes - SW HVAC All Electric Non-Residential</v>
      </c>
      <c r="I301" s="473" t="s">
        <v>24</v>
      </c>
      <c r="J301" s="472" t="str">
        <f>'Budget Filing Data'!G295</f>
        <v>Commercial</v>
      </c>
      <c r="K301" s="472" t="str">
        <f>'Budget Filing Data'!I295</f>
        <v>Market Transformation</v>
      </c>
      <c r="L301" s="472" t="str">
        <f>'Budget Filing Data'!L295</f>
        <v>Resource Acquisition</v>
      </c>
      <c r="M301" s="472">
        <f>'Budget Filing Data'!B295</f>
        <v>2031</v>
      </c>
      <c r="N301" s="474">
        <f t="shared" si="4"/>
        <v>711383.22950000002</v>
      </c>
      <c r="O301" s="475">
        <f>'Budget Filing Data'!AQ295</f>
        <v>85365.986699999994</v>
      </c>
      <c r="P301" s="475">
        <f>'Budget Filing Data'!AR295</f>
        <v>56910.6584</v>
      </c>
      <c r="Q301" s="475">
        <f>'Budget Filing Data'!AS295</f>
        <v>377030.5184</v>
      </c>
      <c r="R301" s="475">
        <f>'Budget Filing Data'!AT295</f>
        <v>192076.06599999999</v>
      </c>
      <c r="S301" s="476">
        <f>'Budget Filing Data'!X295</f>
        <v>753483.78345980309</v>
      </c>
      <c r="T301" s="477">
        <f>IFERROR((('Budget Filing Data'!AF295+'Budget Filing Data'!AG295+'Budget Filing Data'!AY295+'Budget Filing Data'!AH295)/'Budget Filing Data'!AA295),"")</f>
        <v>1.150976834244245</v>
      </c>
      <c r="U301" s="477">
        <f>IFERROR((('Budget Filing Data'!AF295+'Budget Filing Data'!AG295+'Budget Filing Data'!AY295+'Budget Filing Data'!AH295)/'Budget Filing Data'!AB295),"")</f>
        <v>1.0609737299610349</v>
      </c>
      <c r="V301" s="477">
        <f>IFERROR((('Budget Filing Data'!AF295+'Budget Filing Data'!AG295+'Budget Filing Data'!AY295+'Budget Filing Data'!AH295+'Budget Filing Data'!AW295+'Budget Filing Data'!AX295)/('Budget Filing Data'!AE295)),"")</f>
        <v>1.0563154557588155</v>
      </c>
      <c r="W301" s="477">
        <f>IFERROR(('Budget Filing Data'!AI295+'Budget Filing Data'!AJ295+'Budget Filing Data'!AK295+'Budget Filing Data'!AH295)/('Budget Filing Data'!AC295),"")</f>
        <v>1.7486902118265872</v>
      </c>
      <c r="X301" s="477">
        <f>IFERROR(('Budget Filing Data'!AL295+'Budget Filing Data'!AM295+'Budget Filing Data'!AN295+'Budget Filing Data'!AH295)/('Budget Filing Data'!AD295),"")</f>
        <v>1.7486902118265872</v>
      </c>
      <c r="Y301" s="478">
        <f>'Budget Filing Data'!Q295</f>
        <v>-87130.90749999987</v>
      </c>
      <c r="Z301" s="478">
        <f>'Budget Filing Data'!R295</f>
        <v>5.8431322949999984</v>
      </c>
      <c r="AA301" s="478">
        <f>'Budget Filing Data'!S295</f>
        <v>22991.38107265997</v>
      </c>
      <c r="AB301" s="478">
        <f>'Budget Filing Data'!AO295</f>
        <v>-11.461510285669055</v>
      </c>
      <c r="AC301" s="478">
        <f>'Budget Filing Data'!AP295</f>
        <v>122.08423349582449</v>
      </c>
      <c r="AD301" s="478">
        <f>'Budget Filing Data'!T295</f>
        <v>-1836642.3074999985</v>
      </c>
      <c r="AE301" s="478">
        <f>'Budget Filing Data'!U295</f>
        <v>459827.63998989965</v>
      </c>
      <c r="AF301" s="478">
        <f>'Budget Filing Data'!$V295</f>
        <v>-243.53520254216951</v>
      </c>
      <c r="AG301" s="478">
        <f>'Budget Filing Data'!$W295</f>
        <v>2441.6847683463643</v>
      </c>
      <c r="AH301" s="479">
        <v>0</v>
      </c>
    </row>
    <row r="302" spans="3:34" ht="39" hidden="1" thickBot="1">
      <c r="C302" s="470" t="str">
        <f>'Budget Filing Data'!D296</f>
        <v>SDGE_SW_HVAC_AE_NonRes_PA</v>
      </c>
      <c r="D302" s="470" t="str">
        <f>'Budget Filing Data'!E296</f>
        <v>SW HVAC All Electric Non-Residential (Utility)</v>
      </c>
      <c r="E302" s="471" t="s">
        <v>42</v>
      </c>
      <c r="F302" s="471" t="s">
        <v>330</v>
      </c>
      <c r="G302" s="472" t="str">
        <f>'Budget Filing Data'!J296</f>
        <v>IOU Core</v>
      </c>
      <c r="H302" s="472" t="str">
        <f>IF('Budget Filing Data'!H296="","",'Budget Filing Data'!H296)</f>
        <v>SW_HVAC_AE_NonRes - SW HVAC All Electric Non-Residential</v>
      </c>
      <c r="I302" s="473" t="s">
        <v>24</v>
      </c>
      <c r="J302" s="472" t="str">
        <f>'Budget Filing Data'!G296</f>
        <v>Commercial</v>
      </c>
      <c r="K302" s="472" t="str">
        <f>'Budget Filing Data'!I296</f>
        <v>Market Transformation</v>
      </c>
      <c r="L302" s="472" t="str">
        <f>'Budget Filing Data'!L296</f>
        <v>Resource Acquisition</v>
      </c>
      <c r="M302" s="472">
        <f>'Budget Filing Data'!B296</f>
        <v>2031</v>
      </c>
      <c r="N302" s="474">
        <f t="shared" si="4"/>
        <v>6195.6921000000002</v>
      </c>
      <c r="O302" s="475">
        <f>'Budget Filing Data'!AQ296</f>
        <v>6195.6921000000002</v>
      </c>
      <c r="P302" s="475">
        <f>'Budget Filing Data'!AR296</f>
        <v>0</v>
      </c>
      <c r="Q302" s="475">
        <f>'Budget Filing Data'!AS296</f>
        <v>0</v>
      </c>
      <c r="R302" s="475">
        <f>'Budget Filing Data'!AT296</f>
        <v>0</v>
      </c>
      <c r="S302" s="476">
        <f>'Budget Filing Data'!X296</f>
        <v>0</v>
      </c>
      <c r="T302" s="477">
        <f>IFERROR((('Budget Filing Data'!AF296+'Budget Filing Data'!AG296+'Budget Filing Data'!AY296+'Budget Filing Data'!AH296)/'Budget Filing Data'!AA296),"")</f>
        <v>0</v>
      </c>
      <c r="U302" s="477">
        <f>IFERROR((('Budget Filing Data'!AF296+'Budget Filing Data'!AG296+'Budget Filing Data'!AY296+'Budget Filing Data'!AH296)/'Budget Filing Data'!AB296),"")</f>
        <v>0</v>
      </c>
      <c r="V302" s="477">
        <f>IFERROR((('Budget Filing Data'!AF296+'Budget Filing Data'!AG296+'Budget Filing Data'!AY296+'Budget Filing Data'!AH296+'Budget Filing Data'!AW296+'Budget Filing Data'!AX296)/('Budget Filing Data'!AE296)),"")</f>
        <v>0</v>
      </c>
      <c r="W302" s="477">
        <f>IFERROR(('Budget Filing Data'!AI296+'Budget Filing Data'!AJ296+'Budget Filing Data'!AK296+'Budget Filing Data'!AH296)/('Budget Filing Data'!AC296),"")</f>
        <v>0</v>
      </c>
      <c r="X302" s="477">
        <f>IFERROR(('Budget Filing Data'!AL296+'Budget Filing Data'!AM296+'Budget Filing Data'!AN296+'Budget Filing Data'!AH296)/('Budget Filing Data'!AD296),"")</f>
        <v>0</v>
      </c>
      <c r="Y302" s="478">
        <f>'Budget Filing Data'!Q296</f>
        <v>0</v>
      </c>
      <c r="Z302" s="478">
        <f>'Budget Filing Data'!R296</f>
        <v>0</v>
      </c>
      <c r="AA302" s="478">
        <f>'Budget Filing Data'!S296</f>
        <v>0</v>
      </c>
      <c r="AB302" s="478">
        <f>'Budget Filing Data'!AO296</f>
        <v>0</v>
      </c>
      <c r="AC302" s="478">
        <f>'Budget Filing Data'!AP296</f>
        <v>0</v>
      </c>
      <c r="AD302" s="478">
        <f>'Budget Filing Data'!T296</f>
        <v>0</v>
      </c>
      <c r="AE302" s="478">
        <f>'Budget Filing Data'!U296</f>
        <v>0</v>
      </c>
      <c r="AF302" s="478">
        <f>'Budget Filing Data'!$V296</f>
        <v>0</v>
      </c>
      <c r="AG302" s="478">
        <f>'Budget Filing Data'!$W296</f>
        <v>0</v>
      </c>
      <c r="AH302" s="479">
        <v>0</v>
      </c>
    </row>
    <row r="303" spans="3:34" ht="26.25" hidden="1" thickBot="1">
      <c r="C303" s="481" t="str">
        <f>'Budget Filing Data'!D297</f>
        <v>SDGE_OtherPA_Admin</v>
      </c>
      <c r="D303" s="481" t="str">
        <f>'Budget Filing Data'!E297</f>
        <v>Other PA Collaboration</v>
      </c>
      <c r="E303" s="737" t="s">
        <v>48</v>
      </c>
      <c r="F303" s="471" t="s">
        <v>331</v>
      </c>
      <c r="G303" s="738" t="str">
        <f>'Budget Filing Data'!J297</f>
        <v>Non-Program</v>
      </c>
      <c r="H303" s="738" t="str">
        <f>IF('Budget Filing Data'!H297="","",'Budget Filing Data'!H297)</f>
        <v/>
      </c>
      <c r="I303" s="739" t="s">
        <v>15</v>
      </c>
      <c r="J303" s="738" t="str">
        <f>'Budget Filing Data'!G297</f>
        <v>Cross Cutting</v>
      </c>
      <c r="K303" s="738" t="str">
        <f>'Budget Filing Data'!I297</f>
        <v>Other</v>
      </c>
      <c r="L303" s="738" t="str">
        <f>'Budget Filing Data'!L297</f>
        <v>Market Support</v>
      </c>
      <c r="M303" s="482">
        <f>'Budget Filing Data'!B297</f>
        <v>2031</v>
      </c>
      <c r="N303" s="740">
        <f t="shared" si="4"/>
        <v>137301.83499999999</v>
      </c>
      <c r="O303" s="741">
        <f>'Budget Filing Data'!AQ297</f>
        <v>137301.83499999999</v>
      </c>
      <c r="P303" s="741">
        <f>'Budget Filing Data'!AR297</f>
        <v>0</v>
      </c>
      <c r="Q303" s="741">
        <f>'Budget Filing Data'!AS297</f>
        <v>0</v>
      </c>
      <c r="R303" s="741">
        <f>'Budget Filing Data'!AT297</f>
        <v>0</v>
      </c>
      <c r="S303" s="742">
        <f>'Budget Filing Data'!X297</f>
        <v>0</v>
      </c>
      <c r="T303" s="743">
        <f>IFERROR((('Budget Filing Data'!AF297+'Budget Filing Data'!AG297+'Budget Filing Data'!AY297+'Budget Filing Data'!AH297)/'Budget Filing Data'!AA297),"")</f>
        <v>0</v>
      </c>
      <c r="U303" s="743">
        <f>IFERROR((('Budget Filing Data'!AF297+'Budget Filing Data'!AG297+'Budget Filing Data'!AY297+'Budget Filing Data'!AH297)/'Budget Filing Data'!AB297),"")</f>
        <v>0</v>
      </c>
      <c r="V303" s="743">
        <f>IFERROR((('Budget Filing Data'!AF297+'Budget Filing Data'!AG297+'Budget Filing Data'!AY297+'Budget Filing Data'!AH297+'Budget Filing Data'!AW297+'Budget Filing Data'!AX297)/('Budget Filing Data'!AE297)),"")</f>
        <v>0</v>
      </c>
      <c r="W303" s="743">
        <f>IFERROR(('Budget Filing Data'!AI297+'Budget Filing Data'!AJ297+'Budget Filing Data'!AK297+'Budget Filing Data'!AH297)/('Budget Filing Data'!AC297),"")</f>
        <v>0</v>
      </c>
      <c r="X303" s="743">
        <f>IFERROR(('Budget Filing Data'!AL297+'Budget Filing Data'!AM297+'Budget Filing Data'!AN297+'Budget Filing Data'!AH297)/('Budget Filing Data'!AD297),"")</f>
        <v>0</v>
      </c>
      <c r="Y303" s="744">
        <f>'Budget Filing Data'!Q297</f>
        <v>0</v>
      </c>
      <c r="Z303" s="744">
        <f>'Budget Filing Data'!R297</f>
        <v>0</v>
      </c>
      <c r="AA303" s="744">
        <f>'Budget Filing Data'!S297</f>
        <v>0</v>
      </c>
      <c r="AB303" s="744">
        <f>'Budget Filing Data'!AO297</f>
        <v>0</v>
      </c>
      <c r="AC303" s="744">
        <f>'Budget Filing Data'!AP297</f>
        <v>0</v>
      </c>
      <c r="AD303" s="744">
        <f>'Budget Filing Data'!T297</f>
        <v>0</v>
      </c>
      <c r="AE303" s="744">
        <f>'Budget Filing Data'!U297</f>
        <v>0</v>
      </c>
      <c r="AF303" s="744">
        <f>'Budget Filing Data'!$V297</f>
        <v>0</v>
      </c>
      <c r="AG303" s="744">
        <f>'Budget Filing Data'!$W297</f>
        <v>0</v>
      </c>
      <c r="AH303" s="483">
        <v>0</v>
      </c>
    </row>
    <row r="304" spans="3:34" s="166" customFormat="1" ht="13.5" hidden="1" thickBot="1">
      <c r="C304" s="101" t="s">
        <v>332</v>
      </c>
      <c r="D304" s="102"/>
      <c r="E304" s="102"/>
      <c r="F304" s="335"/>
      <c r="G304" s="102"/>
      <c r="H304" s="102"/>
      <c r="I304" s="102"/>
      <c r="J304" s="102"/>
      <c r="K304" s="102"/>
      <c r="L304" s="102"/>
      <c r="M304" s="102"/>
      <c r="N304" s="336">
        <f t="shared" ref="N304:R304" si="5">SUM(N16:N303)</f>
        <v>276797597.33449596</v>
      </c>
      <c r="O304" s="337">
        <f t="shared" si="5"/>
        <v>44787786.34989997</v>
      </c>
      <c r="P304" s="337">
        <f t="shared" si="5"/>
        <v>8736851.5608000048</v>
      </c>
      <c r="Q304" s="338">
        <f t="shared" si="5"/>
        <v>110386188.39510001</v>
      </c>
      <c r="R304" s="338">
        <f t="shared" si="5"/>
        <v>112886771.02869594</v>
      </c>
      <c r="S304" s="338">
        <f>SUM(S16:S303)</f>
        <v>1057958240.1711494</v>
      </c>
      <c r="T304" s="339"/>
      <c r="U304" s="339"/>
      <c r="V304" s="339"/>
      <c r="W304" s="339"/>
      <c r="X304" s="339"/>
      <c r="Y304" s="340">
        <f t="shared" ref="Y304:AG304" si="6">SUM(Y16:Y303)</f>
        <v>879344916.27953863</v>
      </c>
      <c r="Z304" s="340">
        <f t="shared" si="6"/>
        <v>172322.51840311638</v>
      </c>
      <c r="AA304" s="340">
        <f t="shared" si="6"/>
        <v>16124948.200521648</v>
      </c>
      <c r="AB304" s="340">
        <f t="shared" si="6"/>
        <v>164845.19449017919</v>
      </c>
      <c r="AC304" s="340">
        <f t="shared" si="6"/>
        <v>85623.4749447699</v>
      </c>
      <c r="AD304" s="340">
        <f t="shared" si="6"/>
        <v>8413267376.1677036</v>
      </c>
      <c r="AE304" s="340">
        <f t="shared" si="6"/>
        <v>193797906.41042304</v>
      </c>
      <c r="AF304" s="340">
        <f t="shared" si="6"/>
        <v>1454603.4195800405</v>
      </c>
      <c r="AG304" s="340">
        <f t="shared" si="6"/>
        <v>1029066.8830393454</v>
      </c>
      <c r="AH304" s="340">
        <f>SUM(AH16:AH303)</f>
        <v>128963.10110999353</v>
      </c>
    </row>
    <row r="305" spans="3:8" ht="15" hidden="1">
      <c r="C305" s="236" t="s">
        <v>333</v>
      </c>
      <c r="G305" s="109"/>
      <c r="H305" s="109"/>
    </row>
    <row r="306" spans="3:8" ht="15" hidden="1">
      <c r="C306" s="236" t="s">
        <v>334</v>
      </c>
      <c r="G306" s="109"/>
      <c r="H306" s="109"/>
    </row>
    <row r="307" spans="3:8" ht="15" hidden="1">
      <c r="C307" s="19" t="s">
        <v>335</v>
      </c>
      <c r="G307" s="109"/>
      <c r="H307" s="109"/>
    </row>
    <row r="308" spans="3:8" ht="15" hidden="1">
      <c r="C308" s="19" t="s">
        <v>336</v>
      </c>
      <c r="G308" s="109"/>
      <c r="H308" s="109"/>
    </row>
    <row r="309" spans="3:8" ht="15" hidden="1">
      <c r="C309" s="236" t="s">
        <v>337</v>
      </c>
      <c r="G309" s="109"/>
      <c r="H309" s="109"/>
    </row>
    <row r="310" spans="3:8" ht="15" hidden="1">
      <c r="C310" s="236" t="s">
        <v>338</v>
      </c>
      <c r="G310" s="109"/>
      <c r="H310" s="109"/>
    </row>
  </sheetData>
  <autoFilter ref="C15:AH310" xr:uid="{3CD49052-CFB5-4B0E-8569-A5044E6EDFD3}">
    <filterColumn colId="7">
      <filters>
        <filter val="Residential"/>
      </filters>
    </filterColumn>
  </autoFilter>
  <mergeCells count="4">
    <mergeCell ref="C2:F2"/>
    <mergeCell ref="C3:F3"/>
    <mergeCell ref="C5:D5"/>
    <mergeCell ref="C6:D6"/>
  </mergeCells>
  <pageMargins left="0.25" right="0.25" top="0.75" bottom="0.75" header="0.3" footer="0.3"/>
  <pageSetup paperSize="17" scale="44" fitToWidth="2" fitToHeight="3" orientation="landscape" r:id="rId1"/>
  <headerFooter>
    <oddFooter>&amp;C&amp;A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98857CB-9143-48D7-B51B-63787D49BD6E}">
          <x14:formula1>
            <xm:f>'Read Me'!$L$10:$L$15</xm:f>
          </x14:formula1>
          <xm:sqref>E16:E303</xm:sqref>
        </x14:dataValidation>
        <x14:dataValidation type="list" allowBlank="1" showInputMessage="1" showErrorMessage="1" xr:uid="{EF663EA9-149F-41E1-A04D-92C5D7094136}">
          <x14:formula1>
            <xm:f>'Read Me'!$F$10:$F$11</xm:f>
          </x14:formula1>
          <xm:sqref>I16:I303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BE7-38DA-411C-8CFE-3FC7E8863DDC}">
  <sheetPr codeName="Sheet8">
    <tabColor theme="4"/>
  </sheetPr>
  <dimension ref="B1:AZ111"/>
  <sheetViews>
    <sheetView zoomScaleNormal="100" workbookViewId="0">
      <pane xSplit="5" ySplit="12" topLeftCell="H48" activePane="bottomRight" state="frozen"/>
      <selection pane="topRight" activeCell="F1" sqref="F1"/>
      <selection pane="bottomLeft" activeCell="A13" sqref="A13"/>
      <selection pane="bottomRight" activeCell="Q12" sqref="Q12"/>
    </sheetView>
  </sheetViews>
  <sheetFormatPr defaultColWidth="8" defaultRowHeight="12.75"/>
  <cols>
    <col min="1" max="1" width="2.75" style="9" customWidth="1"/>
    <col min="2" max="2" width="12.125" style="9" customWidth="1"/>
    <col min="3" max="3" width="23.125" style="9" customWidth="1"/>
    <col min="4" max="4" width="19.75" style="9" customWidth="1"/>
    <col min="5" max="5" width="15.125" style="9" customWidth="1"/>
    <col min="6" max="7" width="15.125" style="10" customWidth="1"/>
    <col min="8" max="8" width="15.125" style="9" customWidth="1"/>
    <col min="9" max="9" width="15.125" style="18" customWidth="1"/>
    <col min="10" max="16" width="15.125" style="16" customWidth="1"/>
    <col min="17" max="19" width="14.625" style="16" customWidth="1"/>
    <col min="20" max="20" width="14.625" style="18" customWidth="1"/>
    <col min="21" max="30" width="14.625" style="16" customWidth="1"/>
    <col min="31" max="31" width="14.625" style="18" customWidth="1"/>
    <col min="32" max="41" width="14.625" style="16" customWidth="1"/>
    <col min="42" max="42" width="14.625" style="18" customWidth="1"/>
    <col min="43" max="52" width="14.625" style="16" customWidth="1"/>
    <col min="53" max="16384" width="8" style="9"/>
  </cols>
  <sheetData>
    <row r="1" spans="2:17" ht="13.5" thickBot="1"/>
    <row r="2" spans="2:17" ht="25.5" customHeight="1">
      <c r="B2" s="219" t="s">
        <v>58</v>
      </c>
      <c r="C2" s="910" t="s">
        <v>339</v>
      </c>
      <c r="D2" s="910"/>
      <c r="E2" s="910"/>
      <c r="F2" s="910"/>
      <c r="G2" s="910"/>
      <c r="H2" s="910"/>
      <c r="I2" s="911"/>
    </row>
    <row r="3" spans="2:17" ht="16.149999999999999" customHeight="1" thickBot="1">
      <c r="B3" s="484" t="s">
        <v>102</v>
      </c>
      <c r="C3" s="912" t="s">
        <v>340</v>
      </c>
      <c r="D3" s="912"/>
      <c r="E3" s="912"/>
      <c r="F3" s="912"/>
      <c r="G3" s="912"/>
      <c r="H3" s="912"/>
      <c r="I3" s="913"/>
    </row>
    <row r="4" spans="2:17" ht="13.5" thickBot="1"/>
    <row r="5" spans="2:17" ht="15.75">
      <c r="B5" s="199" t="s">
        <v>104</v>
      </c>
      <c r="C5" s="200" t="str">
        <f>'Read Me'!B10</f>
        <v>SDG&amp;E</v>
      </c>
      <c r="D5" s="11"/>
      <c r="E5" s="11"/>
      <c r="F5" s="11"/>
      <c r="G5" s="11"/>
      <c r="H5" s="11"/>
      <c r="I5" s="11"/>
      <c r="J5" s="11"/>
      <c r="K5" s="11"/>
      <c r="L5" s="11"/>
      <c r="M5" s="11"/>
      <c r="N5" s="11"/>
      <c r="O5" s="11"/>
      <c r="P5" s="11"/>
      <c r="Q5" s="11"/>
    </row>
    <row r="6" spans="2:17" ht="16.5" customHeight="1" thickBot="1">
      <c r="B6" s="425" t="s">
        <v>105</v>
      </c>
      <c r="C6" s="485" t="str">
        <f>'Read Me'!B11</f>
        <v>2028-2035</v>
      </c>
      <c r="D6" s="11"/>
      <c r="E6" s="11"/>
      <c r="F6" s="11"/>
      <c r="G6" s="11"/>
      <c r="H6" s="11"/>
      <c r="I6" s="11"/>
      <c r="J6" s="11"/>
      <c r="K6" s="11"/>
      <c r="L6" s="11"/>
      <c r="M6" s="11"/>
      <c r="N6" s="11"/>
      <c r="O6" s="11"/>
      <c r="P6" s="11"/>
      <c r="Q6" s="11"/>
    </row>
    <row r="7" spans="2:17" ht="15.75">
      <c r="B7" s="23"/>
      <c r="C7" s="12"/>
      <c r="D7" s="11"/>
      <c r="E7" s="11"/>
      <c r="F7" s="11"/>
      <c r="G7" s="11"/>
      <c r="H7" s="11"/>
      <c r="I7" s="11"/>
      <c r="J7" s="13"/>
      <c r="K7" s="13"/>
      <c r="L7" s="13"/>
      <c r="M7" s="13"/>
      <c r="N7" s="13"/>
      <c r="O7" s="13"/>
      <c r="P7" s="13"/>
      <c r="Q7" s="13"/>
    </row>
    <row r="8" spans="2:17" ht="15.75">
      <c r="B8" s="14" t="s">
        <v>341</v>
      </c>
      <c r="D8" s="14"/>
      <c r="I8" s="24"/>
      <c r="J8" s="15"/>
      <c r="K8" s="15"/>
      <c r="L8" s="15"/>
      <c r="M8" s="15"/>
      <c r="N8" s="15"/>
      <c r="O8" s="15"/>
      <c r="P8" s="15"/>
      <c r="Q8" s="15"/>
    </row>
    <row r="9" spans="2:17" s="17" customFormat="1" ht="16.350000000000001" customHeight="1">
      <c r="B9" s="16"/>
      <c r="C9" s="16"/>
      <c r="D9" s="25"/>
      <c r="E9" s="10"/>
      <c r="F9" s="10"/>
      <c r="G9" s="10"/>
      <c r="H9" s="10"/>
      <c r="I9" s="10"/>
      <c r="J9" s="10"/>
      <c r="K9" s="10"/>
      <c r="L9" s="10"/>
      <c r="M9" s="10"/>
      <c r="N9" s="10"/>
      <c r="O9" s="10"/>
      <c r="P9" s="10"/>
      <c r="Q9" s="10"/>
    </row>
    <row r="11" spans="2:17" ht="13.5" thickBot="1"/>
    <row r="12" spans="2:17" ht="39" thickBot="1">
      <c r="C12" s="26" t="s">
        <v>342</v>
      </c>
      <c r="D12" s="27" t="s">
        <v>11</v>
      </c>
      <c r="E12" s="28" t="s">
        <v>186</v>
      </c>
      <c r="F12" s="28" t="s">
        <v>343</v>
      </c>
      <c r="G12" s="661" t="s">
        <v>303</v>
      </c>
      <c r="H12" s="22" t="s">
        <v>309</v>
      </c>
      <c r="I12" s="22" t="s">
        <v>310</v>
      </c>
      <c r="J12" s="22" t="s">
        <v>344</v>
      </c>
      <c r="K12" s="22" t="s">
        <v>312</v>
      </c>
      <c r="L12" s="22" t="s">
        <v>313</v>
      </c>
      <c r="M12" s="22" t="s">
        <v>314</v>
      </c>
      <c r="N12" s="22" t="s">
        <v>345</v>
      </c>
      <c r="O12" s="22" t="s">
        <v>316</v>
      </c>
      <c r="P12" s="22" t="s">
        <v>317</v>
      </c>
      <c r="Q12" s="22" t="s">
        <v>346</v>
      </c>
    </row>
    <row r="13" spans="2:17" ht="13.5" customHeight="1" thickTop="1">
      <c r="C13" s="29" t="str">
        <f>'Read Me'!I10</f>
        <v>Residential</v>
      </c>
      <c r="D13" s="30" t="s">
        <v>20</v>
      </c>
      <c r="E13" s="30">
        <v>2032</v>
      </c>
      <c r="F13" s="486">
        <v>24243288.803199999</v>
      </c>
      <c r="G13" s="660">
        <v>35859276.869736373</v>
      </c>
      <c r="H13" s="660">
        <v>105913260.37953013</v>
      </c>
      <c r="I13" s="660">
        <v>11335.255974804779</v>
      </c>
      <c r="J13" s="660">
        <v>1008293.5452632323</v>
      </c>
      <c r="K13" s="660">
        <v>18267.650964098881</v>
      </c>
      <c r="L13" s="660">
        <v>5354.0387253477584</v>
      </c>
      <c r="M13" s="660">
        <v>145681849.25723952</v>
      </c>
      <c r="N13" s="660">
        <v>5385235.1073192786</v>
      </c>
      <c r="O13" s="660">
        <v>28442.307383857642</v>
      </c>
      <c r="P13" s="660">
        <v>28595.598419865353</v>
      </c>
      <c r="Q13" s="487">
        <f>SUMIFS('4.1 Program Budget 2028-2031'!AH:AH,'4.1 Program Budget 2028-2031'!J:J,'4.2 Sector Seg Budget 2032-2035'!C13,'4.1 Program Budget 2028-2031'!L:L,'4.2 Sector Seg Budget 2032-2035'!D13,'4.1 Program Budget 2028-2031'!M:M,2031)</f>
        <v>36475.005006445841</v>
      </c>
    </row>
    <row r="14" spans="2:17">
      <c r="C14" s="29" t="str">
        <f>'Read Me'!I11</f>
        <v>Commercial</v>
      </c>
      <c r="D14" s="30" t="s">
        <v>20</v>
      </c>
      <c r="E14" s="30">
        <v>2032</v>
      </c>
      <c r="F14" s="486">
        <v>19171027.173426624</v>
      </c>
      <c r="G14" s="660">
        <v>44079566.220261067</v>
      </c>
      <c r="H14" s="660">
        <v>15562248.101240361</v>
      </c>
      <c r="I14" s="660">
        <v>2130.6049071589478</v>
      </c>
      <c r="J14" s="660">
        <v>1169687.5398479186</v>
      </c>
      <c r="K14" s="660">
        <v>1936.1428971595999</v>
      </c>
      <c r="L14" s="660">
        <v>6211.0408365924459</v>
      </c>
      <c r="M14" s="660">
        <v>180442198.50884792</v>
      </c>
      <c r="N14" s="660">
        <v>17297535.714033894</v>
      </c>
      <c r="O14" s="660">
        <v>22979.290791402727</v>
      </c>
      <c r="P14" s="660">
        <v>91849.914641519994</v>
      </c>
      <c r="Q14" s="487">
        <f>SUMIFS('4.1 Program Budget 2028-2031'!AH:AH,'4.1 Program Budget 2028-2031'!J:J,'4.2 Sector Seg Budget 2032-2035'!C14,'4.1 Program Budget 2028-2031'!L:L,'4.2 Sector Seg Budget 2032-2035'!D14,'4.1 Program Budget 2028-2031'!M:M,2031)</f>
        <v>0</v>
      </c>
    </row>
    <row r="15" spans="2:17">
      <c r="C15" s="29" t="str">
        <f>'Read Me'!I12</f>
        <v>Industrial</v>
      </c>
      <c r="D15" s="30" t="s">
        <v>20</v>
      </c>
      <c r="E15" s="30">
        <v>2032</v>
      </c>
      <c r="F15" s="486">
        <v>9298223.928199999</v>
      </c>
      <c r="G15" s="660">
        <v>9731876.6916343104</v>
      </c>
      <c r="H15" s="660">
        <v>17325000</v>
      </c>
      <c r="I15" s="660">
        <v>2229.5700000000002</v>
      </c>
      <c r="J15" s="660">
        <v>173250</v>
      </c>
      <c r="K15" s="660">
        <v>3478.4034750000001</v>
      </c>
      <c r="L15" s="660">
        <v>919.95749999999998</v>
      </c>
      <c r="M15" s="660">
        <v>86625000</v>
      </c>
      <c r="N15" s="660">
        <v>866250</v>
      </c>
      <c r="O15" s="660">
        <v>18704.454502500001</v>
      </c>
      <c r="P15" s="660">
        <v>4599.7875000000004</v>
      </c>
      <c r="Q15" s="487">
        <f>SUMIFS('4.1 Program Budget 2028-2031'!AH:AH,'4.1 Program Budget 2028-2031'!J:J,'4.2 Sector Seg Budget 2032-2035'!C15,'4.1 Program Budget 2028-2031'!L:L,'4.2 Sector Seg Budget 2032-2035'!D15,'4.1 Program Budget 2028-2031'!M:M,2031)</f>
        <v>0</v>
      </c>
    </row>
    <row r="16" spans="2:17">
      <c r="C16" s="29" t="str">
        <f>'Read Me'!I13</f>
        <v>Agricultural</v>
      </c>
      <c r="D16" s="30" t="s">
        <v>20</v>
      </c>
      <c r="E16" s="30">
        <v>2032</v>
      </c>
      <c r="F16" s="486">
        <v>0</v>
      </c>
      <c r="G16" s="660">
        <v>0</v>
      </c>
      <c r="H16" s="660">
        <v>0</v>
      </c>
      <c r="I16" s="660">
        <v>0</v>
      </c>
      <c r="J16" s="660">
        <v>0</v>
      </c>
      <c r="K16" s="660">
        <v>0</v>
      </c>
      <c r="L16" s="660">
        <v>0</v>
      </c>
      <c r="M16" s="660">
        <v>0</v>
      </c>
      <c r="N16" s="660">
        <v>0</v>
      </c>
      <c r="O16" s="660">
        <v>0</v>
      </c>
      <c r="P16" s="660">
        <v>0</v>
      </c>
      <c r="Q16" s="487">
        <f>SUMIFS('4.1 Program Budget 2028-2031'!AH:AH,'4.1 Program Budget 2028-2031'!J:J,'4.2 Sector Seg Budget 2032-2035'!C16,'4.1 Program Budget 2028-2031'!L:L,'4.2 Sector Seg Budget 2032-2035'!D16,'4.1 Program Budget 2028-2031'!M:M,2031)</f>
        <v>0</v>
      </c>
    </row>
    <row r="17" spans="3:17">
      <c r="C17" s="29" t="str">
        <f>'Read Me'!I14</f>
        <v>Public</v>
      </c>
      <c r="D17" s="30" t="s">
        <v>20</v>
      </c>
      <c r="E17" s="30">
        <v>2032</v>
      </c>
      <c r="F17" s="486">
        <v>762943.75823879987</v>
      </c>
      <c r="G17" s="660">
        <v>1173637.3847098914</v>
      </c>
      <c r="H17" s="660">
        <v>1194872.2981293851</v>
      </c>
      <c r="I17" s="660">
        <v>948.72504334627047</v>
      </c>
      <c r="J17" s="660">
        <v>5508.1488000197996</v>
      </c>
      <c r="K17" s="660">
        <v>174.18117716709261</v>
      </c>
      <c r="L17" s="660">
        <v>29.24827012810513</v>
      </c>
      <c r="M17" s="660">
        <v>8951159.8100307621</v>
      </c>
      <c r="N17" s="660">
        <v>72369.528000237595</v>
      </c>
      <c r="O17" s="660">
        <v>1486.8781504551607</v>
      </c>
      <c r="P17" s="660">
        <v>384.28219368126162</v>
      </c>
      <c r="Q17" s="487">
        <f>SUMIFS('4.1 Program Budget 2028-2031'!AH:AH,'4.1 Program Budget 2028-2031'!J:J,'4.2 Sector Seg Budget 2032-2035'!C17,'4.1 Program Budget 2028-2031'!L:L,'4.2 Sector Seg Budget 2032-2035'!D17,'4.1 Program Budget 2028-2031'!M:M,2031)</f>
        <v>0</v>
      </c>
    </row>
    <row r="18" spans="3:17">
      <c r="C18" s="29" t="str">
        <f>'Read Me'!I15</f>
        <v>Cross Cutting</v>
      </c>
      <c r="D18" s="30" t="s">
        <v>20</v>
      </c>
      <c r="E18" s="30">
        <v>2032</v>
      </c>
      <c r="F18" s="486">
        <v>0</v>
      </c>
      <c r="G18" s="660">
        <v>0</v>
      </c>
      <c r="H18" s="660">
        <v>0</v>
      </c>
      <c r="I18" s="660">
        <v>0</v>
      </c>
      <c r="J18" s="660">
        <v>0</v>
      </c>
      <c r="K18" s="660">
        <v>0</v>
      </c>
      <c r="L18" s="660">
        <v>0</v>
      </c>
      <c r="M18" s="660">
        <v>0</v>
      </c>
      <c r="N18" s="660">
        <v>0</v>
      </c>
      <c r="O18" s="660">
        <v>0</v>
      </c>
      <c r="P18" s="660">
        <v>0</v>
      </c>
      <c r="Q18" s="487">
        <f>SUMIFS('4.1 Program Budget 2028-2031'!AH:AH,'4.1 Program Budget 2028-2031'!J:J,'4.2 Sector Seg Budget 2032-2035'!C18,'4.1 Program Budget 2028-2031'!L:L,'4.2 Sector Seg Budget 2032-2035'!D18,'4.1 Program Budget 2028-2031'!M:M,2031)</f>
        <v>0</v>
      </c>
    </row>
    <row r="19" spans="3:17">
      <c r="C19" s="29" t="str">
        <f>'Read Me'!I16</f>
        <v>Portfolio Support</v>
      </c>
      <c r="D19" s="30" t="s">
        <v>20</v>
      </c>
      <c r="E19" s="30">
        <v>2032</v>
      </c>
      <c r="F19" s="486">
        <v>2261937.6878</v>
      </c>
      <c r="G19" s="660">
        <v>0</v>
      </c>
      <c r="H19" s="660">
        <v>0</v>
      </c>
      <c r="I19" s="660">
        <v>0</v>
      </c>
      <c r="J19" s="660">
        <v>0</v>
      </c>
      <c r="K19" s="660">
        <v>0</v>
      </c>
      <c r="L19" s="660">
        <v>0</v>
      </c>
      <c r="M19" s="660">
        <v>0</v>
      </c>
      <c r="N19" s="660">
        <v>0</v>
      </c>
      <c r="O19" s="660">
        <v>0</v>
      </c>
      <c r="P19" s="660">
        <v>0</v>
      </c>
      <c r="Q19" s="487">
        <f>SUMIFS('4.1 Program Budget 2028-2031'!AH:AH,'4.1 Program Budget 2028-2031'!J:J,'4.2 Sector Seg Budget 2032-2035'!C19,'4.1 Program Budget 2028-2031'!L:L,'4.2 Sector Seg Budget 2032-2035'!D19,'4.1 Program Budget 2028-2031'!M:M,2031)</f>
        <v>0</v>
      </c>
    </row>
    <row r="20" spans="3:17">
      <c r="C20" s="29" t="str">
        <f>C13</f>
        <v>Residential</v>
      </c>
      <c r="D20" s="30" t="s">
        <v>29</v>
      </c>
      <c r="E20" s="30">
        <v>2032</v>
      </c>
      <c r="F20" s="486">
        <v>4639738.0087241884</v>
      </c>
      <c r="G20" s="660">
        <v>1283805.1754200954</v>
      </c>
      <c r="H20" s="660">
        <v>38704.985223226962</v>
      </c>
      <c r="I20" s="660">
        <v>52.036552141323277</v>
      </c>
      <c r="J20" s="660">
        <v>17947.752784264459</v>
      </c>
      <c r="K20" s="660">
        <v>9.7748131918539549</v>
      </c>
      <c r="L20" s="660">
        <v>95.302567284444322</v>
      </c>
      <c r="M20" s="660">
        <v>1344088.0897098612</v>
      </c>
      <c r="N20" s="660">
        <v>219626.1626097949</v>
      </c>
      <c r="O20" s="660">
        <v>329.00434491708774</v>
      </c>
      <c r="P20" s="660">
        <v>1166.2149234580097</v>
      </c>
      <c r="Q20" s="487">
        <f>SUMIFS('4.1 Program Budget 2028-2031'!AH:AH,'4.1 Program Budget 2028-2031'!J:J,'4.2 Sector Seg Budget 2032-2035'!C20,'4.1 Program Budget 2028-2031'!L:L,'4.2 Sector Seg Budget 2032-2035'!D20,'4.1 Program Budget 2028-2031'!M:M,2031)</f>
        <v>0</v>
      </c>
    </row>
    <row r="21" spans="3:17">
      <c r="C21" s="29" t="str">
        <f t="shared" ref="C21:C26" si="0">C14</f>
        <v>Commercial</v>
      </c>
      <c r="D21" s="30" t="s">
        <v>29</v>
      </c>
      <c r="E21" s="30">
        <v>2032</v>
      </c>
      <c r="F21" s="486">
        <v>779621.83458019991</v>
      </c>
      <c r="G21" s="660">
        <v>278773.66034606931</v>
      </c>
      <c r="H21" s="660">
        <v>202420.23363853147</v>
      </c>
      <c r="I21" s="660">
        <v>30.92387157514197</v>
      </c>
      <c r="J21" s="660">
        <v>872.23002072000031</v>
      </c>
      <c r="K21" s="660">
        <v>29.47414349030571</v>
      </c>
      <c r="L21" s="660">
        <v>4.6315414100231953</v>
      </c>
      <c r="M21" s="660">
        <v>2657647.5122897644</v>
      </c>
      <c r="N21" s="660">
        <v>12033.264773039995</v>
      </c>
      <c r="O21" s="660">
        <v>412.66747240465958</v>
      </c>
      <c r="P21" s="660">
        <v>63.896635944842352</v>
      </c>
      <c r="Q21" s="487">
        <f>SUMIFS('4.1 Program Budget 2028-2031'!AH:AH,'4.1 Program Budget 2028-2031'!J:J,'4.2 Sector Seg Budget 2032-2035'!C21,'4.1 Program Budget 2028-2031'!L:L,'4.2 Sector Seg Budget 2032-2035'!D21,'4.1 Program Budget 2028-2031'!M:M,2031)</f>
        <v>0</v>
      </c>
    </row>
    <row r="22" spans="3:17">
      <c r="C22" s="29" t="str">
        <f t="shared" si="0"/>
        <v>Industrial</v>
      </c>
      <c r="D22" s="30" t="s">
        <v>29</v>
      </c>
      <c r="E22" s="30">
        <v>2032</v>
      </c>
      <c r="F22" s="486">
        <v>69828.337700000004</v>
      </c>
      <c r="G22" s="660">
        <v>23566.848051620684</v>
      </c>
      <c r="H22" s="660">
        <v>1362.8159999999989</v>
      </c>
      <c r="I22" s="660">
        <v>0.1387022</v>
      </c>
      <c r="J22" s="660">
        <v>909.82979999999998</v>
      </c>
      <c r="K22" s="660">
        <v>0.21491687431759982</v>
      </c>
      <c r="L22" s="660">
        <v>4.8311962380000004</v>
      </c>
      <c r="M22" s="660">
        <v>15645.447999999989</v>
      </c>
      <c r="N22" s="660">
        <v>13647.447</v>
      </c>
      <c r="O22" s="660">
        <v>2.5298436787987901</v>
      </c>
      <c r="P22" s="660">
        <v>72.467943570000003</v>
      </c>
      <c r="Q22" s="487">
        <f>SUMIFS('4.1 Program Budget 2028-2031'!AH:AH,'4.1 Program Budget 2028-2031'!J:J,'4.2 Sector Seg Budget 2032-2035'!C22,'4.1 Program Budget 2028-2031'!L:L,'4.2 Sector Seg Budget 2032-2035'!D22,'4.1 Program Budget 2028-2031'!M:M,2031)</f>
        <v>0</v>
      </c>
    </row>
    <row r="23" spans="3:17">
      <c r="C23" s="29" t="str">
        <f t="shared" si="0"/>
        <v>Agricultural</v>
      </c>
      <c r="D23" s="30" t="s">
        <v>29</v>
      </c>
      <c r="E23" s="30">
        <v>2032</v>
      </c>
      <c r="F23" s="486">
        <v>69828.336810120003</v>
      </c>
      <c r="G23" s="660">
        <v>20001.845904366859</v>
      </c>
      <c r="H23" s="660">
        <v>17445.240175999985</v>
      </c>
      <c r="I23" s="660">
        <v>2.8352504179999944</v>
      </c>
      <c r="J23" s="660">
        <v>0</v>
      </c>
      <c r="K23" s="660">
        <v>2.6882860951582188</v>
      </c>
      <c r="L23" s="660">
        <v>0</v>
      </c>
      <c r="M23" s="660">
        <v>217539.38751999993</v>
      </c>
      <c r="N23" s="660">
        <v>0</v>
      </c>
      <c r="O23" s="660">
        <v>35.06611498517946</v>
      </c>
      <c r="P23" s="660">
        <v>0</v>
      </c>
      <c r="Q23" s="487">
        <f>SUMIFS('4.1 Program Budget 2028-2031'!AH:AH,'4.1 Program Budget 2028-2031'!J:J,'4.2 Sector Seg Budget 2032-2035'!C23,'4.1 Program Budget 2028-2031'!L:L,'4.2 Sector Seg Budget 2032-2035'!D23,'4.1 Program Budget 2028-2031'!M:M,2031)</f>
        <v>0</v>
      </c>
    </row>
    <row r="24" spans="3:17" ht="15" customHeight="1">
      <c r="C24" s="29" t="str">
        <f t="shared" si="0"/>
        <v>Public</v>
      </c>
      <c r="D24" s="30" t="s">
        <v>29</v>
      </c>
      <c r="E24" s="30">
        <v>2032</v>
      </c>
      <c r="F24" s="486">
        <v>459374.30282020004</v>
      </c>
      <c r="G24" s="660">
        <v>64095.333215740742</v>
      </c>
      <c r="H24" s="660">
        <v>23660.140867999995</v>
      </c>
      <c r="I24" s="660">
        <v>5.2182668719999956</v>
      </c>
      <c r="J24" s="660">
        <v>38.642097600000042</v>
      </c>
      <c r="K24" s="660">
        <v>3.3920227182286835</v>
      </c>
      <c r="L24" s="660">
        <v>0.20518953825599956</v>
      </c>
      <c r="M24" s="660">
        <v>311803.18805999972</v>
      </c>
      <c r="N24" s="660">
        <v>640.67286720000027</v>
      </c>
      <c r="O24" s="660">
        <v>47.273915581377551</v>
      </c>
      <c r="P24" s="660">
        <v>3.4019729248320001</v>
      </c>
      <c r="Q24" s="487">
        <f>SUMIFS('4.1 Program Budget 2028-2031'!AH:AH,'4.1 Program Budget 2028-2031'!J:J,'4.2 Sector Seg Budget 2032-2035'!C24,'4.1 Program Budget 2028-2031'!L:L,'4.2 Sector Seg Budget 2032-2035'!D24,'4.1 Program Budget 2028-2031'!M:M,2031)</f>
        <v>0</v>
      </c>
    </row>
    <row r="25" spans="3:17">
      <c r="C25" s="29" t="str">
        <f t="shared" si="0"/>
        <v>Cross Cutting</v>
      </c>
      <c r="D25" s="30" t="s">
        <v>29</v>
      </c>
      <c r="E25" s="30">
        <v>2032</v>
      </c>
      <c r="F25" s="486">
        <v>2572826.5797999999</v>
      </c>
      <c r="G25" s="660">
        <v>0</v>
      </c>
      <c r="H25" s="660">
        <v>0</v>
      </c>
      <c r="I25" s="660">
        <v>0</v>
      </c>
      <c r="J25" s="660">
        <v>0</v>
      </c>
      <c r="K25" s="660">
        <v>0</v>
      </c>
      <c r="L25" s="660">
        <v>0</v>
      </c>
      <c r="M25" s="660">
        <v>0</v>
      </c>
      <c r="N25" s="660">
        <v>0</v>
      </c>
      <c r="O25" s="660">
        <v>0</v>
      </c>
      <c r="P25" s="660">
        <v>0</v>
      </c>
      <c r="Q25" s="487">
        <f>SUMIFS('4.1 Program Budget 2028-2031'!AH:AH,'4.1 Program Budget 2028-2031'!J:J,'4.2 Sector Seg Budget 2032-2035'!C25,'4.1 Program Budget 2028-2031'!L:L,'4.2 Sector Seg Budget 2032-2035'!D25,'4.1 Program Budget 2028-2031'!M:M,2031)</f>
        <v>0</v>
      </c>
    </row>
    <row r="26" spans="3:17">
      <c r="C26" s="29" t="str">
        <f t="shared" si="0"/>
        <v>Portfolio Support</v>
      </c>
      <c r="D26" s="30" t="s">
        <v>29</v>
      </c>
      <c r="E26" s="30">
        <v>2032</v>
      </c>
      <c r="F26" s="486">
        <v>363396.40279999998</v>
      </c>
      <c r="G26" s="660">
        <v>0</v>
      </c>
      <c r="H26" s="660">
        <v>0</v>
      </c>
      <c r="I26" s="660">
        <v>0</v>
      </c>
      <c r="J26" s="660">
        <v>0</v>
      </c>
      <c r="K26" s="660">
        <v>0</v>
      </c>
      <c r="L26" s="660">
        <v>0</v>
      </c>
      <c r="M26" s="660">
        <v>0</v>
      </c>
      <c r="N26" s="660">
        <v>0</v>
      </c>
      <c r="O26" s="660">
        <v>0</v>
      </c>
      <c r="P26" s="660">
        <v>0</v>
      </c>
      <c r="Q26" s="487">
        <f>SUMIFS('4.1 Program Budget 2028-2031'!AH:AH,'4.1 Program Budget 2028-2031'!J:J,'4.2 Sector Seg Budget 2032-2035'!C26,'4.1 Program Budget 2028-2031'!L:L,'4.2 Sector Seg Budget 2032-2035'!D26,'4.1 Program Budget 2028-2031'!M:M,2031)</f>
        <v>0</v>
      </c>
    </row>
    <row r="27" spans="3:17">
      <c r="C27" s="488" t="str">
        <f>C13</f>
        <v>Residential</v>
      </c>
      <c r="D27" s="30" t="s">
        <v>36</v>
      </c>
      <c r="E27" s="30">
        <v>2032</v>
      </c>
      <c r="F27" s="486">
        <v>0</v>
      </c>
      <c r="G27" s="660">
        <v>0</v>
      </c>
      <c r="H27" s="660">
        <v>0</v>
      </c>
      <c r="I27" s="660">
        <v>0</v>
      </c>
      <c r="J27" s="660">
        <v>0</v>
      </c>
      <c r="K27" s="660">
        <v>0</v>
      </c>
      <c r="L27" s="660">
        <v>0</v>
      </c>
      <c r="M27" s="660">
        <v>0</v>
      </c>
      <c r="N27" s="660">
        <v>0</v>
      </c>
      <c r="O27" s="660">
        <v>0</v>
      </c>
      <c r="P27" s="660">
        <v>0</v>
      </c>
      <c r="Q27" s="487">
        <f>SUMIFS('4.1 Program Budget 2028-2031'!AH:AH,'4.1 Program Budget 2028-2031'!J:J,'4.2 Sector Seg Budget 2032-2035'!C27,'4.1 Program Budget 2028-2031'!L:L,'4.2 Sector Seg Budget 2032-2035'!D27,'4.1 Program Budget 2028-2031'!M:M,2031)</f>
        <v>0</v>
      </c>
    </row>
    <row r="28" spans="3:17">
      <c r="C28" s="488" t="str">
        <f t="shared" ref="C28:C33" si="1">C14</f>
        <v>Commercial</v>
      </c>
      <c r="D28" s="30" t="s">
        <v>36</v>
      </c>
      <c r="E28" s="30">
        <v>2032</v>
      </c>
      <c r="F28" s="486">
        <v>0</v>
      </c>
      <c r="G28" s="660">
        <v>0</v>
      </c>
      <c r="H28" s="660">
        <v>0</v>
      </c>
      <c r="I28" s="660">
        <v>0</v>
      </c>
      <c r="J28" s="660">
        <v>0</v>
      </c>
      <c r="K28" s="660">
        <v>0</v>
      </c>
      <c r="L28" s="660">
        <v>0</v>
      </c>
      <c r="M28" s="660">
        <v>0</v>
      </c>
      <c r="N28" s="660">
        <v>0</v>
      </c>
      <c r="O28" s="660">
        <v>0</v>
      </c>
      <c r="P28" s="660">
        <v>0</v>
      </c>
      <c r="Q28" s="487">
        <f>SUMIFS('4.1 Program Budget 2028-2031'!AH:AH,'4.1 Program Budget 2028-2031'!J:J,'4.2 Sector Seg Budget 2032-2035'!C28,'4.1 Program Budget 2028-2031'!L:L,'4.2 Sector Seg Budget 2032-2035'!D28,'4.1 Program Budget 2028-2031'!M:M,2031)</f>
        <v>0</v>
      </c>
    </row>
    <row r="29" spans="3:17">
      <c r="C29" s="488" t="str">
        <f t="shared" si="1"/>
        <v>Industrial</v>
      </c>
      <c r="D29" s="30" t="s">
        <v>36</v>
      </c>
      <c r="E29" s="30">
        <v>2032</v>
      </c>
      <c r="F29" s="486">
        <v>0</v>
      </c>
      <c r="G29" s="660">
        <v>0</v>
      </c>
      <c r="H29" s="660">
        <v>0</v>
      </c>
      <c r="I29" s="660">
        <v>0</v>
      </c>
      <c r="J29" s="660">
        <v>0</v>
      </c>
      <c r="K29" s="660">
        <v>0</v>
      </c>
      <c r="L29" s="660">
        <v>0</v>
      </c>
      <c r="M29" s="660">
        <v>0</v>
      </c>
      <c r="N29" s="660">
        <v>0</v>
      </c>
      <c r="O29" s="660">
        <v>0</v>
      </c>
      <c r="P29" s="660">
        <v>0</v>
      </c>
      <c r="Q29" s="487">
        <f>SUMIFS('4.1 Program Budget 2028-2031'!AH:AH,'4.1 Program Budget 2028-2031'!J:J,'4.2 Sector Seg Budget 2032-2035'!C29,'4.1 Program Budget 2028-2031'!L:L,'4.2 Sector Seg Budget 2032-2035'!D29,'4.1 Program Budget 2028-2031'!M:M,2031)</f>
        <v>0</v>
      </c>
    </row>
    <row r="30" spans="3:17">
      <c r="C30" s="488" t="str">
        <f t="shared" si="1"/>
        <v>Agricultural</v>
      </c>
      <c r="D30" s="30" t="s">
        <v>36</v>
      </c>
      <c r="E30" s="30">
        <v>2032</v>
      </c>
      <c r="F30" s="486">
        <v>0</v>
      </c>
      <c r="G30" s="660">
        <v>0</v>
      </c>
      <c r="H30" s="660">
        <v>0</v>
      </c>
      <c r="I30" s="660">
        <v>0</v>
      </c>
      <c r="J30" s="660">
        <v>0</v>
      </c>
      <c r="K30" s="660">
        <v>0</v>
      </c>
      <c r="L30" s="660">
        <v>0</v>
      </c>
      <c r="M30" s="660">
        <v>0</v>
      </c>
      <c r="N30" s="660">
        <v>0</v>
      </c>
      <c r="O30" s="660">
        <v>0</v>
      </c>
      <c r="P30" s="660">
        <v>0</v>
      </c>
      <c r="Q30" s="487">
        <f>SUMIFS('4.1 Program Budget 2028-2031'!AH:AH,'4.1 Program Budget 2028-2031'!J:J,'4.2 Sector Seg Budget 2032-2035'!C30,'4.1 Program Budget 2028-2031'!L:L,'4.2 Sector Seg Budget 2032-2035'!D30,'4.1 Program Budget 2028-2031'!M:M,2031)</f>
        <v>0</v>
      </c>
    </row>
    <row r="31" spans="3:17">
      <c r="C31" s="488" t="str">
        <f t="shared" si="1"/>
        <v>Public</v>
      </c>
      <c r="D31" s="30" t="s">
        <v>36</v>
      </c>
      <c r="E31" s="30">
        <v>2032</v>
      </c>
      <c r="F31" s="486">
        <v>0</v>
      </c>
      <c r="G31" s="660">
        <v>0</v>
      </c>
      <c r="H31" s="660">
        <v>0</v>
      </c>
      <c r="I31" s="660">
        <v>0</v>
      </c>
      <c r="J31" s="660">
        <v>0</v>
      </c>
      <c r="K31" s="660">
        <v>0</v>
      </c>
      <c r="L31" s="660">
        <v>0</v>
      </c>
      <c r="M31" s="660">
        <v>0</v>
      </c>
      <c r="N31" s="660">
        <v>0</v>
      </c>
      <c r="O31" s="660">
        <v>0</v>
      </c>
      <c r="P31" s="660">
        <v>0</v>
      </c>
      <c r="Q31" s="487">
        <f>SUMIFS('4.1 Program Budget 2028-2031'!AH:AH,'4.1 Program Budget 2028-2031'!J:J,'4.2 Sector Seg Budget 2032-2035'!C31,'4.1 Program Budget 2028-2031'!L:L,'4.2 Sector Seg Budget 2032-2035'!D31,'4.1 Program Budget 2028-2031'!M:M,2031)</f>
        <v>0</v>
      </c>
    </row>
    <row r="32" spans="3:17">
      <c r="C32" s="488" t="str">
        <f t="shared" si="1"/>
        <v>Cross Cutting</v>
      </c>
      <c r="D32" s="30" t="s">
        <v>36</v>
      </c>
      <c r="E32" s="30">
        <v>2032</v>
      </c>
      <c r="F32" s="486">
        <v>221485.16209999999</v>
      </c>
      <c r="G32" s="660">
        <v>0</v>
      </c>
      <c r="H32" s="660">
        <v>0</v>
      </c>
      <c r="I32" s="660">
        <v>0</v>
      </c>
      <c r="J32" s="660">
        <v>0</v>
      </c>
      <c r="K32" s="660">
        <v>0</v>
      </c>
      <c r="L32" s="660">
        <v>0</v>
      </c>
      <c r="M32" s="660">
        <v>0</v>
      </c>
      <c r="N32" s="660">
        <v>0</v>
      </c>
      <c r="O32" s="660">
        <v>0</v>
      </c>
      <c r="P32" s="660">
        <v>0</v>
      </c>
      <c r="Q32" s="487">
        <f>SUMIFS('4.1 Program Budget 2028-2031'!AH:AH,'4.1 Program Budget 2028-2031'!J:J,'4.2 Sector Seg Budget 2032-2035'!C32,'4.1 Program Budget 2028-2031'!L:L,'4.2 Sector Seg Budget 2032-2035'!D32,'4.1 Program Budget 2028-2031'!M:M,2031)</f>
        <v>0</v>
      </c>
    </row>
    <row r="33" spans="3:17">
      <c r="C33" s="488" t="str">
        <f t="shared" si="1"/>
        <v>Portfolio Support</v>
      </c>
      <c r="D33" s="30" t="s">
        <v>36</v>
      </c>
      <c r="E33" s="30">
        <v>2032</v>
      </c>
      <c r="F33" s="486">
        <v>9368.5105999999996</v>
      </c>
      <c r="G33" s="660">
        <v>0</v>
      </c>
      <c r="H33" s="660">
        <v>0</v>
      </c>
      <c r="I33" s="660">
        <v>0</v>
      </c>
      <c r="J33" s="660">
        <v>0</v>
      </c>
      <c r="K33" s="660">
        <v>0</v>
      </c>
      <c r="L33" s="660">
        <v>0</v>
      </c>
      <c r="M33" s="660">
        <v>0</v>
      </c>
      <c r="N33" s="660">
        <v>0</v>
      </c>
      <c r="O33" s="660">
        <v>0</v>
      </c>
      <c r="P33" s="660">
        <v>0</v>
      </c>
      <c r="Q33" s="487">
        <f>SUMIFS('4.1 Program Budget 2028-2031'!AH:AH,'4.1 Program Budget 2028-2031'!J:J,'4.2 Sector Seg Budget 2032-2035'!C33,'4.1 Program Budget 2028-2031'!L:L,'4.2 Sector Seg Budget 2032-2035'!D33,'4.1 Program Budget 2028-2031'!M:M,2031)</f>
        <v>0</v>
      </c>
    </row>
    <row r="34" spans="3:17">
      <c r="C34" s="29" t="s">
        <v>18</v>
      </c>
      <c r="D34" s="30" t="s">
        <v>20</v>
      </c>
      <c r="E34" s="30">
        <v>2033</v>
      </c>
      <c r="F34" s="486">
        <f t="shared" ref="F34:F54" si="2">F13</f>
        <v>24243288.803199999</v>
      </c>
      <c r="G34" s="660">
        <v>35859276.869736373</v>
      </c>
      <c r="H34" s="660">
        <v>105913260.37953013</v>
      </c>
      <c r="I34" s="660">
        <v>11335.255974804779</v>
      </c>
      <c r="J34" s="660">
        <v>1008293.5452632323</v>
      </c>
      <c r="K34" s="660">
        <v>18267.650964098881</v>
      </c>
      <c r="L34" s="660">
        <v>5354.0387253477584</v>
      </c>
      <c r="M34" s="660">
        <v>145681849.25723952</v>
      </c>
      <c r="N34" s="660">
        <v>5385235.1073192786</v>
      </c>
      <c r="O34" s="660">
        <v>28442.307383857642</v>
      </c>
      <c r="P34" s="660">
        <v>28595.598419865353</v>
      </c>
      <c r="Q34" s="487">
        <f>SUMIFS('4.1 Program Budget 2028-2031'!AH:AH,'4.1 Program Budget 2028-2031'!J:J,'4.2 Sector Seg Budget 2032-2035'!C34,'4.1 Program Budget 2028-2031'!L:L,'4.2 Sector Seg Budget 2032-2035'!D34,'4.1 Program Budget 2028-2031'!M:M,2031)</f>
        <v>36475.005006445841</v>
      </c>
    </row>
    <row r="35" spans="3:17">
      <c r="C35" s="29" t="s">
        <v>27</v>
      </c>
      <c r="D35" s="30" t="s">
        <v>20</v>
      </c>
      <c r="E35" s="30">
        <v>2033</v>
      </c>
      <c r="F35" s="486">
        <f t="shared" si="2"/>
        <v>19171027.173426624</v>
      </c>
      <c r="G35" s="660">
        <v>44079566.220261067</v>
      </c>
      <c r="H35" s="660">
        <v>15562248.101240361</v>
      </c>
      <c r="I35" s="660">
        <v>2130.6049071589478</v>
      </c>
      <c r="J35" s="660">
        <v>1169687.5398479186</v>
      </c>
      <c r="K35" s="660">
        <v>1936.1428971595999</v>
      </c>
      <c r="L35" s="660">
        <v>6211.0408365924459</v>
      </c>
      <c r="M35" s="660">
        <v>180442198.50884792</v>
      </c>
      <c r="N35" s="660">
        <v>17297535.714033894</v>
      </c>
      <c r="O35" s="660">
        <v>22979.290791402727</v>
      </c>
      <c r="P35" s="660">
        <v>91849.914641519994</v>
      </c>
      <c r="Q35" s="487">
        <f>SUMIFS('4.1 Program Budget 2028-2031'!AH:AH,'4.1 Program Budget 2028-2031'!J:J,'4.2 Sector Seg Budget 2032-2035'!C35,'4.1 Program Budget 2028-2031'!L:L,'4.2 Sector Seg Budget 2032-2035'!D35,'4.1 Program Budget 2028-2031'!M:M,2031)</f>
        <v>0</v>
      </c>
    </row>
    <row r="36" spans="3:17">
      <c r="C36" s="29" t="s">
        <v>34</v>
      </c>
      <c r="D36" s="30" t="s">
        <v>20</v>
      </c>
      <c r="E36" s="30">
        <v>2033</v>
      </c>
      <c r="F36" s="486">
        <f t="shared" si="2"/>
        <v>9298223.928199999</v>
      </c>
      <c r="G36" s="660">
        <v>9731876.6916343104</v>
      </c>
      <c r="H36" s="660">
        <v>17325000</v>
      </c>
      <c r="I36" s="660">
        <v>2229.5700000000002</v>
      </c>
      <c r="J36" s="660">
        <v>173250</v>
      </c>
      <c r="K36" s="660">
        <v>3478.4034750000001</v>
      </c>
      <c r="L36" s="660">
        <v>919.95749999999998</v>
      </c>
      <c r="M36" s="660">
        <v>86625000</v>
      </c>
      <c r="N36" s="660">
        <v>866250</v>
      </c>
      <c r="O36" s="660">
        <v>18704.454502500001</v>
      </c>
      <c r="P36" s="660">
        <v>4599.7875000000004</v>
      </c>
      <c r="Q36" s="487">
        <f>SUMIFS('4.1 Program Budget 2028-2031'!AH:AH,'4.1 Program Budget 2028-2031'!J:J,'4.2 Sector Seg Budget 2032-2035'!C36,'4.1 Program Budget 2028-2031'!L:L,'4.2 Sector Seg Budget 2032-2035'!D36,'4.1 Program Budget 2028-2031'!M:M,2031)</f>
        <v>0</v>
      </c>
    </row>
    <row r="37" spans="3:17">
      <c r="C37" s="29" t="s">
        <v>39</v>
      </c>
      <c r="D37" s="30" t="s">
        <v>20</v>
      </c>
      <c r="E37" s="30">
        <v>2033</v>
      </c>
      <c r="F37" s="486">
        <f t="shared" si="2"/>
        <v>0</v>
      </c>
      <c r="G37" s="660">
        <v>0</v>
      </c>
      <c r="H37" s="660">
        <v>0</v>
      </c>
      <c r="I37" s="660">
        <v>0</v>
      </c>
      <c r="J37" s="660">
        <v>0</v>
      </c>
      <c r="K37" s="660">
        <v>0</v>
      </c>
      <c r="L37" s="660">
        <v>0</v>
      </c>
      <c r="M37" s="660">
        <v>0</v>
      </c>
      <c r="N37" s="660">
        <v>0</v>
      </c>
      <c r="O37" s="660">
        <v>0</v>
      </c>
      <c r="P37" s="660">
        <v>0</v>
      </c>
      <c r="Q37" s="487">
        <f>SUMIFS('4.1 Program Budget 2028-2031'!AH:AH,'4.1 Program Budget 2028-2031'!J:J,'4.2 Sector Seg Budget 2032-2035'!C37,'4.1 Program Budget 2028-2031'!L:L,'4.2 Sector Seg Budget 2032-2035'!D37,'4.1 Program Budget 2028-2031'!M:M,2031)</f>
        <v>0</v>
      </c>
    </row>
    <row r="38" spans="3:17">
      <c r="C38" s="29" t="s">
        <v>45</v>
      </c>
      <c r="D38" s="30" t="s">
        <v>20</v>
      </c>
      <c r="E38" s="30">
        <v>2033</v>
      </c>
      <c r="F38" s="486">
        <f t="shared" si="2"/>
        <v>762943.75823879987</v>
      </c>
      <c r="G38" s="660">
        <v>1173637.3847098914</v>
      </c>
      <c r="H38" s="660">
        <v>1194872.2981293851</v>
      </c>
      <c r="I38" s="660">
        <v>948.72504334627047</v>
      </c>
      <c r="J38" s="660">
        <v>5508.1488000197996</v>
      </c>
      <c r="K38" s="660">
        <v>174.18117716709261</v>
      </c>
      <c r="L38" s="660">
        <v>29.24827012810513</v>
      </c>
      <c r="M38" s="660">
        <v>8951159.8100307621</v>
      </c>
      <c r="N38" s="660">
        <v>72369.528000237595</v>
      </c>
      <c r="O38" s="660">
        <v>1486.8781504551607</v>
      </c>
      <c r="P38" s="660">
        <v>384.28219368126162</v>
      </c>
      <c r="Q38" s="487">
        <f>SUMIFS('4.1 Program Budget 2028-2031'!AH:AH,'4.1 Program Budget 2028-2031'!J:J,'4.2 Sector Seg Budget 2032-2035'!C38,'4.1 Program Budget 2028-2031'!L:L,'4.2 Sector Seg Budget 2032-2035'!D38,'4.1 Program Budget 2028-2031'!M:M,2031)</f>
        <v>0</v>
      </c>
    </row>
    <row r="39" spans="3:17">
      <c r="C39" s="29" t="s">
        <v>50</v>
      </c>
      <c r="D39" s="30" t="s">
        <v>20</v>
      </c>
      <c r="E39" s="30">
        <v>2033</v>
      </c>
      <c r="F39" s="486">
        <f t="shared" si="2"/>
        <v>0</v>
      </c>
      <c r="G39" s="660">
        <v>0</v>
      </c>
      <c r="H39" s="660">
        <v>0</v>
      </c>
      <c r="I39" s="660">
        <v>0</v>
      </c>
      <c r="J39" s="660">
        <v>0</v>
      </c>
      <c r="K39" s="660">
        <v>0</v>
      </c>
      <c r="L39" s="660">
        <v>0</v>
      </c>
      <c r="M39" s="660">
        <v>0</v>
      </c>
      <c r="N39" s="660">
        <v>0</v>
      </c>
      <c r="O39" s="660">
        <v>0</v>
      </c>
      <c r="P39" s="660">
        <v>0</v>
      </c>
      <c r="Q39" s="487">
        <f>SUMIFS('4.1 Program Budget 2028-2031'!AH:AH,'4.1 Program Budget 2028-2031'!J:J,'4.2 Sector Seg Budget 2032-2035'!C39,'4.1 Program Budget 2028-2031'!L:L,'4.2 Sector Seg Budget 2032-2035'!D39,'4.1 Program Budget 2028-2031'!M:M,2031)</f>
        <v>0</v>
      </c>
    </row>
    <row r="40" spans="3:17">
      <c r="C40" s="29" t="s">
        <v>54</v>
      </c>
      <c r="D40" s="30" t="s">
        <v>20</v>
      </c>
      <c r="E40" s="30">
        <v>2033</v>
      </c>
      <c r="F40" s="486">
        <f t="shared" si="2"/>
        <v>2261937.6878</v>
      </c>
      <c r="G40" s="660">
        <v>0</v>
      </c>
      <c r="H40" s="660">
        <v>0</v>
      </c>
      <c r="I40" s="660">
        <v>0</v>
      </c>
      <c r="J40" s="660">
        <v>0</v>
      </c>
      <c r="K40" s="660">
        <v>0</v>
      </c>
      <c r="L40" s="660">
        <v>0</v>
      </c>
      <c r="M40" s="660">
        <v>0</v>
      </c>
      <c r="N40" s="660">
        <v>0</v>
      </c>
      <c r="O40" s="660">
        <v>0</v>
      </c>
      <c r="P40" s="660">
        <v>0</v>
      </c>
      <c r="Q40" s="487">
        <f>SUMIFS('4.1 Program Budget 2028-2031'!AH:AH,'4.1 Program Budget 2028-2031'!J:J,'4.2 Sector Seg Budget 2032-2035'!C40,'4.1 Program Budget 2028-2031'!L:L,'4.2 Sector Seg Budget 2032-2035'!D40,'4.1 Program Budget 2028-2031'!M:M,2031)</f>
        <v>0</v>
      </c>
    </row>
    <row r="41" spans="3:17">
      <c r="C41" s="29" t="s">
        <v>18</v>
      </c>
      <c r="D41" s="30" t="s">
        <v>29</v>
      </c>
      <c r="E41" s="30">
        <v>2033</v>
      </c>
      <c r="F41" s="486">
        <f t="shared" si="2"/>
        <v>4639738.0087241884</v>
      </c>
      <c r="G41" s="660">
        <v>1283805.1754200954</v>
      </c>
      <c r="H41" s="660">
        <v>38704.985223226962</v>
      </c>
      <c r="I41" s="660">
        <v>52.036552141323277</v>
      </c>
      <c r="J41" s="660">
        <v>17947.752784264459</v>
      </c>
      <c r="K41" s="660">
        <v>9.7748131918539549</v>
      </c>
      <c r="L41" s="660">
        <v>95.302567284444322</v>
      </c>
      <c r="M41" s="660">
        <v>1344088.0897098612</v>
      </c>
      <c r="N41" s="660">
        <v>219626.1626097949</v>
      </c>
      <c r="O41" s="660">
        <v>329.00434491708774</v>
      </c>
      <c r="P41" s="660">
        <v>1166.2149234580097</v>
      </c>
      <c r="Q41" s="487">
        <f>SUMIFS('4.1 Program Budget 2028-2031'!AH:AH,'4.1 Program Budget 2028-2031'!J:J,'4.2 Sector Seg Budget 2032-2035'!C41,'4.1 Program Budget 2028-2031'!L:L,'4.2 Sector Seg Budget 2032-2035'!D41,'4.1 Program Budget 2028-2031'!M:M,2031)</f>
        <v>0</v>
      </c>
    </row>
    <row r="42" spans="3:17">
      <c r="C42" s="29" t="s">
        <v>27</v>
      </c>
      <c r="D42" s="30" t="s">
        <v>29</v>
      </c>
      <c r="E42" s="30">
        <v>2033</v>
      </c>
      <c r="F42" s="486">
        <f t="shared" si="2"/>
        <v>779621.83458019991</v>
      </c>
      <c r="G42" s="660">
        <v>278773.66034606931</v>
      </c>
      <c r="H42" s="660">
        <v>202420.23363853147</v>
      </c>
      <c r="I42" s="660">
        <v>30.92387157514197</v>
      </c>
      <c r="J42" s="660">
        <v>872.23002072000031</v>
      </c>
      <c r="K42" s="660">
        <v>29.47414349030571</v>
      </c>
      <c r="L42" s="660">
        <v>4.6315414100231953</v>
      </c>
      <c r="M42" s="660">
        <v>2657647.5122897644</v>
      </c>
      <c r="N42" s="660">
        <v>12033.264773039995</v>
      </c>
      <c r="O42" s="660">
        <v>412.66747240465958</v>
      </c>
      <c r="P42" s="660">
        <v>63.896635944842352</v>
      </c>
      <c r="Q42" s="487">
        <f>SUMIFS('4.1 Program Budget 2028-2031'!AH:AH,'4.1 Program Budget 2028-2031'!J:J,'4.2 Sector Seg Budget 2032-2035'!C42,'4.1 Program Budget 2028-2031'!L:L,'4.2 Sector Seg Budget 2032-2035'!D42,'4.1 Program Budget 2028-2031'!M:M,2031)</f>
        <v>0</v>
      </c>
    </row>
    <row r="43" spans="3:17">
      <c r="C43" s="29" t="s">
        <v>34</v>
      </c>
      <c r="D43" s="30" t="s">
        <v>29</v>
      </c>
      <c r="E43" s="30">
        <v>2033</v>
      </c>
      <c r="F43" s="486">
        <f t="shared" si="2"/>
        <v>69828.337700000004</v>
      </c>
      <c r="G43" s="660">
        <v>23566.848051620684</v>
      </c>
      <c r="H43" s="660">
        <v>1362.8159999999989</v>
      </c>
      <c r="I43" s="660">
        <v>0.1387022</v>
      </c>
      <c r="J43" s="660">
        <v>909.82979999999998</v>
      </c>
      <c r="K43" s="660">
        <v>0.21491687431759982</v>
      </c>
      <c r="L43" s="660">
        <v>4.8311962380000004</v>
      </c>
      <c r="M43" s="660">
        <v>15645.447999999989</v>
      </c>
      <c r="N43" s="660">
        <v>13647.447</v>
      </c>
      <c r="O43" s="660">
        <v>2.5298436787987901</v>
      </c>
      <c r="P43" s="660">
        <v>72.467943570000003</v>
      </c>
      <c r="Q43" s="487">
        <f>SUMIFS('4.1 Program Budget 2028-2031'!AH:AH,'4.1 Program Budget 2028-2031'!J:J,'4.2 Sector Seg Budget 2032-2035'!C43,'4.1 Program Budget 2028-2031'!L:L,'4.2 Sector Seg Budget 2032-2035'!D43,'4.1 Program Budget 2028-2031'!M:M,2031)</f>
        <v>0</v>
      </c>
    </row>
    <row r="44" spans="3:17">
      <c r="C44" s="29" t="s">
        <v>39</v>
      </c>
      <c r="D44" s="30" t="s">
        <v>29</v>
      </c>
      <c r="E44" s="30">
        <v>2033</v>
      </c>
      <c r="F44" s="486">
        <f t="shared" si="2"/>
        <v>69828.336810120003</v>
      </c>
      <c r="G44" s="660">
        <v>20001.845904366859</v>
      </c>
      <c r="H44" s="660">
        <v>17445.240175999985</v>
      </c>
      <c r="I44" s="660">
        <v>2.8352504179999944</v>
      </c>
      <c r="J44" s="660">
        <v>0</v>
      </c>
      <c r="K44" s="660">
        <v>2.6882860951582188</v>
      </c>
      <c r="L44" s="660">
        <v>0</v>
      </c>
      <c r="M44" s="660">
        <v>217539.38751999993</v>
      </c>
      <c r="N44" s="660">
        <v>0</v>
      </c>
      <c r="O44" s="660">
        <v>35.06611498517946</v>
      </c>
      <c r="P44" s="660">
        <v>0</v>
      </c>
      <c r="Q44" s="487">
        <f>SUMIFS('4.1 Program Budget 2028-2031'!AH:AH,'4.1 Program Budget 2028-2031'!J:J,'4.2 Sector Seg Budget 2032-2035'!C44,'4.1 Program Budget 2028-2031'!L:L,'4.2 Sector Seg Budget 2032-2035'!D44,'4.1 Program Budget 2028-2031'!M:M,2031)</f>
        <v>0</v>
      </c>
    </row>
    <row r="45" spans="3:17">
      <c r="C45" s="29" t="s">
        <v>45</v>
      </c>
      <c r="D45" s="30" t="s">
        <v>29</v>
      </c>
      <c r="E45" s="30">
        <v>2033</v>
      </c>
      <c r="F45" s="486">
        <f t="shared" si="2"/>
        <v>459374.30282020004</v>
      </c>
      <c r="G45" s="660">
        <v>64095.333215740742</v>
      </c>
      <c r="H45" s="660">
        <v>23660.140867999995</v>
      </c>
      <c r="I45" s="660">
        <v>5.2182668719999956</v>
      </c>
      <c r="J45" s="660">
        <v>38.642097600000042</v>
      </c>
      <c r="K45" s="660">
        <v>3.3920227182286835</v>
      </c>
      <c r="L45" s="660">
        <v>0.20518953825599956</v>
      </c>
      <c r="M45" s="660">
        <v>311803.18805999972</v>
      </c>
      <c r="N45" s="660">
        <v>640.67286720000027</v>
      </c>
      <c r="O45" s="660">
        <v>47.273915581377551</v>
      </c>
      <c r="P45" s="660">
        <v>3.4019729248320001</v>
      </c>
      <c r="Q45" s="487">
        <f>SUMIFS('4.1 Program Budget 2028-2031'!AH:AH,'4.1 Program Budget 2028-2031'!J:J,'4.2 Sector Seg Budget 2032-2035'!C45,'4.1 Program Budget 2028-2031'!L:L,'4.2 Sector Seg Budget 2032-2035'!D45,'4.1 Program Budget 2028-2031'!M:M,2031)</f>
        <v>0</v>
      </c>
    </row>
    <row r="46" spans="3:17">
      <c r="C46" s="29" t="s">
        <v>50</v>
      </c>
      <c r="D46" s="30" t="s">
        <v>29</v>
      </c>
      <c r="E46" s="30">
        <v>2033</v>
      </c>
      <c r="F46" s="486">
        <f t="shared" si="2"/>
        <v>2572826.5797999999</v>
      </c>
      <c r="G46" s="660">
        <v>0</v>
      </c>
      <c r="H46" s="660">
        <v>0</v>
      </c>
      <c r="I46" s="660">
        <v>0</v>
      </c>
      <c r="J46" s="660">
        <v>0</v>
      </c>
      <c r="K46" s="660">
        <v>0</v>
      </c>
      <c r="L46" s="660">
        <v>0</v>
      </c>
      <c r="M46" s="660">
        <v>0</v>
      </c>
      <c r="N46" s="660">
        <v>0</v>
      </c>
      <c r="O46" s="660">
        <v>0</v>
      </c>
      <c r="P46" s="660">
        <v>0</v>
      </c>
      <c r="Q46" s="487">
        <f>SUMIFS('4.1 Program Budget 2028-2031'!AH:AH,'4.1 Program Budget 2028-2031'!J:J,'4.2 Sector Seg Budget 2032-2035'!C46,'4.1 Program Budget 2028-2031'!L:L,'4.2 Sector Seg Budget 2032-2035'!D46,'4.1 Program Budget 2028-2031'!M:M,2031)</f>
        <v>0</v>
      </c>
    </row>
    <row r="47" spans="3:17">
      <c r="C47" s="29" t="s">
        <v>54</v>
      </c>
      <c r="D47" s="30" t="s">
        <v>29</v>
      </c>
      <c r="E47" s="30">
        <v>2033</v>
      </c>
      <c r="F47" s="486">
        <f t="shared" si="2"/>
        <v>363396.40279999998</v>
      </c>
      <c r="G47" s="660">
        <v>0</v>
      </c>
      <c r="H47" s="660">
        <v>0</v>
      </c>
      <c r="I47" s="660">
        <v>0</v>
      </c>
      <c r="J47" s="660">
        <v>0</v>
      </c>
      <c r="K47" s="660">
        <v>0</v>
      </c>
      <c r="L47" s="660">
        <v>0</v>
      </c>
      <c r="M47" s="660">
        <v>0</v>
      </c>
      <c r="N47" s="660">
        <v>0</v>
      </c>
      <c r="O47" s="660">
        <v>0</v>
      </c>
      <c r="P47" s="660">
        <v>0</v>
      </c>
      <c r="Q47" s="487">
        <f>SUMIFS('4.1 Program Budget 2028-2031'!AH:AH,'4.1 Program Budget 2028-2031'!J:J,'4.2 Sector Seg Budget 2032-2035'!C47,'4.1 Program Budget 2028-2031'!L:L,'4.2 Sector Seg Budget 2032-2035'!D47,'4.1 Program Budget 2028-2031'!M:M,2031)</f>
        <v>0</v>
      </c>
    </row>
    <row r="48" spans="3:17">
      <c r="C48" s="488" t="s">
        <v>18</v>
      </c>
      <c r="D48" s="30" t="s">
        <v>36</v>
      </c>
      <c r="E48" s="30">
        <v>2033</v>
      </c>
      <c r="F48" s="486">
        <f t="shared" si="2"/>
        <v>0</v>
      </c>
      <c r="G48" s="660">
        <v>0</v>
      </c>
      <c r="H48" s="660">
        <v>0</v>
      </c>
      <c r="I48" s="660">
        <v>0</v>
      </c>
      <c r="J48" s="660">
        <v>0</v>
      </c>
      <c r="K48" s="660">
        <v>0</v>
      </c>
      <c r="L48" s="660">
        <v>0</v>
      </c>
      <c r="M48" s="660">
        <v>0</v>
      </c>
      <c r="N48" s="660">
        <v>0</v>
      </c>
      <c r="O48" s="660">
        <v>0</v>
      </c>
      <c r="P48" s="660">
        <v>0</v>
      </c>
      <c r="Q48" s="487">
        <f>SUMIFS('4.1 Program Budget 2028-2031'!AH:AH,'4.1 Program Budget 2028-2031'!J:J,'4.2 Sector Seg Budget 2032-2035'!C48,'4.1 Program Budget 2028-2031'!L:L,'4.2 Sector Seg Budget 2032-2035'!D48,'4.1 Program Budget 2028-2031'!M:M,2031)</f>
        <v>0</v>
      </c>
    </row>
    <row r="49" spans="3:17">
      <c r="C49" s="488" t="s">
        <v>27</v>
      </c>
      <c r="D49" s="30" t="s">
        <v>36</v>
      </c>
      <c r="E49" s="30">
        <v>2033</v>
      </c>
      <c r="F49" s="486">
        <f t="shared" si="2"/>
        <v>0</v>
      </c>
      <c r="G49" s="660">
        <v>0</v>
      </c>
      <c r="H49" s="660">
        <v>0</v>
      </c>
      <c r="I49" s="660">
        <v>0</v>
      </c>
      <c r="J49" s="660">
        <v>0</v>
      </c>
      <c r="K49" s="660">
        <v>0</v>
      </c>
      <c r="L49" s="660">
        <v>0</v>
      </c>
      <c r="M49" s="660">
        <v>0</v>
      </c>
      <c r="N49" s="660">
        <v>0</v>
      </c>
      <c r="O49" s="660">
        <v>0</v>
      </c>
      <c r="P49" s="660">
        <v>0</v>
      </c>
      <c r="Q49" s="487">
        <f>SUMIFS('4.1 Program Budget 2028-2031'!AH:AH,'4.1 Program Budget 2028-2031'!J:J,'4.2 Sector Seg Budget 2032-2035'!C49,'4.1 Program Budget 2028-2031'!L:L,'4.2 Sector Seg Budget 2032-2035'!D49,'4.1 Program Budget 2028-2031'!M:M,2031)</f>
        <v>0</v>
      </c>
    </row>
    <row r="50" spans="3:17">
      <c r="C50" s="488" t="s">
        <v>34</v>
      </c>
      <c r="D50" s="30" t="s">
        <v>36</v>
      </c>
      <c r="E50" s="30">
        <v>2033</v>
      </c>
      <c r="F50" s="486">
        <f t="shared" si="2"/>
        <v>0</v>
      </c>
      <c r="G50" s="660">
        <v>0</v>
      </c>
      <c r="H50" s="660">
        <v>0</v>
      </c>
      <c r="I50" s="660">
        <v>0</v>
      </c>
      <c r="J50" s="660">
        <v>0</v>
      </c>
      <c r="K50" s="660">
        <v>0</v>
      </c>
      <c r="L50" s="660">
        <v>0</v>
      </c>
      <c r="M50" s="660">
        <v>0</v>
      </c>
      <c r="N50" s="660">
        <v>0</v>
      </c>
      <c r="O50" s="660">
        <v>0</v>
      </c>
      <c r="P50" s="660">
        <v>0</v>
      </c>
      <c r="Q50" s="487">
        <f>SUMIFS('4.1 Program Budget 2028-2031'!AH:AH,'4.1 Program Budget 2028-2031'!J:J,'4.2 Sector Seg Budget 2032-2035'!C50,'4.1 Program Budget 2028-2031'!L:L,'4.2 Sector Seg Budget 2032-2035'!D50,'4.1 Program Budget 2028-2031'!M:M,2031)</f>
        <v>0</v>
      </c>
    </row>
    <row r="51" spans="3:17">
      <c r="C51" s="488" t="s">
        <v>39</v>
      </c>
      <c r="D51" s="30" t="s">
        <v>36</v>
      </c>
      <c r="E51" s="30">
        <v>2033</v>
      </c>
      <c r="F51" s="486">
        <f t="shared" si="2"/>
        <v>0</v>
      </c>
      <c r="G51" s="660">
        <v>0</v>
      </c>
      <c r="H51" s="660">
        <v>0</v>
      </c>
      <c r="I51" s="660">
        <v>0</v>
      </c>
      <c r="J51" s="660">
        <v>0</v>
      </c>
      <c r="K51" s="660">
        <v>0</v>
      </c>
      <c r="L51" s="660">
        <v>0</v>
      </c>
      <c r="M51" s="660">
        <v>0</v>
      </c>
      <c r="N51" s="660">
        <v>0</v>
      </c>
      <c r="O51" s="660">
        <v>0</v>
      </c>
      <c r="P51" s="660">
        <v>0</v>
      </c>
      <c r="Q51" s="487">
        <f>SUMIFS('4.1 Program Budget 2028-2031'!AH:AH,'4.1 Program Budget 2028-2031'!J:J,'4.2 Sector Seg Budget 2032-2035'!C51,'4.1 Program Budget 2028-2031'!L:L,'4.2 Sector Seg Budget 2032-2035'!D51,'4.1 Program Budget 2028-2031'!M:M,2031)</f>
        <v>0</v>
      </c>
    </row>
    <row r="52" spans="3:17">
      <c r="C52" s="488" t="s">
        <v>45</v>
      </c>
      <c r="D52" s="30" t="s">
        <v>36</v>
      </c>
      <c r="E52" s="30">
        <v>2033</v>
      </c>
      <c r="F52" s="486">
        <f t="shared" si="2"/>
        <v>0</v>
      </c>
      <c r="G52" s="660">
        <v>0</v>
      </c>
      <c r="H52" s="660">
        <v>0</v>
      </c>
      <c r="I52" s="660">
        <v>0</v>
      </c>
      <c r="J52" s="660">
        <v>0</v>
      </c>
      <c r="K52" s="660">
        <v>0</v>
      </c>
      <c r="L52" s="660">
        <v>0</v>
      </c>
      <c r="M52" s="660">
        <v>0</v>
      </c>
      <c r="N52" s="660">
        <v>0</v>
      </c>
      <c r="O52" s="660">
        <v>0</v>
      </c>
      <c r="P52" s="660">
        <v>0</v>
      </c>
      <c r="Q52" s="487">
        <f>SUMIFS('4.1 Program Budget 2028-2031'!AH:AH,'4.1 Program Budget 2028-2031'!J:J,'4.2 Sector Seg Budget 2032-2035'!C52,'4.1 Program Budget 2028-2031'!L:L,'4.2 Sector Seg Budget 2032-2035'!D52,'4.1 Program Budget 2028-2031'!M:M,2031)</f>
        <v>0</v>
      </c>
    </row>
    <row r="53" spans="3:17">
      <c r="C53" s="488" t="s">
        <v>50</v>
      </c>
      <c r="D53" s="30" t="s">
        <v>36</v>
      </c>
      <c r="E53" s="30">
        <v>2033</v>
      </c>
      <c r="F53" s="486">
        <f t="shared" si="2"/>
        <v>221485.16209999999</v>
      </c>
      <c r="G53" s="660">
        <v>0</v>
      </c>
      <c r="H53" s="660">
        <v>0</v>
      </c>
      <c r="I53" s="660">
        <v>0</v>
      </c>
      <c r="J53" s="660">
        <v>0</v>
      </c>
      <c r="K53" s="660">
        <v>0</v>
      </c>
      <c r="L53" s="660">
        <v>0</v>
      </c>
      <c r="M53" s="660">
        <v>0</v>
      </c>
      <c r="N53" s="660">
        <v>0</v>
      </c>
      <c r="O53" s="660">
        <v>0</v>
      </c>
      <c r="P53" s="660">
        <v>0</v>
      </c>
      <c r="Q53" s="487">
        <f>SUMIFS('4.1 Program Budget 2028-2031'!AH:AH,'4.1 Program Budget 2028-2031'!J:J,'4.2 Sector Seg Budget 2032-2035'!C53,'4.1 Program Budget 2028-2031'!L:L,'4.2 Sector Seg Budget 2032-2035'!D53,'4.1 Program Budget 2028-2031'!M:M,2031)</f>
        <v>0</v>
      </c>
    </row>
    <row r="54" spans="3:17">
      <c r="C54" s="488" t="s">
        <v>54</v>
      </c>
      <c r="D54" s="30" t="s">
        <v>36</v>
      </c>
      <c r="E54" s="30">
        <v>2033</v>
      </c>
      <c r="F54" s="486">
        <f t="shared" si="2"/>
        <v>9368.5105999999996</v>
      </c>
      <c r="G54" s="660">
        <v>0</v>
      </c>
      <c r="H54" s="660">
        <v>0</v>
      </c>
      <c r="I54" s="660">
        <v>0</v>
      </c>
      <c r="J54" s="660">
        <v>0</v>
      </c>
      <c r="K54" s="660">
        <v>0</v>
      </c>
      <c r="L54" s="660">
        <v>0</v>
      </c>
      <c r="M54" s="660">
        <v>0</v>
      </c>
      <c r="N54" s="660">
        <v>0</v>
      </c>
      <c r="O54" s="660">
        <v>0</v>
      </c>
      <c r="P54" s="660">
        <v>0</v>
      </c>
      <c r="Q54" s="487">
        <f>SUMIFS('4.1 Program Budget 2028-2031'!AH:AH,'4.1 Program Budget 2028-2031'!J:J,'4.2 Sector Seg Budget 2032-2035'!C54,'4.1 Program Budget 2028-2031'!L:L,'4.2 Sector Seg Budget 2032-2035'!D54,'4.1 Program Budget 2028-2031'!M:M,2031)</f>
        <v>0</v>
      </c>
    </row>
    <row r="55" spans="3:17">
      <c r="C55" s="29" t="s">
        <v>18</v>
      </c>
      <c r="D55" s="30" t="s">
        <v>20</v>
      </c>
      <c r="E55" s="30">
        <v>2034</v>
      </c>
      <c r="F55" s="486">
        <f t="shared" ref="F55" si="3">F13</f>
        <v>24243288.803199999</v>
      </c>
      <c r="G55" s="660">
        <v>35859276.869736373</v>
      </c>
      <c r="H55" s="660">
        <v>105913260.37953013</v>
      </c>
      <c r="I55" s="660">
        <v>11335.255974804779</v>
      </c>
      <c r="J55" s="660">
        <v>1008293.5452632323</v>
      </c>
      <c r="K55" s="660">
        <v>18267.650964098881</v>
      </c>
      <c r="L55" s="660">
        <v>5354.0387253477584</v>
      </c>
      <c r="M55" s="660">
        <v>145681849.25723952</v>
      </c>
      <c r="N55" s="660">
        <v>5385235.1073192786</v>
      </c>
      <c r="O55" s="660">
        <v>28442.307383857642</v>
      </c>
      <c r="P55" s="660">
        <v>28595.598419865353</v>
      </c>
      <c r="Q55" s="487">
        <f>SUMIFS('4.1 Program Budget 2028-2031'!AH:AH,'4.1 Program Budget 2028-2031'!J:J,'4.2 Sector Seg Budget 2032-2035'!C55,'4.1 Program Budget 2028-2031'!L:L,'4.2 Sector Seg Budget 2032-2035'!D55,'4.1 Program Budget 2028-2031'!M:M,2031)</f>
        <v>36475.005006445841</v>
      </c>
    </row>
    <row r="56" spans="3:17">
      <c r="C56" s="29" t="s">
        <v>27</v>
      </c>
      <c r="D56" s="30" t="s">
        <v>20</v>
      </c>
      <c r="E56" s="30">
        <v>2034</v>
      </c>
      <c r="F56" s="486">
        <f t="shared" ref="F56" si="4">F14</f>
        <v>19171027.173426624</v>
      </c>
      <c r="G56" s="660">
        <v>44079566.220261067</v>
      </c>
      <c r="H56" s="660">
        <v>15562248.101240361</v>
      </c>
      <c r="I56" s="660">
        <v>2130.6049071589478</v>
      </c>
      <c r="J56" s="660">
        <v>1169687.5398479186</v>
      </c>
      <c r="K56" s="660">
        <v>1936.1428971595999</v>
      </c>
      <c r="L56" s="660">
        <v>6211.0408365924459</v>
      </c>
      <c r="M56" s="660">
        <v>180442198.50884792</v>
      </c>
      <c r="N56" s="660">
        <v>17297535.714033894</v>
      </c>
      <c r="O56" s="660">
        <v>22979.290791402727</v>
      </c>
      <c r="P56" s="660">
        <v>91849.914641519994</v>
      </c>
      <c r="Q56" s="487">
        <f>SUMIFS('4.1 Program Budget 2028-2031'!AH:AH,'4.1 Program Budget 2028-2031'!J:J,'4.2 Sector Seg Budget 2032-2035'!C56,'4.1 Program Budget 2028-2031'!L:L,'4.2 Sector Seg Budget 2032-2035'!D56,'4.1 Program Budget 2028-2031'!M:M,2031)</f>
        <v>0</v>
      </c>
    </row>
    <row r="57" spans="3:17">
      <c r="C57" s="29" t="s">
        <v>34</v>
      </c>
      <c r="D57" s="30" t="s">
        <v>20</v>
      </c>
      <c r="E57" s="30">
        <v>2034</v>
      </c>
      <c r="F57" s="486">
        <f t="shared" ref="F57:F75" si="5">F15</f>
        <v>9298223.928199999</v>
      </c>
      <c r="G57" s="660">
        <v>9731876.6916343104</v>
      </c>
      <c r="H57" s="660">
        <v>17325000</v>
      </c>
      <c r="I57" s="660">
        <v>2229.5700000000002</v>
      </c>
      <c r="J57" s="660">
        <v>173250</v>
      </c>
      <c r="K57" s="660">
        <v>3478.4034750000001</v>
      </c>
      <c r="L57" s="660">
        <v>919.95749999999998</v>
      </c>
      <c r="M57" s="660">
        <v>86625000</v>
      </c>
      <c r="N57" s="660">
        <v>866250</v>
      </c>
      <c r="O57" s="660">
        <v>18704.454502500001</v>
      </c>
      <c r="P57" s="660">
        <v>4599.7875000000004</v>
      </c>
      <c r="Q57" s="487">
        <f>SUMIFS('4.1 Program Budget 2028-2031'!AH:AH,'4.1 Program Budget 2028-2031'!J:J,'4.2 Sector Seg Budget 2032-2035'!C57,'4.1 Program Budget 2028-2031'!L:L,'4.2 Sector Seg Budget 2032-2035'!D57,'4.1 Program Budget 2028-2031'!M:M,2031)</f>
        <v>0</v>
      </c>
    </row>
    <row r="58" spans="3:17">
      <c r="C58" s="29" t="s">
        <v>39</v>
      </c>
      <c r="D58" s="30" t="s">
        <v>20</v>
      </c>
      <c r="E58" s="30">
        <v>2034</v>
      </c>
      <c r="F58" s="486">
        <f t="shared" si="5"/>
        <v>0</v>
      </c>
      <c r="G58" s="660">
        <v>0</v>
      </c>
      <c r="H58" s="660">
        <v>0</v>
      </c>
      <c r="I58" s="660">
        <v>0</v>
      </c>
      <c r="J58" s="660">
        <v>0</v>
      </c>
      <c r="K58" s="660">
        <v>0</v>
      </c>
      <c r="L58" s="660">
        <v>0</v>
      </c>
      <c r="M58" s="660">
        <v>0</v>
      </c>
      <c r="N58" s="660">
        <v>0</v>
      </c>
      <c r="O58" s="660">
        <v>0</v>
      </c>
      <c r="P58" s="660">
        <v>0</v>
      </c>
      <c r="Q58" s="487">
        <f>SUMIFS('4.1 Program Budget 2028-2031'!AH:AH,'4.1 Program Budget 2028-2031'!J:J,'4.2 Sector Seg Budget 2032-2035'!C58,'4.1 Program Budget 2028-2031'!L:L,'4.2 Sector Seg Budget 2032-2035'!D58,'4.1 Program Budget 2028-2031'!M:M,2031)</f>
        <v>0</v>
      </c>
    </row>
    <row r="59" spans="3:17">
      <c r="C59" s="29" t="s">
        <v>45</v>
      </c>
      <c r="D59" s="30" t="s">
        <v>20</v>
      </c>
      <c r="E59" s="30">
        <v>2034</v>
      </c>
      <c r="F59" s="486">
        <f t="shared" si="5"/>
        <v>762943.75823879987</v>
      </c>
      <c r="G59" s="660">
        <v>1173637.3847098914</v>
      </c>
      <c r="H59" s="660">
        <v>1194872.2981293851</v>
      </c>
      <c r="I59" s="660">
        <v>948.72504334627047</v>
      </c>
      <c r="J59" s="660">
        <v>5508.1488000197996</v>
      </c>
      <c r="K59" s="660">
        <v>174.18117716709261</v>
      </c>
      <c r="L59" s="660">
        <v>29.24827012810513</v>
      </c>
      <c r="M59" s="660">
        <v>8951159.8100307621</v>
      </c>
      <c r="N59" s="660">
        <v>72369.528000237595</v>
      </c>
      <c r="O59" s="660">
        <v>1486.8781504551607</v>
      </c>
      <c r="P59" s="660">
        <v>384.28219368126162</v>
      </c>
      <c r="Q59" s="487">
        <f>SUMIFS('4.1 Program Budget 2028-2031'!AH:AH,'4.1 Program Budget 2028-2031'!J:J,'4.2 Sector Seg Budget 2032-2035'!C59,'4.1 Program Budget 2028-2031'!L:L,'4.2 Sector Seg Budget 2032-2035'!D59,'4.1 Program Budget 2028-2031'!M:M,2031)</f>
        <v>0</v>
      </c>
    </row>
    <row r="60" spans="3:17">
      <c r="C60" s="29" t="s">
        <v>50</v>
      </c>
      <c r="D60" s="30" t="s">
        <v>20</v>
      </c>
      <c r="E60" s="30">
        <v>2034</v>
      </c>
      <c r="F60" s="486">
        <f t="shared" si="5"/>
        <v>0</v>
      </c>
      <c r="G60" s="660">
        <v>0</v>
      </c>
      <c r="H60" s="660">
        <v>0</v>
      </c>
      <c r="I60" s="660">
        <v>0</v>
      </c>
      <c r="J60" s="660">
        <v>0</v>
      </c>
      <c r="K60" s="660">
        <v>0</v>
      </c>
      <c r="L60" s="660">
        <v>0</v>
      </c>
      <c r="M60" s="660">
        <v>0</v>
      </c>
      <c r="N60" s="660">
        <v>0</v>
      </c>
      <c r="O60" s="660">
        <v>0</v>
      </c>
      <c r="P60" s="660">
        <v>0</v>
      </c>
      <c r="Q60" s="487">
        <f>SUMIFS('4.1 Program Budget 2028-2031'!AH:AH,'4.1 Program Budget 2028-2031'!J:J,'4.2 Sector Seg Budget 2032-2035'!C60,'4.1 Program Budget 2028-2031'!L:L,'4.2 Sector Seg Budget 2032-2035'!D60,'4.1 Program Budget 2028-2031'!M:M,2031)</f>
        <v>0</v>
      </c>
    </row>
    <row r="61" spans="3:17">
      <c r="C61" s="29" t="s">
        <v>54</v>
      </c>
      <c r="D61" s="30" t="s">
        <v>20</v>
      </c>
      <c r="E61" s="30">
        <v>2034</v>
      </c>
      <c r="F61" s="486">
        <f t="shared" si="5"/>
        <v>2261937.6878</v>
      </c>
      <c r="G61" s="660">
        <v>0</v>
      </c>
      <c r="H61" s="660">
        <v>0</v>
      </c>
      <c r="I61" s="660">
        <v>0</v>
      </c>
      <c r="J61" s="660">
        <v>0</v>
      </c>
      <c r="K61" s="660">
        <v>0</v>
      </c>
      <c r="L61" s="660">
        <v>0</v>
      </c>
      <c r="M61" s="660">
        <v>0</v>
      </c>
      <c r="N61" s="660">
        <v>0</v>
      </c>
      <c r="O61" s="660">
        <v>0</v>
      </c>
      <c r="P61" s="660">
        <v>0</v>
      </c>
      <c r="Q61" s="487">
        <f>SUMIFS('4.1 Program Budget 2028-2031'!AH:AH,'4.1 Program Budget 2028-2031'!J:J,'4.2 Sector Seg Budget 2032-2035'!C61,'4.1 Program Budget 2028-2031'!L:L,'4.2 Sector Seg Budget 2032-2035'!D61,'4.1 Program Budget 2028-2031'!M:M,2031)</f>
        <v>0</v>
      </c>
    </row>
    <row r="62" spans="3:17">
      <c r="C62" s="29" t="s">
        <v>18</v>
      </c>
      <c r="D62" s="30" t="s">
        <v>29</v>
      </c>
      <c r="E62" s="30">
        <v>2034</v>
      </c>
      <c r="F62" s="486">
        <f t="shared" si="5"/>
        <v>4639738.0087241884</v>
      </c>
      <c r="G62" s="660">
        <v>1283805.1754200954</v>
      </c>
      <c r="H62" s="660">
        <v>38704.985223226962</v>
      </c>
      <c r="I62" s="660">
        <v>52.036552141323277</v>
      </c>
      <c r="J62" s="660">
        <v>17947.752784264459</v>
      </c>
      <c r="K62" s="660">
        <v>9.7748131918539549</v>
      </c>
      <c r="L62" s="660">
        <v>95.302567284444322</v>
      </c>
      <c r="M62" s="660">
        <v>1344088.0897098612</v>
      </c>
      <c r="N62" s="660">
        <v>219626.1626097949</v>
      </c>
      <c r="O62" s="660">
        <v>329.00434491708774</v>
      </c>
      <c r="P62" s="660">
        <v>1166.2149234580097</v>
      </c>
      <c r="Q62" s="487">
        <f>SUMIFS('4.1 Program Budget 2028-2031'!AH:AH,'4.1 Program Budget 2028-2031'!J:J,'4.2 Sector Seg Budget 2032-2035'!C62,'4.1 Program Budget 2028-2031'!L:L,'4.2 Sector Seg Budget 2032-2035'!D62,'4.1 Program Budget 2028-2031'!M:M,2031)</f>
        <v>0</v>
      </c>
    </row>
    <row r="63" spans="3:17">
      <c r="C63" s="29" t="s">
        <v>27</v>
      </c>
      <c r="D63" s="30" t="s">
        <v>29</v>
      </c>
      <c r="E63" s="30">
        <v>2034</v>
      </c>
      <c r="F63" s="486">
        <f t="shared" si="5"/>
        <v>779621.83458019991</v>
      </c>
      <c r="G63" s="660">
        <v>278773.66034606931</v>
      </c>
      <c r="H63" s="660">
        <v>202420.23363853147</v>
      </c>
      <c r="I63" s="660">
        <v>30.92387157514197</v>
      </c>
      <c r="J63" s="660">
        <v>872.23002072000031</v>
      </c>
      <c r="K63" s="660">
        <v>29.47414349030571</v>
      </c>
      <c r="L63" s="660">
        <v>4.6315414100231953</v>
      </c>
      <c r="M63" s="660">
        <v>2657647.5122897644</v>
      </c>
      <c r="N63" s="660">
        <v>12033.264773039995</v>
      </c>
      <c r="O63" s="660">
        <v>412.66747240465958</v>
      </c>
      <c r="P63" s="660">
        <v>63.896635944842352</v>
      </c>
      <c r="Q63" s="487">
        <f>SUMIFS('4.1 Program Budget 2028-2031'!AH:AH,'4.1 Program Budget 2028-2031'!J:J,'4.2 Sector Seg Budget 2032-2035'!C63,'4.1 Program Budget 2028-2031'!L:L,'4.2 Sector Seg Budget 2032-2035'!D63,'4.1 Program Budget 2028-2031'!M:M,2031)</f>
        <v>0</v>
      </c>
    </row>
    <row r="64" spans="3:17">
      <c r="C64" s="29" t="s">
        <v>34</v>
      </c>
      <c r="D64" s="30" t="s">
        <v>29</v>
      </c>
      <c r="E64" s="30">
        <v>2034</v>
      </c>
      <c r="F64" s="486">
        <f t="shared" si="5"/>
        <v>69828.337700000004</v>
      </c>
      <c r="G64" s="660">
        <v>23566.848051620684</v>
      </c>
      <c r="H64" s="660">
        <v>1362.8159999999989</v>
      </c>
      <c r="I64" s="660">
        <v>0.1387022</v>
      </c>
      <c r="J64" s="660">
        <v>909.82979999999998</v>
      </c>
      <c r="K64" s="660">
        <v>0.21491687431759982</v>
      </c>
      <c r="L64" s="660">
        <v>4.8311962380000004</v>
      </c>
      <c r="M64" s="660">
        <v>15645.447999999989</v>
      </c>
      <c r="N64" s="660">
        <v>13647.447</v>
      </c>
      <c r="O64" s="660">
        <v>2.5298436787987901</v>
      </c>
      <c r="P64" s="660">
        <v>72.467943570000003</v>
      </c>
      <c r="Q64" s="487">
        <f>SUMIFS('4.1 Program Budget 2028-2031'!AH:AH,'4.1 Program Budget 2028-2031'!J:J,'4.2 Sector Seg Budget 2032-2035'!C64,'4.1 Program Budget 2028-2031'!L:L,'4.2 Sector Seg Budget 2032-2035'!D64,'4.1 Program Budget 2028-2031'!M:M,2031)</f>
        <v>0</v>
      </c>
    </row>
    <row r="65" spans="3:17">
      <c r="C65" s="29" t="s">
        <v>39</v>
      </c>
      <c r="D65" s="30" t="s">
        <v>29</v>
      </c>
      <c r="E65" s="30">
        <v>2034</v>
      </c>
      <c r="F65" s="486">
        <f t="shared" si="5"/>
        <v>69828.336810120003</v>
      </c>
      <c r="G65" s="660">
        <v>20001.845904366859</v>
      </c>
      <c r="H65" s="660">
        <v>17445.240175999985</v>
      </c>
      <c r="I65" s="660">
        <v>2.8352504179999944</v>
      </c>
      <c r="J65" s="660">
        <v>0</v>
      </c>
      <c r="K65" s="660">
        <v>2.6882860951582188</v>
      </c>
      <c r="L65" s="660">
        <v>0</v>
      </c>
      <c r="M65" s="660">
        <v>217539.38751999993</v>
      </c>
      <c r="N65" s="660">
        <v>0</v>
      </c>
      <c r="O65" s="660">
        <v>35.06611498517946</v>
      </c>
      <c r="P65" s="660">
        <v>0</v>
      </c>
      <c r="Q65" s="487">
        <f>SUMIFS('4.1 Program Budget 2028-2031'!AH:AH,'4.1 Program Budget 2028-2031'!J:J,'4.2 Sector Seg Budget 2032-2035'!C65,'4.1 Program Budget 2028-2031'!L:L,'4.2 Sector Seg Budget 2032-2035'!D65,'4.1 Program Budget 2028-2031'!M:M,2031)</f>
        <v>0</v>
      </c>
    </row>
    <row r="66" spans="3:17">
      <c r="C66" s="29" t="s">
        <v>45</v>
      </c>
      <c r="D66" s="30" t="s">
        <v>29</v>
      </c>
      <c r="E66" s="30">
        <v>2034</v>
      </c>
      <c r="F66" s="486">
        <f t="shared" si="5"/>
        <v>459374.30282020004</v>
      </c>
      <c r="G66" s="660">
        <v>64095.333215740742</v>
      </c>
      <c r="H66" s="660">
        <v>23660.140867999995</v>
      </c>
      <c r="I66" s="660">
        <v>5.2182668719999956</v>
      </c>
      <c r="J66" s="660">
        <v>38.642097600000042</v>
      </c>
      <c r="K66" s="660">
        <v>3.3920227182286835</v>
      </c>
      <c r="L66" s="660">
        <v>0.20518953825599956</v>
      </c>
      <c r="M66" s="660">
        <v>311803.18805999972</v>
      </c>
      <c r="N66" s="660">
        <v>640.67286720000027</v>
      </c>
      <c r="O66" s="660">
        <v>47.273915581377551</v>
      </c>
      <c r="P66" s="660">
        <v>3.4019729248320001</v>
      </c>
      <c r="Q66" s="487">
        <f>SUMIFS('4.1 Program Budget 2028-2031'!AH:AH,'4.1 Program Budget 2028-2031'!J:J,'4.2 Sector Seg Budget 2032-2035'!C66,'4.1 Program Budget 2028-2031'!L:L,'4.2 Sector Seg Budget 2032-2035'!D66,'4.1 Program Budget 2028-2031'!M:M,2031)</f>
        <v>0</v>
      </c>
    </row>
    <row r="67" spans="3:17">
      <c r="C67" s="29" t="s">
        <v>50</v>
      </c>
      <c r="D67" s="30" t="s">
        <v>29</v>
      </c>
      <c r="E67" s="30">
        <v>2034</v>
      </c>
      <c r="F67" s="486">
        <f t="shared" si="5"/>
        <v>2572826.5797999999</v>
      </c>
      <c r="G67" s="660">
        <v>0</v>
      </c>
      <c r="H67" s="660">
        <v>0</v>
      </c>
      <c r="I67" s="660">
        <v>0</v>
      </c>
      <c r="J67" s="660">
        <v>0</v>
      </c>
      <c r="K67" s="660">
        <v>0</v>
      </c>
      <c r="L67" s="660">
        <v>0</v>
      </c>
      <c r="M67" s="660">
        <v>0</v>
      </c>
      <c r="N67" s="660">
        <v>0</v>
      </c>
      <c r="O67" s="660">
        <v>0</v>
      </c>
      <c r="P67" s="660">
        <v>0</v>
      </c>
      <c r="Q67" s="487">
        <f>SUMIFS('4.1 Program Budget 2028-2031'!AH:AH,'4.1 Program Budget 2028-2031'!J:J,'4.2 Sector Seg Budget 2032-2035'!C67,'4.1 Program Budget 2028-2031'!L:L,'4.2 Sector Seg Budget 2032-2035'!D67,'4.1 Program Budget 2028-2031'!M:M,2031)</f>
        <v>0</v>
      </c>
    </row>
    <row r="68" spans="3:17">
      <c r="C68" s="29" t="s">
        <v>54</v>
      </c>
      <c r="D68" s="30" t="s">
        <v>29</v>
      </c>
      <c r="E68" s="30">
        <v>2034</v>
      </c>
      <c r="F68" s="486">
        <f t="shared" si="5"/>
        <v>363396.40279999998</v>
      </c>
      <c r="G68" s="660">
        <v>0</v>
      </c>
      <c r="H68" s="660">
        <v>0</v>
      </c>
      <c r="I68" s="660">
        <v>0</v>
      </c>
      <c r="J68" s="660">
        <v>0</v>
      </c>
      <c r="K68" s="660">
        <v>0</v>
      </c>
      <c r="L68" s="660">
        <v>0</v>
      </c>
      <c r="M68" s="660">
        <v>0</v>
      </c>
      <c r="N68" s="660">
        <v>0</v>
      </c>
      <c r="O68" s="660">
        <v>0</v>
      </c>
      <c r="P68" s="660">
        <v>0</v>
      </c>
      <c r="Q68" s="487">
        <f>SUMIFS('4.1 Program Budget 2028-2031'!AH:AH,'4.1 Program Budget 2028-2031'!J:J,'4.2 Sector Seg Budget 2032-2035'!C68,'4.1 Program Budget 2028-2031'!L:L,'4.2 Sector Seg Budget 2032-2035'!D68,'4.1 Program Budget 2028-2031'!M:M,2031)</f>
        <v>0</v>
      </c>
    </row>
    <row r="69" spans="3:17">
      <c r="C69" s="488" t="s">
        <v>18</v>
      </c>
      <c r="D69" s="30" t="s">
        <v>36</v>
      </c>
      <c r="E69" s="30">
        <v>2034</v>
      </c>
      <c r="F69" s="486">
        <f t="shared" si="5"/>
        <v>0</v>
      </c>
      <c r="G69" s="660">
        <v>0</v>
      </c>
      <c r="H69" s="660">
        <v>0</v>
      </c>
      <c r="I69" s="660">
        <v>0</v>
      </c>
      <c r="J69" s="660">
        <v>0</v>
      </c>
      <c r="K69" s="660">
        <v>0</v>
      </c>
      <c r="L69" s="660">
        <v>0</v>
      </c>
      <c r="M69" s="660">
        <v>0</v>
      </c>
      <c r="N69" s="660">
        <v>0</v>
      </c>
      <c r="O69" s="660">
        <v>0</v>
      </c>
      <c r="P69" s="660">
        <v>0</v>
      </c>
      <c r="Q69" s="487">
        <f>SUMIFS('4.1 Program Budget 2028-2031'!AH:AH,'4.1 Program Budget 2028-2031'!J:J,'4.2 Sector Seg Budget 2032-2035'!C69,'4.1 Program Budget 2028-2031'!L:L,'4.2 Sector Seg Budget 2032-2035'!D69,'4.1 Program Budget 2028-2031'!M:M,2031)</f>
        <v>0</v>
      </c>
    </row>
    <row r="70" spans="3:17">
      <c r="C70" s="488" t="s">
        <v>27</v>
      </c>
      <c r="D70" s="30" t="s">
        <v>36</v>
      </c>
      <c r="E70" s="30">
        <v>2034</v>
      </c>
      <c r="F70" s="486">
        <f t="shared" si="5"/>
        <v>0</v>
      </c>
      <c r="G70" s="660">
        <v>0</v>
      </c>
      <c r="H70" s="660">
        <v>0</v>
      </c>
      <c r="I70" s="660">
        <v>0</v>
      </c>
      <c r="J70" s="660">
        <v>0</v>
      </c>
      <c r="K70" s="660">
        <v>0</v>
      </c>
      <c r="L70" s="660">
        <v>0</v>
      </c>
      <c r="M70" s="660">
        <v>0</v>
      </c>
      <c r="N70" s="660">
        <v>0</v>
      </c>
      <c r="O70" s="660">
        <v>0</v>
      </c>
      <c r="P70" s="660">
        <v>0</v>
      </c>
      <c r="Q70" s="487">
        <f>SUMIFS('4.1 Program Budget 2028-2031'!AH:AH,'4.1 Program Budget 2028-2031'!J:J,'4.2 Sector Seg Budget 2032-2035'!C70,'4.1 Program Budget 2028-2031'!L:L,'4.2 Sector Seg Budget 2032-2035'!D70,'4.1 Program Budget 2028-2031'!M:M,2031)</f>
        <v>0</v>
      </c>
    </row>
    <row r="71" spans="3:17">
      <c r="C71" s="488" t="s">
        <v>34</v>
      </c>
      <c r="D71" s="30" t="s">
        <v>36</v>
      </c>
      <c r="E71" s="30">
        <v>2034</v>
      </c>
      <c r="F71" s="486">
        <f t="shared" si="5"/>
        <v>0</v>
      </c>
      <c r="G71" s="660">
        <v>0</v>
      </c>
      <c r="H71" s="660">
        <v>0</v>
      </c>
      <c r="I71" s="660">
        <v>0</v>
      </c>
      <c r="J71" s="660">
        <v>0</v>
      </c>
      <c r="K71" s="660">
        <v>0</v>
      </c>
      <c r="L71" s="660">
        <v>0</v>
      </c>
      <c r="M71" s="660">
        <v>0</v>
      </c>
      <c r="N71" s="660">
        <v>0</v>
      </c>
      <c r="O71" s="660">
        <v>0</v>
      </c>
      <c r="P71" s="660">
        <v>0</v>
      </c>
      <c r="Q71" s="487">
        <f>SUMIFS('4.1 Program Budget 2028-2031'!AH:AH,'4.1 Program Budget 2028-2031'!J:J,'4.2 Sector Seg Budget 2032-2035'!C71,'4.1 Program Budget 2028-2031'!L:L,'4.2 Sector Seg Budget 2032-2035'!D71,'4.1 Program Budget 2028-2031'!M:M,2031)</f>
        <v>0</v>
      </c>
    </row>
    <row r="72" spans="3:17">
      <c r="C72" s="488" t="s">
        <v>39</v>
      </c>
      <c r="D72" s="30" t="s">
        <v>36</v>
      </c>
      <c r="E72" s="30">
        <v>2034</v>
      </c>
      <c r="F72" s="486">
        <f t="shared" si="5"/>
        <v>0</v>
      </c>
      <c r="G72" s="660">
        <v>0</v>
      </c>
      <c r="H72" s="660">
        <v>0</v>
      </c>
      <c r="I72" s="660">
        <v>0</v>
      </c>
      <c r="J72" s="660">
        <v>0</v>
      </c>
      <c r="K72" s="660">
        <v>0</v>
      </c>
      <c r="L72" s="660">
        <v>0</v>
      </c>
      <c r="M72" s="660">
        <v>0</v>
      </c>
      <c r="N72" s="660">
        <v>0</v>
      </c>
      <c r="O72" s="660">
        <v>0</v>
      </c>
      <c r="P72" s="660">
        <v>0</v>
      </c>
      <c r="Q72" s="487">
        <f>SUMIFS('4.1 Program Budget 2028-2031'!AH:AH,'4.1 Program Budget 2028-2031'!J:J,'4.2 Sector Seg Budget 2032-2035'!C72,'4.1 Program Budget 2028-2031'!L:L,'4.2 Sector Seg Budget 2032-2035'!D72,'4.1 Program Budget 2028-2031'!M:M,2031)</f>
        <v>0</v>
      </c>
    </row>
    <row r="73" spans="3:17">
      <c r="C73" s="488" t="s">
        <v>45</v>
      </c>
      <c r="D73" s="30" t="s">
        <v>36</v>
      </c>
      <c r="E73" s="30">
        <v>2034</v>
      </c>
      <c r="F73" s="486">
        <f t="shared" si="5"/>
        <v>0</v>
      </c>
      <c r="G73" s="660">
        <v>0</v>
      </c>
      <c r="H73" s="660">
        <v>0</v>
      </c>
      <c r="I73" s="660">
        <v>0</v>
      </c>
      <c r="J73" s="660">
        <v>0</v>
      </c>
      <c r="K73" s="660">
        <v>0</v>
      </c>
      <c r="L73" s="660">
        <v>0</v>
      </c>
      <c r="M73" s="660">
        <v>0</v>
      </c>
      <c r="N73" s="660">
        <v>0</v>
      </c>
      <c r="O73" s="660">
        <v>0</v>
      </c>
      <c r="P73" s="660">
        <v>0</v>
      </c>
      <c r="Q73" s="487">
        <f>SUMIFS('4.1 Program Budget 2028-2031'!AH:AH,'4.1 Program Budget 2028-2031'!J:J,'4.2 Sector Seg Budget 2032-2035'!C73,'4.1 Program Budget 2028-2031'!L:L,'4.2 Sector Seg Budget 2032-2035'!D73,'4.1 Program Budget 2028-2031'!M:M,2031)</f>
        <v>0</v>
      </c>
    </row>
    <row r="74" spans="3:17">
      <c r="C74" s="488" t="s">
        <v>50</v>
      </c>
      <c r="D74" s="30" t="s">
        <v>36</v>
      </c>
      <c r="E74" s="30">
        <v>2034</v>
      </c>
      <c r="F74" s="486">
        <f t="shared" si="5"/>
        <v>221485.16209999999</v>
      </c>
      <c r="G74" s="660">
        <v>0</v>
      </c>
      <c r="H74" s="660">
        <v>0</v>
      </c>
      <c r="I74" s="660">
        <v>0</v>
      </c>
      <c r="J74" s="660">
        <v>0</v>
      </c>
      <c r="K74" s="660">
        <v>0</v>
      </c>
      <c r="L74" s="660">
        <v>0</v>
      </c>
      <c r="M74" s="660">
        <v>0</v>
      </c>
      <c r="N74" s="660">
        <v>0</v>
      </c>
      <c r="O74" s="660">
        <v>0</v>
      </c>
      <c r="P74" s="660">
        <v>0</v>
      </c>
      <c r="Q74" s="487">
        <f>SUMIFS('4.1 Program Budget 2028-2031'!AH:AH,'4.1 Program Budget 2028-2031'!J:J,'4.2 Sector Seg Budget 2032-2035'!C74,'4.1 Program Budget 2028-2031'!L:L,'4.2 Sector Seg Budget 2032-2035'!D74,'4.1 Program Budget 2028-2031'!M:M,2031)</f>
        <v>0</v>
      </c>
    </row>
    <row r="75" spans="3:17">
      <c r="C75" s="488" t="s">
        <v>54</v>
      </c>
      <c r="D75" s="30" t="s">
        <v>36</v>
      </c>
      <c r="E75" s="30">
        <v>2034</v>
      </c>
      <c r="F75" s="486">
        <f t="shared" si="5"/>
        <v>9368.5105999999996</v>
      </c>
      <c r="G75" s="660">
        <v>0</v>
      </c>
      <c r="H75" s="660">
        <v>0</v>
      </c>
      <c r="I75" s="660">
        <v>0</v>
      </c>
      <c r="J75" s="660">
        <v>0</v>
      </c>
      <c r="K75" s="660">
        <v>0</v>
      </c>
      <c r="L75" s="660">
        <v>0</v>
      </c>
      <c r="M75" s="660">
        <v>0</v>
      </c>
      <c r="N75" s="660">
        <v>0</v>
      </c>
      <c r="O75" s="660">
        <v>0</v>
      </c>
      <c r="P75" s="660">
        <v>0</v>
      </c>
      <c r="Q75" s="487">
        <f>SUMIFS('4.1 Program Budget 2028-2031'!AH:AH,'4.1 Program Budget 2028-2031'!J:J,'4.2 Sector Seg Budget 2032-2035'!C75,'4.1 Program Budget 2028-2031'!L:L,'4.2 Sector Seg Budget 2032-2035'!D75,'4.1 Program Budget 2028-2031'!M:M,2031)</f>
        <v>0</v>
      </c>
    </row>
    <row r="76" spans="3:17">
      <c r="C76" s="29" t="s">
        <v>18</v>
      </c>
      <c r="D76" s="30" t="s">
        <v>20</v>
      </c>
      <c r="E76" s="30">
        <v>2035</v>
      </c>
      <c r="F76" s="486">
        <f t="shared" ref="F76" si="6">F13</f>
        <v>24243288.803199999</v>
      </c>
      <c r="G76" s="660">
        <v>35859276.869736373</v>
      </c>
      <c r="H76" s="660">
        <v>105913260.37953013</v>
      </c>
      <c r="I76" s="660">
        <v>11335.255974804779</v>
      </c>
      <c r="J76" s="660">
        <v>1008293.5452632323</v>
      </c>
      <c r="K76" s="660">
        <v>18267.650964098881</v>
      </c>
      <c r="L76" s="660">
        <v>5354.0387253477584</v>
      </c>
      <c r="M76" s="660">
        <v>145681849.25723952</v>
      </c>
      <c r="N76" s="660">
        <v>5385235.1073192786</v>
      </c>
      <c r="O76" s="660">
        <v>28442.307383857642</v>
      </c>
      <c r="P76" s="660">
        <v>28595.598419865353</v>
      </c>
      <c r="Q76" s="487">
        <f>SUMIFS('4.1 Program Budget 2028-2031'!AH:AH,'4.1 Program Budget 2028-2031'!J:J,'4.2 Sector Seg Budget 2032-2035'!C76,'4.1 Program Budget 2028-2031'!L:L,'4.2 Sector Seg Budget 2032-2035'!D76,'4.1 Program Budget 2028-2031'!M:M,2031)</f>
        <v>36475.005006445841</v>
      </c>
    </row>
    <row r="77" spans="3:17">
      <c r="C77" s="29" t="s">
        <v>27</v>
      </c>
      <c r="D77" s="30" t="s">
        <v>20</v>
      </c>
      <c r="E77" s="30">
        <v>2035</v>
      </c>
      <c r="F77" s="486">
        <f t="shared" ref="F77" si="7">F14</f>
        <v>19171027.173426624</v>
      </c>
      <c r="G77" s="660">
        <v>44079566.220261067</v>
      </c>
      <c r="H77" s="660">
        <v>15562248.101240361</v>
      </c>
      <c r="I77" s="660">
        <v>2130.6049071589478</v>
      </c>
      <c r="J77" s="660">
        <v>1169687.5398479186</v>
      </c>
      <c r="K77" s="660">
        <v>1936.1428971595999</v>
      </c>
      <c r="L77" s="660">
        <v>6211.0408365924459</v>
      </c>
      <c r="M77" s="660">
        <v>180442198.50884792</v>
      </c>
      <c r="N77" s="660">
        <v>17297535.714033894</v>
      </c>
      <c r="O77" s="660">
        <v>22979.290791402727</v>
      </c>
      <c r="P77" s="660">
        <v>91849.914641519994</v>
      </c>
      <c r="Q77" s="487">
        <f>SUMIFS('4.1 Program Budget 2028-2031'!AH:AH,'4.1 Program Budget 2028-2031'!J:J,'4.2 Sector Seg Budget 2032-2035'!C77,'4.1 Program Budget 2028-2031'!L:L,'4.2 Sector Seg Budget 2032-2035'!D77,'4.1 Program Budget 2028-2031'!M:M,2031)</f>
        <v>0</v>
      </c>
    </row>
    <row r="78" spans="3:17">
      <c r="C78" s="29" t="s">
        <v>34</v>
      </c>
      <c r="D78" s="30" t="s">
        <v>20</v>
      </c>
      <c r="E78" s="30">
        <v>2035</v>
      </c>
      <c r="F78" s="486">
        <f t="shared" ref="F78" si="8">F15</f>
        <v>9298223.928199999</v>
      </c>
      <c r="G78" s="660">
        <v>9731876.6916343104</v>
      </c>
      <c r="H78" s="660">
        <v>17325000</v>
      </c>
      <c r="I78" s="660">
        <v>2229.5700000000002</v>
      </c>
      <c r="J78" s="660">
        <v>173250</v>
      </c>
      <c r="K78" s="660">
        <v>3478.4034750000001</v>
      </c>
      <c r="L78" s="660">
        <v>919.95749999999998</v>
      </c>
      <c r="M78" s="660">
        <v>86625000</v>
      </c>
      <c r="N78" s="660">
        <v>866250</v>
      </c>
      <c r="O78" s="660">
        <v>18704.454502500001</v>
      </c>
      <c r="P78" s="660">
        <v>4599.7875000000004</v>
      </c>
      <c r="Q78" s="487">
        <f>SUMIFS('4.1 Program Budget 2028-2031'!AH:AH,'4.1 Program Budget 2028-2031'!J:J,'4.2 Sector Seg Budget 2032-2035'!C78,'4.1 Program Budget 2028-2031'!L:L,'4.2 Sector Seg Budget 2032-2035'!D78,'4.1 Program Budget 2028-2031'!M:M,2031)</f>
        <v>0</v>
      </c>
    </row>
    <row r="79" spans="3:17">
      <c r="C79" s="29" t="s">
        <v>39</v>
      </c>
      <c r="D79" s="30" t="s">
        <v>20</v>
      </c>
      <c r="E79" s="30">
        <v>2035</v>
      </c>
      <c r="F79" s="486">
        <f t="shared" ref="F79:F96" si="9">F16</f>
        <v>0</v>
      </c>
      <c r="G79" s="660">
        <v>0</v>
      </c>
      <c r="H79" s="660">
        <v>0</v>
      </c>
      <c r="I79" s="660">
        <v>0</v>
      </c>
      <c r="J79" s="660">
        <v>0</v>
      </c>
      <c r="K79" s="660">
        <v>0</v>
      </c>
      <c r="L79" s="660">
        <v>0</v>
      </c>
      <c r="M79" s="660">
        <v>0</v>
      </c>
      <c r="N79" s="660">
        <v>0</v>
      </c>
      <c r="O79" s="660">
        <v>0</v>
      </c>
      <c r="P79" s="660">
        <v>0</v>
      </c>
      <c r="Q79" s="487">
        <f>SUMIFS('4.1 Program Budget 2028-2031'!AH:AH,'4.1 Program Budget 2028-2031'!J:J,'4.2 Sector Seg Budget 2032-2035'!C79,'4.1 Program Budget 2028-2031'!L:L,'4.2 Sector Seg Budget 2032-2035'!D79,'4.1 Program Budget 2028-2031'!M:M,2031)</f>
        <v>0</v>
      </c>
    </row>
    <row r="80" spans="3:17">
      <c r="C80" s="29" t="s">
        <v>45</v>
      </c>
      <c r="D80" s="30" t="s">
        <v>20</v>
      </c>
      <c r="E80" s="30">
        <v>2035</v>
      </c>
      <c r="F80" s="486">
        <f t="shared" si="9"/>
        <v>762943.75823879987</v>
      </c>
      <c r="G80" s="660">
        <v>1173637.3847098914</v>
      </c>
      <c r="H80" s="660">
        <v>1194872.2981293851</v>
      </c>
      <c r="I80" s="660">
        <v>948.72504334627047</v>
      </c>
      <c r="J80" s="660">
        <v>5508.1488000197996</v>
      </c>
      <c r="K80" s="660">
        <v>174.18117716709261</v>
      </c>
      <c r="L80" s="660">
        <v>29.24827012810513</v>
      </c>
      <c r="M80" s="660">
        <v>8951159.8100307621</v>
      </c>
      <c r="N80" s="660">
        <v>72369.528000237595</v>
      </c>
      <c r="O80" s="660">
        <v>1486.8781504551607</v>
      </c>
      <c r="P80" s="660">
        <v>384.28219368126162</v>
      </c>
      <c r="Q80" s="487">
        <f>SUMIFS('4.1 Program Budget 2028-2031'!AH:AH,'4.1 Program Budget 2028-2031'!J:J,'4.2 Sector Seg Budget 2032-2035'!C80,'4.1 Program Budget 2028-2031'!L:L,'4.2 Sector Seg Budget 2032-2035'!D80,'4.1 Program Budget 2028-2031'!M:M,2031)</f>
        <v>0</v>
      </c>
    </row>
    <row r="81" spans="3:17">
      <c r="C81" s="29" t="s">
        <v>50</v>
      </c>
      <c r="D81" s="30" t="s">
        <v>20</v>
      </c>
      <c r="E81" s="30">
        <v>2035</v>
      </c>
      <c r="F81" s="486">
        <f t="shared" si="9"/>
        <v>0</v>
      </c>
      <c r="G81" s="660">
        <v>0</v>
      </c>
      <c r="H81" s="660">
        <v>0</v>
      </c>
      <c r="I81" s="660">
        <v>0</v>
      </c>
      <c r="J81" s="660">
        <v>0</v>
      </c>
      <c r="K81" s="660">
        <v>0</v>
      </c>
      <c r="L81" s="660">
        <v>0</v>
      </c>
      <c r="M81" s="660">
        <v>0</v>
      </c>
      <c r="N81" s="660">
        <v>0</v>
      </c>
      <c r="O81" s="660">
        <v>0</v>
      </c>
      <c r="P81" s="660">
        <v>0</v>
      </c>
      <c r="Q81" s="487">
        <f>SUMIFS('4.1 Program Budget 2028-2031'!AH:AH,'4.1 Program Budget 2028-2031'!J:J,'4.2 Sector Seg Budget 2032-2035'!C81,'4.1 Program Budget 2028-2031'!L:L,'4.2 Sector Seg Budget 2032-2035'!D81,'4.1 Program Budget 2028-2031'!M:M,2031)</f>
        <v>0</v>
      </c>
    </row>
    <row r="82" spans="3:17">
      <c r="C82" s="29" t="s">
        <v>54</v>
      </c>
      <c r="D82" s="30" t="s">
        <v>20</v>
      </c>
      <c r="E82" s="30">
        <v>2035</v>
      </c>
      <c r="F82" s="486">
        <f t="shared" si="9"/>
        <v>2261937.6878</v>
      </c>
      <c r="G82" s="660">
        <v>0</v>
      </c>
      <c r="H82" s="660">
        <v>0</v>
      </c>
      <c r="I82" s="660">
        <v>0</v>
      </c>
      <c r="J82" s="660">
        <v>0</v>
      </c>
      <c r="K82" s="660">
        <v>0</v>
      </c>
      <c r="L82" s="660">
        <v>0</v>
      </c>
      <c r="M82" s="660">
        <v>0</v>
      </c>
      <c r="N82" s="660">
        <v>0</v>
      </c>
      <c r="O82" s="660">
        <v>0</v>
      </c>
      <c r="P82" s="660">
        <v>0</v>
      </c>
      <c r="Q82" s="487">
        <f>SUMIFS('4.1 Program Budget 2028-2031'!AH:AH,'4.1 Program Budget 2028-2031'!J:J,'4.2 Sector Seg Budget 2032-2035'!C82,'4.1 Program Budget 2028-2031'!L:L,'4.2 Sector Seg Budget 2032-2035'!D82,'4.1 Program Budget 2028-2031'!M:M,2031)</f>
        <v>0</v>
      </c>
    </row>
    <row r="83" spans="3:17">
      <c r="C83" s="29" t="s">
        <v>18</v>
      </c>
      <c r="D83" s="30" t="s">
        <v>29</v>
      </c>
      <c r="E83" s="30">
        <v>2035</v>
      </c>
      <c r="F83" s="486">
        <f t="shared" si="9"/>
        <v>4639738.0087241884</v>
      </c>
      <c r="G83" s="660">
        <v>1283805.1754200954</v>
      </c>
      <c r="H83" s="660">
        <v>38704.985223226962</v>
      </c>
      <c r="I83" s="660">
        <v>52.036552141323277</v>
      </c>
      <c r="J83" s="660">
        <v>17947.752784264459</v>
      </c>
      <c r="K83" s="660">
        <v>9.7748131918539549</v>
      </c>
      <c r="L83" s="660">
        <v>95.302567284444322</v>
      </c>
      <c r="M83" s="660">
        <v>1344088.0897098612</v>
      </c>
      <c r="N83" s="660">
        <v>219626.1626097949</v>
      </c>
      <c r="O83" s="660">
        <v>329.00434491708774</v>
      </c>
      <c r="P83" s="660">
        <v>1166.2149234580097</v>
      </c>
      <c r="Q83" s="487">
        <f>SUMIFS('4.1 Program Budget 2028-2031'!AH:AH,'4.1 Program Budget 2028-2031'!J:J,'4.2 Sector Seg Budget 2032-2035'!C83,'4.1 Program Budget 2028-2031'!L:L,'4.2 Sector Seg Budget 2032-2035'!D83,'4.1 Program Budget 2028-2031'!M:M,2031)</f>
        <v>0</v>
      </c>
    </row>
    <row r="84" spans="3:17">
      <c r="C84" s="29" t="s">
        <v>27</v>
      </c>
      <c r="D84" s="30" t="s">
        <v>29</v>
      </c>
      <c r="E84" s="30">
        <v>2035</v>
      </c>
      <c r="F84" s="486">
        <f t="shared" si="9"/>
        <v>779621.83458019991</v>
      </c>
      <c r="G84" s="660">
        <v>278773.66034606931</v>
      </c>
      <c r="H84" s="660">
        <v>202420.23363853147</v>
      </c>
      <c r="I84" s="660">
        <v>30.92387157514197</v>
      </c>
      <c r="J84" s="660">
        <v>872.23002072000031</v>
      </c>
      <c r="K84" s="660">
        <v>29.47414349030571</v>
      </c>
      <c r="L84" s="660">
        <v>4.6315414100231953</v>
      </c>
      <c r="M84" s="660">
        <v>2657647.5122897644</v>
      </c>
      <c r="N84" s="660">
        <v>12033.264773039995</v>
      </c>
      <c r="O84" s="660">
        <v>412.66747240465958</v>
      </c>
      <c r="P84" s="660">
        <v>63.896635944842352</v>
      </c>
      <c r="Q84" s="487">
        <f>SUMIFS('4.1 Program Budget 2028-2031'!AH:AH,'4.1 Program Budget 2028-2031'!J:J,'4.2 Sector Seg Budget 2032-2035'!C84,'4.1 Program Budget 2028-2031'!L:L,'4.2 Sector Seg Budget 2032-2035'!D84,'4.1 Program Budget 2028-2031'!M:M,2031)</f>
        <v>0</v>
      </c>
    </row>
    <row r="85" spans="3:17">
      <c r="C85" s="29" t="s">
        <v>34</v>
      </c>
      <c r="D85" s="30" t="s">
        <v>29</v>
      </c>
      <c r="E85" s="30">
        <v>2035</v>
      </c>
      <c r="F85" s="486">
        <f t="shared" si="9"/>
        <v>69828.337700000004</v>
      </c>
      <c r="G85" s="660">
        <v>23566.848051620684</v>
      </c>
      <c r="H85" s="660">
        <v>1362.8159999999989</v>
      </c>
      <c r="I85" s="660">
        <v>0.1387022</v>
      </c>
      <c r="J85" s="660">
        <v>909.82979999999998</v>
      </c>
      <c r="K85" s="660">
        <v>0.21491687431759982</v>
      </c>
      <c r="L85" s="660">
        <v>4.8311962380000004</v>
      </c>
      <c r="M85" s="660">
        <v>15645.447999999989</v>
      </c>
      <c r="N85" s="660">
        <v>13647.447</v>
      </c>
      <c r="O85" s="660">
        <v>2.5298436787987901</v>
      </c>
      <c r="P85" s="660">
        <v>72.467943570000003</v>
      </c>
      <c r="Q85" s="487">
        <f>SUMIFS('4.1 Program Budget 2028-2031'!AH:AH,'4.1 Program Budget 2028-2031'!J:J,'4.2 Sector Seg Budget 2032-2035'!C85,'4.1 Program Budget 2028-2031'!L:L,'4.2 Sector Seg Budget 2032-2035'!D85,'4.1 Program Budget 2028-2031'!M:M,2031)</f>
        <v>0</v>
      </c>
    </row>
    <row r="86" spans="3:17">
      <c r="C86" s="29" t="s">
        <v>39</v>
      </c>
      <c r="D86" s="30" t="s">
        <v>29</v>
      </c>
      <c r="E86" s="30">
        <v>2035</v>
      </c>
      <c r="F86" s="486">
        <f t="shared" si="9"/>
        <v>69828.336810120003</v>
      </c>
      <c r="G86" s="660">
        <v>20001.845904366859</v>
      </c>
      <c r="H86" s="660">
        <v>17445.240175999985</v>
      </c>
      <c r="I86" s="660">
        <v>2.8352504179999944</v>
      </c>
      <c r="J86" s="660">
        <v>0</v>
      </c>
      <c r="K86" s="660">
        <v>2.6882860951582188</v>
      </c>
      <c r="L86" s="660">
        <v>0</v>
      </c>
      <c r="M86" s="660">
        <v>217539.38751999993</v>
      </c>
      <c r="N86" s="660">
        <v>0</v>
      </c>
      <c r="O86" s="660">
        <v>35.06611498517946</v>
      </c>
      <c r="P86" s="660">
        <v>0</v>
      </c>
      <c r="Q86" s="487">
        <f>SUMIFS('4.1 Program Budget 2028-2031'!AH:AH,'4.1 Program Budget 2028-2031'!J:J,'4.2 Sector Seg Budget 2032-2035'!C86,'4.1 Program Budget 2028-2031'!L:L,'4.2 Sector Seg Budget 2032-2035'!D86,'4.1 Program Budget 2028-2031'!M:M,2031)</f>
        <v>0</v>
      </c>
    </row>
    <row r="87" spans="3:17">
      <c r="C87" s="29" t="s">
        <v>45</v>
      </c>
      <c r="D87" s="30" t="s">
        <v>29</v>
      </c>
      <c r="E87" s="30">
        <v>2035</v>
      </c>
      <c r="F87" s="486">
        <f t="shared" si="9"/>
        <v>459374.30282020004</v>
      </c>
      <c r="G87" s="660">
        <v>64095.333215740742</v>
      </c>
      <c r="H87" s="660">
        <v>23660.140867999995</v>
      </c>
      <c r="I87" s="660">
        <v>5.2182668719999956</v>
      </c>
      <c r="J87" s="660">
        <v>38.642097600000042</v>
      </c>
      <c r="K87" s="660">
        <v>3.3920227182286835</v>
      </c>
      <c r="L87" s="660">
        <v>0.20518953825599956</v>
      </c>
      <c r="M87" s="660">
        <v>311803.18805999972</v>
      </c>
      <c r="N87" s="660">
        <v>640.67286720000027</v>
      </c>
      <c r="O87" s="660">
        <v>47.273915581377551</v>
      </c>
      <c r="P87" s="660">
        <v>3.4019729248320001</v>
      </c>
      <c r="Q87" s="487">
        <f>SUMIFS('4.1 Program Budget 2028-2031'!AH:AH,'4.1 Program Budget 2028-2031'!J:J,'4.2 Sector Seg Budget 2032-2035'!C87,'4.1 Program Budget 2028-2031'!L:L,'4.2 Sector Seg Budget 2032-2035'!D87,'4.1 Program Budget 2028-2031'!M:M,2031)</f>
        <v>0</v>
      </c>
    </row>
    <row r="88" spans="3:17">
      <c r="C88" s="29" t="s">
        <v>50</v>
      </c>
      <c r="D88" s="30" t="s">
        <v>29</v>
      </c>
      <c r="E88" s="30">
        <v>2035</v>
      </c>
      <c r="F88" s="486">
        <f t="shared" si="9"/>
        <v>2572826.5797999999</v>
      </c>
      <c r="G88" s="660">
        <v>0</v>
      </c>
      <c r="H88" s="660">
        <v>0</v>
      </c>
      <c r="I88" s="660">
        <v>0</v>
      </c>
      <c r="J88" s="660">
        <v>0</v>
      </c>
      <c r="K88" s="660">
        <v>0</v>
      </c>
      <c r="L88" s="660">
        <v>0</v>
      </c>
      <c r="M88" s="660">
        <v>0</v>
      </c>
      <c r="N88" s="660">
        <v>0</v>
      </c>
      <c r="O88" s="660">
        <v>0</v>
      </c>
      <c r="P88" s="660">
        <v>0</v>
      </c>
      <c r="Q88" s="487">
        <f>SUMIFS('4.1 Program Budget 2028-2031'!AH:AH,'4.1 Program Budget 2028-2031'!J:J,'4.2 Sector Seg Budget 2032-2035'!C88,'4.1 Program Budget 2028-2031'!L:L,'4.2 Sector Seg Budget 2032-2035'!D88,'4.1 Program Budget 2028-2031'!M:M,2031)</f>
        <v>0</v>
      </c>
    </row>
    <row r="89" spans="3:17">
      <c r="C89" s="29" t="s">
        <v>54</v>
      </c>
      <c r="D89" s="30" t="s">
        <v>29</v>
      </c>
      <c r="E89" s="30">
        <v>2035</v>
      </c>
      <c r="F89" s="486">
        <f t="shared" si="9"/>
        <v>363396.40279999998</v>
      </c>
      <c r="G89" s="660">
        <v>0</v>
      </c>
      <c r="H89" s="660">
        <v>0</v>
      </c>
      <c r="I89" s="660">
        <v>0</v>
      </c>
      <c r="J89" s="660">
        <v>0</v>
      </c>
      <c r="K89" s="660">
        <v>0</v>
      </c>
      <c r="L89" s="660">
        <v>0</v>
      </c>
      <c r="M89" s="660">
        <v>0</v>
      </c>
      <c r="N89" s="660">
        <v>0</v>
      </c>
      <c r="O89" s="660">
        <v>0</v>
      </c>
      <c r="P89" s="660">
        <v>0</v>
      </c>
      <c r="Q89" s="487">
        <f>SUMIFS('4.1 Program Budget 2028-2031'!AH:AH,'4.1 Program Budget 2028-2031'!J:J,'4.2 Sector Seg Budget 2032-2035'!C89,'4.1 Program Budget 2028-2031'!L:L,'4.2 Sector Seg Budget 2032-2035'!D89,'4.1 Program Budget 2028-2031'!M:M,2031)</f>
        <v>0</v>
      </c>
    </row>
    <row r="90" spans="3:17">
      <c r="C90" s="488" t="s">
        <v>18</v>
      </c>
      <c r="D90" s="30" t="s">
        <v>36</v>
      </c>
      <c r="E90" s="30">
        <v>2035</v>
      </c>
      <c r="F90" s="486">
        <f t="shared" si="9"/>
        <v>0</v>
      </c>
      <c r="G90" s="660">
        <v>0</v>
      </c>
      <c r="H90" s="660">
        <v>0</v>
      </c>
      <c r="I90" s="660">
        <v>0</v>
      </c>
      <c r="J90" s="660">
        <v>0</v>
      </c>
      <c r="K90" s="660">
        <v>0</v>
      </c>
      <c r="L90" s="660">
        <v>0</v>
      </c>
      <c r="M90" s="660">
        <v>0</v>
      </c>
      <c r="N90" s="660">
        <v>0</v>
      </c>
      <c r="O90" s="660">
        <v>0</v>
      </c>
      <c r="P90" s="660">
        <v>0</v>
      </c>
      <c r="Q90" s="487">
        <f>SUMIFS('4.1 Program Budget 2028-2031'!AH:AH,'4.1 Program Budget 2028-2031'!J:J,'4.2 Sector Seg Budget 2032-2035'!C90,'4.1 Program Budget 2028-2031'!L:L,'4.2 Sector Seg Budget 2032-2035'!D90,'4.1 Program Budget 2028-2031'!M:M,2031)</f>
        <v>0</v>
      </c>
    </row>
    <row r="91" spans="3:17">
      <c r="C91" s="488" t="s">
        <v>27</v>
      </c>
      <c r="D91" s="30" t="s">
        <v>36</v>
      </c>
      <c r="E91" s="30">
        <v>2035</v>
      </c>
      <c r="F91" s="486">
        <f t="shared" si="9"/>
        <v>0</v>
      </c>
      <c r="G91" s="660">
        <v>0</v>
      </c>
      <c r="H91" s="660">
        <v>0</v>
      </c>
      <c r="I91" s="660">
        <v>0</v>
      </c>
      <c r="J91" s="660">
        <v>0</v>
      </c>
      <c r="K91" s="660">
        <v>0</v>
      </c>
      <c r="L91" s="660">
        <v>0</v>
      </c>
      <c r="M91" s="660">
        <v>0</v>
      </c>
      <c r="N91" s="660">
        <v>0</v>
      </c>
      <c r="O91" s="660">
        <v>0</v>
      </c>
      <c r="P91" s="660">
        <v>0</v>
      </c>
      <c r="Q91" s="487">
        <f>SUMIFS('4.1 Program Budget 2028-2031'!AH:AH,'4.1 Program Budget 2028-2031'!J:J,'4.2 Sector Seg Budget 2032-2035'!C91,'4.1 Program Budget 2028-2031'!L:L,'4.2 Sector Seg Budget 2032-2035'!D91,'4.1 Program Budget 2028-2031'!M:M,2031)</f>
        <v>0</v>
      </c>
    </row>
    <row r="92" spans="3:17">
      <c r="C92" s="488" t="s">
        <v>34</v>
      </c>
      <c r="D92" s="30" t="s">
        <v>36</v>
      </c>
      <c r="E92" s="30">
        <v>2035</v>
      </c>
      <c r="F92" s="486">
        <f t="shared" si="9"/>
        <v>0</v>
      </c>
      <c r="G92" s="660">
        <v>0</v>
      </c>
      <c r="H92" s="660">
        <v>0</v>
      </c>
      <c r="I92" s="660">
        <v>0</v>
      </c>
      <c r="J92" s="660">
        <v>0</v>
      </c>
      <c r="K92" s="660">
        <v>0</v>
      </c>
      <c r="L92" s="660">
        <v>0</v>
      </c>
      <c r="M92" s="660">
        <v>0</v>
      </c>
      <c r="N92" s="660">
        <v>0</v>
      </c>
      <c r="O92" s="660">
        <v>0</v>
      </c>
      <c r="P92" s="660">
        <v>0</v>
      </c>
      <c r="Q92" s="487">
        <f>SUMIFS('4.1 Program Budget 2028-2031'!AH:AH,'4.1 Program Budget 2028-2031'!J:J,'4.2 Sector Seg Budget 2032-2035'!C92,'4.1 Program Budget 2028-2031'!L:L,'4.2 Sector Seg Budget 2032-2035'!D92,'4.1 Program Budget 2028-2031'!M:M,2031)</f>
        <v>0</v>
      </c>
    </row>
    <row r="93" spans="3:17">
      <c r="C93" s="488" t="s">
        <v>39</v>
      </c>
      <c r="D93" s="30" t="s">
        <v>36</v>
      </c>
      <c r="E93" s="30">
        <v>2035</v>
      </c>
      <c r="F93" s="486">
        <f t="shared" si="9"/>
        <v>0</v>
      </c>
      <c r="G93" s="660">
        <v>0</v>
      </c>
      <c r="H93" s="660">
        <v>0</v>
      </c>
      <c r="I93" s="660">
        <v>0</v>
      </c>
      <c r="J93" s="660">
        <v>0</v>
      </c>
      <c r="K93" s="660">
        <v>0</v>
      </c>
      <c r="L93" s="660">
        <v>0</v>
      </c>
      <c r="M93" s="660">
        <v>0</v>
      </c>
      <c r="N93" s="660">
        <v>0</v>
      </c>
      <c r="O93" s="660">
        <v>0</v>
      </c>
      <c r="P93" s="660">
        <v>0</v>
      </c>
      <c r="Q93" s="487">
        <f>SUMIFS('4.1 Program Budget 2028-2031'!AH:AH,'4.1 Program Budget 2028-2031'!J:J,'4.2 Sector Seg Budget 2032-2035'!C93,'4.1 Program Budget 2028-2031'!L:L,'4.2 Sector Seg Budget 2032-2035'!D93,'4.1 Program Budget 2028-2031'!M:M,2031)</f>
        <v>0</v>
      </c>
    </row>
    <row r="94" spans="3:17">
      <c r="C94" s="488" t="s">
        <v>45</v>
      </c>
      <c r="D94" s="30" t="s">
        <v>36</v>
      </c>
      <c r="E94" s="30">
        <v>2035</v>
      </c>
      <c r="F94" s="486">
        <f t="shared" si="9"/>
        <v>0</v>
      </c>
      <c r="G94" s="660">
        <v>0</v>
      </c>
      <c r="H94" s="660">
        <v>0</v>
      </c>
      <c r="I94" s="660">
        <v>0</v>
      </c>
      <c r="J94" s="660">
        <v>0</v>
      </c>
      <c r="K94" s="660">
        <v>0</v>
      </c>
      <c r="L94" s="660">
        <v>0</v>
      </c>
      <c r="M94" s="660">
        <v>0</v>
      </c>
      <c r="N94" s="660">
        <v>0</v>
      </c>
      <c r="O94" s="660">
        <v>0</v>
      </c>
      <c r="P94" s="660">
        <v>0</v>
      </c>
      <c r="Q94" s="487">
        <f>SUMIFS('4.1 Program Budget 2028-2031'!AH:AH,'4.1 Program Budget 2028-2031'!J:J,'4.2 Sector Seg Budget 2032-2035'!C94,'4.1 Program Budget 2028-2031'!L:L,'4.2 Sector Seg Budget 2032-2035'!D94,'4.1 Program Budget 2028-2031'!M:M,2031)</f>
        <v>0</v>
      </c>
    </row>
    <row r="95" spans="3:17">
      <c r="C95" s="488" t="s">
        <v>50</v>
      </c>
      <c r="D95" s="30" t="s">
        <v>36</v>
      </c>
      <c r="E95" s="30">
        <v>2035</v>
      </c>
      <c r="F95" s="486">
        <f t="shared" si="9"/>
        <v>221485.16209999999</v>
      </c>
      <c r="G95" s="660">
        <v>0</v>
      </c>
      <c r="H95" s="660">
        <v>0</v>
      </c>
      <c r="I95" s="660">
        <v>0</v>
      </c>
      <c r="J95" s="660">
        <v>0</v>
      </c>
      <c r="K95" s="660">
        <v>0</v>
      </c>
      <c r="L95" s="660">
        <v>0</v>
      </c>
      <c r="M95" s="660">
        <v>0</v>
      </c>
      <c r="N95" s="660">
        <v>0</v>
      </c>
      <c r="O95" s="660">
        <v>0</v>
      </c>
      <c r="P95" s="660">
        <v>0</v>
      </c>
      <c r="Q95" s="487">
        <f>SUMIFS('4.1 Program Budget 2028-2031'!AH:AH,'4.1 Program Budget 2028-2031'!J:J,'4.2 Sector Seg Budget 2032-2035'!C95,'4.1 Program Budget 2028-2031'!L:L,'4.2 Sector Seg Budget 2032-2035'!D95,'4.1 Program Budget 2028-2031'!M:M,2031)</f>
        <v>0</v>
      </c>
    </row>
    <row r="96" spans="3:17">
      <c r="C96" s="488" t="s">
        <v>54</v>
      </c>
      <c r="D96" s="30" t="s">
        <v>36</v>
      </c>
      <c r="E96" s="30">
        <v>2035</v>
      </c>
      <c r="F96" s="486">
        <f t="shared" si="9"/>
        <v>9368.5105999999996</v>
      </c>
      <c r="G96" s="660">
        <v>0</v>
      </c>
      <c r="H96" s="660">
        <v>0</v>
      </c>
      <c r="I96" s="660">
        <v>0</v>
      </c>
      <c r="J96" s="660">
        <v>0</v>
      </c>
      <c r="K96" s="660">
        <v>0</v>
      </c>
      <c r="L96" s="660">
        <v>0</v>
      </c>
      <c r="M96" s="660">
        <v>0</v>
      </c>
      <c r="N96" s="660">
        <v>0</v>
      </c>
      <c r="O96" s="660">
        <v>0</v>
      </c>
      <c r="P96" s="660">
        <v>0</v>
      </c>
      <c r="Q96" s="487">
        <f>SUMIFS('4.1 Program Budget 2028-2031'!AH:AH,'4.1 Program Budget 2028-2031'!J:J,'4.2 Sector Seg Budget 2032-2035'!C96,'4.1 Program Budget 2028-2031'!L:L,'4.2 Sector Seg Budget 2032-2035'!D96,'4.1 Program Budget 2028-2031'!M:M,2031)</f>
        <v>0</v>
      </c>
    </row>
    <row r="97" spans="2:17">
      <c r="C97" s="489" t="s">
        <v>50</v>
      </c>
      <c r="D97" s="490" t="s">
        <v>47</v>
      </c>
      <c r="E97" s="31">
        <v>2032</v>
      </c>
      <c r="F97" s="486">
        <v>2873293.4942999999</v>
      </c>
      <c r="G97" s="660">
        <v>0</v>
      </c>
      <c r="H97" s="660">
        <v>0</v>
      </c>
      <c r="I97" s="660">
        <v>0</v>
      </c>
      <c r="J97" s="660">
        <v>0</v>
      </c>
      <c r="K97" s="660">
        <v>0</v>
      </c>
      <c r="L97" s="660">
        <v>0</v>
      </c>
      <c r="M97" s="660">
        <v>0</v>
      </c>
      <c r="N97" s="660">
        <v>0</v>
      </c>
      <c r="O97" s="660">
        <v>0</v>
      </c>
      <c r="P97" s="660">
        <v>0</v>
      </c>
      <c r="Q97" s="487">
        <f>SUMIFS('4.1 Program Budget 2028-2031'!AH:AH,'4.1 Program Budget 2028-2031'!J:J,'4.2 Sector Seg Budget 2032-2035'!C97,'4.1 Program Budget 2028-2031'!L:L,'4.2 Sector Seg Budget 2032-2035'!D97,'4.1 Program Budget 2028-2031'!M:M,2031)</f>
        <v>0</v>
      </c>
    </row>
    <row r="98" spans="2:17">
      <c r="C98" s="489" t="s">
        <v>50</v>
      </c>
      <c r="D98" s="490" t="s">
        <v>47</v>
      </c>
      <c r="E98" s="31">
        <v>2033</v>
      </c>
      <c r="F98" s="486">
        <f>F97</f>
        <v>2873293.4942999999</v>
      </c>
      <c r="G98" s="660">
        <v>0</v>
      </c>
      <c r="H98" s="660">
        <v>0</v>
      </c>
      <c r="I98" s="660">
        <v>0</v>
      </c>
      <c r="J98" s="660">
        <v>0</v>
      </c>
      <c r="K98" s="660">
        <v>0</v>
      </c>
      <c r="L98" s="660">
        <v>0</v>
      </c>
      <c r="M98" s="660">
        <v>0</v>
      </c>
      <c r="N98" s="660">
        <v>0</v>
      </c>
      <c r="O98" s="660">
        <v>0</v>
      </c>
      <c r="P98" s="660">
        <v>0</v>
      </c>
      <c r="Q98" s="487">
        <f>SUMIFS('4.1 Program Budget 2028-2031'!AH:AH,'4.1 Program Budget 2028-2031'!J:J,'4.2 Sector Seg Budget 2032-2035'!C98,'4.1 Program Budget 2028-2031'!L:L,'4.2 Sector Seg Budget 2032-2035'!D98,'4.1 Program Budget 2028-2031'!M:M,2031)</f>
        <v>0</v>
      </c>
    </row>
    <row r="99" spans="2:17">
      <c r="C99" s="489" t="s">
        <v>50</v>
      </c>
      <c r="D99" s="490" t="s">
        <v>47</v>
      </c>
      <c r="E99" s="31">
        <v>2034</v>
      </c>
      <c r="F99" s="486">
        <f>F97</f>
        <v>2873293.4942999999</v>
      </c>
      <c r="G99" s="660">
        <v>0</v>
      </c>
      <c r="H99" s="660">
        <v>0</v>
      </c>
      <c r="I99" s="660">
        <v>0</v>
      </c>
      <c r="J99" s="660">
        <v>0</v>
      </c>
      <c r="K99" s="660">
        <v>0</v>
      </c>
      <c r="L99" s="660">
        <v>0</v>
      </c>
      <c r="M99" s="660">
        <v>0</v>
      </c>
      <c r="N99" s="660">
        <v>0</v>
      </c>
      <c r="O99" s="660">
        <v>0</v>
      </c>
      <c r="P99" s="660">
        <v>0</v>
      </c>
      <c r="Q99" s="487">
        <f>SUMIFS('4.1 Program Budget 2028-2031'!AH:AH,'4.1 Program Budget 2028-2031'!J:J,'4.2 Sector Seg Budget 2032-2035'!C99,'4.1 Program Budget 2028-2031'!L:L,'4.2 Sector Seg Budget 2032-2035'!D99,'4.1 Program Budget 2028-2031'!M:M,2031)</f>
        <v>0</v>
      </c>
    </row>
    <row r="100" spans="2:17">
      <c r="C100" s="489" t="s">
        <v>50</v>
      </c>
      <c r="D100" s="490" t="s">
        <v>47</v>
      </c>
      <c r="E100" s="31">
        <v>2035</v>
      </c>
      <c r="F100" s="486">
        <f>F97</f>
        <v>2873293.4942999999</v>
      </c>
      <c r="G100" s="660">
        <v>0</v>
      </c>
      <c r="H100" s="660">
        <v>0</v>
      </c>
      <c r="I100" s="660">
        <v>0</v>
      </c>
      <c r="J100" s="660">
        <v>0</v>
      </c>
      <c r="K100" s="660">
        <v>0</v>
      </c>
      <c r="L100" s="660">
        <v>0</v>
      </c>
      <c r="M100" s="660">
        <v>0</v>
      </c>
      <c r="N100" s="660">
        <v>0</v>
      </c>
      <c r="O100" s="660">
        <v>0</v>
      </c>
      <c r="P100" s="660">
        <v>0</v>
      </c>
      <c r="Q100" s="487">
        <f>SUMIFS('4.1 Program Budget 2028-2031'!AH:AH,'4.1 Program Budget 2028-2031'!J:J,'4.2 Sector Seg Budget 2032-2035'!C100,'4.1 Program Budget 2028-2031'!L:L,'4.2 Sector Seg Budget 2032-2035'!D100,'4.1 Program Budget 2028-2031'!M:M,2031)</f>
        <v>0</v>
      </c>
    </row>
    <row r="101" spans="2:17">
      <c r="B101" s="231" t="s">
        <v>239</v>
      </c>
      <c r="C101" s="491" t="s">
        <v>50</v>
      </c>
      <c r="D101" s="30" t="s">
        <v>347</v>
      </c>
      <c r="E101" s="31">
        <v>2032</v>
      </c>
      <c r="F101" s="486">
        <v>3872359.7115999996</v>
      </c>
      <c r="G101" s="660">
        <v>179718389.33366382</v>
      </c>
      <c r="H101" s="660">
        <v>101594701.00427532</v>
      </c>
      <c r="I101" s="660">
        <v>23922.369410152111</v>
      </c>
      <c r="J101" s="660">
        <v>1506657.565697269</v>
      </c>
      <c r="K101" s="660">
        <v>16931.248585611836</v>
      </c>
      <c r="L101" s="660">
        <v>8000.3516738524904</v>
      </c>
      <c r="M101" s="660">
        <v>1525923491.2420022</v>
      </c>
      <c r="N101" s="660">
        <v>23743077.009709384</v>
      </c>
      <c r="O101" s="660">
        <v>261837.36734225784</v>
      </c>
      <c r="P101" s="660">
        <v>126075.73892155694</v>
      </c>
      <c r="Q101" s="487">
        <f>SUMIFS('4.1 Program Budget 2028-2031'!AH:AH,'4.1 Program Budget 2028-2031'!J:J,'4.2 Sector Seg Budget 2032-2035'!C101,'4.1 Program Budget 2028-2031'!L:L,'4.2 Sector Seg Budget 2032-2035'!D101,'4.1 Program Budget 2028-2031'!M:M,2031)</f>
        <v>0</v>
      </c>
    </row>
    <row r="102" spans="2:17">
      <c r="B102" s="232" t="s">
        <v>183</v>
      </c>
      <c r="C102" s="492" t="s">
        <v>54</v>
      </c>
      <c r="D102" s="30" t="s">
        <v>347</v>
      </c>
      <c r="E102" s="31">
        <v>2032</v>
      </c>
      <c r="F102" s="486">
        <v>163795.3651</v>
      </c>
      <c r="G102" s="660">
        <v>0</v>
      </c>
      <c r="H102" s="660">
        <v>0</v>
      </c>
      <c r="I102" s="660">
        <v>0</v>
      </c>
      <c r="J102" s="660">
        <v>0</v>
      </c>
      <c r="K102" s="660">
        <v>0</v>
      </c>
      <c r="L102" s="660">
        <v>0</v>
      </c>
      <c r="M102" s="660">
        <v>0</v>
      </c>
      <c r="N102" s="660">
        <v>0</v>
      </c>
      <c r="O102" s="660">
        <v>0</v>
      </c>
      <c r="P102" s="660">
        <v>0</v>
      </c>
      <c r="Q102" s="487">
        <f>SUMIFS('4.1 Program Budget 2028-2031'!AH:AH,'4.1 Program Budget 2028-2031'!J:J,'4.2 Sector Seg Budget 2032-2035'!C102,'4.1 Program Budget 2028-2031'!L:L,'4.2 Sector Seg Budget 2032-2035'!D102,'4.1 Program Budget 2028-2031'!M:M,2031)</f>
        <v>0</v>
      </c>
    </row>
    <row r="103" spans="2:17">
      <c r="B103" s="232" t="s">
        <v>239</v>
      </c>
      <c r="C103" s="491" t="s">
        <v>50</v>
      </c>
      <c r="D103" s="30" t="s">
        <v>347</v>
      </c>
      <c r="E103" s="31">
        <v>2033</v>
      </c>
      <c r="F103" s="486">
        <f>F101</f>
        <v>3872359.7115999996</v>
      </c>
      <c r="G103" s="660">
        <v>179718389.33366382</v>
      </c>
      <c r="H103" s="660">
        <v>101594701.00427532</v>
      </c>
      <c r="I103" s="660">
        <v>23922.369410152111</v>
      </c>
      <c r="J103" s="660">
        <v>1506657.565697269</v>
      </c>
      <c r="K103" s="660">
        <v>16931.248585611836</v>
      </c>
      <c r="L103" s="660">
        <v>8000.3516738524904</v>
      </c>
      <c r="M103" s="660">
        <v>1525923491.2420022</v>
      </c>
      <c r="N103" s="660">
        <v>23743077.009709384</v>
      </c>
      <c r="O103" s="660">
        <v>261837.36734225784</v>
      </c>
      <c r="P103" s="660">
        <v>126075.73892155694</v>
      </c>
      <c r="Q103" s="487">
        <f>SUMIFS('4.1 Program Budget 2028-2031'!AH:AH,'4.1 Program Budget 2028-2031'!J:J,'4.2 Sector Seg Budget 2032-2035'!C103,'4.1 Program Budget 2028-2031'!L:L,'4.2 Sector Seg Budget 2032-2035'!D103,'4.1 Program Budget 2028-2031'!M:M,2031)</f>
        <v>0</v>
      </c>
    </row>
    <row r="104" spans="2:17">
      <c r="B104" s="232" t="s">
        <v>183</v>
      </c>
      <c r="C104" s="492" t="s">
        <v>54</v>
      </c>
      <c r="D104" s="30" t="s">
        <v>347</v>
      </c>
      <c r="E104" s="31">
        <v>2033</v>
      </c>
      <c r="F104" s="486">
        <f>F102</f>
        <v>163795.3651</v>
      </c>
      <c r="G104" s="660">
        <v>0</v>
      </c>
      <c r="H104" s="660">
        <v>0</v>
      </c>
      <c r="I104" s="660">
        <v>0</v>
      </c>
      <c r="J104" s="660">
        <v>0</v>
      </c>
      <c r="K104" s="660">
        <v>0</v>
      </c>
      <c r="L104" s="660">
        <v>0</v>
      </c>
      <c r="M104" s="660">
        <v>0</v>
      </c>
      <c r="N104" s="660">
        <v>0</v>
      </c>
      <c r="O104" s="660">
        <v>0</v>
      </c>
      <c r="P104" s="660">
        <v>0</v>
      </c>
      <c r="Q104" s="487">
        <f>SUMIFS('4.1 Program Budget 2028-2031'!AH:AH,'4.1 Program Budget 2028-2031'!J:J,'4.2 Sector Seg Budget 2032-2035'!C104,'4.1 Program Budget 2028-2031'!L:L,'4.2 Sector Seg Budget 2032-2035'!D104,'4.1 Program Budget 2028-2031'!M:M,2031)</f>
        <v>0</v>
      </c>
    </row>
    <row r="105" spans="2:17">
      <c r="B105" s="232" t="s">
        <v>239</v>
      </c>
      <c r="C105" s="491" t="s">
        <v>50</v>
      </c>
      <c r="D105" s="30" t="s">
        <v>347</v>
      </c>
      <c r="E105" s="31">
        <v>2034</v>
      </c>
      <c r="F105" s="486">
        <f t="shared" ref="F105" si="10">F101</f>
        <v>3872359.7115999996</v>
      </c>
      <c r="G105" s="660">
        <v>179718389.33366382</v>
      </c>
      <c r="H105" s="660">
        <v>101594701.00427532</v>
      </c>
      <c r="I105" s="660">
        <v>23922.369410152111</v>
      </c>
      <c r="J105" s="660">
        <v>1506657.565697269</v>
      </c>
      <c r="K105" s="660">
        <v>16931.248585611836</v>
      </c>
      <c r="L105" s="660">
        <v>8000.3516738524904</v>
      </c>
      <c r="M105" s="660">
        <v>1525923491.2420022</v>
      </c>
      <c r="N105" s="660">
        <v>23743077.009709384</v>
      </c>
      <c r="O105" s="660">
        <v>261837.36734225784</v>
      </c>
      <c r="P105" s="660">
        <v>126075.73892155694</v>
      </c>
      <c r="Q105" s="487">
        <f>SUMIFS('4.1 Program Budget 2028-2031'!AH:AH,'4.1 Program Budget 2028-2031'!J:J,'4.2 Sector Seg Budget 2032-2035'!C105,'4.1 Program Budget 2028-2031'!L:L,'4.2 Sector Seg Budget 2032-2035'!D105,'4.1 Program Budget 2028-2031'!M:M,2031)</f>
        <v>0</v>
      </c>
    </row>
    <row r="106" spans="2:17">
      <c r="B106" s="232" t="s">
        <v>183</v>
      </c>
      <c r="C106" s="492" t="s">
        <v>54</v>
      </c>
      <c r="D106" s="30" t="s">
        <v>347</v>
      </c>
      <c r="E106" s="31">
        <v>2034</v>
      </c>
      <c r="F106" s="486">
        <f>F102</f>
        <v>163795.3651</v>
      </c>
      <c r="G106" s="660">
        <v>0</v>
      </c>
      <c r="H106" s="660">
        <v>0</v>
      </c>
      <c r="I106" s="660">
        <v>0</v>
      </c>
      <c r="J106" s="660">
        <v>0</v>
      </c>
      <c r="K106" s="660">
        <v>0</v>
      </c>
      <c r="L106" s="660">
        <v>0</v>
      </c>
      <c r="M106" s="660">
        <v>0</v>
      </c>
      <c r="N106" s="660">
        <v>0</v>
      </c>
      <c r="O106" s="660">
        <v>0</v>
      </c>
      <c r="P106" s="660">
        <v>0</v>
      </c>
      <c r="Q106" s="487">
        <f>SUMIFS('4.1 Program Budget 2028-2031'!AH:AH,'4.1 Program Budget 2028-2031'!J:J,'4.2 Sector Seg Budget 2032-2035'!C106,'4.1 Program Budget 2028-2031'!L:L,'4.2 Sector Seg Budget 2032-2035'!D106,'4.1 Program Budget 2028-2031'!M:M,2031)</f>
        <v>0</v>
      </c>
    </row>
    <row r="107" spans="2:17">
      <c r="B107" s="232" t="s">
        <v>239</v>
      </c>
      <c r="C107" s="491" t="s">
        <v>50</v>
      </c>
      <c r="D107" s="30" t="s">
        <v>347</v>
      </c>
      <c r="E107" s="31">
        <v>2035</v>
      </c>
      <c r="F107" s="486">
        <f t="shared" ref="F107" si="11">F101</f>
        <v>3872359.7115999996</v>
      </c>
      <c r="G107" s="660">
        <v>179718389.33366382</v>
      </c>
      <c r="H107" s="660">
        <v>101594701.00427532</v>
      </c>
      <c r="I107" s="660">
        <v>23922.369410152111</v>
      </c>
      <c r="J107" s="660">
        <v>1506657.565697269</v>
      </c>
      <c r="K107" s="660">
        <v>16931.248585611836</v>
      </c>
      <c r="L107" s="660">
        <v>8000.3516738524904</v>
      </c>
      <c r="M107" s="660">
        <v>1525923491.2420022</v>
      </c>
      <c r="N107" s="660">
        <v>23743077.009709384</v>
      </c>
      <c r="O107" s="660">
        <v>261837.36734225784</v>
      </c>
      <c r="P107" s="660">
        <v>126075.73892155694</v>
      </c>
      <c r="Q107" s="487">
        <f>SUMIFS('4.1 Program Budget 2028-2031'!AH:AH,'4.1 Program Budget 2028-2031'!J:J,'4.2 Sector Seg Budget 2032-2035'!C107,'4.1 Program Budget 2028-2031'!L:L,'4.2 Sector Seg Budget 2032-2035'!D107,'4.1 Program Budget 2028-2031'!M:M,2031)</f>
        <v>0</v>
      </c>
    </row>
    <row r="108" spans="2:17">
      <c r="B108" s="232" t="s">
        <v>183</v>
      </c>
      <c r="C108" s="492" t="s">
        <v>54</v>
      </c>
      <c r="D108" s="30" t="s">
        <v>347</v>
      </c>
      <c r="E108" s="230">
        <v>2035</v>
      </c>
      <c r="F108" s="486">
        <f>F102</f>
        <v>163795.3651</v>
      </c>
      <c r="G108" s="660">
        <v>0</v>
      </c>
      <c r="H108" s="660">
        <v>0</v>
      </c>
      <c r="I108" s="660">
        <v>0</v>
      </c>
      <c r="J108" s="660">
        <v>0</v>
      </c>
      <c r="K108" s="660">
        <v>0</v>
      </c>
      <c r="L108" s="660">
        <v>0</v>
      </c>
      <c r="M108" s="660">
        <v>0</v>
      </c>
      <c r="N108" s="660">
        <v>0</v>
      </c>
      <c r="O108" s="660">
        <v>0</v>
      </c>
      <c r="P108" s="660">
        <v>0</v>
      </c>
      <c r="Q108" s="487">
        <f>SUMIFS('4.1 Program Budget 2028-2031'!AH:AH,'4.1 Program Budget 2028-2031'!J:J,'4.2 Sector Seg Budget 2032-2035'!C108,'4.1 Program Budget 2028-2031'!L:L,'4.2 Sector Seg Budget 2032-2035'!D108,'4.1 Program Budget 2028-2031'!M:M,2031)</f>
        <v>0</v>
      </c>
    </row>
    <row r="109" spans="2:17">
      <c r="F109" s="273"/>
      <c r="G109" s="273"/>
    </row>
    <row r="110" spans="2:17">
      <c r="C110" s="9" t="s">
        <v>348</v>
      </c>
    </row>
    <row r="111" spans="2:17">
      <c r="C111" s="9" t="s">
        <v>349</v>
      </c>
    </row>
  </sheetData>
  <autoFilter ref="C12:Q108" xr:uid="{30F67BE7-38DA-411C-8CFE-3FC7E8863DDC}"/>
  <mergeCells count="2">
    <mergeCell ref="C2:I2"/>
    <mergeCell ref="C3:I3"/>
  </mergeCells>
  <phoneticPr fontId="185" type="noConversion"/>
  <dataValidations count="1">
    <dataValidation type="list" allowBlank="1" showInputMessage="1" showErrorMessage="1" sqref="D13:D96" xr:uid="{829AEB76-FFCD-4E1B-99C0-53E95BCF1DD4}">
      <formula1>#REF!</formula1>
    </dataValidation>
  </dataValidations>
  <pageMargins left="0.25" right="0.25" top="0.75" bottom="0.75" header="0.3" footer="0.3"/>
  <pageSetup paperSize="17" fitToWidth="2" fitToHeight="3" orientation="landscape" r:id="rId1"/>
  <headerFooter>
    <oddFooter>&amp;C&amp;A</oddFooter>
  </headerFooter>
  <colBreaks count="1" manualBreakCount="1">
    <brk id="9" max="11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B95D3-786F-4FB5-B25D-1F545E3EAA21}">
  <sheetPr codeName="Sheet9">
    <tabColor theme="4"/>
  </sheetPr>
  <dimension ref="B1:AZ60"/>
  <sheetViews>
    <sheetView topLeftCell="A6" zoomScaleNormal="100" workbookViewId="0">
      <selection activeCell="H14" sqref="H14"/>
    </sheetView>
  </sheetViews>
  <sheetFormatPr defaultColWidth="8" defaultRowHeight="12.75"/>
  <cols>
    <col min="1" max="1" width="2.75" style="19" customWidth="1"/>
    <col min="2" max="2" width="12.125" style="19" customWidth="1"/>
    <col min="3" max="3" width="23.125" style="19" customWidth="1"/>
    <col min="4" max="4" width="19.75" style="19" customWidth="1"/>
    <col min="5" max="5" width="15.125" style="19" customWidth="1"/>
    <col min="6" max="7" width="15.125" style="109" customWidth="1"/>
    <col min="8" max="8" width="15.125" style="19" customWidth="1"/>
    <col min="9" max="9" width="15.125" style="110" customWidth="1"/>
    <col min="10" max="16" width="15.125" style="16" customWidth="1"/>
    <col min="17" max="19" width="14.625" style="16" customWidth="1"/>
    <col min="20" max="20" width="14.625" style="110" customWidth="1"/>
    <col min="21" max="30" width="14.625" style="16" customWidth="1"/>
    <col min="31" max="31" width="14.625" style="110" customWidth="1"/>
    <col min="32" max="41" width="14.625" style="16" customWidth="1"/>
    <col min="42" max="42" width="14.625" style="110" customWidth="1"/>
    <col min="43" max="52" width="14.625" style="16" customWidth="1"/>
    <col min="53" max="16384" width="8" style="19"/>
  </cols>
  <sheetData>
    <row r="1" spans="2:16" ht="13.5" thickBot="1"/>
    <row r="2" spans="2:16" ht="25.5" customHeight="1">
      <c r="B2" s="219" t="s">
        <v>58</v>
      </c>
      <c r="C2" s="914" t="s">
        <v>350</v>
      </c>
      <c r="D2" s="914"/>
      <c r="E2" s="914"/>
      <c r="F2" s="914"/>
      <c r="G2" s="914"/>
      <c r="H2" s="914"/>
      <c r="I2" s="915"/>
    </row>
    <row r="3" spans="2:16" ht="269.25" customHeight="1">
      <c r="B3" s="484" t="s">
        <v>102</v>
      </c>
      <c r="C3" s="912" t="s">
        <v>351</v>
      </c>
      <c r="D3" s="912"/>
      <c r="E3" s="912"/>
      <c r="F3" s="912"/>
      <c r="G3" s="912"/>
      <c r="H3" s="912"/>
      <c r="I3" s="913"/>
    </row>
    <row r="4" spans="2:16" ht="13.5" thickBot="1"/>
    <row r="5" spans="2:16" ht="15.75">
      <c r="B5" s="198" t="s">
        <v>104</v>
      </c>
      <c r="C5" s="227" t="str">
        <f>'Read Me'!B10</f>
        <v>SDG&amp;E</v>
      </c>
      <c r="D5" s="16"/>
      <c r="E5" s="16"/>
      <c r="F5" s="16"/>
      <c r="G5" s="16"/>
      <c r="H5" s="16"/>
      <c r="I5" s="16"/>
    </row>
    <row r="6" spans="2:16" ht="16.5" customHeight="1" thickBot="1">
      <c r="B6" s="493" t="s">
        <v>105</v>
      </c>
      <c r="C6" s="469" t="str">
        <f>'Read Me'!B11</f>
        <v>2028-2035</v>
      </c>
      <c r="D6" s="16"/>
      <c r="E6" s="16"/>
      <c r="F6" s="16"/>
      <c r="G6" s="16"/>
      <c r="H6" s="16"/>
      <c r="I6" s="16"/>
    </row>
    <row r="7" spans="2:16" ht="15.75">
      <c r="B7" s="111"/>
      <c r="C7" s="12"/>
      <c r="D7" s="16"/>
      <c r="E7" s="16"/>
      <c r="F7" s="16"/>
      <c r="G7" s="16"/>
      <c r="H7" s="16"/>
      <c r="I7" s="16"/>
      <c r="J7" s="112"/>
      <c r="K7" s="112"/>
      <c r="L7" s="112"/>
      <c r="M7" s="112"/>
      <c r="N7" s="112"/>
      <c r="O7" s="112"/>
      <c r="P7" s="112"/>
    </row>
    <row r="8" spans="2:16" ht="15.75">
      <c r="B8" s="113"/>
      <c r="D8" s="113"/>
      <c r="I8" s="114"/>
      <c r="J8" s="115"/>
      <c r="K8" s="115"/>
      <c r="L8" s="115"/>
      <c r="M8" s="115"/>
      <c r="N8" s="115"/>
      <c r="O8" s="115"/>
      <c r="P8" s="115"/>
    </row>
    <row r="9" spans="2:16" s="108" customFormat="1" ht="16.350000000000001" customHeight="1">
      <c r="B9" s="19"/>
      <c r="C9" s="19"/>
      <c r="D9" s="116"/>
      <c r="E9" s="109"/>
      <c r="F9" s="109"/>
      <c r="G9" s="109"/>
      <c r="H9" s="109"/>
      <c r="I9" s="109"/>
      <c r="J9" s="109"/>
      <c r="K9" s="109"/>
      <c r="L9" s="109"/>
      <c r="M9" s="109"/>
      <c r="N9" s="109"/>
      <c r="O9" s="109"/>
      <c r="P9" s="109"/>
    </row>
    <row r="10" spans="2:16" ht="13.5" thickBot="1">
      <c r="C10" s="19" t="s">
        <v>352</v>
      </c>
    </row>
    <row r="11" spans="2:16" ht="13.5" customHeight="1" thickBot="1">
      <c r="C11" s="215"/>
      <c r="D11" s="916" t="s">
        <v>353</v>
      </c>
      <c r="E11" s="917"/>
      <c r="F11" s="918"/>
      <c r="G11" s="916" t="s">
        <v>41</v>
      </c>
      <c r="H11" s="917"/>
      <c r="I11" s="917"/>
      <c r="J11" s="917"/>
      <c r="K11" s="917"/>
      <c r="L11" s="917"/>
      <c r="M11" s="917"/>
      <c r="N11" s="917"/>
      <c r="O11" s="918"/>
    </row>
    <row r="12" spans="2:16" ht="41.25" thickBot="1">
      <c r="C12" s="117" t="s">
        <v>186</v>
      </c>
      <c r="D12" s="117" t="s">
        <v>354</v>
      </c>
      <c r="E12" s="117" t="s">
        <v>355</v>
      </c>
      <c r="F12" s="117" t="s">
        <v>356</v>
      </c>
      <c r="G12" s="305" t="s">
        <v>357</v>
      </c>
      <c r="H12" s="22" t="s">
        <v>358</v>
      </c>
      <c r="I12" s="22" t="s">
        <v>359</v>
      </c>
      <c r="J12" s="305" t="s">
        <v>360</v>
      </c>
      <c r="K12" s="22" t="s">
        <v>361</v>
      </c>
      <c r="L12" s="22" t="s">
        <v>362</v>
      </c>
      <c r="M12" s="305" t="s">
        <v>363</v>
      </c>
      <c r="N12" s="22" t="s">
        <v>364</v>
      </c>
      <c r="O12" s="119" t="s">
        <v>365</v>
      </c>
    </row>
    <row r="13" spans="2:16" ht="13.5" customHeight="1" thickTop="1">
      <c r="C13" s="120">
        <v>2028</v>
      </c>
      <c r="D13" s="486">
        <v>75302352.722620532</v>
      </c>
      <c r="E13" s="494" cm="1">
        <f t="array" ref="E13">_xlfn.XLOOKUP(1,($C$29:$C$60=$C13)*($D$29:$D$60=$C$5),E$29:E$60)</f>
        <v>78420542</v>
      </c>
      <c r="F13" s="495">
        <f t="shared" ref="F13:F23" si="0">D13/E13</f>
        <v>0.96023759594291669</v>
      </c>
      <c r="G13" s="496">
        <v>140.92362919746805</v>
      </c>
      <c r="H13" s="496">
        <v>30.147372944220091</v>
      </c>
      <c r="I13" s="496">
        <v>1.683383330245307</v>
      </c>
      <c r="J13" s="497" cm="1">
        <f t="array" ref="J13">_xlfn.XLOOKUP(1, ($C$29:$C$60=$C13)*($D$29:$D$60=$C$5), F$29:F$60)</f>
        <v>141</v>
      </c>
      <c r="K13" s="497" cm="1">
        <f t="array" ref="K13">_xlfn.XLOOKUP(1, ($C$29:$C$60=$C13)*($D$29:$D$60=$C$5), G$29:G$60)</f>
        <v>23.3</v>
      </c>
      <c r="L13" s="497" cm="1">
        <f t="array" ref="L13">_xlfn.XLOOKUP(1, ($C$29:$C$60=$C13)*($D$29:$D$60=$C$5), H$29:H$60)</f>
        <v>0.8</v>
      </c>
      <c r="M13" s="495">
        <f>G13/J13</f>
        <v>0.99945836310261027</v>
      </c>
      <c r="N13" s="495">
        <f>H13/K13</f>
        <v>1.2938786671339095</v>
      </c>
      <c r="O13" s="495">
        <f>I13/L13</f>
        <v>2.1042291628066336</v>
      </c>
    </row>
    <row r="14" spans="2:16">
      <c r="C14" s="120">
        <v>2029</v>
      </c>
      <c r="D14" s="486">
        <v>77571122.333347499</v>
      </c>
      <c r="E14" s="494" cm="1">
        <f t="array" ref="E14">_xlfn.XLOOKUP(1,($C$29:$C$60=$C14)*($D$29:$D$60=$C$5),E$29:E$60)</f>
        <v>85011015</v>
      </c>
      <c r="F14" s="495">
        <f t="shared" si="0"/>
        <v>0.91248319212924933</v>
      </c>
      <c r="G14" s="496">
        <v>115.84302830527137</v>
      </c>
      <c r="H14" s="496">
        <v>26.090119248440057</v>
      </c>
      <c r="I14" s="496">
        <v>1.5497835531838982</v>
      </c>
      <c r="J14" s="497" cm="1">
        <f t="array" ref="J14">_xlfn.XLOOKUP(1, ($C$29:$C$60=$C14)*($D$29:$D$60=$C$5), F$29:F$60)</f>
        <v>107.4</v>
      </c>
      <c r="K14" s="497" cm="1">
        <f t="array" ref="K14">_xlfn.XLOOKUP(1, ($C$29:$C$60=$C14)*($D$29:$D$60=$C$5), G$29:G$60)</f>
        <v>18.600000000000001</v>
      </c>
      <c r="L14" s="497" cm="1">
        <f t="array" ref="L14">_xlfn.XLOOKUP(1, ($C$29:$C$60=$C14)*($D$29:$D$60=$C$5), H$29:H$60)</f>
        <v>0.8</v>
      </c>
      <c r="M14" s="495">
        <f>G14/J14</f>
        <v>1.0786129264922846</v>
      </c>
      <c r="N14" s="495">
        <f>H14/K14</f>
        <v>1.4026945832494653</v>
      </c>
      <c r="O14" s="495">
        <f t="shared" ref="O14:O23" si="1">I14/L14</f>
        <v>1.9372294414798725</v>
      </c>
    </row>
    <row r="15" spans="2:16">
      <c r="C15" s="120">
        <v>2030</v>
      </c>
      <c r="D15" s="486">
        <v>82862746.762949526</v>
      </c>
      <c r="E15" s="494" cm="1">
        <f t="array" ref="E15">_xlfn.XLOOKUP(1,($C$29:$C$60=$C15)*($D$29:$D$60=$C$5),E$29:E$60)</f>
        <v>63994260</v>
      </c>
      <c r="F15" s="495">
        <f t="shared" si="0"/>
        <v>1.2948465497210144</v>
      </c>
      <c r="G15" s="496">
        <v>107.06193466737585</v>
      </c>
      <c r="H15" s="496">
        <v>24.624665169039989</v>
      </c>
      <c r="I15" s="496">
        <v>1.5344502870491583</v>
      </c>
      <c r="J15" s="497" cm="1">
        <f t="array" ref="J15">_xlfn.XLOOKUP(1, ($C$29:$C$60=$C15)*($D$29:$D$60=$C$5), F$29:F$60)</f>
        <v>94</v>
      </c>
      <c r="K15" s="497" cm="1">
        <f t="array" ref="K15">_xlfn.XLOOKUP(1, ($C$29:$C$60=$C15)*($D$29:$D$60=$C$5), G$29:G$60)</f>
        <v>16.899999999999999</v>
      </c>
      <c r="L15" s="497" cm="1">
        <f t="array" ref="L15">_xlfn.XLOOKUP(1, ($C$29:$C$60=$C15)*($D$29:$D$60=$C$5), H$29:H$60)</f>
        <v>0.8</v>
      </c>
      <c r="M15" s="495">
        <f>G15/J15</f>
        <v>1.1389567517805941</v>
      </c>
      <c r="N15" s="495">
        <f t="shared" ref="N15:N23" si="2">H15/K15</f>
        <v>1.4570807792331355</v>
      </c>
      <c r="O15" s="495">
        <f t="shared" si="1"/>
        <v>1.9180628588114479</v>
      </c>
    </row>
    <row r="16" spans="2:16" ht="13.5" thickBot="1">
      <c r="C16" s="121">
        <v>2031</v>
      </c>
      <c r="D16" s="486">
        <v>92514600.02927959</v>
      </c>
      <c r="E16" s="494" cm="1">
        <f t="array" ref="E16">_xlfn.XLOOKUP(1,($C$29:$C$60=$C16)*($D$29:$D$60=$C$5),E$29:E$60)</f>
        <v>72773077</v>
      </c>
      <c r="F16" s="495">
        <f t="shared" si="0"/>
        <v>1.2712750902271124</v>
      </c>
      <c r="G16" s="496">
        <v>101.59470060879485</v>
      </c>
      <c r="H16" s="496">
        <v>23.922369326080013</v>
      </c>
      <c r="I16" s="496">
        <v>1.5066575621379301</v>
      </c>
      <c r="J16" s="497" cm="1">
        <f t="array" ref="J16">_xlfn.XLOOKUP(1, ($C$29:$C$60=$C16)*($D$29:$D$60=$C$5), F$29:F$60)</f>
        <v>84.7</v>
      </c>
      <c r="K16" s="497" cm="1">
        <f t="array" ref="K16">_xlfn.XLOOKUP(1, ($C$29:$C$60=$C16)*($D$29:$D$60=$C$5), G$29:G$60)</f>
        <v>16</v>
      </c>
      <c r="L16" s="497" cm="1">
        <f t="array" ref="L16">_xlfn.XLOOKUP(1, ($C$29:$C$60=$C16)*($D$29:$D$60=$C$5), H$29:H$60)</f>
        <v>0.7</v>
      </c>
      <c r="M16" s="495">
        <f>G16/J16</f>
        <v>1.1994651783801045</v>
      </c>
      <c r="N16" s="495">
        <f t="shared" si="2"/>
        <v>1.4951480828800008</v>
      </c>
      <c r="O16" s="495">
        <f t="shared" si="1"/>
        <v>2.1523679459113287</v>
      </c>
    </row>
    <row r="17" spans="3:15" ht="14.25" thickTop="1" thickBot="1">
      <c r="C17" s="122" t="s">
        <v>366</v>
      </c>
      <c r="D17" s="281">
        <f>SUM(D13:D16)</f>
        <v>328250821.84819716</v>
      </c>
      <c r="E17" s="281">
        <f>SUM(E13:E16)</f>
        <v>300198894</v>
      </c>
      <c r="F17" s="274">
        <f t="shared" si="0"/>
        <v>1.0934444743430571</v>
      </c>
      <c r="G17" s="275">
        <f t="shared" ref="G17:L17" si="3">SUM(G13:G16)</f>
        <v>465.42329277891008</v>
      </c>
      <c r="H17" s="275">
        <f t="shared" si="3"/>
        <v>104.78452668778016</v>
      </c>
      <c r="I17" s="275">
        <f t="shared" si="3"/>
        <v>6.2742747326162931</v>
      </c>
      <c r="J17" s="276">
        <f>SUM(J13:J16)</f>
        <v>427.09999999999997</v>
      </c>
      <c r="K17" s="276">
        <f t="shared" si="3"/>
        <v>74.800000000000011</v>
      </c>
      <c r="L17" s="276">
        <f t="shared" si="3"/>
        <v>3.1000000000000005</v>
      </c>
      <c r="M17" s="274">
        <f t="shared" ref="M17:M23" si="4">G17/J17</f>
        <v>1.0897290863472491</v>
      </c>
      <c r="N17" s="274">
        <f t="shared" si="2"/>
        <v>1.4008626562537452</v>
      </c>
      <c r="O17" s="274">
        <f t="shared" si="1"/>
        <v>2.023959591166546</v>
      </c>
    </row>
    <row r="18" spans="3:15">
      <c r="C18" s="120">
        <v>2032</v>
      </c>
      <c r="D18" s="282">
        <f>D16</f>
        <v>92514600.02927959</v>
      </c>
      <c r="E18" s="494" cm="1">
        <f t="array" ref="E18">_xlfn.XLOOKUP(1, ($C$29:$C$60=$C18)*($D$29:$D$60=$C$5), E$29:E$60)</f>
        <v>79707277</v>
      </c>
      <c r="F18" s="495">
        <f t="shared" si="0"/>
        <v>1.1606794700724701</v>
      </c>
      <c r="G18" s="277">
        <f>G16</f>
        <v>101.59470060879485</v>
      </c>
      <c r="H18" s="277">
        <f>H16</f>
        <v>23.922369326080013</v>
      </c>
      <c r="I18" s="277">
        <f>I16</f>
        <v>1.5066575621379301</v>
      </c>
      <c r="J18" s="497" cm="1">
        <f t="array" ref="J18">_xlfn.XLOOKUP(1, ($C$29:$C$60=$C18)*($D$29:$D$60=$C$5), F$29:F$60)</f>
        <v>76.2</v>
      </c>
      <c r="K18" s="497" cm="1">
        <f t="array" ref="K18">_xlfn.XLOOKUP(1, ($C$29:$C$60=$C18)*($D$29:$D$60=$C$5), G$29:G$60)</f>
        <v>14.9</v>
      </c>
      <c r="L18" s="497" cm="1">
        <f t="array" ref="L18">_xlfn.XLOOKUP(1, ($C$29:$C$60=$C18)*($D$29:$D$60=$C$5), H$29:H$60)</f>
        <v>0.7</v>
      </c>
      <c r="M18" s="495">
        <f>G18/J18</f>
        <v>1.3332637875169928</v>
      </c>
      <c r="N18" s="495">
        <f>H18/K18</f>
        <v>1.6055281426899337</v>
      </c>
      <c r="O18" s="495">
        <f>I18/L18</f>
        <v>2.1523679459113287</v>
      </c>
    </row>
    <row r="19" spans="3:15">
      <c r="C19" s="120">
        <v>2033</v>
      </c>
      <c r="D19" s="486">
        <f>D16</f>
        <v>92514600.02927959</v>
      </c>
      <c r="E19" s="494" cm="1">
        <f t="array" ref="E19">_xlfn.XLOOKUP(1, ($C$29:$C$60=$C19)*($D$29:$D$60=$C$5), E$29:E$60)</f>
        <v>86792270</v>
      </c>
      <c r="F19" s="495">
        <f t="shared" si="0"/>
        <v>1.0659313327013984</v>
      </c>
      <c r="G19" s="496">
        <f>G16</f>
        <v>101.59470060879485</v>
      </c>
      <c r="H19" s="496">
        <f>H16</f>
        <v>23.922369326080013</v>
      </c>
      <c r="I19" s="496">
        <f>I16</f>
        <v>1.5066575621379301</v>
      </c>
      <c r="J19" s="497" cm="1">
        <f t="array" ref="J19">_xlfn.XLOOKUP(1, ($C$29:$C$60=$C19)*($D$29:$D$60=$C$5), F$29:F$60)</f>
        <v>73</v>
      </c>
      <c r="K19" s="497" cm="1">
        <f t="array" ref="K19">_xlfn.XLOOKUP(1, ($C$29:$C$60=$C19)*($D$29:$D$60=$C$5), G$29:G$60)</f>
        <v>14.4</v>
      </c>
      <c r="L19" s="497" cm="1">
        <f t="array" ref="L19">_xlfn.XLOOKUP(1, ($C$29:$C$60=$C19)*($D$29:$D$60=$C$5), H$29:H$60)</f>
        <v>0.7</v>
      </c>
      <c r="M19" s="495">
        <f t="shared" si="4"/>
        <v>1.3917082275177377</v>
      </c>
      <c r="N19" s="495">
        <f t="shared" si="2"/>
        <v>1.6612756476444452</v>
      </c>
      <c r="O19" s="495">
        <f t="shared" si="1"/>
        <v>2.1523679459113287</v>
      </c>
    </row>
    <row r="20" spans="3:15">
      <c r="C20" s="120">
        <v>2034</v>
      </c>
      <c r="D20" s="486">
        <f>D16</f>
        <v>92514600.02927959</v>
      </c>
      <c r="E20" s="494" cm="1">
        <f t="array" ref="E20">_xlfn.XLOOKUP(1, ($C$29:$C$60=$C20)*($D$29:$D$60=$C$5), E$29:E$60)</f>
        <v>94537243</v>
      </c>
      <c r="F20" s="495">
        <f t="shared" si="0"/>
        <v>0.97860480265200445</v>
      </c>
      <c r="G20" s="496">
        <f>G16</f>
        <v>101.59470060879485</v>
      </c>
      <c r="H20" s="496">
        <f>H16</f>
        <v>23.922369326080013</v>
      </c>
      <c r="I20" s="496">
        <f>I16</f>
        <v>1.5066575621379301</v>
      </c>
      <c r="J20" s="497" cm="1">
        <f t="array" ref="J20">_xlfn.XLOOKUP(1, ($C$29:$C$60=$C20)*($D$29:$D$60=$C$5), F$29:F$60)</f>
        <v>57.3</v>
      </c>
      <c r="K20" s="497" cm="1">
        <f t="array" ref="K20">_xlfn.XLOOKUP(1, ($C$29:$C$60=$C20)*($D$29:$D$60=$C$5), G$29:G$60)</f>
        <v>12.7</v>
      </c>
      <c r="L20" s="497" cm="1">
        <f t="array" ref="L20">_xlfn.XLOOKUP(1, ($C$29:$C$60=$C20)*($D$29:$D$60=$C$5), H$29:H$60)</f>
        <v>0.7</v>
      </c>
      <c r="M20" s="495">
        <f t="shared" si="4"/>
        <v>1.7730314242372576</v>
      </c>
      <c r="N20" s="495">
        <f t="shared" si="2"/>
        <v>1.8836511280377963</v>
      </c>
      <c r="O20" s="495">
        <f t="shared" si="1"/>
        <v>2.1523679459113287</v>
      </c>
    </row>
    <row r="21" spans="3:15" ht="13.5" thickBot="1">
      <c r="C21" s="120">
        <v>2035</v>
      </c>
      <c r="D21" s="486">
        <f>D16</f>
        <v>92514600.02927959</v>
      </c>
      <c r="E21" s="494" cm="1">
        <f t="array" ref="E21">_xlfn.XLOOKUP(1, ($C$29:$C$60=$C21)*($D$29:$D$60=$C$5), E$29:E$60)</f>
        <v>104555409</v>
      </c>
      <c r="F21" s="495">
        <f t="shared" si="0"/>
        <v>0.88483800995202067</v>
      </c>
      <c r="G21" s="496">
        <f>G16</f>
        <v>101.59470060879485</v>
      </c>
      <c r="H21" s="496">
        <f>H16</f>
        <v>23.922369326080013</v>
      </c>
      <c r="I21" s="496">
        <f>I16</f>
        <v>1.5066575621379301</v>
      </c>
      <c r="J21" s="497" cm="1">
        <f t="array" ref="J21">_xlfn.XLOOKUP(1, ($C$29:$C$60=$C21)*($D$29:$D$60=$C$5), F$29:F$60)</f>
        <v>53.9</v>
      </c>
      <c r="K21" s="497" cm="1">
        <f t="array" ref="K21">_xlfn.XLOOKUP(1, ($C$29:$C$60=$C21)*($D$29:$D$60=$C$5), G$29:G$60)</f>
        <v>11.6</v>
      </c>
      <c r="L21" s="497" cm="1">
        <f t="array" ref="L21">_xlfn.XLOOKUP(1, ($C$29:$C$60=$C21)*($D$29:$D$60=$C$5), H$29:H$60)</f>
        <v>0.7</v>
      </c>
      <c r="M21" s="495">
        <f t="shared" si="4"/>
        <v>1.8848738517401642</v>
      </c>
      <c r="N21" s="495">
        <f t="shared" si="2"/>
        <v>2.0622732177655183</v>
      </c>
      <c r="O21" s="495">
        <f t="shared" si="1"/>
        <v>2.1523679459113287</v>
      </c>
    </row>
    <row r="22" spans="3:15" ht="14.25" thickTop="1" thickBot="1">
      <c r="C22" s="122" t="s">
        <v>366</v>
      </c>
      <c r="D22" s="281">
        <f>SUM(D18:D21)</f>
        <v>370058400.11711836</v>
      </c>
      <c r="E22" s="281">
        <f>SUM(E18:E21)</f>
        <v>365592199</v>
      </c>
      <c r="F22" s="274">
        <f t="shared" si="0"/>
        <v>1.0122163468731955</v>
      </c>
      <c r="G22" s="275">
        <f t="shared" ref="G22:L22" si="5">SUM(G18:G21)</f>
        <v>406.37880243517941</v>
      </c>
      <c r="H22" s="275">
        <f t="shared" si="5"/>
        <v>95.68947730432005</v>
      </c>
      <c r="I22" s="275">
        <f t="shared" si="5"/>
        <v>6.0266302485517205</v>
      </c>
      <c r="J22" s="276">
        <f t="shared" si="5"/>
        <v>260.39999999999998</v>
      </c>
      <c r="K22" s="276">
        <f t="shared" si="5"/>
        <v>53.6</v>
      </c>
      <c r="L22" s="276">
        <f t="shared" si="5"/>
        <v>2.8</v>
      </c>
      <c r="M22" s="274">
        <f t="shared" si="4"/>
        <v>1.5605944793977706</v>
      </c>
      <c r="N22" s="274">
        <f t="shared" si="2"/>
        <v>1.7852514422447769</v>
      </c>
      <c r="O22" s="274">
        <f t="shared" si="1"/>
        <v>2.1523679459113287</v>
      </c>
    </row>
    <row r="23" spans="3:15" ht="13.5" thickBot="1">
      <c r="C23" s="123" t="s">
        <v>367</v>
      </c>
      <c r="D23" s="283">
        <f>D22+D17</f>
        <v>698309221.96531558</v>
      </c>
      <c r="E23" s="283">
        <f>E22+E17</f>
        <v>665791093</v>
      </c>
      <c r="F23" s="278">
        <f t="shared" si="0"/>
        <v>1.0488413397343475</v>
      </c>
      <c r="G23" s="279">
        <f t="shared" ref="G23:L23" si="6">G22+G17</f>
        <v>871.80209521408949</v>
      </c>
      <c r="H23" s="279">
        <f t="shared" si="6"/>
        <v>200.47400399210022</v>
      </c>
      <c r="I23" s="279">
        <f t="shared" si="6"/>
        <v>12.300904981168014</v>
      </c>
      <c r="J23" s="280">
        <f t="shared" si="6"/>
        <v>687.5</v>
      </c>
      <c r="K23" s="280">
        <f t="shared" si="6"/>
        <v>128.4</v>
      </c>
      <c r="L23" s="280">
        <f t="shared" si="6"/>
        <v>5.9</v>
      </c>
      <c r="M23" s="278">
        <f t="shared" si="4"/>
        <v>1.2680757748568574</v>
      </c>
      <c r="N23" s="278">
        <f t="shared" si="2"/>
        <v>1.5613240186300639</v>
      </c>
      <c r="O23" s="278">
        <f t="shared" si="1"/>
        <v>2.0848991493505107</v>
      </c>
    </row>
    <row r="24" spans="3:15">
      <c r="C24" s="19" t="s">
        <v>368</v>
      </c>
    </row>
    <row r="26" spans="3:15">
      <c r="C26" s="166" t="s">
        <v>369</v>
      </c>
    </row>
    <row r="28" spans="3:15">
      <c r="C28" s="498" t="s">
        <v>186</v>
      </c>
      <c r="D28" s="498" t="s">
        <v>370</v>
      </c>
      <c r="E28" s="498" t="s">
        <v>371</v>
      </c>
      <c r="F28" s="498" t="s">
        <v>372</v>
      </c>
      <c r="G28" s="498" t="s">
        <v>373</v>
      </c>
      <c r="H28" s="498" t="s">
        <v>374</v>
      </c>
    </row>
    <row r="29" spans="3:15">
      <c r="C29" s="499">
        <v>2028</v>
      </c>
      <c r="D29" s="500" t="s">
        <v>16</v>
      </c>
      <c r="E29" s="501">
        <v>245982070</v>
      </c>
      <c r="F29" s="502">
        <v>688.6</v>
      </c>
      <c r="G29" s="503">
        <v>127</v>
      </c>
      <c r="H29" s="504">
        <v>8</v>
      </c>
    </row>
    <row r="30" spans="3:15">
      <c r="C30" s="499">
        <v>2029</v>
      </c>
      <c r="D30" s="500" t="s">
        <v>16</v>
      </c>
      <c r="E30" s="501">
        <v>277204793</v>
      </c>
      <c r="F30" s="502">
        <v>524.6</v>
      </c>
      <c r="G30" s="503">
        <v>103.6</v>
      </c>
      <c r="H30" s="504">
        <v>7.6</v>
      </c>
    </row>
    <row r="31" spans="3:15">
      <c r="C31" s="499">
        <v>2030</v>
      </c>
      <c r="D31" s="500" t="s">
        <v>16</v>
      </c>
      <c r="E31" s="501">
        <v>220970017</v>
      </c>
      <c r="F31" s="502">
        <v>458.8</v>
      </c>
      <c r="G31" s="503">
        <v>95.5</v>
      </c>
      <c r="H31" s="504">
        <v>7.5</v>
      </c>
    </row>
    <row r="32" spans="3:15">
      <c r="C32" s="499">
        <v>2031</v>
      </c>
      <c r="D32" s="500" t="s">
        <v>16</v>
      </c>
      <c r="E32" s="501">
        <v>261360492</v>
      </c>
      <c r="F32" s="502">
        <v>413.6</v>
      </c>
      <c r="G32" s="503">
        <v>90.8</v>
      </c>
      <c r="H32" s="504">
        <v>7.2</v>
      </c>
    </row>
    <row r="33" spans="3:8">
      <c r="C33" s="499">
        <v>2032</v>
      </c>
      <c r="D33" s="500" t="s">
        <v>16</v>
      </c>
      <c r="E33" s="501">
        <v>276406285</v>
      </c>
      <c r="F33" s="502">
        <v>371.9</v>
      </c>
      <c r="G33" s="503">
        <v>85.1</v>
      </c>
      <c r="H33" s="504">
        <v>7.1</v>
      </c>
    </row>
    <row r="34" spans="3:8">
      <c r="C34" s="499">
        <v>2033</v>
      </c>
      <c r="D34" s="500" t="s">
        <v>16</v>
      </c>
      <c r="E34" s="501">
        <v>293966337</v>
      </c>
      <c r="F34" s="502">
        <v>356.7</v>
      </c>
      <c r="G34" s="503">
        <v>81.900000000000006</v>
      </c>
      <c r="H34" s="504">
        <v>7</v>
      </c>
    </row>
    <row r="35" spans="3:8">
      <c r="C35" s="499">
        <v>2034</v>
      </c>
      <c r="D35" s="500" t="s">
        <v>16</v>
      </c>
      <c r="E35" s="501">
        <v>332863463</v>
      </c>
      <c r="F35" s="502">
        <v>280</v>
      </c>
      <c r="G35" s="503">
        <v>73.3</v>
      </c>
      <c r="H35" s="504">
        <v>6.8</v>
      </c>
    </row>
    <row r="36" spans="3:8">
      <c r="C36" s="499">
        <v>2035</v>
      </c>
      <c r="D36" s="500" t="s">
        <v>16</v>
      </c>
      <c r="E36" s="501">
        <v>370909444</v>
      </c>
      <c r="F36" s="502">
        <v>263.2</v>
      </c>
      <c r="G36" s="503">
        <v>67.7</v>
      </c>
      <c r="H36" s="504">
        <v>6.7</v>
      </c>
    </row>
    <row r="37" spans="3:8">
      <c r="C37" s="499">
        <v>2028</v>
      </c>
      <c r="D37" s="500" t="s">
        <v>25</v>
      </c>
      <c r="E37" s="501">
        <v>186433247</v>
      </c>
      <c r="F37" s="502">
        <v>688.6</v>
      </c>
      <c r="G37" s="503">
        <v>117.2</v>
      </c>
      <c r="H37" s="505"/>
    </row>
    <row r="38" spans="3:8">
      <c r="C38" s="499">
        <v>2029</v>
      </c>
      <c r="D38" s="500" t="s">
        <v>25</v>
      </c>
      <c r="E38" s="501">
        <v>194494832</v>
      </c>
      <c r="F38" s="502">
        <v>524.6</v>
      </c>
      <c r="G38" s="503">
        <v>94.2</v>
      </c>
      <c r="H38" s="505"/>
    </row>
    <row r="39" spans="3:8">
      <c r="C39" s="499">
        <v>2030</v>
      </c>
      <c r="D39" s="500" t="s">
        <v>25</v>
      </c>
      <c r="E39" s="501">
        <v>121814029</v>
      </c>
      <c r="F39" s="502">
        <v>458.8</v>
      </c>
      <c r="G39" s="503">
        <v>86.3</v>
      </c>
      <c r="H39" s="505"/>
    </row>
    <row r="40" spans="3:8">
      <c r="C40" s="499">
        <v>2031</v>
      </c>
      <c r="D40" s="500" t="s">
        <v>25</v>
      </c>
      <c r="E40" s="501">
        <v>143827943</v>
      </c>
      <c r="F40" s="502">
        <v>413.6</v>
      </c>
      <c r="G40" s="503">
        <v>81.8</v>
      </c>
      <c r="H40" s="505"/>
    </row>
    <row r="41" spans="3:8">
      <c r="C41" s="499">
        <v>2032</v>
      </c>
      <c r="D41" s="500" t="s">
        <v>25</v>
      </c>
      <c r="E41" s="501">
        <v>160949931</v>
      </c>
      <c r="F41" s="502">
        <v>371.9</v>
      </c>
      <c r="G41" s="503">
        <v>76.3</v>
      </c>
      <c r="H41" s="505"/>
    </row>
    <row r="42" spans="3:8">
      <c r="C42" s="499">
        <v>2033</v>
      </c>
      <c r="D42" s="500" t="s">
        <v>25</v>
      </c>
      <c r="E42" s="501">
        <v>174302268</v>
      </c>
      <c r="F42" s="502">
        <v>356.7</v>
      </c>
      <c r="G42" s="503">
        <v>73.5</v>
      </c>
      <c r="H42" s="505"/>
    </row>
    <row r="43" spans="3:8">
      <c r="C43" s="499">
        <v>2034</v>
      </c>
      <c r="D43" s="500" t="s">
        <v>25</v>
      </c>
      <c r="E43" s="501">
        <v>181510710</v>
      </c>
      <c r="F43" s="502">
        <v>280</v>
      </c>
      <c r="G43" s="503">
        <v>65.3</v>
      </c>
      <c r="H43" s="505"/>
    </row>
    <row r="44" spans="3:8">
      <c r="C44" s="499">
        <v>2035</v>
      </c>
      <c r="D44" s="500" t="s">
        <v>25</v>
      </c>
      <c r="E44" s="501">
        <v>191298035</v>
      </c>
      <c r="F44" s="502">
        <v>263.2</v>
      </c>
      <c r="G44" s="503">
        <v>60</v>
      </c>
      <c r="H44" s="505"/>
    </row>
    <row r="45" spans="3:8">
      <c r="C45" s="499">
        <v>2028</v>
      </c>
      <c r="D45" s="500" t="s">
        <v>32</v>
      </c>
      <c r="E45" s="501">
        <v>196889753</v>
      </c>
      <c r="F45" s="506"/>
      <c r="G45" s="507"/>
      <c r="H45" s="504">
        <v>9</v>
      </c>
    </row>
    <row r="46" spans="3:8">
      <c r="C46" s="499">
        <v>2029</v>
      </c>
      <c r="D46" s="500" t="s">
        <v>32</v>
      </c>
      <c r="E46" s="501">
        <v>201796085</v>
      </c>
      <c r="F46" s="506"/>
      <c r="G46" s="507"/>
      <c r="H46" s="504">
        <v>8.5</v>
      </c>
    </row>
    <row r="47" spans="3:8">
      <c r="C47" s="499">
        <v>2030</v>
      </c>
      <c r="D47" s="500" t="s">
        <v>32</v>
      </c>
      <c r="E47" s="501">
        <v>133095774</v>
      </c>
      <c r="F47" s="506"/>
      <c r="G47" s="507"/>
      <c r="H47" s="504">
        <v>8.3000000000000007</v>
      </c>
    </row>
    <row r="48" spans="3:8">
      <c r="C48" s="499">
        <v>2031</v>
      </c>
      <c r="D48" s="500" t="s">
        <v>32</v>
      </c>
      <c r="E48" s="501">
        <v>136524840</v>
      </c>
      <c r="F48" s="506"/>
      <c r="G48" s="507"/>
      <c r="H48" s="504">
        <v>8.1</v>
      </c>
    </row>
    <row r="49" spans="3:8">
      <c r="C49" s="499">
        <v>2032</v>
      </c>
      <c r="D49" s="500" t="s">
        <v>32</v>
      </c>
      <c r="E49" s="501">
        <v>144600802</v>
      </c>
      <c r="F49" s="506"/>
      <c r="G49" s="507"/>
      <c r="H49" s="504">
        <v>7.9</v>
      </c>
    </row>
    <row r="50" spans="3:8">
      <c r="C50" s="499">
        <v>2033</v>
      </c>
      <c r="D50" s="500" t="s">
        <v>32</v>
      </c>
      <c r="E50" s="501">
        <v>152670798</v>
      </c>
      <c r="F50" s="506"/>
      <c r="G50" s="507"/>
      <c r="H50" s="504">
        <v>7.8</v>
      </c>
    </row>
    <row r="51" spans="3:8">
      <c r="C51" s="499">
        <v>2034</v>
      </c>
      <c r="D51" s="500" t="s">
        <v>32</v>
      </c>
      <c r="E51" s="501">
        <v>161086935</v>
      </c>
      <c r="F51" s="506"/>
      <c r="G51" s="507"/>
      <c r="H51" s="504">
        <v>7.6</v>
      </c>
    </row>
    <row r="52" spans="3:8">
      <c r="C52" s="499">
        <v>2035</v>
      </c>
      <c r="D52" s="500" t="s">
        <v>32</v>
      </c>
      <c r="E52" s="501">
        <v>173476885</v>
      </c>
      <c r="F52" s="506"/>
      <c r="G52" s="507"/>
      <c r="H52" s="504">
        <v>7.4</v>
      </c>
    </row>
    <row r="53" spans="3:8">
      <c r="C53" s="499">
        <v>2028</v>
      </c>
      <c r="D53" s="500" t="s">
        <v>13</v>
      </c>
      <c r="E53" s="508">
        <v>78420542</v>
      </c>
      <c r="F53" s="502">
        <v>141</v>
      </c>
      <c r="G53" s="504">
        <v>23.3</v>
      </c>
      <c r="H53" s="504">
        <v>0.8</v>
      </c>
    </row>
    <row r="54" spans="3:8">
      <c r="C54" s="499">
        <v>2029</v>
      </c>
      <c r="D54" s="500" t="s">
        <v>13</v>
      </c>
      <c r="E54" s="508">
        <v>85011015</v>
      </c>
      <c r="F54" s="502">
        <v>107.4</v>
      </c>
      <c r="G54" s="504">
        <v>18.600000000000001</v>
      </c>
      <c r="H54" s="504">
        <v>0.8</v>
      </c>
    </row>
    <row r="55" spans="3:8">
      <c r="C55" s="499">
        <v>2030</v>
      </c>
      <c r="D55" s="500" t="s">
        <v>13</v>
      </c>
      <c r="E55" s="508">
        <v>63994260</v>
      </c>
      <c r="F55" s="502">
        <v>94</v>
      </c>
      <c r="G55" s="504">
        <v>16.899999999999999</v>
      </c>
      <c r="H55" s="504">
        <v>0.8</v>
      </c>
    </row>
    <row r="56" spans="3:8">
      <c r="C56" s="499">
        <v>2031</v>
      </c>
      <c r="D56" s="500" t="s">
        <v>13</v>
      </c>
      <c r="E56" s="508">
        <v>72773077</v>
      </c>
      <c r="F56" s="502">
        <v>84.7</v>
      </c>
      <c r="G56" s="504">
        <v>16</v>
      </c>
      <c r="H56" s="504">
        <v>0.7</v>
      </c>
    </row>
    <row r="57" spans="3:8">
      <c r="C57" s="499">
        <v>2032</v>
      </c>
      <c r="D57" s="500" t="s">
        <v>13</v>
      </c>
      <c r="E57" s="508">
        <v>79707277</v>
      </c>
      <c r="F57" s="502">
        <v>76.2</v>
      </c>
      <c r="G57" s="504">
        <v>14.9</v>
      </c>
      <c r="H57" s="504">
        <v>0.7</v>
      </c>
    </row>
    <row r="58" spans="3:8">
      <c r="C58" s="499">
        <v>2033</v>
      </c>
      <c r="D58" s="500" t="s">
        <v>13</v>
      </c>
      <c r="E58" s="508">
        <v>86792270</v>
      </c>
      <c r="F58" s="502">
        <v>73</v>
      </c>
      <c r="G58" s="504">
        <v>14.4</v>
      </c>
      <c r="H58" s="504">
        <v>0.7</v>
      </c>
    </row>
    <row r="59" spans="3:8">
      <c r="C59" s="499">
        <v>2034</v>
      </c>
      <c r="D59" s="500" t="s">
        <v>13</v>
      </c>
      <c r="E59" s="508">
        <v>94537243</v>
      </c>
      <c r="F59" s="502">
        <v>57.3</v>
      </c>
      <c r="G59" s="504">
        <v>12.7</v>
      </c>
      <c r="H59" s="504">
        <v>0.7</v>
      </c>
    </row>
    <row r="60" spans="3:8">
      <c r="C60" s="499">
        <v>2035</v>
      </c>
      <c r="D60" s="500" t="s">
        <v>13</v>
      </c>
      <c r="E60" s="508">
        <v>104555409</v>
      </c>
      <c r="F60" s="502">
        <v>53.9</v>
      </c>
      <c r="G60" s="504">
        <v>11.6</v>
      </c>
      <c r="H60" s="504">
        <v>0.7</v>
      </c>
    </row>
  </sheetData>
  <mergeCells count="4">
    <mergeCell ref="C2:I2"/>
    <mergeCell ref="C3:I3"/>
    <mergeCell ref="D11:F11"/>
    <mergeCell ref="G11:O11"/>
  </mergeCells>
  <pageMargins left="0.25" right="0.25" top="0.75" bottom="0.75" header="0.3" footer="0.3"/>
  <pageSetup paperSize="17" fitToWidth="2" fitToHeight="3" orientation="landscape" r:id="rId1"/>
  <headerFooter>
    <oddFooter>&amp;C&amp;A</oddFooter>
  </headerFooter>
  <colBreaks count="1" manualBreakCount="1">
    <brk id="9" max="6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C05A-9D3F-4419-BD0E-06D39F2DBDD0}">
  <sheetPr codeName="Sheet11">
    <tabColor theme="4"/>
    <pageSetUpPr fitToPage="1"/>
  </sheetPr>
  <dimension ref="A1:BK312"/>
  <sheetViews>
    <sheetView showGridLines="0" topLeftCell="A222" zoomScaleNormal="100" workbookViewId="0">
      <selection activeCell="C303" sqref="C303"/>
    </sheetView>
  </sheetViews>
  <sheetFormatPr defaultColWidth="9" defaultRowHeight="15"/>
  <cols>
    <col min="1" max="1" width="9.75" style="106" customWidth="1"/>
    <col min="2" max="2" width="16.25" style="106" customWidth="1"/>
    <col min="3" max="3" width="30.625" style="106" customWidth="1"/>
    <col min="4" max="4" width="40.25" style="106" bestFit="1" customWidth="1"/>
    <col min="5" max="5" width="89.25" style="106" customWidth="1"/>
    <col min="6" max="6" width="35.75" style="106" customWidth="1"/>
    <col min="7" max="7" width="19.625" style="106" customWidth="1"/>
    <col min="8" max="8" width="75.25" style="106" customWidth="1"/>
    <col min="9" max="9" width="37.625" style="106" customWidth="1"/>
    <col min="10" max="10" width="25.75" style="106" customWidth="1"/>
    <col min="11" max="11" width="14.125" style="106" customWidth="1"/>
    <col min="12" max="12" width="39" style="106" customWidth="1"/>
    <col min="13" max="13" width="16.125" style="106" customWidth="1"/>
    <col min="14" max="14" width="18.5" style="106" customWidth="1"/>
    <col min="15" max="15" width="17.5" style="106" customWidth="1"/>
    <col min="16" max="16" width="19.75" style="106" customWidth="1"/>
    <col min="17" max="17" width="16.125" style="106" customWidth="1"/>
    <col min="18" max="18" width="17.5" style="106" customWidth="1"/>
    <col min="19" max="20" width="18.75" style="106" customWidth="1"/>
    <col min="21" max="21" width="18.25" style="106" customWidth="1"/>
    <col min="22" max="22" width="23.125" style="106" customWidth="1"/>
    <col min="23" max="23" width="20.25" style="106" bestFit="1" customWidth="1"/>
    <col min="24" max="24" width="22" style="106" customWidth="1"/>
    <col min="25" max="25" width="21.625" style="106" bestFit="1" customWidth="1"/>
    <col min="26" max="26" width="19.5" style="106" customWidth="1"/>
    <col min="27" max="27" width="19.125" style="106" bestFit="1" customWidth="1"/>
    <col min="28" max="31" width="16.75" style="106" customWidth="1"/>
    <col min="32" max="32" width="19.625" style="106" customWidth="1"/>
    <col min="33" max="33" width="19.25" style="106" customWidth="1"/>
    <col min="34" max="36" width="20.625" style="106" customWidth="1"/>
    <col min="37" max="40" width="24.25" style="106" customWidth="1"/>
    <col min="41" max="41" width="20.5" style="106" customWidth="1"/>
    <col min="42" max="42" width="19.5" style="106" customWidth="1"/>
    <col min="43" max="43" width="16.75" style="106" bestFit="1" customWidth="1"/>
    <col min="44" max="44" width="16.25" style="106" bestFit="1" customWidth="1"/>
    <col min="45" max="45" width="20" style="106" bestFit="1" customWidth="1"/>
    <col min="46" max="46" width="16.25" style="106" bestFit="1" customWidth="1"/>
    <col min="47" max="47" width="16" style="106" customWidth="1"/>
    <col min="48" max="48" width="14.25" style="106" customWidth="1"/>
    <col min="49" max="49" width="16" style="106" customWidth="1"/>
    <col min="50" max="50" width="15.625" style="106" customWidth="1"/>
    <col min="51" max="51" width="12.625" style="106" customWidth="1"/>
    <col min="52" max="52" width="21.25" style="106" customWidth="1"/>
    <col min="53" max="63" width="19.125" style="106" customWidth="1"/>
    <col min="64" max="16384" width="9" style="106"/>
  </cols>
  <sheetData>
    <row r="1" spans="1:63" ht="15.75" thickBot="1">
      <c r="A1" s="669"/>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P1" s="669"/>
      <c r="AQ1" s="669"/>
      <c r="AR1" s="669"/>
      <c r="AS1" s="669"/>
      <c r="AT1" s="669"/>
      <c r="AU1" s="669"/>
      <c r="AV1" s="669"/>
      <c r="AW1" s="669"/>
      <c r="AX1" s="669"/>
      <c r="AY1" s="669"/>
      <c r="AZ1" s="669"/>
      <c r="BA1" s="669"/>
      <c r="BB1" s="669"/>
      <c r="BC1" s="669"/>
      <c r="BD1" s="669"/>
      <c r="BE1" s="669"/>
      <c r="BF1" s="669"/>
      <c r="BG1" s="669"/>
      <c r="BH1" s="669"/>
      <c r="BI1" s="669"/>
      <c r="BJ1" s="669"/>
      <c r="BK1" s="669"/>
    </row>
    <row r="2" spans="1:63" ht="36" customHeight="1">
      <c r="A2" s="669"/>
      <c r="B2" s="224" t="s">
        <v>58</v>
      </c>
      <c r="C2" s="920" t="s">
        <v>375</v>
      </c>
      <c r="D2" s="921"/>
      <c r="E2" s="921"/>
      <c r="F2" s="921"/>
      <c r="G2" s="921"/>
      <c r="H2" s="922"/>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c r="AK2" s="669"/>
      <c r="AL2" s="669"/>
      <c r="AM2" s="669"/>
      <c r="AN2" s="669"/>
      <c r="AO2" s="669"/>
      <c r="AP2" s="669"/>
      <c r="AQ2" s="669"/>
      <c r="AR2" s="669"/>
      <c r="AS2" s="669"/>
      <c r="AT2" s="669"/>
      <c r="AU2" s="669"/>
      <c r="AV2" s="669"/>
      <c r="AW2" s="669"/>
      <c r="AX2" s="669"/>
      <c r="AY2" s="669"/>
      <c r="AZ2" s="669"/>
      <c r="BA2" s="669"/>
      <c r="BB2" s="669"/>
      <c r="BC2" s="669"/>
      <c r="BD2" s="669"/>
      <c r="BE2" s="669"/>
      <c r="BF2" s="669"/>
      <c r="BG2" s="669"/>
      <c r="BH2" s="669"/>
      <c r="BI2" s="669"/>
      <c r="BJ2" s="669"/>
      <c r="BK2" s="669"/>
    </row>
    <row r="3" spans="1:63" ht="155.25" customHeight="1" thickBot="1">
      <c r="A3" s="669"/>
      <c r="B3" s="436" t="s">
        <v>102</v>
      </c>
      <c r="C3" s="930" t="s">
        <v>376</v>
      </c>
      <c r="D3" s="931"/>
      <c r="E3" s="931"/>
      <c r="F3" s="931"/>
      <c r="G3" s="931"/>
      <c r="H3" s="932"/>
      <c r="I3" s="669"/>
      <c r="J3" s="669"/>
      <c r="K3" s="669"/>
      <c r="L3" s="669"/>
      <c r="M3" s="669"/>
      <c r="N3" s="669"/>
      <c r="O3" s="669"/>
      <c r="P3" s="669"/>
      <c r="Q3" s="669"/>
      <c r="R3" s="669"/>
      <c r="S3" s="669"/>
      <c r="T3" s="669"/>
      <c r="U3" s="669"/>
      <c r="V3" s="669"/>
      <c r="W3" s="669"/>
      <c r="X3" s="669"/>
      <c r="Y3" s="669"/>
      <c r="Z3" s="669"/>
      <c r="AA3" s="669"/>
      <c r="AB3" s="669"/>
      <c r="AC3" s="669"/>
      <c r="AD3" s="669"/>
      <c r="AE3" s="669"/>
      <c r="AF3" s="669"/>
      <c r="AG3" s="669"/>
      <c r="AH3" s="669"/>
      <c r="AI3" s="669"/>
      <c r="AJ3" s="669"/>
      <c r="AK3" s="669"/>
      <c r="AL3" s="669"/>
      <c r="AM3" s="669"/>
      <c r="AN3" s="669"/>
      <c r="AO3" s="669"/>
      <c r="AP3" s="669"/>
      <c r="AQ3" s="669"/>
      <c r="AR3" s="669"/>
      <c r="AS3" s="669"/>
      <c r="AT3" s="669"/>
      <c r="AU3" s="669"/>
      <c r="AV3" s="669"/>
      <c r="AW3" s="669"/>
      <c r="AX3" s="669"/>
      <c r="AY3" s="669"/>
      <c r="AZ3" s="669"/>
      <c r="BA3" s="669"/>
      <c r="BB3" s="669"/>
      <c r="BC3" s="669"/>
      <c r="BD3" s="669"/>
      <c r="BE3" s="669"/>
      <c r="BF3" s="669"/>
      <c r="BG3" s="669"/>
      <c r="BH3" s="669"/>
      <c r="BI3" s="669"/>
      <c r="BJ3" s="669"/>
      <c r="BK3" s="669"/>
    </row>
    <row r="4" spans="1:63" ht="45" customHeight="1">
      <c r="A4" s="669"/>
      <c r="B4" s="933" t="s">
        <v>377</v>
      </c>
      <c r="C4" s="933"/>
      <c r="D4" s="933"/>
      <c r="E4" s="933"/>
      <c r="F4" s="669"/>
      <c r="G4" s="669"/>
      <c r="H4" s="669"/>
      <c r="I4" s="669"/>
      <c r="J4" s="669"/>
      <c r="K4" s="669"/>
      <c r="L4" s="669"/>
      <c r="M4" s="669"/>
      <c r="N4" s="669"/>
      <c r="O4" s="669"/>
      <c r="P4" s="669"/>
      <c r="Q4" s="669"/>
      <c r="R4" s="669"/>
      <c r="S4" s="669"/>
      <c r="T4"/>
      <c r="U4"/>
      <c r="V4" s="669"/>
      <c r="W4" s="669"/>
      <c r="X4" s="669"/>
      <c r="Y4"/>
      <c r="Z4" s="669"/>
      <c r="AA4" s="669"/>
      <c r="AB4" s="669"/>
      <c r="AC4" s="669"/>
      <c r="AD4" s="669"/>
      <c r="AE4" s="669"/>
      <c r="AF4" s="669"/>
      <c r="AG4" s="669"/>
      <c r="AH4" s="669"/>
      <c r="AI4" s="669"/>
      <c r="AJ4" s="669"/>
      <c r="AK4" s="669"/>
      <c r="AL4" s="669"/>
      <c r="AM4" s="669"/>
      <c r="AN4" s="669"/>
      <c r="AO4" s="669"/>
      <c r="AP4" s="669"/>
      <c r="AQ4" s="669"/>
      <c r="AR4" s="669"/>
      <c r="AS4" s="669"/>
      <c r="AT4" s="669"/>
      <c r="AU4"/>
      <c r="AV4"/>
      <c r="AW4" s="669"/>
      <c r="AX4" s="669"/>
      <c r="AY4" s="669"/>
      <c r="AZ4" s="669"/>
      <c r="BA4" s="669"/>
      <c r="BB4" s="669"/>
      <c r="BC4" s="669"/>
      <c r="BD4" s="669"/>
      <c r="BE4" s="669"/>
      <c r="BF4" s="669"/>
      <c r="BG4" s="669"/>
      <c r="BH4" s="669"/>
      <c r="BI4" s="669"/>
      <c r="BJ4" s="669"/>
      <c r="BK4" s="669"/>
    </row>
    <row r="5" spans="1:63" ht="25.5" customHeight="1">
      <c r="A5" s="145" t="s">
        <v>378</v>
      </c>
      <c r="B5" s="929" t="s">
        <v>379</v>
      </c>
      <c r="C5" s="929"/>
      <c r="D5" s="929"/>
      <c r="E5" s="929"/>
      <c r="F5" s="929"/>
      <c r="G5" s="929"/>
      <c r="H5" s="929"/>
      <c r="I5" s="929"/>
      <c r="J5" s="929"/>
      <c r="K5" s="929"/>
      <c r="L5" s="929"/>
      <c r="M5" s="929"/>
      <c r="N5" s="925" t="s">
        <v>380</v>
      </c>
      <c r="O5" s="926"/>
      <c r="P5" s="926"/>
      <c r="Q5" s="926"/>
      <c r="R5" s="926"/>
      <c r="S5" s="926"/>
      <c r="T5" s="926"/>
      <c r="U5" s="926"/>
      <c r="V5" s="926"/>
      <c r="W5" s="926"/>
      <c r="X5" s="926"/>
      <c r="Y5" s="926"/>
      <c r="Z5" s="926"/>
      <c r="AA5" s="926"/>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927"/>
      <c r="AZ5" s="928" t="s">
        <v>381</v>
      </c>
      <c r="BA5" s="929"/>
      <c r="BB5" s="929"/>
      <c r="BC5" s="929"/>
      <c r="BD5" s="929"/>
      <c r="BE5" s="929"/>
      <c r="BF5" s="929"/>
      <c r="BG5" s="929"/>
      <c r="BH5" s="669"/>
      <c r="BI5" s="669"/>
      <c r="BJ5" s="669"/>
      <c r="BK5" s="669"/>
    </row>
    <row r="6" spans="1:63" ht="36.75" customHeight="1">
      <c r="A6" s="145" t="s">
        <v>382</v>
      </c>
      <c r="B6" s="146" t="s">
        <v>383</v>
      </c>
      <c r="C6" s="146" t="s">
        <v>383</v>
      </c>
      <c r="D6" s="146" t="s">
        <v>383</v>
      </c>
      <c r="E6" s="146" t="s">
        <v>383</v>
      </c>
      <c r="F6" s="146" t="s">
        <v>383</v>
      </c>
      <c r="G6" s="146" t="s">
        <v>383</v>
      </c>
      <c r="H6" s="146" t="s">
        <v>383</v>
      </c>
      <c r="I6" s="146" t="s">
        <v>383</v>
      </c>
      <c r="J6" s="146" t="s">
        <v>383</v>
      </c>
      <c r="K6" s="146" t="s">
        <v>383</v>
      </c>
      <c r="L6" s="146" t="s">
        <v>383</v>
      </c>
      <c r="M6" s="146" t="s">
        <v>383</v>
      </c>
      <c r="N6" s="146" t="s">
        <v>383</v>
      </c>
      <c r="O6" s="146" t="s">
        <v>383</v>
      </c>
      <c r="P6" s="146" t="s">
        <v>383</v>
      </c>
      <c r="Q6" s="146" t="s">
        <v>383</v>
      </c>
      <c r="R6" s="146" t="s">
        <v>383</v>
      </c>
      <c r="S6" s="146" t="s">
        <v>383</v>
      </c>
      <c r="T6" s="146" t="s">
        <v>383</v>
      </c>
      <c r="U6" s="146" t="s">
        <v>383</v>
      </c>
      <c r="V6" s="146" t="s">
        <v>383</v>
      </c>
      <c r="W6" s="146" t="s">
        <v>383</v>
      </c>
      <c r="X6" s="146" t="s">
        <v>383</v>
      </c>
      <c r="Y6" s="146" t="s">
        <v>383</v>
      </c>
      <c r="Z6" s="146" t="s">
        <v>383</v>
      </c>
      <c r="AA6" s="146" t="s">
        <v>383</v>
      </c>
      <c r="AB6" s="146" t="s">
        <v>383</v>
      </c>
      <c r="AC6" s="146"/>
      <c r="AD6" s="146"/>
      <c r="AE6" s="146"/>
      <c r="AF6" s="146" t="s">
        <v>383</v>
      </c>
      <c r="AG6" s="146" t="s">
        <v>383</v>
      </c>
      <c r="AH6" s="146" t="s">
        <v>383</v>
      </c>
      <c r="AI6" s="146"/>
      <c r="AJ6" s="146"/>
      <c r="AK6" s="146"/>
      <c r="AL6" s="146"/>
      <c r="AM6" s="146"/>
      <c r="AN6" s="146"/>
      <c r="AO6" s="146" t="s">
        <v>383</v>
      </c>
      <c r="AP6" s="146" t="s">
        <v>383</v>
      </c>
      <c r="AQ6" s="146" t="s">
        <v>384</v>
      </c>
      <c r="AR6" s="146" t="s">
        <v>384</v>
      </c>
      <c r="AS6" s="146" t="s">
        <v>384</v>
      </c>
      <c r="AT6" s="146" t="s">
        <v>384</v>
      </c>
      <c r="AU6" s="146" t="s">
        <v>384</v>
      </c>
      <c r="AV6" s="146" t="s">
        <v>384</v>
      </c>
      <c r="AW6" s="146" t="s">
        <v>384</v>
      </c>
      <c r="AX6" s="146" t="s">
        <v>384</v>
      </c>
      <c r="AY6" s="146" t="s">
        <v>384</v>
      </c>
      <c r="AZ6" s="923" t="s">
        <v>385</v>
      </c>
      <c r="BA6" s="146" t="s">
        <v>386</v>
      </c>
      <c r="BB6" s="146" t="s">
        <v>386</v>
      </c>
      <c r="BC6" s="146" t="s">
        <v>386</v>
      </c>
      <c r="BD6" s="146" t="s">
        <v>386</v>
      </c>
      <c r="BE6" s="146" t="s">
        <v>386</v>
      </c>
      <c r="BF6" s="146" t="s">
        <v>386</v>
      </c>
      <c r="BG6" s="146" t="s">
        <v>386</v>
      </c>
      <c r="BH6" s="669"/>
      <c r="BI6" s="669"/>
      <c r="BJ6" s="669"/>
      <c r="BK6" s="669"/>
    </row>
    <row r="7" spans="1:63" s="158" customFormat="1" ht="34.5" customHeight="1">
      <c r="A7" s="145" t="s">
        <v>387</v>
      </c>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234"/>
      <c r="AJ7" s="234"/>
      <c r="AK7" s="157"/>
      <c r="AL7" s="157"/>
      <c r="AM7" s="157"/>
      <c r="AN7" s="157"/>
      <c r="AO7" s="157"/>
      <c r="AP7" s="157"/>
      <c r="AQ7" s="157" t="s">
        <v>388</v>
      </c>
      <c r="AR7" s="157" t="s">
        <v>389</v>
      </c>
      <c r="AS7" s="157" t="s">
        <v>390</v>
      </c>
      <c r="AT7" s="157" t="s">
        <v>391</v>
      </c>
      <c r="AU7" s="157" t="s">
        <v>392</v>
      </c>
      <c r="AV7" s="157" t="s">
        <v>393</v>
      </c>
      <c r="AW7" s="157" t="s">
        <v>394</v>
      </c>
      <c r="AX7" s="157" t="s">
        <v>395</v>
      </c>
      <c r="AY7" s="157" t="s">
        <v>396</v>
      </c>
      <c r="AZ7" s="924"/>
      <c r="BA7" s="157" t="s">
        <v>397</v>
      </c>
      <c r="BB7" s="157" t="s">
        <v>398</v>
      </c>
      <c r="BC7" s="157" t="s">
        <v>399</v>
      </c>
      <c r="BD7" s="157" t="s">
        <v>400</v>
      </c>
      <c r="BE7" s="157" t="s">
        <v>401</v>
      </c>
      <c r="BF7" s="157" t="s">
        <v>402</v>
      </c>
      <c r="BG7" s="157" t="s">
        <v>403</v>
      </c>
    </row>
    <row r="8" spans="1:63" s="147" customFormat="1" ht="15.75" thickBot="1">
      <c r="A8" s="145" t="s">
        <v>404</v>
      </c>
      <c r="B8" s="148" t="s">
        <v>405</v>
      </c>
      <c r="C8" s="148" t="s">
        <v>406</v>
      </c>
      <c r="D8" s="148" t="s">
        <v>407</v>
      </c>
      <c r="E8" s="148" t="s">
        <v>408</v>
      </c>
      <c r="F8" s="148" t="s">
        <v>409</v>
      </c>
      <c r="G8" s="148" t="s">
        <v>18</v>
      </c>
      <c r="H8" s="148" t="s">
        <v>410</v>
      </c>
      <c r="I8" s="148" t="s">
        <v>40</v>
      </c>
      <c r="J8" s="148" t="s">
        <v>33</v>
      </c>
      <c r="K8" s="148" t="s">
        <v>411</v>
      </c>
      <c r="L8" s="148" t="s">
        <v>36</v>
      </c>
      <c r="M8" s="148" t="s">
        <v>412</v>
      </c>
      <c r="N8" s="148" t="s">
        <v>413</v>
      </c>
      <c r="O8" s="148" t="s">
        <v>414</v>
      </c>
      <c r="P8" s="148" t="s">
        <v>415</v>
      </c>
      <c r="Q8" s="148" t="s">
        <v>416</v>
      </c>
      <c r="R8" s="148" t="s">
        <v>417</v>
      </c>
      <c r="S8" s="148">
        <v>179631</v>
      </c>
      <c r="T8" s="148">
        <v>-4094371</v>
      </c>
      <c r="U8" s="148">
        <v>2564189</v>
      </c>
      <c r="V8" s="148">
        <v>-1385.3</v>
      </c>
      <c r="W8" s="148">
        <v>13615.8</v>
      </c>
      <c r="X8" s="148">
        <v>3215973</v>
      </c>
      <c r="Y8" s="148">
        <v>3739817</v>
      </c>
      <c r="Z8" s="148">
        <v>16361112</v>
      </c>
      <c r="AA8" s="148">
        <v>20246408.218681</v>
      </c>
      <c r="AB8" s="148">
        <v>16255125.746172691</v>
      </c>
      <c r="AC8" s="148"/>
      <c r="AD8" s="148"/>
      <c r="AE8" s="148"/>
      <c r="AF8" s="148">
        <v>0</v>
      </c>
      <c r="AG8" s="148">
        <v>3635505.4263587799</v>
      </c>
      <c r="AH8" s="148">
        <v>0</v>
      </c>
      <c r="AI8" s="148"/>
      <c r="AJ8" s="148"/>
      <c r="AK8" s="148"/>
      <c r="AL8" s="148"/>
      <c r="AM8" s="148"/>
      <c r="AN8" s="148"/>
      <c r="AO8" s="148">
        <v>-86.031999999999996</v>
      </c>
      <c r="AP8" s="148">
        <v>953.84</v>
      </c>
      <c r="AQ8" s="149">
        <v>5000</v>
      </c>
      <c r="AR8" s="149">
        <v>5000</v>
      </c>
      <c r="AS8" s="149">
        <v>5000</v>
      </c>
      <c r="AT8" s="149">
        <v>5000</v>
      </c>
      <c r="AU8" s="149">
        <v>3215973</v>
      </c>
      <c r="AV8" s="149">
        <v>3739817</v>
      </c>
      <c r="AW8" s="149">
        <v>3215973</v>
      </c>
      <c r="AX8" s="149">
        <v>3739817</v>
      </c>
      <c r="AY8" s="149">
        <v>0</v>
      </c>
      <c r="AZ8" s="148"/>
      <c r="BA8" s="148"/>
      <c r="BB8" s="148"/>
      <c r="BC8" s="148"/>
      <c r="BD8" s="148"/>
      <c r="BE8" s="148"/>
      <c r="BF8" s="148"/>
      <c r="BG8" s="148"/>
    </row>
    <row r="9" spans="1:63" s="153" customFormat="1" ht="54.75" customHeight="1" thickBot="1">
      <c r="A9" s="150" t="s">
        <v>418</v>
      </c>
      <c r="B9" s="151" t="s">
        <v>186</v>
      </c>
      <c r="C9" s="152" t="s">
        <v>7</v>
      </c>
      <c r="D9" s="152" t="s">
        <v>289</v>
      </c>
      <c r="E9" s="152" t="s">
        <v>290</v>
      </c>
      <c r="F9" s="152" t="s">
        <v>419</v>
      </c>
      <c r="G9" s="152" t="s">
        <v>420</v>
      </c>
      <c r="H9" s="152" t="s">
        <v>421</v>
      </c>
      <c r="I9" s="152" t="s">
        <v>10</v>
      </c>
      <c r="J9" s="152" t="s">
        <v>8</v>
      </c>
      <c r="K9" s="152" t="s">
        <v>422</v>
      </c>
      <c r="L9" s="152" t="s">
        <v>11</v>
      </c>
      <c r="M9" s="152" t="s">
        <v>423</v>
      </c>
      <c r="N9" s="152" t="s">
        <v>424</v>
      </c>
      <c r="O9" s="152" t="s">
        <v>425</v>
      </c>
      <c r="P9" s="152" t="s">
        <v>426</v>
      </c>
      <c r="Q9" s="152" t="s">
        <v>427</v>
      </c>
      <c r="R9" s="152" t="s">
        <v>428</v>
      </c>
      <c r="S9" s="152" t="s">
        <v>429</v>
      </c>
      <c r="T9" s="152" t="s">
        <v>430</v>
      </c>
      <c r="U9" s="152" t="s">
        <v>431</v>
      </c>
      <c r="V9" s="152" t="s">
        <v>432</v>
      </c>
      <c r="W9" s="152" t="s">
        <v>433</v>
      </c>
      <c r="X9" s="152" t="s">
        <v>434</v>
      </c>
      <c r="Y9" s="152" t="s">
        <v>435</v>
      </c>
      <c r="Z9" s="152" t="s">
        <v>436</v>
      </c>
      <c r="AA9" s="152" t="s">
        <v>437</v>
      </c>
      <c r="AB9" s="152" t="s">
        <v>438</v>
      </c>
      <c r="AC9" s="152" t="s">
        <v>439</v>
      </c>
      <c r="AD9" s="152" t="s">
        <v>440</v>
      </c>
      <c r="AE9" s="152" t="s">
        <v>441</v>
      </c>
      <c r="AF9" s="152" t="s">
        <v>442</v>
      </c>
      <c r="AG9" s="152" t="s">
        <v>443</v>
      </c>
      <c r="AH9" s="152" t="s">
        <v>444</v>
      </c>
      <c r="AI9" s="152" t="s">
        <v>445</v>
      </c>
      <c r="AJ9" s="152" t="s">
        <v>446</v>
      </c>
      <c r="AK9" s="152" t="s">
        <v>447</v>
      </c>
      <c r="AL9" s="152" t="s">
        <v>448</v>
      </c>
      <c r="AM9" s="152" t="s">
        <v>449</v>
      </c>
      <c r="AN9" s="152" t="s">
        <v>450</v>
      </c>
      <c r="AO9" s="152" t="s">
        <v>451</v>
      </c>
      <c r="AP9" s="152" t="s">
        <v>452</v>
      </c>
      <c r="AQ9" s="152" t="s">
        <v>453</v>
      </c>
      <c r="AR9" s="152" t="s">
        <v>454</v>
      </c>
      <c r="AS9" s="152" t="s">
        <v>455</v>
      </c>
      <c r="AT9" s="152" t="s">
        <v>302</v>
      </c>
      <c r="AU9" s="152" t="s">
        <v>456</v>
      </c>
      <c r="AV9" s="152" t="s">
        <v>457</v>
      </c>
      <c r="AW9" s="152" t="s">
        <v>458</v>
      </c>
      <c r="AX9" s="152" t="s">
        <v>459</v>
      </c>
      <c r="AY9" s="152" t="s">
        <v>460</v>
      </c>
      <c r="AZ9" s="305" t="s">
        <v>461</v>
      </c>
      <c r="BA9" s="22" t="s">
        <v>462</v>
      </c>
      <c r="BB9" s="22" t="s">
        <v>463</v>
      </c>
      <c r="BC9" s="22" t="s">
        <v>464</v>
      </c>
      <c r="BD9" s="22" t="s">
        <v>465</v>
      </c>
      <c r="BE9" s="22" t="s">
        <v>466</v>
      </c>
      <c r="BF9" s="22" t="s">
        <v>467</v>
      </c>
      <c r="BG9" s="22" t="s">
        <v>468</v>
      </c>
      <c r="BH9" s="22" t="s">
        <v>219</v>
      </c>
      <c r="BI9" s="22" t="s">
        <v>469</v>
      </c>
      <c r="BJ9" s="22" t="s">
        <v>221</v>
      </c>
      <c r="BK9" s="22" t="s">
        <v>222</v>
      </c>
    </row>
    <row r="10" spans="1:63" ht="15.75" thickTop="1">
      <c r="A10" s="145"/>
      <c r="B10" s="745">
        <v>2028</v>
      </c>
      <c r="C10" s="746" t="s">
        <v>13</v>
      </c>
      <c r="D10" s="746" t="s">
        <v>470</v>
      </c>
      <c r="E10" s="746" t="s">
        <v>471</v>
      </c>
      <c r="F10" s="746" t="s">
        <v>347</v>
      </c>
      <c r="G10" s="746" t="s">
        <v>50</v>
      </c>
      <c r="H10" s="746"/>
      <c r="I10" s="746" t="s">
        <v>347</v>
      </c>
      <c r="J10" s="746" t="s">
        <v>17</v>
      </c>
      <c r="K10" s="746"/>
      <c r="L10" s="746" t="s">
        <v>347</v>
      </c>
      <c r="M10" s="746" t="s">
        <v>412</v>
      </c>
      <c r="N10" s="747">
        <v>0</v>
      </c>
      <c r="O10" s="747">
        <v>0</v>
      </c>
      <c r="P10" s="747">
        <v>0</v>
      </c>
      <c r="Q10" s="747">
        <v>0</v>
      </c>
      <c r="R10" s="747">
        <v>0</v>
      </c>
      <c r="S10" s="747">
        <v>0</v>
      </c>
      <c r="T10" s="747">
        <v>0</v>
      </c>
      <c r="U10" s="747">
        <v>0</v>
      </c>
      <c r="V10" s="747">
        <v>0</v>
      </c>
      <c r="W10" s="747">
        <v>0</v>
      </c>
      <c r="X10" s="748">
        <v>0</v>
      </c>
      <c r="Y10" s="748">
        <v>0</v>
      </c>
      <c r="Z10" s="748">
        <v>1115475.6589000002</v>
      </c>
      <c r="AA10" s="748">
        <v>1115475.6588999999</v>
      </c>
      <c r="AB10" s="748">
        <v>1115475.6588999999</v>
      </c>
      <c r="AC10" s="748">
        <v>1115475.6588999999</v>
      </c>
      <c r="AD10" s="748">
        <v>1115475.6588999999</v>
      </c>
      <c r="AE10" s="748">
        <v>1115475.6588999999</v>
      </c>
      <c r="AF10" s="747">
        <v>0</v>
      </c>
      <c r="AG10" s="747">
        <v>0</v>
      </c>
      <c r="AH10" s="747">
        <v>0</v>
      </c>
      <c r="AI10" s="747">
        <v>0</v>
      </c>
      <c r="AJ10" s="747">
        <v>0</v>
      </c>
      <c r="AK10" s="747">
        <v>0</v>
      </c>
      <c r="AL10" s="747">
        <v>0</v>
      </c>
      <c r="AM10" s="747">
        <v>0</v>
      </c>
      <c r="AN10" s="747">
        <v>0</v>
      </c>
      <c r="AO10" s="747">
        <v>0</v>
      </c>
      <c r="AP10" s="747">
        <v>0</v>
      </c>
      <c r="AQ10" s="748">
        <v>33126.5072</v>
      </c>
      <c r="AR10" s="748">
        <v>0</v>
      </c>
      <c r="AS10" s="748">
        <v>1082349.1517</v>
      </c>
      <c r="AT10" s="748">
        <v>0</v>
      </c>
      <c r="AU10" s="747">
        <v>0</v>
      </c>
      <c r="AV10" s="747">
        <v>0</v>
      </c>
      <c r="AW10" s="747">
        <v>0</v>
      </c>
      <c r="AX10" s="747">
        <v>0</v>
      </c>
      <c r="AY10" s="747">
        <v>0</v>
      </c>
      <c r="AZ10" s="749">
        <v>0.56000000000000005</v>
      </c>
      <c r="BA10" s="750" t="str">
        <f>IFERROR(($AU10-$AW10)/$BG10,"")</f>
        <v/>
      </c>
      <c r="BB10" s="750" t="str">
        <f>IFERROR(($AV10-$AX10)/$BG10,"")</f>
        <v/>
      </c>
      <c r="BC10" s="751">
        <f>$AF10+$AY10+$AW10+$AZ10*$AH10</f>
        <v>0</v>
      </c>
      <c r="BD10" s="751">
        <f>$AG10+$AX10+(1-$AZ10)*$AH10</f>
        <v>0</v>
      </c>
      <c r="BE10" s="751">
        <f>$AB10*$AZ10+$AU10</f>
        <v>624666.36898400006</v>
      </c>
      <c r="BF10" s="751">
        <f>$AB10*(1-$AZ10)+$AV10</f>
        <v>490809.28991599992</v>
      </c>
      <c r="BG10" s="752">
        <f>IFERROR(($U10*99976.1+$T10*3412.14)/($S10*99976.1+$Q10*3412.14),0)</f>
        <v>0</v>
      </c>
      <c r="BH10" s="753">
        <f t="shared" ref="BH10:BH73" si="0">IF($BG10=0,0,BC10/$BG10)</f>
        <v>0</v>
      </c>
      <c r="BI10" s="753">
        <f t="shared" ref="BI10:BI73" si="1">IF($BG10=0,0,BD10/$BG10)</f>
        <v>0</v>
      </c>
      <c r="BJ10" s="753">
        <f t="shared" ref="BJ10:BJ73" si="2">IF($BG10=0,0,BE10/$BG10)</f>
        <v>0</v>
      </c>
      <c r="BK10" s="753">
        <f t="shared" ref="BK10:BK73" si="3">IF($BG10=0,0,BF10/$BG10)</f>
        <v>0</v>
      </c>
    </row>
    <row r="11" spans="1:63">
      <c r="A11" s="669"/>
      <c r="B11" s="754">
        <v>2028</v>
      </c>
      <c r="C11" s="755" t="s">
        <v>13</v>
      </c>
      <c r="D11" s="755" t="s">
        <v>472</v>
      </c>
      <c r="E11" s="755" t="s">
        <v>473</v>
      </c>
      <c r="F11" s="755" t="s">
        <v>347</v>
      </c>
      <c r="G11" s="755" t="s">
        <v>50</v>
      </c>
      <c r="H11" s="755"/>
      <c r="I11" s="755" t="s">
        <v>347</v>
      </c>
      <c r="J11" s="755" t="s">
        <v>17</v>
      </c>
      <c r="K11" s="755"/>
      <c r="L11" s="755" t="s">
        <v>347</v>
      </c>
      <c r="M11" s="755" t="s">
        <v>412</v>
      </c>
      <c r="N11" s="756">
        <v>0</v>
      </c>
      <c r="O11" s="756">
        <v>0</v>
      </c>
      <c r="P11" s="756">
        <v>0</v>
      </c>
      <c r="Q11" s="756">
        <v>0</v>
      </c>
      <c r="R11" s="756">
        <v>0</v>
      </c>
      <c r="S11" s="756">
        <v>0</v>
      </c>
      <c r="T11" s="756">
        <v>0</v>
      </c>
      <c r="U11" s="756">
        <v>0</v>
      </c>
      <c r="V11" s="756">
        <v>0</v>
      </c>
      <c r="W11" s="756">
        <v>0</v>
      </c>
      <c r="X11" s="757">
        <v>0</v>
      </c>
      <c r="Y11" s="757">
        <v>0</v>
      </c>
      <c r="Z11" s="757">
        <v>1045128.1194</v>
      </c>
      <c r="AA11" s="757">
        <v>1045128.1194</v>
      </c>
      <c r="AB11" s="757">
        <v>1045128.1194</v>
      </c>
      <c r="AC11" s="757">
        <v>1045128.1194</v>
      </c>
      <c r="AD11" s="757">
        <v>1045128.1194</v>
      </c>
      <c r="AE11" s="757">
        <v>1045128.1194</v>
      </c>
      <c r="AF11" s="756">
        <v>0</v>
      </c>
      <c r="AG11" s="756">
        <v>0</v>
      </c>
      <c r="AH11" s="756">
        <v>0</v>
      </c>
      <c r="AI11" s="756">
        <v>0</v>
      </c>
      <c r="AJ11" s="756">
        <v>0</v>
      </c>
      <c r="AK11" s="756">
        <v>0</v>
      </c>
      <c r="AL11" s="756">
        <v>0</v>
      </c>
      <c r="AM11" s="756">
        <v>0</v>
      </c>
      <c r="AN11" s="756">
        <v>0</v>
      </c>
      <c r="AO11" s="756">
        <v>0</v>
      </c>
      <c r="AP11" s="756">
        <v>0</v>
      </c>
      <c r="AQ11" s="757">
        <v>22659.446100000001</v>
      </c>
      <c r="AR11" s="757">
        <v>0</v>
      </c>
      <c r="AS11" s="757">
        <v>1022468.6733</v>
      </c>
      <c r="AT11" s="757">
        <v>0</v>
      </c>
      <c r="AU11" s="756">
        <v>0</v>
      </c>
      <c r="AV11" s="756">
        <v>0</v>
      </c>
      <c r="AW11" s="756">
        <v>0</v>
      </c>
      <c r="AX11" s="756">
        <v>0</v>
      </c>
      <c r="AY11" s="756">
        <v>0</v>
      </c>
      <c r="AZ11" s="758">
        <v>0.56000000000000005</v>
      </c>
      <c r="BA11" s="759" t="str">
        <f t="shared" ref="BA11:BA74" si="4">IFERROR(($AU11-$AW11)/$BG11,"")</f>
        <v/>
      </c>
      <c r="BB11" s="759" t="str">
        <f t="shared" ref="BB11:BB74" si="5">IFERROR(($AV11-$AX11)/$BG11,"")</f>
        <v/>
      </c>
      <c r="BC11" s="760">
        <f t="shared" ref="BC11:BC17" si="6">$AF11+$AY11+$AW11+$AZ11*$AH11</f>
        <v>0</v>
      </c>
      <c r="BD11" s="760">
        <f>$AG11+$AX11+(1-$AZ11)*$AH11</f>
        <v>0</v>
      </c>
      <c r="BE11" s="760">
        <f t="shared" ref="BE11:BE17" si="7">$AB11*$AZ11+$AU11</f>
        <v>585271.74686399999</v>
      </c>
      <c r="BF11" s="760">
        <f t="shared" ref="BF11:BF17" si="8">$AB11*(1-$AZ11)+$AV11</f>
        <v>459856.37253599992</v>
      </c>
      <c r="BG11" s="761">
        <f t="shared" ref="BG11:BG16" si="9">IFERROR(($U11*99976.1+$T11*3412.14)/($S11*99976.1+$Q11*3412.14),0)</f>
        <v>0</v>
      </c>
      <c r="BH11" s="762">
        <f t="shared" si="0"/>
        <v>0</v>
      </c>
      <c r="BI11" s="762">
        <f t="shared" si="1"/>
        <v>0</v>
      </c>
      <c r="BJ11" s="762">
        <f t="shared" si="2"/>
        <v>0</v>
      </c>
      <c r="BK11" s="762">
        <f t="shared" si="3"/>
        <v>0</v>
      </c>
    </row>
    <row r="12" spans="1:63">
      <c r="A12" s="669"/>
      <c r="B12" s="745">
        <v>2028</v>
      </c>
      <c r="C12" s="746" t="s">
        <v>13</v>
      </c>
      <c r="D12" s="746" t="s">
        <v>474</v>
      </c>
      <c r="E12" s="746" t="s">
        <v>475</v>
      </c>
      <c r="F12" s="746" t="s">
        <v>347</v>
      </c>
      <c r="G12" s="746" t="s">
        <v>50</v>
      </c>
      <c r="H12" s="746"/>
      <c r="I12" s="746" t="s">
        <v>347</v>
      </c>
      <c r="J12" s="746" t="s">
        <v>17</v>
      </c>
      <c r="K12" s="746"/>
      <c r="L12" s="746" t="s">
        <v>347</v>
      </c>
      <c r="M12" s="746" t="s">
        <v>412</v>
      </c>
      <c r="N12" s="747">
        <v>0</v>
      </c>
      <c r="O12" s="747">
        <v>0</v>
      </c>
      <c r="P12" s="747">
        <v>0</v>
      </c>
      <c r="Q12" s="747">
        <v>0</v>
      </c>
      <c r="R12" s="747">
        <v>0</v>
      </c>
      <c r="S12" s="747">
        <v>0</v>
      </c>
      <c r="T12" s="747">
        <v>0</v>
      </c>
      <c r="U12" s="747">
        <v>0</v>
      </c>
      <c r="V12" s="747">
        <v>0</v>
      </c>
      <c r="W12" s="747">
        <v>0</v>
      </c>
      <c r="X12" s="748">
        <v>0</v>
      </c>
      <c r="Y12" s="748">
        <v>0</v>
      </c>
      <c r="Z12" s="748">
        <v>773101.64529999997</v>
      </c>
      <c r="AA12" s="748">
        <v>773101.64529999997</v>
      </c>
      <c r="AB12" s="748">
        <v>773101.64529999997</v>
      </c>
      <c r="AC12" s="748">
        <v>773101.64529999997</v>
      </c>
      <c r="AD12" s="748">
        <v>773101.64529999997</v>
      </c>
      <c r="AE12" s="748">
        <v>773101.64529999997</v>
      </c>
      <c r="AF12" s="747">
        <v>0</v>
      </c>
      <c r="AG12" s="747">
        <v>0</v>
      </c>
      <c r="AH12" s="747">
        <v>0</v>
      </c>
      <c r="AI12" s="747">
        <v>0</v>
      </c>
      <c r="AJ12" s="747">
        <v>0</v>
      </c>
      <c r="AK12" s="747">
        <v>0</v>
      </c>
      <c r="AL12" s="747">
        <v>0</v>
      </c>
      <c r="AM12" s="747">
        <v>0</v>
      </c>
      <c r="AN12" s="747">
        <v>0</v>
      </c>
      <c r="AO12" s="747">
        <v>0</v>
      </c>
      <c r="AP12" s="747">
        <v>0</v>
      </c>
      <c r="AQ12" s="748">
        <v>19689.728899999998</v>
      </c>
      <c r="AR12" s="748">
        <v>0</v>
      </c>
      <c r="AS12" s="748">
        <v>753411.91639999999</v>
      </c>
      <c r="AT12" s="748">
        <v>0</v>
      </c>
      <c r="AU12" s="747">
        <v>0</v>
      </c>
      <c r="AV12" s="747">
        <v>0</v>
      </c>
      <c r="AW12" s="747">
        <v>0</v>
      </c>
      <c r="AX12" s="747">
        <v>0</v>
      </c>
      <c r="AY12" s="747">
        <v>0</v>
      </c>
      <c r="AZ12" s="749">
        <v>0.56000000000000005</v>
      </c>
      <c r="BA12" s="750" t="str">
        <f t="shared" si="4"/>
        <v/>
      </c>
      <c r="BB12" s="750" t="str">
        <f t="shared" si="5"/>
        <v/>
      </c>
      <c r="BC12" s="751">
        <f t="shared" si="6"/>
        <v>0</v>
      </c>
      <c r="BD12" s="751">
        <f t="shared" ref="BD12:BD17" si="10">$AG12+$AX12+(1-$AZ12)*$AH12</f>
        <v>0</v>
      </c>
      <c r="BE12" s="751">
        <f t="shared" si="7"/>
        <v>432936.92136800004</v>
      </c>
      <c r="BF12" s="751">
        <f t="shared" si="8"/>
        <v>340164.72393199994</v>
      </c>
      <c r="BG12" s="752">
        <f t="shared" si="9"/>
        <v>0</v>
      </c>
      <c r="BH12" s="763">
        <f t="shared" si="0"/>
        <v>0</v>
      </c>
      <c r="BI12" s="763">
        <f t="shared" si="1"/>
        <v>0</v>
      </c>
      <c r="BJ12" s="763">
        <f t="shared" si="2"/>
        <v>0</v>
      </c>
      <c r="BK12" s="763">
        <f t="shared" si="3"/>
        <v>0</v>
      </c>
    </row>
    <row r="13" spans="1:63">
      <c r="A13" s="669"/>
      <c r="B13" s="754">
        <v>2028</v>
      </c>
      <c r="C13" s="755" t="s">
        <v>13</v>
      </c>
      <c r="D13" s="755" t="s">
        <v>476</v>
      </c>
      <c r="E13" s="755" t="s">
        <v>477</v>
      </c>
      <c r="F13" s="755" t="s">
        <v>478</v>
      </c>
      <c r="G13" s="755" t="s">
        <v>27</v>
      </c>
      <c r="H13" s="755"/>
      <c r="I13" s="755" t="s">
        <v>35</v>
      </c>
      <c r="J13" s="755" t="s">
        <v>17</v>
      </c>
      <c r="K13" s="755"/>
      <c r="L13" s="755" t="s">
        <v>29</v>
      </c>
      <c r="M13" s="755" t="s">
        <v>412</v>
      </c>
      <c r="N13" s="756">
        <v>0</v>
      </c>
      <c r="O13" s="756">
        <v>0</v>
      </c>
      <c r="P13" s="756">
        <v>0</v>
      </c>
      <c r="Q13" s="756">
        <v>0</v>
      </c>
      <c r="R13" s="756">
        <v>0</v>
      </c>
      <c r="S13" s="756">
        <v>0</v>
      </c>
      <c r="T13" s="756">
        <v>0</v>
      </c>
      <c r="U13" s="756">
        <v>0</v>
      </c>
      <c r="V13" s="756">
        <v>0</v>
      </c>
      <c r="W13" s="756">
        <v>0</v>
      </c>
      <c r="X13" s="757">
        <v>0</v>
      </c>
      <c r="Y13" s="757">
        <v>0</v>
      </c>
      <c r="Z13" s="757">
        <v>109719.1504</v>
      </c>
      <c r="AA13" s="757">
        <v>109719.1504</v>
      </c>
      <c r="AB13" s="757">
        <v>109719.1504</v>
      </c>
      <c r="AC13" s="757">
        <v>109719.1504</v>
      </c>
      <c r="AD13" s="757">
        <v>109719.1504</v>
      </c>
      <c r="AE13" s="757">
        <v>109719.1504</v>
      </c>
      <c r="AF13" s="756">
        <v>0</v>
      </c>
      <c r="AG13" s="756">
        <v>0</v>
      </c>
      <c r="AH13" s="756">
        <v>0</v>
      </c>
      <c r="AI13" s="756">
        <v>0</v>
      </c>
      <c r="AJ13" s="756">
        <v>0</v>
      </c>
      <c r="AK13" s="756">
        <v>0</v>
      </c>
      <c r="AL13" s="756">
        <v>0</v>
      </c>
      <c r="AM13" s="756">
        <v>0</v>
      </c>
      <c r="AN13" s="756">
        <v>0</v>
      </c>
      <c r="AO13" s="756">
        <v>0</v>
      </c>
      <c r="AP13" s="756">
        <v>0</v>
      </c>
      <c r="AQ13" s="757">
        <v>43206.368699999999</v>
      </c>
      <c r="AR13" s="757">
        <v>728.73059999999998</v>
      </c>
      <c r="AS13" s="757">
        <v>65784.051099999997</v>
      </c>
      <c r="AT13" s="757">
        <v>0</v>
      </c>
      <c r="AU13" s="756">
        <v>0</v>
      </c>
      <c r="AV13" s="756">
        <v>0</v>
      </c>
      <c r="AW13" s="756">
        <v>0</v>
      </c>
      <c r="AX13" s="756">
        <v>0</v>
      </c>
      <c r="AY13" s="756">
        <v>0</v>
      </c>
      <c r="AZ13" s="758">
        <v>0.56000000000000005</v>
      </c>
      <c r="BA13" s="759" t="str">
        <f t="shared" si="4"/>
        <v/>
      </c>
      <c r="BB13" s="759" t="str">
        <f t="shared" si="5"/>
        <v/>
      </c>
      <c r="BC13" s="760">
        <f t="shared" si="6"/>
        <v>0</v>
      </c>
      <c r="BD13" s="760">
        <f t="shared" si="10"/>
        <v>0</v>
      </c>
      <c r="BE13" s="760">
        <f t="shared" si="7"/>
        <v>61442.724224000005</v>
      </c>
      <c r="BF13" s="760">
        <f t="shared" si="8"/>
        <v>48276.426175999994</v>
      </c>
      <c r="BG13" s="761">
        <f t="shared" si="9"/>
        <v>0</v>
      </c>
      <c r="BH13" s="762">
        <f t="shared" si="0"/>
        <v>0</v>
      </c>
      <c r="BI13" s="762">
        <f t="shared" si="1"/>
        <v>0</v>
      </c>
      <c r="BJ13" s="762">
        <f t="shared" si="2"/>
        <v>0</v>
      </c>
      <c r="BK13" s="762">
        <f t="shared" si="3"/>
        <v>0</v>
      </c>
    </row>
    <row r="14" spans="1:63">
      <c r="A14" s="669"/>
      <c r="B14" s="745">
        <v>2028</v>
      </c>
      <c r="C14" s="746" t="s">
        <v>13</v>
      </c>
      <c r="D14" s="746" t="s">
        <v>479</v>
      </c>
      <c r="E14" s="746" t="s">
        <v>480</v>
      </c>
      <c r="F14" s="746" t="s">
        <v>478</v>
      </c>
      <c r="G14" s="746" t="s">
        <v>50</v>
      </c>
      <c r="H14" s="746"/>
      <c r="I14" s="746" t="s">
        <v>481</v>
      </c>
      <c r="J14" s="746" t="s">
        <v>482</v>
      </c>
      <c r="K14" s="746"/>
      <c r="L14" s="746" t="s">
        <v>29</v>
      </c>
      <c r="M14" s="746" t="s">
        <v>412</v>
      </c>
      <c r="N14" s="747">
        <v>0</v>
      </c>
      <c r="O14" s="747">
        <v>0</v>
      </c>
      <c r="P14" s="747">
        <v>0</v>
      </c>
      <c r="Q14" s="747">
        <v>0</v>
      </c>
      <c r="R14" s="747">
        <v>0</v>
      </c>
      <c r="S14" s="747">
        <v>0</v>
      </c>
      <c r="T14" s="747">
        <v>0</v>
      </c>
      <c r="U14" s="747">
        <v>0</v>
      </c>
      <c r="V14" s="747">
        <v>0</v>
      </c>
      <c r="W14" s="747">
        <v>0</v>
      </c>
      <c r="X14" s="748">
        <v>0</v>
      </c>
      <c r="Y14" s="748">
        <v>0</v>
      </c>
      <c r="Z14" s="748">
        <v>154447.9209</v>
      </c>
      <c r="AA14" s="748">
        <v>154447.9209</v>
      </c>
      <c r="AB14" s="748">
        <v>154447.9209</v>
      </c>
      <c r="AC14" s="748">
        <v>154447.9209</v>
      </c>
      <c r="AD14" s="748">
        <v>154447.9209</v>
      </c>
      <c r="AE14" s="748">
        <v>154447.9209</v>
      </c>
      <c r="AF14" s="747">
        <v>0</v>
      </c>
      <c r="AG14" s="747">
        <v>0</v>
      </c>
      <c r="AH14" s="747">
        <v>0</v>
      </c>
      <c r="AI14" s="747">
        <v>0</v>
      </c>
      <c r="AJ14" s="747">
        <v>0</v>
      </c>
      <c r="AK14" s="747">
        <v>0</v>
      </c>
      <c r="AL14" s="747">
        <v>0</v>
      </c>
      <c r="AM14" s="747">
        <v>0</v>
      </c>
      <c r="AN14" s="747">
        <v>0</v>
      </c>
      <c r="AO14" s="747">
        <v>0</v>
      </c>
      <c r="AP14" s="747">
        <v>0</v>
      </c>
      <c r="AQ14" s="748">
        <v>154447.9209</v>
      </c>
      <c r="AR14" s="748">
        <v>0</v>
      </c>
      <c r="AS14" s="748">
        <v>0</v>
      </c>
      <c r="AT14" s="748">
        <v>0</v>
      </c>
      <c r="AU14" s="747">
        <v>0</v>
      </c>
      <c r="AV14" s="747">
        <v>0</v>
      </c>
      <c r="AW14" s="747">
        <v>0</v>
      </c>
      <c r="AX14" s="747">
        <v>0</v>
      </c>
      <c r="AY14" s="747">
        <v>0</v>
      </c>
      <c r="AZ14" s="749">
        <v>0.56000000000000005</v>
      </c>
      <c r="BA14" s="750" t="str">
        <f t="shared" si="4"/>
        <v/>
      </c>
      <c r="BB14" s="750" t="str">
        <f t="shared" si="5"/>
        <v/>
      </c>
      <c r="BC14" s="751">
        <f t="shared" si="6"/>
        <v>0</v>
      </c>
      <c r="BD14" s="751">
        <f t="shared" si="10"/>
        <v>0</v>
      </c>
      <c r="BE14" s="751">
        <f t="shared" si="7"/>
        <v>86490.835704000012</v>
      </c>
      <c r="BF14" s="751">
        <f>$AB14*(1-$AZ14)+$AV14</f>
        <v>67957.085195999985</v>
      </c>
      <c r="BG14" s="752">
        <f t="shared" si="9"/>
        <v>0</v>
      </c>
      <c r="BH14" s="763">
        <f t="shared" si="0"/>
        <v>0</v>
      </c>
      <c r="BI14" s="763">
        <f t="shared" si="1"/>
        <v>0</v>
      </c>
      <c r="BJ14" s="763">
        <f t="shared" si="2"/>
        <v>0</v>
      </c>
      <c r="BK14" s="763">
        <f t="shared" si="3"/>
        <v>0</v>
      </c>
    </row>
    <row r="15" spans="1:63">
      <c r="A15" s="669"/>
      <c r="B15" s="754">
        <v>2028</v>
      </c>
      <c r="C15" s="755" t="s">
        <v>13</v>
      </c>
      <c r="D15" s="755" t="s">
        <v>483</v>
      </c>
      <c r="E15" s="755" t="s">
        <v>484</v>
      </c>
      <c r="F15" s="755" t="s">
        <v>478</v>
      </c>
      <c r="G15" s="755" t="s">
        <v>50</v>
      </c>
      <c r="H15" s="755"/>
      <c r="I15" s="755" t="s">
        <v>485</v>
      </c>
      <c r="J15" s="755" t="s">
        <v>482</v>
      </c>
      <c r="K15" s="755"/>
      <c r="L15" s="755" t="s">
        <v>486</v>
      </c>
      <c r="M15" s="755" t="s">
        <v>412</v>
      </c>
      <c r="N15" s="756">
        <v>0</v>
      </c>
      <c r="O15" s="756">
        <v>0</v>
      </c>
      <c r="P15" s="756">
        <v>0</v>
      </c>
      <c r="Q15" s="756">
        <v>0</v>
      </c>
      <c r="R15" s="756">
        <v>0</v>
      </c>
      <c r="S15" s="756">
        <v>0</v>
      </c>
      <c r="T15" s="756">
        <v>0</v>
      </c>
      <c r="U15" s="756">
        <v>0</v>
      </c>
      <c r="V15" s="756">
        <v>0</v>
      </c>
      <c r="W15" s="756">
        <v>0</v>
      </c>
      <c r="X15" s="757">
        <v>0</v>
      </c>
      <c r="Y15" s="757">
        <v>0</v>
      </c>
      <c r="Z15" s="757">
        <v>2737123.9175999998</v>
      </c>
      <c r="AA15" s="757">
        <v>2737123.9175999998</v>
      </c>
      <c r="AB15" s="757">
        <v>2737123.9175999998</v>
      </c>
      <c r="AC15" s="757">
        <v>2737123.9175999998</v>
      </c>
      <c r="AD15" s="757">
        <v>2737123.9175999998</v>
      </c>
      <c r="AE15" s="757">
        <v>2737123.9175999998</v>
      </c>
      <c r="AF15" s="756">
        <v>0</v>
      </c>
      <c r="AG15" s="756">
        <v>0</v>
      </c>
      <c r="AH15" s="756">
        <v>0</v>
      </c>
      <c r="AI15" s="756">
        <v>0</v>
      </c>
      <c r="AJ15" s="756">
        <v>0</v>
      </c>
      <c r="AK15" s="756">
        <v>0</v>
      </c>
      <c r="AL15" s="756">
        <v>0</v>
      </c>
      <c r="AM15" s="756">
        <v>0</v>
      </c>
      <c r="AN15" s="756">
        <v>0</v>
      </c>
      <c r="AO15" s="756">
        <v>0</v>
      </c>
      <c r="AP15" s="756">
        <v>0</v>
      </c>
      <c r="AQ15" s="757">
        <v>2737123.9175999998</v>
      </c>
      <c r="AR15" s="757">
        <v>0</v>
      </c>
      <c r="AS15" s="757">
        <v>0</v>
      </c>
      <c r="AT15" s="757">
        <v>0</v>
      </c>
      <c r="AU15" s="756">
        <v>0</v>
      </c>
      <c r="AV15" s="756">
        <v>0</v>
      </c>
      <c r="AW15" s="756">
        <v>0</v>
      </c>
      <c r="AX15" s="756">
        <v>0</v>
      </c>
      <c r="AY15" s="756">
        <v>0</v>
      </c>
      <c r="AZ15" s="758">
        <v>0.56000000000000005</v>
      </c>
      <c r="BA15" s="759" t="str">
        <f t="shared" si="4"/>
        <v/>
      </c>
      <c r="BB15" s="759" t="str">
        <f t="shared" si="5"/>
        <v/>
      </c>
      <c r="BC15" s="760">
        <f t="shared" si="6"/>
        <v>0</v>
      </c>
      <c r="BD15" s="760">
        <f t="shared" si="10"/>
        <v>0</v>
      </c>
      <c r="BE15" s="760">
        <f t="shared" si="7"/>
        <v>1532789.3938560002</v>
      </c>
      <c r="BF15" s="760">
        <f t="shared" si="8"/>
        <v>1204334.5237439997</v>
      </c>
      <c r="BG15" s="761">
        <f t="shared" si="9"/>
        <v>0</v>
      </c>
      <c r="BH15" s="762">
        <f t="shared" si="0"/>
        <v>0</v>
      </c>
      <c r="BI15" s="762">
        <f t="shared" si="1"/>
        <v>0</v>
      </c>
      <c r="BJ15" s="762">
        <f t="shared" si="2"/>
        <v>0</v>
      </c>
      <c r="BK15" s="762">
        <f t="shared" si="3"/>
        <v>0</v>
      </c>
    </row>
    <row r="16" spans="1:63">
      <c r="A16" s="669"/>
      <c r="B16" s="745">
        <v>2028</v>
      </c>
      <c r="C16" s="746" t="s">
        <v>13</v>
      </c>
      <c r="D16" s="746" t="s">
        <v>487</v>
      </c>
      <c r="E16" s="746" t="s">
        <v>488</v>
      </c>
      <c r="F16" s="746" t="s">
        <v>478</v>
      </c>
      <c r="G16" s="746" t="s">
        <v>18</v>
      </c>
      <c r="H16" s="746"/>
      <c r="I16" s="746" t="s">
        <v>46</v>
      </c>
      <c r="J16" s="746" t="s">
        <v>489</v>
      </c>
      <c r="K16" s="746"/>
      <c r="L16" s="746" t="s">
        <v>20</v>
      </c>
      <c r="M16" s="746" t="s">
        <v>412</v>
      </c>
      <c r="N16" s="747">
        <v>2252792.0771341501</v>
      </c>
      <c r="O16" s="747">
        <v>2223.4790929667702</v>
      </c>
      <c r="P16" s="747">
        <v>31457.585892312702</v>
      </c>
      <c r="Q16" s="747">
        <v>2004144.4319254099</v>
      </c>
      <c r="R16" s="747">
        <v>1978.0668126908399</v>
      </c>
      <c r="S16" s="747">
        <v>27985.5146188619</v>
      </c>
      <c r="T16" s="747">
        <v>17041370.374049801</v>
      </c>
      <c r="U16" s="747">
        <v>237962.649862633</v>
      </c>
      <c r="V16" s="747">
        <v>4632.6398563999101</v>
      </c>
      <c r="W16" s="747">
        <v>1263.5816707705801</v>
      </c>
      <c r="X16" s="748">
        <v>5340588.0815552901</v>
      </c>
      <c r="Y16" s="748">
        <v>6003177.3786913296</v>
      </c>
      <c r="Z16" s="748">
        <v>5462816.5586999999</v>
      </c>
      <c r="AA16" s="748">
        <v>5296304.30724396</v>
      </c>
      <c r="AB16" s="748">
        <v>5296304.30724396</v>
      </c>
      <c r="AC16" s="748">
        <v>5348038.5677079596</v>
      </c>
      <c r="AD16" s="748">
        <v>5348038.5677079596</v>
      </c>
      <c r="AE16" s="748">
        <v>11349925.3463747</v>
      </c>
      <c r="AF16" s="747">
        <v>1800799.86834795</v>
      </c>
      <c r="AG16" s="747">
        <v>459559.705793306</v>
      </c>
      <c r="AH16" s="747">
        <v>3073607.1980285998</v>
      </c>
      <c r="AI16" s="747">
        <v>1997303.16641767</v>
      </c>
      <c r="AJ16" s="747">
        <v>648792.92727698898</v>
      </c>
      <c r="AK16" s="747">
        <v>7343.4926024049</v>
      </c>
      <c r="AL16" s="747">
        <v>1997303.16641767</v>
      </c>
      <c r="AM16" s="747">
        <v>650909.66165141598</v>
      </c>
      <c r="AN16" s="747">
        <v>7343.4926024049</v>
      </c>
      <c r="AO16" s="747">
        <v>629.58708929576903</v>
      </c>
      <c r="AP16" s="747">
        <v>148.603082626157</v>
      </c>
      <c r="AQ16" s="748">
        <v>295173.77249999996</v>
      </c>
      <c r="AR16" s="748">
        <v>150728.73060000001</v>
      </c>
      <c r="AS16" s="748">
        <v>366914.05660000001</v>
      </c>
      <c r="AT16" s="748">
        <v>4649999.9989999998</v>
      </c>
      <c r="AU16" s="747">
        <v>5579513.1610009996</v>
      </c>
      <c r="AV16" s="747">
        <v>474107.87812974799</v>
      </c>
      <c r="AW16" s="747">
        <v>0</v>
      </c>
      <c r="AX16" s="747">
        <v>0</v>
      </c>
      <c r="AY16" s="747">
        <v>6621.3093854388899</v>
      </c>
      <c r="AZ16" s="749">
        <v>0.56000000000000005</v>
      </c>
      <c r="BA16" s="750">
        <f>IFERROR(($AU16-$AW16)/$BG16,"")</f>
        <v>656176.70345940057</v>
      </c>
      <c r="BB16" s="750">
        <f t="shared" si="5"/>
        <v>55757.292003500937</v>
      </c>
      <c r="BC16" s="751">
        <f t="shared" si="6"/>
        <v>3528641.2086294051</v>
      </c>
      <c r="BD16" s="751">
        <f t="shared" si="10"/>
        <v>1811946.8729258897</v>
      </c>
      <c r="BE16" s="751">
        <f t="shared" si="7"/>
        <v>8545443.573057618</v>
      </c>
      <c r="BF16" s="751">
        <f t="shared" si="8"/>
        <v>2804481.7733170902</v>
      </c>
      <c r="BG16" s="752">
        <f t="shared" si="9"/>
        <v>8.503064999999987</v>
      </c>
      <c r="BH16" s="763">
        <f t="shared" si="0"/>
        <v>414984.62126649747</v>
      </c>
      <c r="BI16" s="763">
        <f t="shared" si="1"/>
        <v>213093.38137787874</v>
      </c>
      <c r="BJ16" s="763">
        <f t="shared" si="2"/>
        <v>1004983.9173354115</v>
      </c>
      <c r="BK16" s="763">
        <f t="shared" si="3"/>
        <v>329820.10290608089</v>
      </c>
    </row>
    <row r="17" spans="1:63">
      <c r="A17" s="669"/>
      <c r="B17" s="754">
        <v>2028</v>
      </c>
      <c r="C17" s="755" t="s">
        <v>13</v>
      </c>
      <c r="D17" s="755" t="s">
        <v>490</v>
      </c>
      <c r="E17" s="755" t="s">
        <v>491</v>
      </c>
      <c r="F17" s="755" t="s">
        <v>478</v>
      </c>
      <c r="G17" s="755" t="s">
        <v>18</v>
      </c>
      <c r="H17" s="755"/>
      <c r="I17" s="755" t="s">
        <v>46</v>
      </c>
      <c r="J17" s="755" t="s">
        <v>489</v>
      </c>
      <c r="K17" s="755"/>
      <c r="L17" s="755" t="s">
        <v>20</v>
      </c>
      <c r="M17" s="755" t="s">
        <v>412</v>
      </c>
      <c r="N17" s="756">
        <v>3204717.6825993001</v>
      </c>
      <c r="O17" s="756">
        <v>4621.0226507935904</v>
      </c>
      <c r="P17" s="756">
        <v>467027.15697605599</v>
      </c>
      <c r="Q17" s="756">
        <v>2659966.3110968</v>
      </c>
      <c r="R17" s="756">
        <v>3835.52181231656</v>
      </c>
      <c r="S17" s="756">
        <v>387639.91931920702</v>
      </c>
      <c r="T17" s="756">
        <v>23776837.702507999</v>
      </c>
      <c r="U17" s="756">
        <v>3465025.6321726199</v>
      </c>
      <c r="V17" s="756">
        <v>5611.5580563538397</v>
      </c>
      <c r="W17" s="756">
        <v>18399.2861068366</v>
      </c>
      <c r="X17" s="757">
        <v>11864423.2890418</v>
      </c>
      <c r="Y17" s="757">
        <v>14294213.783691499</v>
      </c>
      <c r="Z17" s="757">
        <v>10925066.819800001</v>
      </c>
      <c r="AA17" s="757">
        <v>10592042.3168521</v>
      </c>
      <c r="AB17" s="757">
        <v>10592042.3168521</v>
      </c>
      <c r="AC17" s="757">
        <v>10695510.837791201</v>
      </c>
      <c r="AD17" s="757">
        <v>10695510.837791201</v>
      </c>
      <c r="AE17" s="757">
        <v>25048929.215505298</v>
      </c>
      <c r="AF17" s="756">
        <v>2525785.5924160602</v>
      </c>
      <c r="AG17" s="756">
        <v>6673937.41362831</v>
      </c>
      <c r="AH17" s="756">
        <v>2664325.3286466901</v>
      </c>
      <c r="AI17" s="756">
        <v>2808467.8699063398</v>
      </c>
      <c r="AJ17" s="756">
        <v>9456018.4765304402</v>
      </c>
      <c r="AK17" s="756">
        <v>416.52146755511399</v>
      </c>
      <c r="AL17" s="756">
        <v>2808467.8699063398</v>
      </c>
      <c r="AM17" s="756">
        <v>9485338.31407132</v>
      </c>
      <c r="AN17" s="756">
        <v>416.52146755511399</v>
      </c>
      <c r="AO17" s="756">
        <v>747.18254913556098</v>
      </c>
      <c r="AP17" s="756">
        <v>2058.3679715849898</v>
      </c>
      <c r="AQ17" s="757">
        <v>588964.83529999992</v>
      </c>
      <c r="AR17" s="757">
        <v>300728.73060000001</v>
      </c>
      <c r="AS17" s="757">
        <v>735373.25490000006</v>
      </c>
      <c r="AT17" s="757">
        <v>9299999.9989999998</v>
      </c>
      <c r="AU17" s="756">
        <v>7675775.2559761303</v>
      </c>
      <c r="AV17" s="756">
        <v>6781111.6426770603</v>
      </c>
      <c r="AW17" s="756">
        <v>0</v>
      </c>
      <c r="AX17" s="756">
        <v>0</v>
      </c>
      <c r="AY17" s="756">
        <v>374.95435071558501</v>
      </c>
      <c r="AZ17" s="758">
        <v>0.56000000000000005</v>
      </c>
      <c r="BA17" s="759">
        <f t="shared" si="4"/>
        <v>858705.59608914366</v>
      </c>
      <c r="BB17" s="759">
        <f t="shared" si="5"/>
        <v>758617.64070520946</v>
      </c>
      <c r="BC17" s="760">
        <f t="shared" si="6"/>
        <v>4018182.7308089221</v>
      </c>
      <c r="BD17" s="760">
        <f t="shared" si="10"/>
        <v>7846240.5582328532</v>
      </c>
      <c r="BE17" s="760">
        <f t="shared" si="7"/>
        <v>13607318.953413308</v>
      </c>
      <c r="BF17" s="760">
        <f t="shared" si="8"/>
        <v>11441610.262091983</v>
      </c>
      <c r="BG17" s="761">
        <f t="shared" ref="BG17:BG80" si="11">IFERROR(($U17*99976.1+$T17*3412.14)/($S17*99976.1+$Q17*3412.14),0)</f>
        <v>8.9387739999999898</v>
      </c>
      <c r="BH17" s="762">
        <f t="shared" si="0"/>
        <v>449522.80153955414</v>
      </c>
      <c r="BI17" s="762">
        <f t="shared" si="1"/>
        <v>877775.91851330642</v>
      </c>
      <c r="BJ17" s="762">
        <f t="shared" si="2"/>
        <v>1522280.2314292009</v>
      </c>
      <c r="BK17" s="762">
        <f t="shared" si="3"/>
        <v>1279997.7113295398</v>
      </c>
    </row>
    <row r="18" spans="1:63">
      <c r="A18" s="669"/>
      <c r="B18" s="745">
        <v>2028</v>
      </c>
      <c r="C18" s="746" t="s">
        <v>13</v>
      </c>
      <c r="D18" s="746" t="s">
        <v>492</v>
      </c>
      <c r="E18" s="746" t="s">
        <v>493</v>
      </c>
      <c r="F18" s="746" t="s">
        <v>478</v>
      </c>
      <c r="G18" s="746" t="s">
        <v>34</v>
      </c>
      <c r="H18" s="746"/>
      <c r="I18" s="746" t="s">
        <v>46</v>
      </c>
      <c r="J18" s="746" t="s">
        <v>489</v>
      </c>
      <c r="K18" s="746"/>
      <c r="L18" s="746" t="s">
        <v>20</v>
      </c>
      <c r="M18" s="746" t="s">
        <v>412</v>
      </c>
      <c r="N18" s="747">
        <v>19395000</v>
      </c>
      <c r="O18" s="747">
        <v>2513.9700000000003</v>
      </c>
      <c r="P18" s="747">
        <v>218250</v>
      </c>
      <c r="Q18" s="747">
        <v>19395000</v>
      </c>
      <c r="R18" s="747">
        <v>2513.9700000000003</v>
      </c>
      <c r="S18" s="747">
        <v>218250</v>
      </c>
      <c r="T18" s="747">
        <v>96975000</v>
      </c>
      <c r="U18" s="747">
        <v>1091250</v>
      </c>
      <c r="V18" s="747">
        <v>20619.359082000003</v>
      </c>
      <c r="W18" s="747">
        <v>5794.5375000000004</v>
      </c>
      <c r="X18" s="748">
        <v>9750239.2690365873</v>
      </c>
      <c r="Y18" s="748">
        <v>9750239.2690365873</v>
      </c>
      <c r="Z18" s="748">
        <v>9709236.2241999991</v>
      </c>
      <c r="AA18" s="748">
        <v>9299128.211356109</v>
      </c>
      <c r="AB18" s="748">
        <v>9605009.9294040184</v>
      </c>
      <c r="AC18" s="748">
        <v>9325996.8637369052</v>
      </c>
      <c r="AD18" s="748">
        <v>9325996.8637369163</v>
      </c>
      <c r="AE18" s="748">
        <v>44003288.891747445</v>
      </c>
      <c r="AF18" s="747">
        <v>7620673.5524873361</v>
      </c>
      <c r="AG18" s="747">
        <v>2129565.7165492489</v>
      </c>
      <c r="AH18" s="747">
        <v>0</v>
      </c>
      <c r="AI18" s="747">
        <v>10293865.271800067</v>
      </c>
      <c r="AJ18" s="747">
        <v>2975184.7016263301</v>
      </c>
      <c r="AK18" s="747">
        <v>0</v>
      </c>
      <c r="AL18" s="747">
        <v>10729577.930285748</v>
      </c>
      <c r="AM18" s="747">
        <v>2987561.4305796446</v>
      </c>
      <c r="AN18" s="747">
        <v>0</v>
      </c>
      <c r="AO18" s="747">
        <v>4622.7504959999997</v>
      </c>
      <c r="AP18" s="747">
        <v>1158.9075</v>
      </c>
      <c r="AQ18" s="748">
        <v>838197.91159999999</v>
      </c>
      <c r="AR18" s="748">
        <v>429317.5906</v>
      </c>
      <c r="AS18" s="748">
        <v>6483659.7220000001</v>
      </c>
      <c r="AT18" s="748">
        <v>1958061</v>
      </c>
      <c r="AU18" s="747">
        <v>33039800.773595039</v>
      </c>
      <c r="AV18" s="747">
        <v>1358478.1887483427</v>
      </c>
      <c r="AW18" s="747">
        <v>0</v>
      </c>
      <c r="AX18" s="747">
        <v>0</v>
      </c>
      <c r="AY18" s="747">
        <v>0</v>
      </c>
      <c r="AZ18" s="749">
        <v>0.56000000000000005</v>
      </c>
      <c r="BA18" s="750">
        <f t="shared" si="4"/>
        <v>6607960.1547190081</v>
      </c>
      <c r="BB18" s="750">
        <f t="shared" si="5"/>
        <v>271695.63774966856</v>
      </c>
      <c r="BC18" s="751">
        <f t="shared" ref="BC18:BC81" si="12">$AF18+$AY18+$AW18+$AZ18*$AH18</f>
        <v>7620673.5524873361</v>
      </c>
      <c r="BD18" s="751">
        <f t="shared" ref="BD18:BD81" si="13">$AG18+$AX18+(1-$AZ18)*$AH18</f>
        <v>2129565.7165492489</v>
      </c>
      <c r="BE18" s="751">
        <f t="shared" ref="BE18:BE81" si="14">$AB18*$AZ18+$AU18</f>
        <v>38418606.334061287</v>
      </c>
      <c r="BF18" s="751">
        <f t="shared" ref="BF18:BF81" si="15">$AB18*(1-$AZ18)+$AV18</f>
        <v>5584682.557686111</v>
      </c>
      <c r="BG18" s="752">
        <f t="shared" si="11"/>
        <v>5</v>
      </c>
      <c r="BH18" s="763">
        <f t="shared" si="0"/>
        <v>1524134.7104974673</v>
      </c>
      <c r="BI18" s="763">
        <f t="shared" si="1"/>
        <v>425913.14330984978</v>
      </c>
      <c r="BJ18" s="763">
        <f t="shared" si="2"/>
        <v>7683721.2668122575</v>
      </c>
      <c r="BK18" s="763">
        <f t="shared" si="3"/>
        <v>1116936.5115372222</v>
      </c>
    </row>
    <row r="19" spans="1:63">
      <c r="A19" s="669"/>
      <c r="B19" s="754">
        <v>2028</v>
      </c>
      <c r="C19" s="755" t="s">
        <v>13</v>
      </c>
      <c r="D19" s="755" t="s">
        <v>494</v>
      </c>
      <c r="E19" s="755" t="s">
        <v>495</v>
      </c>
      <c r="F19" s="755" t="s">
        <v>496</v>
      </c>
      <c r="G19" s="755" t="s">
        <v>18</v>
      </c>
      <c r="H19" s="755"/>
      <c r="I19" s="755" t="s">
        <v>46</v>
      </c>
      <c r="J19" s="755" t="s">
        <v>489</v>
      </c>
      <c r="K19" s="755"/>
      <c r="L19" s="755" t="s">
        <v>20</v>
      </c>
      <c r="M19" s="755" t="s">
        <v>412</v>
      </c>
      <c r="N19" s="756">
        <v>36725231.039999999</v>
      </c>
      <c r="O19" s="756">
        <v>5500</v>
      </c>
      <c r="P19" s="756">
        <v>700814.90720000002</v>
      </c>
      <c r="Q19" s="756">
        <v>36725231.039999999</v>
      </c>
      <c r="R19" s="756">
        <v>5500</v>
      </c>
      <c r="S19" s="756">
        <v>700814.90720000002</v>
      </c>
      <c r="T19" s="756">
        <v>36725231.039999999</v>
      </c>
      <c r="U19" s="756">
        <v>700814.90720000002</v>
      </c>
      <c r="V19" s="756">
        <v>7920.9896437848001</v>
      </c>
      <c r="W19" s="756">
        <v>3721.327157232</v>
      </c>
      <c r="X19" s="757">
        <v>4981703.0917168697</v>
      </c>
      <c r="Y19" s="757">
        <v>4981703.0917168697</v>
      </c>
      <c r="Z19" s="757">
        <v>2546357.8659000001</v>
      </c>
      <c r="AA19" s="757">
        <v>2546357.865900001</v>
      </c>
      <c r="AB19" s="757">
        <v>2546357.865900001</v>
      </c>
      <c r="AC19" s="757">
        <v>2546357.8659000001</v>
      </c>
      <c r="AD19" s="757">
        <v>2546357.8658999987</v>
      </c>
      <c r="AE19" s="757">
        <v>18402853.724708319</v>
      </c>
      <c r="AF19" s="756">
        <v>3510941.4633510998</v>
      </c>
      <c r="AG19" s="756">
        <v>1470761.62836577</v>
      </c>
      <c r="AH19" s="756">
        <v>0</v>
      </c>
      <c r="AI19" s="756">
        <v>3614529.9600481698</v>
      </c>
      <c r="AJ19" s="756">
        <v>1954531.138737672</v>
      </c>
      <c r="AK19" s="756">
        <v>0</v>
      </c>
      <c r="AL19" s="756">
        <v>3614529.9600481698</v>
      </c>
      <c r="AM19" s="756">
        <v>1987737.3680829059</v>
      </c>
      <c r="AN19" s="756">
        <v>0</v>
      </c>
      <c r="AO19" s="756">
        <v>7920.9896437848001</v>
      </c>
      <c r="AP19" s="756">
        <v>3721.327157232</v>
      </c>
      <c r="AQ19" s="757">
        <v>329024.48310000001</v>
      </c>
      <c r="AR19" s="757">
        <v>17489.534299999999</v>
      </c>
      <c r="AS19" s="757">
        <v>2199843.8484999998</v>
      </c>
      <c r="AT19" s="757">
        <v>0</v>
      </c>
      <c r="AU19" s="756">
        <v>14212664.41248</v>
      </c>
      <c r="AV19" s="756">
        <v>1643831.4463283201</v>
      </c>
      <c r="AW19" s="756">
        <v>0</v>
      </c>
      <c r="AX19" s="756">
        <v>0</v>
      </c>
      <c r="AY19" s="756">
        <v>0</v>
      </c>
      <c r="AZ19" s="758">
        <v>0.56000000000000005</v>
      </c>
      <c r="BA19" s="759">
        <f>IFERROR(($AU19-$AW19)/$BG19,"")</f>
        <v>14212664.41248</v>
      </c>
      <c r="BB19" s="759">
        <f t="shared" si="5"/>
        <v>1643831.4463283201</v>
      </c>
      <c r="BC19" s="760">
        <f t="shared" si="12"/>
        <v>3510941.4633510998</v>
      </c>
      <c r="BD19" s="760">
        <f t="shared" si="13"/>
        <v>1470761.62836577</v>
      </c>
      <c r="BE19" s="760">
        <f t="shared" si="14"/>
        <v>15638624.817384001</v>
      </c>
      <c r="BF19" s="760">
        <f t="shared" si="15"/>
        <v>2764228.9073243206</v>
      </c>
      <c r="BG19" s="761">
        <f t="shared" si="11"/>
        <v>1</v>
      </c>
      <c r="BH19" s="762">
        <f t="shared" si="0"/>
        <v>3510941.4633510998</v>
      </c>
      <c r="BI19" s="762">
        <f t="shared" si="1"/>
        <v>1470761.62836577</v>
      </c>
      <c r="BJ19" s="762">
        <f t="shared" si="2"/>
        <v>15638624.817384001</v>
      </c>
      <c r="BK19" s="762">
        <f t="shared" si="3"/>
        <v>2764228.9073243206</v>
      </c>
    </row>
    <row r="20" spans="1:63">
      <c r="A20" s="669"/>
      <c r="B20" s="745">
        <v>2028</v>
      </c>
      <c r="C20" s="746" t="s">
        <v>13</v>
      </c>
      <c r="D20" s="746" t="s">
        <v>497</v>
      </c>
      <c r="E20" s="746" t="s">
        <v>498</v>
      </c>
      <c r="F20" s="746" t="s">
        <v>347</v>
      </c>
      <c r="G20" s="746" t="s">
        <v>50</v>
      </c>
      <c r="H20" s="746" t="s">
        <v>499</v>
      </c>
      <c r="I20" s="746" t="s">
        <v>347</v>
      </c>
      <c r="J20" s="746" t="s">
        <v>489</v>
      </c>
      <c r="K20" s="746"/>
      <c r="L20" s="746" t="s">
        <v>347</v>
      </c>
      <c r="M20" s="746" t="s">
        <v>412</v>
      </c>
      <c r="N20" s="747">
        <v>242508554.7023581</v>
      </c>
      <c r="O20" s="747">
        <v>67467.845744353515</v>
      </c>
      <c r="P20" s="747">
        <v>594820.72371035721</v>
      </c>
      <c r="Q20" s="747">
        <v>38327586.785358131</v>
      </c>
      <c r="R20" s="747">
        <v>12233.929790585866</v>
      </c>
      <c r="S20" s="747">
        <v>84831.213581966396</v>
      </c>
      <c r="T20" s="747">
        <v>522437357.37390161</v>
      </c>
      <c r="U20" s="747">
        <v>1696166.7785279991</v>
      </c>
      <c r="V20" s="747">
        <v>99259.556408659424</v>
      </c>
      <c r="W20" s="747">
        <v>9006.6455939836487</v>
      </c>
      <c r="X20" s="748">
        <v>35470125.965904556</v>
      </c>
      <c r="Y20" s="748">
        <v>261295398.68671945</v>
      </c>
      <c r="Z20" s="748">
        <v>423899.28909999999</v>
      </c>
      <c r="AA20" s="748">
        <v>21391229.078868862</v>
      </c>
      <c r="AB20" s="748">
        <v>423899.28909999988</v>
      </c>
      <c r="AC20" s="748">
        <v>21592550.149778962</v>
      </c>
      <c r="AD20" s="748">
        <v>21592550.149778958</v>
      </c>
      <c r="AE20" s="748">
        <v>89974832.757347152</v>
      </c>
      <c r="AF20" s="747">
        <v>30058296.484413326</v>
      </c>
      <c r="AG20" s="747">
        <v>5411829.481491209</v>
      </c>
      <c r="AH20" s="747">
        <v>0</v>
      </c>
      <c r="AI20" s="747">
        <v>41796172.313442774</v>
      </c>
      <c r="AJ20" s="747">
        <v>8558383.170132868</v>
      </c>
      <c r="AK20" s="747">
        <v>0</v>
      </c>
      <c r="AL20" s="747">
        <v>42878171.672139376</v>
      </c>
      <c r="AM20" s="747">
        <v>8571623.4580744952</v>
      </c>
      <c r="AN20" s="747">
        <v>0</v>
      </c>
      <c r="AO20" s="747">
        <v>9642.171960597143</v>
      </c>
      <c r="AP20" s="747">
        <v>450.45374412024398</v>
      </c>
      <c r="AQ20" s="748">
        <v>0</v>
      </c>
      <c r="AR20" s="748">
        <v>0</v>
      </c>
      <c r="AS20" s="748">
        <v>423899.28909999999</v>
      </c>
      <c r="AT20" s="748">
        <v>0</v>
      </c>
      <c r="AU20" s="747">
        <v>83891511.500102296</v>
      </c>
      <c r="AV20" s="747">
        <v>5659421.9681447912</v>
      </c>
      <c r="AW20" s="747">
        <v>0</v>
      </c>
      <c r="AX20" s="747">
        <v>0</v>
      </c>
      <c r="AY20" s="747">
        <v>0</v>
      </c>
      <c r="AZ20" s="749">
        <v>0.56000000000000005</v>
      </c>
      <c r="BA20" s="750">
        <f t="shared" si="4"/>
        <v>5984383.9290643828</v>
      </c>
      <c r="BB20" s="750">
        <f t="shared" si="5"/>
        <v>403713.71630273113</v>
      </c>
      <c r="BC20" s="751">
        <f t="shared" si="12"/>
        <v>30058296.484413326</v>
      </c>
      <c r="BD20" s="751">
        <f t="shared" si="13"/>
        <v>5411829.481491209</v>
      </c>
      <c r="BE20" s="751">
        <f t="shared" si="14"/>
        <v>84128895.101998299</v>
      </c>
      <c r="BF20" s="751">
        <f t="shared" si="15"/>
        <v>5845937.6553487908</v>
      </c>
      <c r="BG20" s="752">
        <f t="shared" si="11"/>
        <v>14.018403981847829</v>
      </c>
      <c r="BH20" s="763">
        <f t="shared" si="0"/>
        <v>2144202.472930246</v>
      </c>
      <c r="BI20" s="763">
        <f t="shared" si="1"/>
        <v>386051.75656935602</v>
      </c>
      <c r="BJ20" s="763">
        <f t="shared" si="2"/>
        <v>6001317.6400776608</v>
      </c>
      <c r="BK20" s="763">
        <f t="shared" si="3"/>
        <v>417018.77495602117</v>
      </c>
    </row>
    <row r="21" spans="1:63">
      <c r="A21" s="669"/>
      <c r="B21" s="754">
        <v>2028</v>
      </c>
      <c r="C21" s="755" t="s">
        <v>13</v>
      </c>
      <c r="D21" s="755" t="s">
        <v>500</v>
      </c>
      <c r="E21" s="755" t="s">
        <v>501</v>
      </c>
      <c r="F21" s="755" t="s">
        <v>347</v>
      </c>
      <c r="G21" s="755" t="s">
        <v>50</v>
      </c>
      <c r="H21" s="755" t="s">
        <v>499</v>
      </c>
      <c r="I21" s="755" t="s">
        <v>347</v>
      </c>
      <c r="J21" s="755" t="s">
        <v>17</v>
      </c>
      <c r="K21" s="755"/>
      <c r="L21" s="755" t="s">
        <v>347</v>
      </c>
      <c r="M21" s="755" t="s">
        <v>412</v>
      </c>
      <c r="N21" s="756">
        <v>0</v>
      </c>
      <c r="O21" s="756">
        <v>0</v>
      </c>
      <c r="P21" s="756">
        <v>0</v>
      </c>
      <c r="Q21" s="756">
        <v>0</v>
      </c>
      <c r="R21" s="756">
        <v>0</v>
      </c>
      <c r="S21" s="756">
        <v>0</v>
      </c>
      <c r="T21" s="756">
        <v>0</v>
      </c>
      <c r="U21" s="756">
        <v>0</v>
      </c>
      <c r="V21" s="756">
        <v>0</v>
      </c>
      <c r="W21" s="756">
        <v>0</v>
      </c>
      <c r="X21" s="757">
        <v>0</v>
      </c>
      <c r="Y21" s="757">
        <v>0</v>
      </c>
      <c r="Z21" s="757">
        <v>59946.922699999996</v>
      </c>
      <c r="AA21" s="757">
        <v>59946.922700000003</v>
      </c>
      <c r="AB21" s="757">
        <v>59946.922700000003</v>
      </c>
      <c r="AC21" s="757">
        <v>59946.922700000003</v>
      </c>
      <c r="AD21" s="757">
        <v>59946.922700000003</v>
      </c>
      <c r="AE21" s="757">
        <v>59946.922700000003</v>
      </c>
      <c r="AF21" s="756">
        <v>0</v>
      </c>
      <c r="AG21" s="756">
        <v>0</v>
      </c>
      <c r="AH21" s="756">
        <v>0</v>
      </c>
      <c r="AI21" s="756">
        <v>0</v>
      </c>
      <c r="AJ21" s="756">
        <v>0</v>
      </c>
      <c r="AK21" s="756">
        <v>0</v>
      </c>
      <c r="AL21" s="756">
        <v>0</v>
      </c>
      <c r="AM21" s="756">
        <v>0</v>
      </c>
      <c r="AN21" s="756">
        <v>0</v>
      </c>
      <c r="AO21" s="756">
        <v>0</v>
      </c>
      <c r="AP21" s="756">
        <v>0</v>
      </c>
      <c r="AQ21" s="757">
        <v>13937.0442</v>
      </c>
      <c r="AR21" s="757">
        <v>0</v>
      </c>
      <c r="AS21" s="757">
        <v>46009.878499999999</v>
      </c>
      <c r="AT21" s="757">
        <v>0</v>
      </c>
      <c r="AU21" s="756">
        <v>0</v>
      </c>
      <c r="AV21" s="756">
        <v>0</v>
      </c>
      <c r="AW21" s="756">
        <v>0</v>
      </c>
      <c r="AX21" s="756">
        <v>0</v>
      </c>
      <c r="AY21" s="756">
        <v>0</v>
      </c>
      <c r="AZ21" s="758">
        <v>0.56000000000000005</v>
      </c>
      <c r="BA21" s="759" t="str">
        <f t="shared" si="4"/>
        <v/>
      </c>
      <c r="BB21" s="759" t="str">
        <f t="shared" si="5"/>
        <v/>
      </c>
      <c r="BC21" s="760">
        <f t="shared" si="12"/>
        <v>0</v>
      </c>
      <c r="BD21" s="760">
        <f t="shared" si="13"/>
        <v>0</v>
      </c>
      <c r="BE21" s="760">
        <f t="shared" si="14"/>
        <v>33570.276712000006</v>
      </c>
      <c r="BF21" s="760">
        <f t="shared" si="15"/>
        <v>26376.645987999997</v>
      </c>
      <c r="BG21" s="761">
        <f t="shared" si="11"/>
        <v>0</v>
      </c>
      <c r="BH21" s="762">
        <f t="shared" si="0"/>
        <v>0</v>
      </c>
      <c r="BI21" s="762">
        <f t="shared" si="1"/>
        <v>0</v>
      </c>
      <c r="BJ21" s="762">
        <f t="shared" si="2"/>
        <v>0</v>
      </c>
      <c r="BK21" s="762">
        <f t="shared" si="3"/>
        <v>0</v>
      </c>
    </row>
    <row r="22" spans="1:63">
      <c r="A22" s="669"/>
      <c r="B22" s="745">
        <v>2028</v>
      </c>
      <c r="C22" s="746" t="s">
        <v>13</v>
      </c>
      <c r="D22" s="746" t="s">
        <v>502</v>
      </c>
      <c r="E22" s="746" t="s">
        <v>503</v>
      </c>
      <c r="F22" s="746" t="s">
        <v>347</v>
      </c>
      <c r="G22" s="746" t="s">
        <v>50</v>
      </c>
      <c r="H22" s="746" t="s">
        <v>504</v>
      </c>
      <c r="I22" s="746" t="s">
        <v>347</v>
      </c>
      <c r="J22" s="746" t="s">
        <v>489</v>
      </c>
      <c r="K22" s="746"/>
      <c r="L22" s="746" t="s">
        <v>347</v>
      </c>
      <c r="M22" s="746" t="s">
        <v>412</v>
      </c>
      <c r="N22" s="747">
        <v>74374811.880617946</v>
      </c>
      <c r="O22" s="747">
        <v>8743.4161795774653</v>
      </c>
      <c r="P22" s="747">
        <v>144105.5247213284</v>
      </c>
      <c r="Q22" s="747">
        <v>15478222.721310694</v>
      </c>
      <c r="R22" s="747">
        <v>2001.6720126093821</v>
      </c>
      <c r="S22" s="747">
        <v>109187.82072170501</v>
      </c>
      <c r="T22" s="747">
        <v>198726767.67764139</v>
      </c>
      <c r="U22" s="747">
        <v>1166845.5160156626</v>
      </c>
      <c r="V22" s="747">
        <v>41209.078694019474</v>
      </c>
      <c r="W22" s="747">
        <v>6195.9496900431714</v>
      </c>
      <c r="X22" s="748">
        <v>16353061.663538437</v>
      </c>
      <c r="Y22" s="748">
        <v>67063003.357121438</v>
      </c>
      <c r="Z22" s="748">
        <v>333070.63510000001</v>
      </c>
      <c r="AA22" s="748">
        <v>2632605.7472749972</v>
      </c>
      <c r="AB22" s="748">
        <v>333070.63509999949</v>
      </c>
      <c r="AC22" s="748">
        <v>2654659.9684679443</v>
      </c>
      <c r="AD22" s="748">
        <v>2654659.9684679462</v>
      </c>
      <c r="AE22" s="748">
        <v>42509998.73501344</v>
      </c>
      <c r="AF22" s="747">
        <v>12314659.524613617</v>
      </c>
      <c r="AG22" s="747">
        <v>4038402.1389248138</v>
      </c>
      <c r="AH22" s="747">
        <v>0</v>
      </c>
      <c r="AI22" s="747">
        <v>17101932.075425655</v>
      </c>
      <c r="AJ22" s="747">
        <v>5893380.4492666172</v>
      </c>
      <c r="AK22" s="747">
        <v>0</v>
      </c>
      <c r="AL22" s="747">
        <v>17583204.425729353</v>
      </c>
      <c r="AM22" s="747">
        <v>5910491.8653469859</v>
      </c>
      <c r="AN22" s="747">
        <v>0</v>
      </c>
      <c r="AO22" s="747">
        <v>4072.8229827039268</v>
      </c>
      <c r="AP22" s="747">
        <v>579.78732803225375</v>
      </c>
      <c r="AQ22" s="748">
        <v>0</v>
      </c>
      <c r="AR22" s="748">
        <v>0</v>
      </c>
      <c r="AS22" s="748">
        <v>333070.63510000001</v>
      </c>
      <c r="AT22" s="748">
        <v>0</v>
      </c>
      <c r="AU22" s="747">
        <v>37494697.633507721</v>
      </c>
      <c r="AV22" s="747">
        <v>4682230.4664057372</v>
      </c>
      <c r="AW22" s="747">
        <v>0</v>
      </c>
      <c r="AX22" s="747">
        <v>0</v>
      </c>
      <c r="AY22" s="747">
        <v>0</v>
      </c>
      <c r="AZ22" s="749">
        <v>0.56000000000000005</v>
      </c>
      <c r="BA22" s="750">
        <f t="shared" si="4"/>
        <v>3006691.1862429054</v>
      </c>
      <c r="BB22" s="750">
        <f t="shared" si="5"/>
        <v>375466.98503628134</v>
      </c>
      <c r="BC22" s="751">
        <f t="shared" si="12"/>
        <v>12314659.524613617</v>
      </c>
      <c r="BD22" s="751">
        <f t="shared" si="13"/>
        <v>4038402.1389248138</v>
      </c>
      <c r="BE22" s="751">
        <f t="shared" si="14"/>
        <v>37681217.189163722</v>
      </c>
      <c r="BF22" s="751">
        <f t="shared" si="15"/>
        <v>4828781.5458497368</v>
      </c>
      <c r="BG22" s="752">
        <f t="shared" si="11"/>
        <v>12.470418580087124</v>
      </c>
      <c r="BH22" s="763">
        <f t="shared" si="0"/>
        <v>987509.71713794558</v>
      </c>
      <c r="BI22" s="763">
        <f t="shared" si="1"/>
        <v>323838.53941946832</v>
      </c>
      <c r="BJ22" s="763">
        <f t="shared" si="2"/>
        <v>3021648.1465452514</v>
      </c>
      <c r="BK22" s="763">
        <f t="shared" si="3"/>
        <v>387218.882416696</v>
      </c>
    </row>
    <row r="23" spans="1:63">
      <c r="A23" s="669"/>
      <c r="B23" s="754">
        <v>2028</v>
      </c>
      <c r="C23" s="755" t="s">
        <v>13</v>
      </c>
      <c r="D23" s="755" t="s">
        <v>505</v>
      </c>
      <c r="E23" s="755" t="s">
        <v>506</v>
      </c>
      <c r="F23" s="755" t="s">
        <v>347</v>
      </c>
      <c r="G23" s="755" t="s">
        <v>50</v>
      </c>
      <c r="H23" s="755" t="s">
        <v>504</v>
      </c>
      <c r="I23" s="755" t="s">
        <v>347</v>
      </c>
      <c r="J23" s="755" t="s">
        <v>17</v>
      </c>
      <c r="K23" s="755"/>
      <c r="L23" s="755" t="s">
        <v>347</v>
      </c>
      <c r="M23" s="755" t="s">
        <v>412</v>
      </c>
      <c r="N23" s="756">
        <v>0</v>
      </c>
      <c r="O23" s="756">
        <v>0</v>
      </c>
      <c r="P23" s="756">
        <v>0</v>
      </c>
      <c r="Q23" s="756">
        <v>0</v>
      </c>
      <c r="R23" s="756">
        <v>0</v>
      </c>
      <c r="S23" s="756">
        <v>0</v>
      </c>
      <c r="T23" s="756">
        <v>0</v>
      </c>
      <c r="U23" s="756">
        <v>0</v>
      </c>
      <c r="V23" s="756">
        <v>0</v>
      </c>
      <c r="W23" s="756">
        <v>0</v>
      </c>
      <c r="X23" s="757">
        <v>0</v>
      </c>
      <c r="Y23" s="757">
        <v>0</v>
      </c>
      <c r="Z23" s="757">
        <v>61413.534099999997</v>
      </c>
      <c r="AA23" s="757">
        <v>61413.534099999997</v>
      </c>
      <c r="AB23" s="757">
        <v>61413.534099999997</v>
      </c>
      <c r="AC23" s="757">
        <v>61413.534099999997</v>
      </c>
      <c r="AD23" s="757">
        <v>61413.534099999997</v>
      </c>
      <c r="AE23" s="757">
        <v>61413.534099999997</v>
      </c>
      <c r="AF23" s="756">
        <v>0</v>
      </c>
      <c r="AG23" s="756">
        <v>0</v>
      </c>
      <c r="AH23" s="756">
        <v>0</v>
      </c>
      <c r="AI23" s="756">
        <v>0</v>
      </c>
      <c r="AJ23" s="756">
        <v>0</v>
      </c>
      <c r="AK23" s="756">
        <v>0</v>
      </c>
      <c r="AL23" s="756">
        <v>0</v>
      </c>
      <c r="AM23" s="756">
        <v>0</v>
      </c>
      <c r="AN23" s="756">
        <v>0</v>
      </c>
      <c r="AO23" s="756">
        <v>0</v>
      </c>
      <c r="AP23" s="756">
        <v>0</v>
      </c>
      <c r="AQ23" s="757">
        <v>13504.8266</v>
      </c>
      <c r="AR23" s="757">
        <v>0</v>
      </c>
      <c r="AS23" s="757">
        <v>47908.707499999997</v>
      </c>
      <c r="AT23" s="757">
        <v>0</v>
      </c>
      <c r="AU23" s="756">
        <v>0</v>
      </c>
      <c r="AV23" s="756">
        <v>0</v>
      </c>
      <c r="AW23" s="756">
        <v>0</v>
      </c>
      <c r="AX23" s="756">
        <v>0</v>
      </c>
      <c r="AY23" s="756">
        <v>0</v>
      </c>
      <c r="AZ23" s="758">
        <v>0.56000000000000005</v>
      </c>
      <c r="BA23" s="759" t="str">
        <f t="shared" si="4"/>
        <v/>
      </c>
      <c r="BB23" s="759" t="str">
        <f t="shared" si="5"/>
        <v/>
      </c>
      <c r="BC23" s="760">
        <f t="shared" si="12"/>
        <v>0</v>
      </c>
      <c r="BD23" s="760">
        <f t="shared" si="13"/>
        <v>0</v>
      </c>
      <c r="BE23" s="760">
        <f t="shared" si="14"/>
        <v>34391.579096000001</v>
      </c>
      <c r="BF23" s="760">
        <f t="shared" si="15"/>
        <v>27021.955003999996</v>
      </c>
      <c r="BG23" s="761">
        <f t="shared" si="11"/>
        <v>0</v>
      </c>
      <c r="BH23" s="762">
        <f t="shared" si="0"/>
        <v>0</v>
      </c>
      <c r="BI23" s="762">
        <f t="shared" si="1"/>
        <v>0</v>
      </c>
      <c r="BJ23" s="762">
        <f t="shared" si="2"/>
        <v>0</v>
      </c>
      <c r="BK23" s="762">
        <f t="shared" si="3"/>
        <v>0</v>
      </c>
    </row>
    <row r="24" spans="1:63">
      <c r="A24" s="669"/>
      <c r="B24" s="745">
        <v>2028</v>
      </c>
      <c r="C24" s="746" t="s">
        <v>13</v>
      </c>
      <c r="D24" s="746" t="s">
        <v>507</v>
      </c>
      <c r="E24" s="746" t="s">
        <v>508</v>
      </c>
      <c r="F24" s="746" t="s">
        <v>347</v>
      </c>
      <c r="G24" s="746" t="s">
        <v>50</v>
      </c>
      <c r="H24" s="746" t="s">
        <v>509</v>
      </c>
      <c r="I24" s="746" t="s">
        <v>347</v>
      </c>
      <c r="J24" s="746" t="s">
        <v>489</v>
      </c>
      <c r="K24" s="746"/>
      <c r="L24" s="746" t="s">
        <v>347</v>
      </c>
      <c r="M24" s="746" t="s">
        <v>412</v>
      </c>
      <c r="N24" s="747">
        <v>241667581.61292952</v>
      </c>
      <c r="O24" s="747">
        <v>45363.52442296705</v>
      </c>
      <c r="P24" s="747">
        <v>3165086.0073926575</v>
      </c>
      <c r="Q24" s="747">
        <v>87117820.566606939</v>
      </c>
      <c r="R24" s="747">
        <v>15911.771532180488</v>
      </c>
      <c r="S24" s="747">
        <v>1489364.3183881841</v>
      </c>
      <c r="T24" s="747">
        <v>1307530098.5673666</v>
      </c>
      <c r="U24" s="747">
        <v>23161688.629637357</v>
      </c>
      <c r="V24" s="747">
        <v>218845.49012059576</v>
      </c>
      <c r="W24" s="747">
        <v>122988.56662337392</v>
      </c>
      <c r="X24" s="748">
        <v>142509676.98019254</v>
      </c>
      <c r="Y24" s="748">
        <v>344740249.04410148</v>
      </c>
      <c r="Z24" s="748">
        <v>699685.34719999996</v>
      </c>
      <c r="AA24" s="748">
        <v>91775155.182872012</v>
      </c>
      <c r="AB24" s="748">
        <v>699685.34719999821</v>
      </c>
      <c r="AC24" s="748">
        <v>92649356.40025264</v>
      </c>
      <c r="AD24" s="748">
        <v>92649356.400252625</v>
      </c>
      <c r="AE24" s="748">
        <v>268670173.44710422</v>
      </c>
      <c r="AF24" s="747">
        <v>67914679.503097013</v>
      </c>
      <c r="AG24" s="747">
        <v>74594997.477095485</v>
      </c>
      <c r="AH24" s="747">
        <v>0</v>
      </c>
      <c r="AI24" s="747">
        <v>94572226.464012355</v>
      </c>
      <c r="AJ24" s="747">
        <v>116006497.8534898</v>
      </c>
      <c r="AK24" s="747">
        <v>0</v>
      </c>
      <c r="AL24" s="747">
        <v>96552350.319696113</v>
      </c>
      <c r="AM24" s="747">
        <v>116238355.87166661</v>
      </c>
      <c r="AN24" s="747">
        <v>0</v>
      </c>
      <c r="AO24" s="747">
        <v>20635.734517052671</v>
      </c>
      <c r="AP24" s="747">
        <v>7908.5245306412498</v>
      </c>
      <c r="AQ24" s="748">
        <v>0</v>
      </c>
      <c r="AR24" s="748">
        <v>0</v>
      </c>
      <c r="AS24" s="748">
        <v>699685.34719999996</v>
      </c>
      <c r="AT24" s="748">
        <v>0</v>
      </c>
      <c r="AU24" s="747">
        <v>209947631.54307052</v>
      </c>
      <c r="AV24" s="747">
        <v>58022856.55683367</v>
      </c>
      <c r="AW24" s="747">
        <v>0</v>
      </c>
      <c r="AX24" s="747">
        <v>0</v>
      </c>
      <c r="AY24" s="747">
        <v>0</v>
      </c>
      <c r="AZ24" s="749">
        <v>0.56000000000000005</v>
      </c>
      <c r="BA24" s="750">
        <f t="shared" si="4"/>
        <v>13821569.207732655</v>
      </c>
      <c r="BB24" s="750">
        <f t="shared" si="5"/>
        <v>3819842.6990403957</v>
      </c>
      <c r="BC24" s="751">
        <f t="shared" si="12"/>
        <v>67914679.503097013</v>
      </c>
      <c r="BD24" s="751">
        <f t="shared" si="13"/>
        <v>74594997.477095485</v>
      </c>
      <c r="BE24" s="751">
        <f t="shared" si="14"/>
        <v>210339455.33750251</v>
      </c>
      <c r="BF24" s="751">
        <f t="shared" si="15"/>
        <v>58330718.109601669</v>
      </c>
      <c r="BG24" s="752">
        <f t="shared" si="11"/>
        <v>15.18985495696195</v>
      </c>
      <c r="BH24" s="763">
        <f t="shared" si="0"/>
        <v>4471055.1677762894</v>
      </c>
      <c r="BI24" s="763">
        <f t="shared" si="1"/>
        <v>4910843.3022203706</v>
      </c>
      <c r="BJ24" s="763">
        <f t="shared" si="2"/>
        <v>13847364.30554907</v>
      </c>
      <c r="BK24" s="763">
        <f t="shared" si="3"/>
        <v>3840110.2758961511</v>
      </c>
    </row>
    <row r="25" spans="1:63">
      <c r="A25" s="669"/>
      <c r="B25" s="754">
        <v>2028</v>
      </c>
      <c r="C25" s="755" t="s">
        <v>13</v>
      </c>
      <c r="D25" s="755" t="s">
        <v>510</v>
      </c>
      <c r="E25" s="755" t="s">
        <v>511</v>
      </c>
      <c r="F25" s="755" t="s">
        <v>347</v>
      </c>
      <c r="G25" s="755" t="s">
        <v>50</v>
      </c>
      <c r="H25" s="755" t="s">
        <v>509</v>
      </c>
      <c r="I25" s="755" t="s">
        <v>347</v>
      </c>
      <c r="J25" s="755" t="s">
        <v>17</v>
      </c>
      <c r="K25" s="755"/>
      <c r="L25" s="755" t="s">
        <v>347</v>
      </c>
      <c r="M25" s="755" t="s">
        <v>412</v>
      </c>
      <c r="N25" s="756">
        <v>0</v>
      </c>
      <c r="O25" s="756">
        <v>0</v>
      </c>
      <c r="P25" s="756">
        <v>0</v>
      </c>
      <c r="Q25" s="756">
        <v>0</v>
      </c>
      <c r="R25" s="756">
        <v>0</v>
      </c>
      <c r="S25" s="756">
        <v>0</v>
      </c>
      <c r="T25" s="756">
        <v>0</v>
      </c>
      <c r="U25" s="756">
        <v>0</v>
      </c>
      <c r="V25" s="756">
        <v>0</v>
      </c>
      <c r="W25" s="756">
        <v>0</v>
      </c>
      <c r="X25" s="757">
        <v>0</v>
      </c>
      <c r="Y25" s="757">
        <v>0</v>
      </c>
      <c r="Z25" s="757">
        <v>77074.234599999996</v>
      </c>
      <c r="AA25" s="757">
        <v>77074.234599999996</v>
      </c>
      <c r="AB25" s="757">
        <v>77074.234599999996</v>
      </c>
      <c r="AC25" s="757">
        <v>77074.234599999996</v>
      </c>
      <c r="AD25" s="757">
        <v>77074.234599999996</v>
      </c>
      <c r="AE25" s="757">
        <v>77074.234599999996</v>
      </c>
      <c r="AF25" s="756">
        <v>0</v>
      </c>
      <c r="AG25" s="756">
        <v>0</v>
      </c>
      <c r="AH25" s="756">
        <v>0</v>
      </c>
      <c r="AI25" s="756">
        <v>0</v>
      </c>
      <c r="AJ25" s="756">
        <v>0</v>
      </c>
      <c r="AK25" s="756">
        <v>0</v>
      </c>
      <c r="AL25" s="756">
        <v>0</v>
      </c>
      <c r="AM25" s="756">
        <v>0</v>
      </c>
      <c r="AN25" s="756">
        <v>0</v>
      </c>
      <c r="AO25" s="756">
        <v>0</v>
      </c>
      <c r="AP25" s="756">
        <v>0</v>
      </c>
      <c r="AQ25" s="757">
        <v>16457.927199999998</v>
      </c>
      <c r="AR25" s="757">
        <v>0</v>
      </c>
      <c r="AS25" s="757">
        <v>60616.307399999998</v>
      </c>
      <c r="AT25" s="757">
        <v>0</v>
      </c>
      <c r="AU25" s="756">
        <v>0</v>
      </c>
      <c r="AV25" s="756">
        <v>0</v>
      </c>
      <c r="AW25" s="756">
        <v>0</v>
      </c>
      <c r="AX25" s="756">
        <v>0</v>
      </c>
      <c r="AY25" s="756">
        <v>0</v>
      </c>
      <c r="AZ25" s="758">
        <v>0.56000000000000005</v>
      </c>
      <c r="BA25" s="759" t="str">
        <f t="shared" si="4"/>
        <v/>
      </c>
      <c r="BB25" s="759" t="str">
        <f t="shared" si="5"/>
        <v/>
      </c>
      <c r="BC25" s="760">
        <f t="shared" si="12"/>
        <v>0</v>
      </c>
      <c r="BD25" s="760">
        <f t="shared" si="13"/>
        <v>0</v>
      </c>
      <c r="BE25" s="760">
        <f t="shared" si="14"/>
        <v>43161.571376</v>
      </c>
      <c r="BF25" s="760">
        <f t="shared" si="15"/>
        <v>33912.663223999996</v>
      </c>
      <c r="BG25" s="761">
        <f t="shared" si="11"/>
        <v>0</v>
      </c>
      <c r="BH25" s="762">
        <f t="shared" si="0"/>
        <v>0</v>
      </c>
      <c r="BI25" s="762">
        <f t="shared" si="1"/>
        <v>0</v>
      </c>
      <c r="BJ25" s="762">
        <f t="shared" si="2"/>
        <v>0</v>
      </c>
      <c r="BK25" s="762">
        <f t="shared" si="3"/>
        <v>0</v>
      </c>
    </row>
    <row r="26" spans="1:63">
      <c r="A26" s="669"/>
      <c r="B26" s="745">
        <v>2028</v>
      </c>
      <c r="C26" s="746" t="s">
        <v>13</v>
      </c>
      <c r="D26" s="746" t="s">
        <v>512</v>
      </c>
      <c r="E26" s="746" t="s">
        <v>513</v>
      </c>
      <c r="F26" s="746" t="s">
        <v>478</v>
      </c>
      <c r="G26" s="746" t="s">
        <v>50</v>
      </c>
      <c r="H26" s="746" t="s">
        <v>514</v>
      </c>
      <c r="I26" s="746" t="s">
        <v>515</v>
      </c>
      <c r="J26" s="746" t="s">
        <v>489</v>
      </c>
      <c r="K26" s="746"/>
      <c r="L26" s="746" t="s">
        <v>29</v>
      </c>
      <c r="M26" s="746" t="s">
        <v>412</v>
      </c>
      <c r="N26" s="747">
        <v>0</v>
      </c>
      <c r="O26" s="747">
        <v>0</v>
      </c>
      <c r="P26" s="747">
        <v>0</v>
      </c>
      <c r="Q26" s="747">
        <v>0</v>
      </c>
      <c r="R26" s="747">
        <v>0</v>
      </c>
      <c r="S26" s="747">
        <v>0</v>
      </c>
      <c r="T26" s="747">
        <v>0</v>
      </c>
      <c r="U26" s="747">
        <v>0</v>
      </c>
      <c r="V26" s="747">
        <v>0</v>
      </c>
      <c r="W26" s="747">
        <v>0</v>
      </c>
      <c r="X26" s="748">
        <v>0</v>
      </c>
      <c r="Y26" s="748">
        <v>0</v>
      </c>
      <c r="Z26" s="748">
        <v>1547000</v>
      </c>
      <c r="AA26" s="748">
        <v>1547000</v>
      </c>
      <c r="AB26" s="748">
        <v>1547000</v>
      </c>
      <c r="AC26" s="748">
        <v>1547000</v>
      </c>
      <c r="AD26" s="748">
        <v>1547000</v>
      </c>
      <c r="AE26" s="748">
        <v>1547000</v>
      </c>
      <c r="AF26" s="747">
        <v>0</v>
      </c>
      <c r="AG26" s="747">
        <v>0</v>
      </c>
      <c r="AH26" s="747">
        <v>0</v>
      </c>
      <c r="AI26" s="747">
        <v>0</v>
      </c>
      <c r="AJ26" s="747">
        <v>0</v>
      </c>
      <c r="AK26" s="747">
        <v>0</v>
      </c>
      <c r="AL26" s="747">
        <v>0</v>
      </c>
      <c r="AM26" s="747">
        <v>0</v>
      </c>
      <c r="AN26" s="747">
        <v>0</v>
      </c>
      <c r="AO26" s="747">
        <v>0</v>
      </c>
      <c r="AP26" s="747">
        <v>0</v>
      </c>
      <c r="AQ26" s="748">
        <v>0</v>
      </c>
      <c r="AR26" s="748">
        <v>0</v>
      </c>
      <c r="AS26" s="748">
        <v>1547000</v>
      </c>
      <c r="AT26" s="748">
        <v>0</v>
      </c>
      <c r="AU26" s="747">
        <v>0</v>
      </c>
      <c r="AV26" s="747">
        <v>0</v>
      </c>
      <c r="AW26" s="747">
        <v>0</v>
      </c>
      <c r="AX26" s="747">
        <v>0</v>
      </c>
      <c r="AY26" s="747">
        <v>0</v>
      </c>
      <c r="AZ26" s="749">
        <v>0.56000000000000005</v>
      </c>
      <c r="BA26" s="750" t="str">
        <f t="shared" si="4"/>
        <v/>
      </c>
      <c r="BB26" s="750" t="str">
        <f t="shared" si="5"/>
        <v/>
      </c>
      <c r="BC26" s="751">
        <f t="shared" si="12"/>
        <v>0</v>
      </c>
      <c r="BD26" s="751">
        <f t="shared" si="13"/>
        <v>0</v>
      </c>
      <c r="BE26" s="751">
        <f t="shared" si="14"/>
        <v>866320.00000000012</v>
      </c>
      <c r="BF26" s="751">
        <f t="shared" si="15"/>
        <v>680679.99999999988</v>
      </c>
      <c r="BG26" s="752">
        <f t="shared" si="11"/>
        <v>0</v>
      </c>
      <c r="BH26" s="763">
        <f t="shared" si="0"/>
        <v>0</v>
      </c>
      <c r="BI26" s="763">
        <f t="shared" si="1"/>
        <v>0</v>
      </c>
      <c r="BJ26" s="763">
        <f t="shared" si="2"/>
        <v>0</v>
      </c>
      <c r="BK26" s="763">
        <f t="shared" si="3"/>
        <v>0</v>
      </c>
    </row>
    <row r="27" spans="1:63">
      <c r="A27" s="669"/>
      <c r="B27" s="754">
        <v>2028</v>
      </c>
      <c r="C27" s="755" t="s">
        <v>13</v>
      </c>
      <c r="D27" s="755" t="s">
        <v>516</v>
      </c>
      <c r="E27" s="755" t="s">
        <v>517</v>
      </c>
      <c r="F27" s="755" t="s">
        <v>478</v>
      </c>
      <c r="G27" s="755" t="s">
        <v>50</v>
      </c>
      <c r="H27" s="755" t="s">
        <v>514</v>
      </c>
      <c r="I27" s="755" t="s">
        <v>515</v>
      </c>
      <c r="J27" s="755" t="s">
        <v>17</v>
      </c>
      <c r="K27" s="755"/>
      <c r="L27" s="755" t="s">
        <v>29</v>
      </c>
      <c r="M27" s="755" t="s">
        <v>412</v>
      </c>
      <c r="N27" s="756">
        <v>0</v>
      </c>
      <c r="O27" s="756">
        <v>0</v>
      </c>
      <c r="P27" s="756">
        <v>0</v>
      </c>
      <c r="Q27" s="756">
        <v>0</v>
      </c>
      <c r="R27" s="756">
        <v>0</v>
      </c>
      <c r="S27" s="756">
        <v>0</v>
      </c>
      <c r="T27" s="756">
        <v>0</v>
      </c>
      <c r="U27" s="756">
        <v>0</v>
      </c>
      <c r="V27" s="756">
        <v>0</v>
      </c>
      <c r="W27" s="756">
        <v>0</v>
      </c>
      <c r="X27" s="757">
        <v>0</v>
      </c>
      <c r="Y27" s="757">
        <v>0</v>
      </c>
      <c r="Z27" s="757">
        <v>98402.365900000004</v>
      </c>
      <c r="AA27" s="757">
        <v>98402.365900000004</v>
      </c>
      <c r="AB27" s="757">
        <v>98402.365900000004</v>
      </c>
      <c r="AC27" s="757">
        <v>98402.365900000004</v>
      </c>
      <c r="AD27" s="757">
        <v>98402.365900000004</v>
      </c>
      <c r="AE27" s="757">
        <v>98402.365900000004</v>
      </c>
      <c r="AF27" s="756">
        <v>0</v>
      </c>
      <c r="AG27" s="756">
        <v>0</v>
      </c>
      <c r="AH27" s="756">
        <v>0</v>
      </c>
      <c r="AI27" s="756">
        <v>0</v>
      </c>
      <c r="AJ27" s="756">
        <v>0</v>
      </c>
      <c r="AK27" s="756">
        <v>0</v>
      </c>
      <c r="AL27" s="756">
        <v>0</v>
      </c>
      <c r="AM27" s="756">
        <v>0</v>
      </c>
      <c r="AN27" s="756">
        <v>0</v>
      </c>
      <c r="AO27" s="756">
        <v>0</v>
      </c>
      <c r="AP27" s="756">
        <v>0</v>
      </c>
      <c r="AQ27" s="757">
        <v>23618.9663</v>
      </c>
      <c r="AR27" s="757">
        <v>0</v>
      </c>
      <c r="AS27" s="757">
        <v>74783.399600000004</v>
      </c>
      <c r="AT27" s="757">
        <v>0</v>
      </c>
      <c r="AU27" s="756">
        <v>0</v>
      </c>
      <c r="AV27" s="756">
        <v>0</v>
      </c>
      <c r="AW27" s="756">
        <v>0</v>
      </c>
      <c r="AX27" s="756">
        <v>0</v>
      </c>
      <c r="AY27" s="756">
        <v>0</v>
      </c>
      <c r="AZ27" s="758">
        <v>0.56000000000000005</v>
      </c>
      <c r="BA27" s="759" t="str">
        <f t="shared" si="4"/>
        <v/>
      </c>
      <c r="BB27" s="759" t="str">
        <f t="shared" si="5"/>
        <v/>
      </c>
      <c r="BC27" s="760">
        <f t="shared" si="12"/>
        <v>0</v>
      </c>
      <c r="BD27" s="760">
        <f t="shared" si="13"/>
        <v>0</v>
      </c>
      <c r="BE27" s="760">
        <f t="shared" si="14"/>
        <v>55105.324904000008</v>
      </c>
      <c r="BF27" s="760">
        <f t="shared" si="15"/>
        <v>43297.040995999996</v>
      </c>
      <c r="BG27" s="761">
        <f t="shared" si="11"/>
        <v>0</v>
      </c>
      <c r="BH27" s="762">
        <f t="shared" si="0"/>
        <v>0</v>
      </c>
      <c r="BI27" s="762">
        <f t="shared" si="1"/>
        <v>0</v>
      </c>
      <c r="BJ27" s="762">
        <f t="shared" si="2"/>
        <v>0</v>
      </c>
      <c r="BK27" s="762">
        <f t="shared" si="3"/>
        <v>0</v>
      </c>
    </row>
    <row r="28" spans="1:63">
      <c r="A28" s="669"/>
      <c r="B28" s="745">
        <v>2028</v>
      </c>
      <c r="C28" s="746" t="s">
        <v>13</v>
      </c>
      <c r="D28" s="746" t="s">
        <v>518</v>
      </c>
      <c r="E28" s="746" t="s">
        <v>519</v>
      </c>
      <c r="F28" s="746" t="s">
        <v>478</v>
      </c>
      <c r="G28" s="746" t="s">
        <v>45</v>
      </c>
      <c r="H28" s="746" t="s">
        <v>520</v>
      </c>
      <c r="I28" s="746" t="s">
        <v>521</v>
      </c>
      <c r="J28" s="746" t="s">
        <v>489</v>
      </c>
      <c r="K28" s="746"/>
      <c r="L28" s="746" t="s">
        <v>20</v>
      </c>
      <c r="M28" s="746" t="s">
        <v>412</v>
      </c>
      <c r="N28" s="747">
        <v>300668.5163324569</v>
      </c>
      <c r="O28" s="747">
        <v>102.17136930002729</v>
      </c>
      <c r="P28" s="747">
        <v>6793.0222799207995</v>
      </c>
      <c r="Q28" s="747">
        <v>150540.75927920104</v>
      </c>
      <c r="R28" s="747">
        <v>53.833541580016373</v>
      </c>
      <c r="S28" s="747">
        <v>5990.6015399604003</v>
      </c>
      <c r="T28" s="747">
        <v>529193.68087449484</v>
      </c>
      <c r="U28" s="747">
        <v>79917.088019465402</v>
      </c>
      <c r="V28" s="747">
        <v>138.17822842458187</v>
      </c>
      <c r="W28" s="747">
        <v>424.35973738336116</v>
      </c>
      <c r="X28" s="748">
        <v>158815.59200674004</v>
      </c>
      <c r="Y28" s="748">
        <v>234848.98811098433</v>
      </c>
      <c r="Z28" s="748">
        <v>230942.56008599995</v>
      </c>
      <c r="AA28" s="748">
        <v>338439.74581516668</v>
      </c>
      <c r="AB28" s="748">
        <v>250961.52974352567</v>
      </c>
      <c r="AC28" s="748">
        <v>344423.62027562066</v>
      </c>
      <c r="AD28" s="748">
        <v>344760.87429496727</v>
      </c>
      <c r="AE28" s="748">
        <v>587902.6992352237</v>
      </c>
      <c r="AF28" s="747">
        <v>78664.941839886567</v>
      </c>
      <c r="AG28" s="747">
        <v>104125.44270787276</v>
      </c>
      <c r="AH28" s="747">
        <v>0</v>
      </c>
      <c r="AI28" s="747">
        <v>89963.954962651653</v>
      </c>
      <c r="AJ28" s="747">
        <v>159783.22502557296</v>
      </c>
      <c r="AK28" s="747">
        <v>0</v>
      </c>
      <c r="AL28" s="747">
        <v>91368.677758256177</v>
      </c>
      <c r="AM28" s="747">
        <v>160038.5303073721</v>
      </c>
      <c r="AN28" s="747">
        <v>0</v>
      </c>
      <c r="AO28" s="747">
        <v>31.316542311223809</v>
      </c>
      <c r="AP28" s="747">
        <v>31.810094177189722</v>
      </c>
      <c r="AQ28" s="748">
        <v>9523.2000000000007</v>
      </c>
      <c r="AR28" s="748">
        <v>496</v>
      </c>
      <c r="AS28" s="748">
        <v>135746.1678</v>
      </c>
      <c r="AT28" s="748">
        <v>85177.192285999976</v>
      </c>
      <c r="AU28" s="747">
        <v>263699.67516973137</v>
      </c>
      <c r="AV28" s="747">
        <v>73241.494321966486</v>
      </c>
      <c r="AW28" s="747">
        <v>91813.305965400592</v>
      </c>
      <c r="AX28" s="747">
        <v>0</v>
      </c>
      <c r="AY28" s="747">
        <v>0</v>
      </c>
      <c r="AZ28" s="749">
        <v>0.56000000000000005</v>
      </c>
      <c r="BA28" s="750">
        <f t="shared" si="4"/>
        <v>19523.06986602976</v>
      </c>
      <c r="BB28" s="750">
        <f t="shared" si="5"/>
        <v>8318.860985657182</v>
      </c>
      <c r="BC28" s="751">
        <f t="shared" si="12"/>
        <v>170478.24780528716</v>
      </c>
      <c r="BD28" s="751">
        <f t="shared" si="13"/>
        <v>104125.44270787276</v>
      </c>
      <c r="BE28" s="751">
        <f t="shared" si="14"/>
        <v>404238.13182610576</v>
      </c>
      <c r="BF28" s="751">
        <f t="shared" si="15"/>
        <v>183664.56740911776</v>
      </c>
      <c r="BG28" s="752">
        <f t="shared" si="11"/>
        <v>8.8042695326012197</v>
      </c>
      <c r="BH28" s="763">
        <f t="shared" si="0"/>
        <v>19363.133667594499</v>
      </c>
      <c r="BI28" s="763">
        <f t="shared" si="1"/>
        <v>11826.698662769008</v>
      </c>
      <c r="BJ28" s="763">
        <f t="shared" si="2"/>
        <v>45913.875118118252</v>
      </c>
      <c r="BK28" s="763">
        <f t="shared" si="3"/>
        <v>20860.852422682943</v>
      </c>
    </row>
    <row r="29" spans="1:63">
      <c r="A29" s="669"/>
      <c r="B29" s="754">
        <v>2028</v>
      </c>
      <c r="C29" s="755" t="s">
        <v>13</v>
      </c>
      <c r="D29" s="755" t="s">
        <v>522</v>
      </c>
      <c r="E29" s="755" t="s">
        <v>523</v>
      </c>
      <c r="F29" s="755" t="s">
        <v>478</v>
      </c>
      <c r="G29" s="755" t="s">
        <v>45</v>
      </c>
      <c r="H29" s="755" t="s">
        <v>520</v>
      </c>
      <c r="I29" s="755" t="s">
        <v>521</v>
      </c>
      <c r="J29" s="755" t="s">
        <v>17</v>
      </c>
      <c r="K29" s="755"/>
      <c r="L29" s="755" t="s">
        <v>20</v>
      </c>
      <c r="M29" s="755" t="s">
        <v>412</v>
      </c>
      <c r="N29" s="756">
        <v>0</v>
      </c>
      <c r="O29" s="756">
        <v>0</v>
      </c>
      <c r="P29" s="756">
        <v>0</v>
      </c>
      <c r="Q29" s="756">
        <v>0</v>
      </c>
      <c r="R29" s="756">
        <v>0</v>
      </c>
      <c r="S29" s="756">
        <v>0</v>
      </c>
      <c r="T29" s="756">
        <v>0</v>
      </c>
      <c r="U29" s="756">
        <v>0</v>
      </c>
      <c r="V29" s="756">
        <v>0</v>
      </c>
      <c r="W29" s="756">
        <v>0</v>
      </c>
      <c r="X29" s="757">
        <v>0</v>
      </c>
      <c r="Y29" s="757">
        <v>0</v>
      </c>
      <c r="Z29" s="757">
        <v>3160.2175999999999</v>
      </c>
      <c r="AA29" s="757">
        <v>3160.2175999999999</v>
      </c>
      <c r="AB29" s="757">
        <v>3160.2175999999999</v>
      </c>
      <c r="AC29" s="757">
        <v>3160.2175999999999</v>
      </c>
      <c r="AD29" s="757">
        <v>3160.2175999999999</v>
      </c>
      <c r="AE29" s="757">
        <v>3160.2175999999999</v>
      </c>
      <c r="AF29" s="756">
        <v>0</v>
      </c>
      <c r="AG29" s="756">
        <v>0</v>
      </c>
      <c r="AH29" s="756">
        <v>0</v>
      </c>
      <c r="AI29" s="756">
        <v>0</v>
      </c>
      <c r="AJ29" s="756">
        <v>0</v>
      </c>
      <c r="AK29" s="756">
        <v>0</v>
      </c>
      <c r="AL29" s="756">
        <v>0</v>
      </c>
      <c r="AM29" s="756">
        <v>0</v>
      </c>
      <c r="AN29" s="756">
        <v>0</v>
      </c>
      <c r="AO29" s="756">
        <v>0</v>
      </c>
      <c r="AP29" s="756">
        <v>0</v>
      </c>
      <c r="AQ29" s="757">
        <v>3160.2175999999999</v>
      </c>
      <c r="AR29" s="757">
        <v>0</v>
      </c>
      <c r="AS29" s="757">
        <v>0</v>
      </c>
      <c r="AT29" s="757">
        <v>0</v>
      </c>
      <c r="AU29" s="756">
        <v>0</v>
      </c>
      <c r="AV29" s="756">
        <v>0</v>
      </c>
      <c r="AW29" s="756">
        <v>0</v>
      </c>
      <c r="AX29" s="756">
        <v>0</v>
      </c>
      <c r="AY29" s="756">
        <v>0</v>
      </c>
      <c r="AZ29" s="758">
        <v>0.56000000000000005</v>
      </c>
      <c r="BA29" s="759" t="str">
        <f t="shared" si="4"/>
        <v/>
      </c>
      <c r="BB29" s="759" t="str">
        <f t="shared" si="5"/>
        <v/>
      </c>
      <c r="BC29" s="760">
        <f t="shared" si="12"/>
        <v>0</v>
      </c>
      <c r="BD29" s="760">
        <f t="shared" si="13"/>
        <v>0</v>
      </c>
      <c r="BE29" s="760">
        <f t="shared" si="14"/>
        <v>1769.7218560000001</v>
      </c>
      <c r="BF29" s="760">
        <f t="shared" si="15"/>
        <v>1390.4957439999998</v>
      </c>
      <c r="BG29" s="761">
        <f t="shared" si="11"/>
        <v>0</v>
      </c>
      <c r="BH29" s="762">
        <f t="shared" si="0"/>
        <v>0</v>
      </c>
      <c r="BI29" s="762">
        <f t="shared" si="1"/>
        <v>0</v>
      </c>
      <c r="BJ29" s="762">
        <f t="shared" si="2"/>
        <v>0</v>
      </c>
      <c r="BK29" s="762">
        <f t="shared" si="3"/>
        <v>0</v>
      </c>
    </row>
    <row r="30" spans="1:63">
      <c r="A30" s="669"/>
      <c r="B30" s="745">
        <v>2028</v>
      </c>
      <c r="C30" s="746" t="s">
        <v>13</v>
      </c>
      <c r="D30" s="746" t="s">
        <v>524</v>
      </c>
      <c r="E30" s="746" t="s">
        <v>525</v>
      </c>
      <c r="F30" s="746" t="s">
        <v>478</v>
      </c>
      <c r="G30" s="746" t="s">
        <v>45</v>
      </c>
      <c r="H30" s="746" t="s">
        <v>526</v>
      </c>
      <c r="I30" s="746" t="s">
        <v>521</v>
      </c>
      <c r="J30" s="746" t="s">
        <v>489</v>
      </c>
      <c r="K30" s="746"/>
      <c r="L30" s="746" t="s">
        <v>20</v>
      </c>
      <c r="M30" s="746" t="s">
        <v>412</v>
      </c>
      <c r="N30" s="747">
        <v>1373061.3096886501</v>
      </c>
      <c r="O30" s="747">
        <v>1139.6408732539801</v>
      </c>
      <c r="P30" s="747">
        <v>0</v>
      </c>
      <c r="Q30" s="747">
        <v>823836.78581319202</v>
      </c>
      <c r="R30" s="747">
        <v>683.78452395239196</v>
      </c>
      <c r="S30" s="747">
        <v>0</v>
      </c>
      <c r="T30" s="747">
        <v>6590694.2865055297</v>
      </c>
      <c r="U30" s="747">
        <v>0</v>
      </c>
      <c r="V30" s="747">
        <v>1054.41543839005</v>
      </c>
      <c r="W30" s="747">
        <v>0</v>
      </c>
      <c r="X30" s="748">
        <v>666804.28269191098</v>
      </c>
      <c r="Y30" s="748">
        <v>1111340.4711531801</v>
      </c>
      <c r="Z30" s="748">
        <v>426477.43793439999</v>
      </c>
      <c r="AA30" s="748">
        <v>536991.77316464705</v>
      </c>
      <c r="AB30" s="748">
        <v>418207.96364089003</v>
      </c>
      <c r="AC30" s="748">
        <v>542073.73216208804</v>
      </c>
      <c r="AD30" s="748">
        <v>542073.73216208804</v>
      </c>
      <c r="AE30" s="748">
        <v>1910223.3632344001</v>
      </c>
      <c r="AF30" s="747">
        <v>666804.28269191098</v>
      </c>
      <c r="AG30" s="747">
        <v>0</v>
      </c>
      <c r="AH30" s="747">
        <v>0</v>
      </c>
      <c r="AI30" s="747">
        <v>752656.48487537599</v>
      </c>
      <c r="AJ30" s="747">
        <v>0</v>
      </c>
      <c r="AK30" s="747">
        <v>0</v>
      </c>
      <c r="AL30" s="747">
        <v>752656.48487537599</v>
      </c>
      <c r="AM30" s="747">
        <v>0</v>
      </c>
      <c r="AN30" s="747">
        <v>0</v>
      </c>
      <c r="AO30" s="747">
        <v>158.38978945262201</v>
      </c>
      <c r="AP30" s="747">
        <v>0</v>
      </c>
      <c r="AQ30" s="748">
        <v>0</v>
      </c>
      <c r="AR30" s="748">
        <v>0</v>
      </c>
      <c r="AS30" s="748">
        <v>276798.6666</v>
      </c>
      <c r="AT30" s="748">
        <v>149678.77133439999</v>
      </c>
      <c r="AU30" s="747">
        <v>1492015.39959351</v>
      </c>
      <c r="AV30" s="747">
        <v>0</v>
      </c>
      <c r="AW30" s="747">
        <v>0</v>
      </c>
      <c r="AX30" s="747">
        <v>0</v>
      </c>
      <c r="AY30" s="747">
        <v>0</v>
      </c>
      <c r="AZ30" s="749">
        <v>0.56000000000000005</v>
      </c>
      <c r="BA30" s="750">
        <f t="shared" si="4"/>
        <v>186501.92494918892</v>
      </c>
      <c r="BB30" s="750">
        <f t="shared" si="5"/>
        <v>0</v>
      </c>
      <c r="BC30" s="751">
        <f t="shared" si="12"/>
        <v>666804.28269191098</v>
      </c>
      <c r="BD30" s="751">
        <f t="shared" si="13"/>
        <v>0</v>
      </c>
      <c r="BE30" s="751">
        <f t="shared" si="14"/>
        <v>1726211.8592324085</v>
      </c>
      <c r="BF30" s="751">
        <f t="shared" si="15"/>
        <v>184011.50400199159</v>
      </c>
      <c r="BG30" s="752">
        <f t="shared" si="11"/>
        <v>7.999999999999992</v>
      </c>
      <c r="BH30" s="763">
        <f t="shared" si="0"/>
        <v>83350.53533648896</v>
      </c>
      <c r="BI30" s="763">
        <f t="shared" si="1"/>
        <v>0</v>
      </c>
      <c r="BJ30" s="763">
        <f t="shared" si="2"/>
        <v>215776.48240405126</v>
      </c>
      <c r="BK30" s="763">
        <f t="shared" si="3"/>
        <v>23001.438000248971</v>
      </c>
    </row>
    <row r="31" spans="1:63">
      <c r="A31" s="669"/>
      <c r="B31" s="754">
        <v>2028</v>
      </c>
      <c r="C31" s="755" t="s">
        <v>13</v>
      </c>
      <c r="D31" s="755" t="s">
        <v>527</v>
      </c>
      <c r="E31" s="755" t="s">
        <v>528</v>
      </c>
      <c r="F31" s="755" t="s">
        <v>478</v>
      </c>
      <c r="G31" s="755" t="s">
        <v>45</v>
      </c>
      <c r="H31" s="755" t="s">
        <v>526</v>
      </c>
      <c r="I31" s="755" t="s">
        <v>521</v>
      </c>
      <c r="J31" s="755" t="s">
        <v>17</v>
      </c>
      <c r="K31" s="755"/>
      <c r="L31" s="755" t="s">
        <v>20</v>
      </c>
      <c r="M31" s="755" t="s">
        <v>412</v>
      </c>
      <c r="N31" s="756">
        <v>0</v>
      </c>
      <c r="O31" s="756">
        <v>0</v>
      </c>
      <c r="P31" s="756">
        <v>0</v>
      </c>
      <c r="Q31" s="756">
        <v>0</v>
      </c>
      <c r="R31" s="756">
        <v>0</v>
      </c>
      <c r="S31" s="756">
        <v>0</v>
      </c>
      <c r="T31" s="756">
        <v>0</v>
      </c>
      <c r="U31" s="756">
        <v>0</v>
      </c>
      <c r="V31" s="756">
        <v>0</v>
      </c>
      <c r="W31" s="756">
        <v>0</v>
      </c>
      <c r="X31" s="757">
        <v>0</v>
      </c>
      <c r="Y31" s="757">
        <v>0</v>
      </c>
      <c r="Z31" s="757">
        <v>4333.1976000000004</v>
      </c>
      <c r="AA31" s="757">
        <v>4333.1976000000004</v>
      </c>
      <c r="AB31" s="757">
        <v>4333.1976000000004</v>
      </c>
      <c r="AC31" s="757">
        <v>4333.1976000000004</v>
      </c>
      <c r="AD31" s="757">
        <v>4333.1976000000004</v>
      </c>
      <c r="AE31" s="757">
        <v>4333.1976000000004</v>
      </c>
      <c r="AF31" s="756">
        <v>0</v>
      </c>
      <c r="AG31" s="756">
        <v>0</v>
      </c>
      <c r="AH31" s="756">
        <v>0</v>
      </c>
      <c r="AI31" s="756">
        <v>0</v>
      </c>
      <c r="AJ31" s="756">
        <v>0</v>
      </c>
      <c r="AK31" s="756">
        <v>0</v>
      </c>
      <c r="AL31" s="756">
        <v>0</v>
      </c>
      <c r="AM31" s="756">
        <v>0</v>
      </c>
      <c r="AN31" s="756">
        <v>0</v>
      </c>
      <c r="AO31" s="756">
        <v>0</v>
      </c>
      <c r="AP31" s="756">
        <v>0</v>
      </c>
      <c r="AQ31" s="757">
        <v>4333.1976000000004</v>
      </c>
      <c r="AR31" s="757">
        <v>0</v>
      </c>
      <c r="AS31" s="757">
        <v>0</v>
      </c>
      <c r="AT31" s="757">
        <v>0</v>
      </c>
      <c r="AU31" s="756">
        <v>0</v>
      </c>
      <c r="AV31" s="756">
        <v>0</v>
      </c>
      <c r="AW31" s="756">
        <v>0</v>
      </c>
      <c r="AX31" s="756">
        <v>0</v>
      </c>
      <c r="AY31" s="756">
        <v>0</v>
      </c>
      <c r="AZ31" s="758">
        <v>0.56000000000000005</v>
      </c>
      <c r="BA31" s="759" t="str">
        <f t="shared" si="4"/>
        <v/>
      </c>
      <c r="BB31" s="759" t="str">
        <f t="shared" si="5"/>
        <v/>
      </c>
      <c r="BC31" s="760">
        <f t="shared" si="12"/>
        <v>0</v>
      </c>
      <c r="BD31" s="760">
        <f t="shared" si="13"/>
        <v>0</v>
      </c>
      <c r="BE31" s="760">
        <f t="shared" si="14"/>
        <v>2426.5906560000003</v>
      </c>
      <c r="BF31" s="760">
        <f t="shared" si="15"/>
        <v>1906.6069439999999</v>
      </c>
      <c r="BG31" s="761">
        <f t="shared" si="11"/>
        <v>0</v>
      </c>
      <c r="BH31" s="762">
        <f t="shared" si="0"/>
        <v>0</v>
      </c>
      <c r="BI31" s="762">
        <f t="shared" si="1"/>
        <v>0</v>
      </c>
      <c r="BJ31" s="762">
        <f t="shared" si="2"/>
        <v>0</v>
      </c>
      <c r="BK31" s="762">
        <f t="shared" si="3"/>
        <v>0</v>
      </c>
    </row>
    <row r="32" spans="1:63">
      <c r="A32" s="669"/>
      <c r="B32" s="745">
        <v>2028</v>
      </c>
      <c r="C32" s="746" t="s">
        <v>13</v>
      </c>
      <c r="D32" s="746" t="s">
        <v>529</v>
      </c>
      <c r="E32" s="746" t="s">
        <v>530</v>
      </c>
      <c r="F32" s="746" t="s">
        <v>478</v>
      </c>
      <c r="G32" s="746" t="s">
        <v>27</v>
      </c>
      <c r="H32" s="746" t="s">
        <v>531</v>
      </c>
      <c r="I32" s="746" t="s">
        <v>46</v>
      </c>
      <c r="J32" s="746" t="s">
        <v>489</v>
      </c>
      <c r="K32" s="746"/>
      <c r="L32" s="746" t="s">
        <v>20</v>
      </c>
      <c r="M32" s="746" t="s">
        <v>412</v>
      </c>
      <c r="N32" s="747">
        <v>-526101.3728294496</v>
      </c>
      <c r="O32" s="747">
        <v>-2.2652899424609974</v>
      </c>
      <c r="P32" s="747">
        <v>940584.83206887438</v>
      </c>
      <c r="Q32" s="747">
        <v>-520731.14178689884</v>
      </c>
      <c r="R32" s="747">
        <v>-1.4474483183296512</v>
      </c>
      <c r="S32" s="747">
        <v>573622.42326910747</v>
      </c>
      <c r="T32" s="747">
        <v>-8894952.6766490564</v>
      </c>
      <c r="U32" s="747">
        <v>10475710.522140378</v>
      </c>
      <c r="V32" s="747">
        <v>-1415.4644958750941</v>
      </c>
      <c r="W32" s="747">
        <v>55626.022872565358</v>
      </c>
      <c r="X32" s="748">
        <v>14401266.611824039</v>
      </c>
      <c r="Y32" s="748">
        <v>24326935.260312289</v>
      </c>
      <c r="Z32" s="748">
        <v>2427599.9999266234</v>
      </c>
      <c r="AA32" s="748">
        <v>3822099.7295217435</v>
      </c>
      <c r="AB32" s="748">
        <v>3205889.2498402735</v>
      </c>
      <c r="AC32" s="748">
        <v>4059179.7377682254</v>
      </c>
      <c r="AD32" s="748">
        <v>4059179.7377682244</v>
      </c>
      <c r="AE32" s="748">
        <v>14339104.91157534</v>
      </c>
      <c r="AF32" s="747">
        <v>-19860.075402938488</v>
      </c>
      <c r="AG32" s="747">
        <v>15265342.879005866</v>
      </c>
      <c r="AH32" s="747">
        <v>0</v>
      </c>
      <c r="AI32" s="747">
        <v>-25003.672260693351</v>
      </c>
      <c r="AJ32" s="747">
        <v>24169743.302368537</v>
      </c>
      <c r="AK32" s="747">
        <v>0</v>
      </c>
      <c r="AL32" s="747">
        <v>-25003.672260693351</v>
      </c>
      <c r="AM32" s="747">
        <v>24198231.282174855</v>
      </c>
      <c r="AN32" s="747">
        <v>0</v>
      </c>
      <c r="AO32" s="747">
        <v>-100.91414359096719</v>
      </c>
      <c r="AP32" s="747">
        <v>3045.9350675589594</v>
      </c>
      <c r="AQ32" s="748">
        <v>284760.36629999999</v>
      </c>
      <c r="AR32" s="748">
        <v>207222.9277</v>
      </c>
      <c r="AS32" s="748">
        <v>702690.96600000001</v>
      </c>
      <c r="AT32" s="748">
        <v>1232925.7399266236</v>
      </c>
      <c r="AU32" s="747">
        <v>-56242.848453002451</v>
      </c>
      <c r="AV32" s="747">
        <v>11189458.510188092</v>
      </c>
      <c r="AW32" s="747">
        <v>2053870.5712396665</v>
      </c>
      <c r="AX32" s="747">
        <v>0</v>
      </c>
      <c r="AY32" s="747">
        <v>0</v>
      </c>
      <c r="AZ32" s="749">
        <v>0.56000000000000005</v>
      </c>
      <c r="BA32" s="750">
        <f t="shared" si="4"/>
        <v>-115305.91792662814</v>
      </c>
      <c r="BB32" s="750">
        <f t="shared" si="5"/>
        <v>611441.4384450831</v>
      </c>
      <c r="BC32" s="751">
        <f t="shared" si="12"/>
        <v>2034010.495836728</v>
      </c>
      <c r="BD32" s="751">
        <f t="shared" si="13"/>
        <v>15265342.879005866</v>
      </c>
      <c r="BE32" s="751">
        <f t="shared" si="14"/>
        <v>1739055.1314575509</v>
      </c>
      <c r="BF32" s="751">
        <f t="shared" si="15"/>
        <v>12600049.780117812</v>
      </c>
      <c r="BG32" s="752">
        <f t="shared" si="11"/>
        <v>18.300131143619044</v>
      </c>
      <c r="BH32" s="763">
        <f t="shared" si="0"/>
        <v>111147.31800957362</v>
      </c>
      <c r="BI32" s="763">
        <f t="shared" si="1"/>
        <v>834165.76412506425</v>
      </c>
      <c r="BJ32" s="763">
        <f t="shared" si="2"/>
        <v>95029.654039606758</v>
      </c>
      <c r="BK32" s="763">
        <f t="shared" si="3"/>
        <v>688522.37621866679</v>
      </c>
    </row>
    <row r="33" spans="1:63">
      <c r="A33" s="669"/>
      <c r="B33" s="754">
        <v>2028</v>
      </c>
      <c r="C33" s="755" t="s">
        <v>13</v>
      </c>
      <c r="D33" s="755" t="s">
        <v>532</v>
      </c>
      <c r="E33" s="755" t="s">
        <v>533</v>
      </c>
      <c r="F33" s="755" t="s">
        <v>478</v>
      </c>
      <c r="G33" s="755" t="s">
        <v>27</v>
      </c>
      <c r="H33" s="755" t="s">
        <v>531</v>
      </c>
      <c r="I33" s="755" t="s">
        <v>46</v>
      </c>
      <c r="J33" s="755" t="s">
        <v>17</v>
      </c>
      <c r="K33" s="755"/>
      <c r="L33" s="755" t="s">
        <v>20</v>
      </c>
      <c r="M33" s="755" t="s">
        <v>412</v>
      </c>
      <c r="N33" s="756">
        <v>0</v>
      </c>
      <c r="O33" s="756">
        <v>0</v>
      </c>
      <c r="P33" s="756">
        <v>0</v>
      </c>
      <c r="Q33" s="756">
        <v>0</v>
      </c>
      <c r="R33" s="756">
        <v>0</v>
      </c>
      <c r="S33" s="756">
        <v>0</v>
      </c>
      <c r="T33" s="756">
        <v>0</v>
      </c>
      <c r="U33" s="756">
        <v>0</v>
      </c>
      <c r="V33" s="756">
        <v>0</v>
      </c>
      <c r="W33" s="756">
        <v>0</v>
      </c>
      <c r="X33" s="757">
        <v>0</v>
      </c>
      <c r="Y33" s="757">
        <v>0</v>
      </c>
      <c r="Z33" s="757">
        <v>16337.597599999999</v>
      </c>
      <c r="AA33" s="757">
        <v>16337.597599999999</v>
      </c>
      <c r="AB33" s="757">
        <v>16337.597599999999</v>
      </c>
      <c r="AC33" s="757">
        <v>16337.597599999999</v>
      </c>
      <c r="AD33" s="757">
        <v>16337.597599999999</v>
      </c>
      <c r="AE33" s="757">
        <v>16337.597599999999</v>
      </c>
      <c r="AF33" s="756">
        <v>0</v>
      </c>
      <c r="AG33" s="756">
        <v>0</v>
      </c>
      <c r="AH33" s="756">
        <v>0</v>
      </c>
      <c r="AI33" s="756">
        <v>0</v>
      </c>
      <c r="AJ33" s="756">
        <v>0</v>
      </c>
      <c r="AK33" s="756">
        <v>0</v>
      </c>
      <c r="AL33" s="756">
        <v>0</v>
      </c>
      <c r="AM33" s="756">
        <v>0</v>
      </c>
      <c r="AN33" s="756">
        <v>0</v>
      </c>
      <c r="AO33" s="756">
        <v>0</v>
      </c>
      <c r="AP33" s="756">
        <v>0</v>
      </c>
      <c r="AQ33" s="757">
        <v>16337.597599999999</v>
      </c>
      <c r="AR33" s="757">
        <v>0</v>
      </c>
      <c r="AS33" s="757">
        <v>0</v>
      </c>
      <c r="AT33" s="757">
        <v>0</v>
      </c>
      <c r="AU33" s="756">
        <v>0</v>
      </c>
      <c r="AV33" s="756">
        <v>0</v>
      </c>
      <c r="AW33" s="756">
        <v>0</v>
      </c>
      <c r="AX33" s="756">
        <v>0</v>
      </c>
      <c r="AY33" s="756">
        <v>0</v>
      </c>
      <c r="AZ33" s="758">
        <v>0.56000000000000005</v>
      </c>
      <c r="BA33" s="759" t="str">
        <f t="shared" si="4"/>
        <v/>
      </c>
      <c r="BB33" s="759" t="str">
        <f t="shared" si="5"/>
        <v/>
      </c>
      <c r="BC33" s="760">
        <f t="shared" si="12"/>
        <v>0</v>
      </c>
      <c r="BD33" s="760">
        <f t="shared" si="13"/>
        <v>0</v>
      </c>
      <c r="BE33" s="760">
        <f t="shared" si="14"/>
        <v>9149.0546560000003</v>
      </c>
      <c r="BF33" s="760">
        <f t="shared" si="15"/>
        <v>7188.5429439999989</v>
      </c>
      <c r="BG33" s="761">
        <f t="shared" si="11"/>
        <v>0</v>
      </c>
      <c r="BH33" s="762">
        <f t="shared" si="0"/>
        <v>0</v>
      </c>
      <c r="BI33" s="762">
        <f t="shared" si="1"/>
        <v>0</v>
      </c>
      <c r="BJ33" s="762">
        <f t="shared" si="2"/>
        <v>0</v>
      </c>
      <c r="BK33" s="762">
        <f t="shared" si="3"/>
        <v>0</v>
      </c>
    </row>
    <row r="34" spans="1:63">
      <c r="A34" s="669"/>
      <c r="B34" s="745">
        <v>2028</v>
      </c>
      <c r="C34" s="746" t="s">
        <v>13</v>
      </c>
      <c r="D34" s="746" t="s">
        <v>534</v>
      </c>
      <c r="E34" s="746" t="s">
        <v>535</v>
      </c>
      <c r="F34" s="746" t="s">
        <v>478</v>
      </c>
      <c r="G34" s="746" t="s">
        <v>27</v>
      </c>
      <c r="H34" s="746" t="s">
        <v>536</v>
      </c>
      <c r="I34" s="746" t="s">
        <v>46</v>
      </c>
      <c r="J34" s="746" t="s">
        <v>489</v>
      </c>
      <c r="K34" s="746"/>
      <c r="L34" s="746" t="s">
        <v>20</v>
      </c>
      <c r="M34" s="746" t="s">
        <v>412</v>
      </c>
      <c r="N34" s="747">
        <v>1558667.4901069987</v>
      </c>
      <c r="O34" s="747">
        <v>184.40208282177477</v>
      </c>
      <c r="P34" s="747">
        <v>336615.61296000017</v>
      </c>
      <c r="Q34" s="747">
        <v>932802.09806419979</v>
      </c>
      <c r="R34" s="747">
        <v>110.64124969306498</v>
      </c>
      <c r="S34" s="747">
        <v>202318.42857599989</v>
      </c>
      <c r="T34" s="747">
        <v>11226396.620930379</v>
      </c>
      <c r="U34" s="747">
        <v>2337570.7708319994</v>
      </c>
      <c r="V34" s="747">
        <v>1561.9790510237565</v>
      </c>
      <c r="W34" s="747">
        <v>12412.500793117912</v>
      </c>
      <c r="X34" s="748">
        <v>4755404.047858052</v>
      </c>
      <c r="Y34" s="748">
        <v>7919433.6153190657</v>
      </c>
      <c r="Z34" s="748">
        <v>2196399.9995999997</v>
      </c>
      <c r="AA34" s="748">
        <v>3015715.614308049</v>
      </c>
      <c r="AB34" s="748">
        <v>2151085.0003592148</v>
      </c>
      <c r="AC34" s="748">
        <v>3050164.1833087984</v>
      </c>
      <c r="AD34" s="748">
        <v>3050164.1833087998</v>
      </c>
      <c r="AE34" s="748">
        <v>8178181.8310208861</v>
      </c>
      <c r="AF34" s="747">
        <v>1076538.0931588856</v>
      </c>
      <c r="AG34" s="747">
        <v>3668658.1271365327</v>
      </c>
      <c r="AH34" s="747">
        <v>0</v>
      </c>
      <c r="AI34" s="747">
        <v>1270722.4491641009</v>
      </c>
      <c r="AJ34" s="747">
        <v>5473074.6245816061</v>
      </c>
      <c r="AK34" s="747">
        <v>19984.360317525694</v>
      </c>
      <c r="AL34" s="747">
        <v>1270722.4491641009</v>
      </c>
      <c r="AM34" s="747">
        <v>5483122.424324071</v>
      </c>
      <c r="AN34" s="747">
        <v>19984.360317525694</v>
      </c>
      <c r="AO34" s="747">
        <v>159.44396843375881</v>
      </c>
      <c r="AP34" s="747">
        <v>1074.3108557385603</v>
      </c>
      <c r="AQ34" s="748">
        <v>204640.3132</v>
      </c>
      <c r="AR34" s="748">
        <v>152645.2409</v>
      </c>
      <c r="AS34" s="748">
        <v>876537.52150000003</v>
      </c>
      <c r="AT34" s="748">
        <v>962576.9239999993</v>
      </c>
      <c r="AU34" s="747">
        <v>3477671.5482922834</v>
      </c>
      <c r="AV34" s="747">
        <v>2549425.2823693785</v>
      </c>
      <c r="AW34" s="747">
        <v>23186.492336642223</v>
      </c>
      <c r="AX34" s="747">
        <v>0</v>
      </c>
      <c r="AY34" s="747">
        <v>17337.862898630494</v>
      </c>
      <c r="AZ34" s="749">
        <v>0.56000000000000005</v>
      </c>
      <c r="BA34" s="750">
        <f t="shared" si="4"/>
        <v>297304.60690667143</v>
      </c>
      <c r="BB34" s="750">
        <f t="shared" si="5"/>
        <v>219412.11761967762</v>
      </c>
      <c r="BC34" s="751">
        <f t="shared" si="12"/>
        <v>1117062.4483941584</v>
      </c>
      <c r="BD34" s="751">
        <f t="shared" si="13"/>
        <v>3668658.1271365327</v>
      </c>
      <c r="BE34" s="751">
        <f t="shared" si="14"/>
        <v>4682279.1484934436</v>
      </c>
      <c r="BF34" s="751">
        <f t="shared" si="15"/>
        <v>3495902.6825274331</v>
      </c>
      <c r="BG34" s="752">
        <f t="shared" si="11"/>
        <v>11.619345868528901</v>
      </c>
      <c r="BH34" s="763">
        <f t="shared" si="0"/>
        <v>96138.15278704559</v>
      </c>
      <c r="BI34" s="763">
        <f t="shared" si="1"/>
        <v>315737.06202111818</v>
      </c>
      <c r="BJ34" s="763">
        <f t="shared" si="2"/>
        <v>402972.69755739323</v>
      </c>
      <c r="BK34" s="763">
        <f t="shared" si="3"/>
        <v>300869.14720355434</v>
      </c>
    </row>
    <row r="35" spans="1:63">
      <c r="A35" s="669"/>
      <c r="B35" s="754">
        <v>2028</v>
      </c>
      <c r="C35" s="755" t="s">
        <v>13</v>
      </c>
      <c r="D35" s="755" t="s">
        <v>537</v>
      </c>
      <c r="E35" s="755" t="s">
        <v>538</v>
      </c>
      <c r="F35" s="755" t="s">
        <v>478</v>
      </c>
      <c r="G35" s="755" t="s">
        <v>27</v>
      </c>
      <c r="H35" s="755" t="s">
        <v>536</v>
      </c>
      <c r="I35" s="755" t="s">
        <v>46</v>
      </c>
      <c r="J35" s="755" t="s">
        <v>17</v>
      </c>
      <c r="K35" s="755"/>
      <c r="L35" s="755" t="s">
        <v>20</v>
      </c>
      <c r="M35" s="755" t="s">
        <v>412</v>
      </c>
      <c r="N35" s="756">
        <v>0</v>
      </c>
      <c r="O35" s="756">
        <v>0</v>
      </c>
      <c r="P35" s="756">
        <v>0</v>
      </c>
      <c r="Q35" s="756">
        <v>0</v>
      </c>
      <c r="R35" s="756">
        <v>0</v>
      </c>
      <c r="S35" s="756">
        <v>0</v>
      </c>
      <c r="T35" s="756">
        <v>0</v>
      </c>
      <c r="U35" s="756">
        <v>0</v>
      </c>
      <c r="V35" s="756">
        <v>0</v>
      </c>
      <c r="W35" s="756">
        <v>0</v>
      </c>
      <c r="X35" s="757">
        <v>0</v>
      </c>
      <c r="Y35" s="757">
        <v>0</v>
      </c>
      <c r="Z35" s="757">
        <v>14950.667600000001</v>
      </c>
      <c r="AA35" s="757">
        <v>14950.667600000001</v>
      </c>
      <c r="AB35" s="757">
        <v>14950.667600000001</v>
      </c>
      <c r="AC35" s="757">
        <v>14950.667600000001</v>
      </c>
      <c r="AD35" s="757">
        <v>14950.667600000001</v>
      </c>
      <c r="AE35" s="757">
        <v>14950.667600000001</v>
      </c>
      <c r="AF35" s="756">
        <v>0</v>
      </c>
      <c r="AG35" s="756">
        <v>0</v>
      </c>
      <c r="AH35" s="756">
        <v>0</v>
      </c>
      <c r="AI35" s="756">
        <v>0</v>
      </c>
      <c r="AJ35" s="756">
        <v>0</v>
      </c>
      <c r="AK35" s="756">
        <v>0</v>
      </c>
      <c r="AL35" s="756">
        <v>0</v>
      </c>
      <c r="AM35" s="756">
        <v>0</v>
      </c>
      <c r="AN35" s="756">
        <v>0</v>
      </c>
      <c r="AO35" s="756">
        <v>0</v>
      </c>
      <c r="AP35" s="756">
        <v>0</v>
      </c>
      <c r="AQ35" s="757">
        <v>14950.667600000001</v>
      </c>
      <c r="AR35" s="757">
        <v>0</v>
      </c>
      <c r="AS35" s="757">
        <v>0</v>
      </c>
      <c r="AT35" s="757">
        <v>0</v>
      </c>
      <c r="AU35" s="756">
        <v>0</v>
      </c>
      <c r="AV35" s="756">
        <v>0</v>
      </c>
      <c r="AW35" s="756">
        <v>0</v>
      </c>
      <c r="AX35" s="756">
        <v>0</v>
      </c>
      <c r="AY35" s="756">
        <v>0</v>
      </c>
      <c r="AZ35" s="758">
        <v>0.56000000000000005</v>
      </c>
      <c r="BA35" s="759" t="str">
        <f t="shared" si="4"/>
        <v/>
      </c>
      <c r="BB35" s="759" t="str">
        <f t="shared" si="5"/>
        <v/>
      </c>
      <c r="BC35" s="760">
        <f t="shared" si="12"/>
        <v>0</v>
      </c>
      <c r="BD35" s="760">
        <f t="shared" si="13"/>
        <v>0</v>
      </c>
      <c r="BE35" s="760">
        <f t="shared" si="14"/>
        <v>8372.373856000002</v>
      </c>
      <c r="BF35" s="760">
        <f t="shared" si="15"/>
        <v>6578.2937439999996</v>
      </c>
      <c r="BG35" s="761">
        <f t="shared" si="11"/>
        <v>0</v>
      </c>
      <c r="BH35" s="762">
        <f t="shared" si="0"/>
        <v>0</v>
      </c>
      <c r="BI35" s="762">
        <f t="shared" si="1"/>
        <v>0</v>
      </c>
      <c r="BJ35" s="762">
        <f t="shared" si="2"/>
        <v>0</v>
      </c>
      <c r="BK35" s="762">
        <f t="shared" si="3"/>
        <v>0</v>
      </c>
    </row>
    <row r="36" spans="1:63">
      <c r="A36" s="669"/>
      <c r="B36" s="745">
        <v>2028</v>
      </c>
      <c r="C36" s="746" t="s">
        <v>13</v>
      </c>
      <c r="D36" s="746" t="s">
        <v>539</v>
      </c>
      <c r="E36" s="746" t="s">
        <v>540</v>
      </c>
      <c r="F36" s="746" t="s">
        <v>478</v>
      </c>
      <c r="G36" s="746" t="s">
        <v>50</v>
      </c>
      <c r="H36" s="746" t="s">
        <v>541</v>
      </c>
      <c r="I36" s="746" t="s">
        <v>542</v>
      </c>
      <c r="J36" s="746" t="s">
        <v>489</v>
      </c>
      <c r="K36" s="746"/>
      <c r="L36" s="746" t="s">
        <v>29</v>
      </c>
      <c r="M36" s="746" t="s">
        <v>412</v>
      </c>
      <c r="N36" s="747">
        <v>0</v>
      </c>
      <c r="O36" s="747">
        <v>0</v>
      </c>
      <c r="P36" s="747">
        <v>0</v>
      </c>
      <c r="Q36" s="747">
        <v>0</v>
      </c>
      <c r="R36" s="747">
        <v>0</v>
      </c>
      <c r="S36" s="747">
        <v>0</v>
      </c>
      <c r="T36" s="747">
        <v>0</v>
      </c>
      <c r="U36" s="747">
        <v>0</v>
      </c>
      <c r="V36" s="747">
        <v>0</v>
      </c>
      <c r="W36" s="747">
        <v>0</v>
      </c>
      <c r="X36" s="748">
        <v>0</v>
      </c>
      <c r="Y36" s="748">
        <v>0</v>
      </c>
      <c r="Z36" s="748">
        <v>109120</v>
      </c>
      <c r="AA36" s="748">
        <v>109120</v>
      </c>
      <c r="AB36" s="748">
        <v>109120</v>
      </c>
      <c r="AC36" s="748">
        <v>109120</v>
      </c>
      <c r="AD36" s="748">
        <v>109120</v>
      </c>
      <c r="AE36" s="748">
        <v>109120</v>
      </c>
      <c r="AF36" s="747">
        <v>0</v>
      </c>
      <c r="AG36" s="747">
        <v>0</v>
      </c>
      <c r="AH36" s="747">
        <v>0</v>
      </c>
      <c r="AI36" s="747">
        <v>0</v>
      </c>
      <c r="AJ36" s="747">
        <v>0</v>
      </c>
      <c r="AK36" s="747">
        <v>0</v>
      </c>
      <c r="AL36" s="747">
        <v>0</v>
      </c>
      <c r="AM36" s="747">
        <v>0</v>
      </c>
      <c r="AN36" s="747">
        <v>0</v>
      </c>
      <c r="AO36" s="747">
        <v>0</v>
      </c>
      <c r="AP36" s="747">
        <v>0</v>
      </c>
      <c r="AQ36" s="748">
        <v>1091.2</v>
      </c>
      <c r="AR36" s="748">
        <v>7638.4</v>
      </c>
      <c r="AS36" s="748">
        <v>100390.39999999999</v>
      </c>
      <c r="AT36" s="748">
        <v>0</v>
      </c>
      <c r="AU36" s="747">
        <v>0</v>
      </c>
      <c r="AV36" s="747">
        <v>0</v>
      </c>
      <c r="AW36" s="747">
        <v>0</v>
      </c>
      <c r="AX36" s="747">
        <v>0</v>
      </c>
      <c r="AY36" s="747">
        <v>0</v>
      </c>
      <c r="AZ36" s="749">
        <v>0.56000000000000005</v>
      </c>
      <c r="BA36" s="750" t="str">
        <f t="shared" si="4"/>
        <v/>
      </c>
      <c r="BB36" s="750" t="str">
        <f t="shared" si="5"/>
        <v/>
      </c>
      <c r="BC36" s="751">
        <f t="shared" si="12"/>
        <v>0</v>
      </c>
      <c r="BD36" s="751">
        <f t="shared" si="13"/>
        <v>0</v>
      </c>
      <c r="BE36" s="751">
        <f t="shared" si="14"/>
        <v>61107.200000000004</v>
      </c>
      <c r="BF36" s="751">
        <f t="shared" si="15"/>
        <v>48012.799999999996</v>
      </c>
      <c r="BG36" s="752">
        <f t="shared" si="11"/>
        <v>0</v>
      </c>
      <c r="BH36" s="763">
        <f t="shared" si="0"/>
        <v>0</v>
      </c>
      <c r="BI36" s="763">
        <f t="shared" si="1"/>
        <v>0</v>
      </c>
      <c r="BJ36" s="763">
        <f t="shared" si="2"/>
        <v>0</v>
      </c>
      <c r="BK36" s="763">
        <f t="shared" si="3"/>
        <v>0</v>
      </c>
    </row>
    <row r="37" spans="1:63">
      <c r="A37" s="669"/>
      <c r="B37" s="754">
        <v>2028</v>
      </c>
      <c r="C37" s="755" t="s">
        <v>13</v>
      </c>
      <c r="D37" s="755" t="s">
        <v>543</v>
      </c>
      <c r="E37" s="755" t="s">
        <v>544</v>
      </c>
      <c r="F37" s="755" t="s">
        <v>478</v>
      </c>
      <c r="G37" s="755" t="s">
        <v>50</v>
      </c>
      <c r="H37" s="755" t="s">
        <v>541</v>
      </c>
      <c r="I37" s="755" t="s">
        <v>542</v>
      </c>
      <c r="J37" s="755" t="s">
        <v>17</v>
      </c>
      <c r="K37" s="755"/>
      <c r="L37" s="755" t="s">
        <v>29</v>
      </c>
      <c r="M37" s="755" t="s">
        <v>412</v>
      </c>
      <c r="N37" s="756">
        <v>0</v>
      </c>
      <c r="O37" s="756">
        <v>0</v>
      </c>
      <c r="P37" s="756">
        <v>0</v>
      </c>
      <c r="Q37" s="756">
        <v>0</v>
      </c>
      <c r="R37" s="756">
        <v>0</v>
      </c>
      <c r="S37" s="756">
        <v>0</v>
      </c>
      <c r="T37" s="756">
        <v>0</v>
      </c>
      <c r="U37" s="756">
        <v>0</v>
      </c>
      <c r="V37" s="756">
        <v>0</v>
      </c>
      <c r="W37" s="756">
        <v>0</v>
      </c>
      <c r="X37" s="757">
        <v>0</v>
      </c>
      <c r="Y37" s="757">
        <v>0</v>
      </c>
      <c r="Z37" s="757">
        <v>2429.4176000000002</v>
      </c>
      <c r="AA37" s="757">
        <v>2429.4176000000002</v>
      </c>
      <c r="AB37" s="757">
        <v>2429.4176000000002</v>
      </c>
      <c r="AC37" s="757">
        <v>2429.4176000000002</v>
      </c>
      <c r="AD37" s="757">
        <v>2429.4176000000002</v>
      </c>
      <c r="AE37" s="757">
        <v>2429.4176000000002</v>
      </c>
      <c r="AF37" s="756">
        <v>0</v>
      </c>
      <c r="AG37" s="756">
        <v>0</v>
      </c>
      <c r="AH37" s="756">
        <v>0</v>
      </c>
      <c r="AI37" s="756">
        <v>0</v>
      </c>
      <c r="AJ37" s="756">
        <v>0</v>
      </c>
      <c r="AK37" s="756">
        <v>0</v>
      </c>
      <c r="AL37" s="756">
        <v>0</v>
      </c>
      <c r="AM37" s="756">
        <v>0</v>
      </c>
      <c r="AN37" s="756">
        <v>0</v>
      </c>
      <c r="AO37" s="756">
        <v>0</v>
      </c>
      <c r="AP37" s="756">
        <v>0</v>
      </c>
      <c r="AQ37" s="757">
        <v>2429.4176000000002</v>
      </c>
      <c r="AR37" s="757">
        <v>0</v>
      </c>
      <c r="AS37" s="757">
        <v>0</v>
      </c>
      <c r="AT37" s="757">
        <v>0</v>
      </c>
      <c r="AU37" s="756">
        <v>0</v>
      </c>
      <c r="AV37" s="756">
        <v>0</v>
      </c>
      <c r="AW37" s="756">
        <v>0</v>
      </c>
      <c r="AX37" s="756">
        <v>0</v>
      </c>
      <c r="AY37" s="756">
        <v>0</v>
      </c>
      <c r="AZ37" s="758">
        <v>0.56000000000000005</v>
      </c>
      <c r="BA37" s="759" t="str">
        <f t="shared" si="4"/>
        <v/>
      </c>
      <c r="BB37" s="759" t="str">
        <f t="shared" si="5"/>
        <v/>
      </c>
      <c r="BC37" s="760">
        <f t="shared" si="12"/>
        <v>0</v>
      </c>
      <c r="BD37" s="760">
        <f t="shared" si="13"/>
        <v>0</v>
      </c>
      <c r="BE37" s="760">
        <f t="shared" si="14"/>
        <v>1360.4738560000003</v>
      </c>
      <c r="BF37" s="760">
        <f t="shared" si="15"/>
        <v>1068.9437439999999</v>
      </c>
      <c r="BG37" s="761">
        <f t="shared" si="11"/>
        <v>0</v>
      </c>
      <c r="BH37" s="762">
        <f t="shared" si="0"/>
        <v>0</v>
      </c>
      <c r="BI37" s="762">
        <f t="shared" si="1"/>
        <v>0</v>
      </c>
      <c r="BJ37" s="762">
        <f t="shared" si="2"/>
        <v>0</v>
      </c>
      <c r="BK37" s="762">
        <f t="shared" si="3"/>
        <v>0</v>
      </c>
    </row>
    <row r="38" spans="1:63">
      <c r="A38" s="669"/>
      <c r="B38" s="745">
        <v>2028</v>
      </c>
      <c r="C38" s="746" t="s">
        <v>13</v>
      </c>
      <c r="D38" s="746" t="s">
        <v>545</v>
      </c>
      <c r="E38" s="746" t="s">
        <v>546</v>
      </c>
      <c r="F38" s="746" t="s">
        <v>478</v>
      </c>
      <c r="G38" s="746" t="s">
        <v>50</v>
      </c>
      <c r="H38" s="746" t="s">
        <v>547</v>
      </c>
      <c r="I38" s="746" t="s">
        <v>542</v>
      </c>
      <c r="J38" s="746" t="s">
        <v>489</v>
      </c>
      <c r="K38" s="746"/>
      <c r="L38" s="746" t="s">
        <v>36</v>
      </c>
      <c r="M38" s="746" t="s">
        <v>412</v>
      </c>
      <c r="N38" s="747">
        <v>0</v>
      </c>
      <c r="O38" s="747">
        <v>0</v>
      </c>
      <c r="P38" s="747">
        <v>0</v>
      </c>
      <c r="Q38" s="747">
        <v>0</v>
      </c>
      <c r="R38" s="747">
        <v>0</v>
      </c>
      <c r="S38" s="747">
        <v>0</v>
      </c>
      <c r="T38" s="747">
        <v>0</v>
      </c>
      <c r="U38" s="747">
        <v>0</v>
      </c>
      <c r="V38" s="747">
        <v>0</v>
      </c>
      <c r="W38" s="747">
        <v>0</v>
      </c>
      <c r="X38" s="748">
        <v>0</v>
      </c>
      <c r="Y38" s="748">
        <v>0</v>
      </c>
      <c r="Z38" s="748">
        <v>218240</v>
      </c>
      <c r="AA38" s="748">
        <v>218240</v>
      </c>
      <c r="AB38" s="748">
        <v>218240</v>
      </c>
      <c r="AC38" s="748">
        <v>218240</v>
      </c>
      <c r="AD38" s="748">
        <v>218240</v>
      </c>
      <c r="AE38" s="748">
        <v>218240</v>
      </c>
      <c r="AF38" s="747">
        <v>0</v>
      </c>
      <c r="AG38" s="747">
        <v>0</v>
      </c>
      <c r="AH38" s="747">
        <v>0</v>
      </c>
      <c r="AI38" s="747">
        <v>0</v>
      </c>
      <c r="AJ38" s="747">
        <v>0</v>
      </c>
      <c r="AK38" s="747">
        <v>0</v>
      </c>
      <c r="AL38" s="747">
        <v>0</v>
      </c>
      <c r="AM38" s="747">
        <v>0</v>
      </c>
      <c r="AN38" s="747">
        <v>0</v>
      </c>
      <c r="AO38" s="747">
        <v>0</v>
      </c>
      <c r="AP38" s="747">
        <v>0</v>
      </c>
      <c r="AQ38" s="748">
        <v>21824</v>
      </c>
      <c r="AR38" s="748">
        <v>13094.4</v>
      </c>
      <c r="AS38" s="748">
        <v>183321.60000000001</v>
      </c>
      <c r="AT38" s="748">
        <v>0</v>
      </c>
      <c r="AU38" s="747">
        <v>0</v>
      </c>
      <c r="AV38" s="747">
        <v>0</v>
      </c>
      <c r="AW38" s="747">
        <v>0</v>
      </c>
      <c r="AX38" s="747">
        <v>0</v>
      </c>
      <c r="AY38" s="747">
        <v>0</v>
      </c>
      <c r="AZ38" s="749">
        <v>0.56000000000000005</v>
      </c>
      <c r="BA38" s="750" t="str">
        <f t="shared" si="4"/>
        <v/>
      </c>
      <c r="BB38" s="750" t="str">
        <f t="shared" si="5"/>
        <v/>
      </c>
      <c r="BC38" s="751">
        <f t="shared" si="12"/>
        <v>0</v>
      </c>
      <c r="BD38" s="751">
        <f t="shared" si="13"/>
        <v>0</v>
      </c>
      <c r="BE38" s="751">
        <f t="shared" si="14"/>
        <v>122214.40000000001</v>
      </c>
      <c r="BF38" s="751">
        <f t="shared" si="15"/>
        <v>96025.599999999991</v>
      </c>
      <c r="BG38" s="752">
        <f t="shared" si="11"/>
        <v>0</v>
      </c>
      <c r="BH38" s="763">
        <f t="shared" si="0"/>
        <v>0</v>
      </c>
      <c r="BI38" s="763">
        <f t="shared" si="1"/>
        <v>0</v>
      </c>
      <c r="BJ38" s="763">
        <f t="shared" si="2"/>
        <v>0</v>
      </c>
      <c r="BK38" s="763">
        <f t="shared" si="3"/>
        <v>0</v>
      </c>
    </row>
    <row r="39" spans="1:63">
      <c r="A39" s="669"/>
      <c r="B39" s="754">
        <v>2028</v>
      </c>
      <c r="C39" s="755" t="s">
        <v>13</v>
      </c>
      <c r="D39" s="755" t="s">
        <v>548</v>
      </c>
      <c r="E39" s="755" t="s">
        <v>549</v>
      </c>
      <c r="F39" s="755" t="s">
        <v>478</v>
      </c>
      <c r="G39" s="755" t="s">
        <v>50</v>
      </c>
      <c r="H39" s="755" t="s">
        <v>547</v>
      </c>
      <c r="I39" s="755" t="s">
        <v>542</v>
      </c>
      <c r="J39" s="755" t="s">
        <v>17</v>
      </c>
      <c r="K39" s="755"/>
      <c r="L39" s="755" t="s">
        <v>36</v>
      </c>
      <c r="M39" s="755" t="s">
        <v>412</v>
      </c>
      <c r="N39" s="756">
        <v>0</v>
      </c>
      <c r="O39" s="756">
        <v>0</v>
      </c>
      <c r="P39" s="756">
        <v>0</v>
      </c>
      <c r="Q39" s="756">
        <v>0</v>
      </c>
      <c r="R39" s="756">
        <v>0</v>
      </c>
      <c r="S39" s="756">
        <v>0</v>
      </c>
      <c r="T39" s="756">
        <v>0</v>
      </c>
      <c r="U39" s="756">
        <v>0</v>
      </c>
      <c r="V39" s="756">
        <v>0</v>
      </c>
      <c r="W39" s="756">
        <v>0</v>
      </c>
      <c r="X39" s="757">
        <v>0</v>
      </c>
      <c r="Y39" s="757">
        <v>0</v>
      </c>
      <c r="Z39" s="757">
        <v>3084.0176000000001</v>
      </c>
      <c r="AA39" s="757">
        <v>3084.0176000000001</v>
      </c>
      <c r="AB39" s="757">
        <v>3084.0176000000001</v>
      </c>
      <c r="AC39" s="757">
        <v>3084.0176000000001</v>
      </c>
      <c r="AD39" s="757">
        <v>3084.0176000000001</v>
      </c>
      <c r="AE39" s="757">
        <v>3084.0176000000001</v>
      </c>
      <c r="AF39" s="756">
        <v>0</v>
      </c>
      <c r="AG39" s="756">
        <v>0</v>
      </c>
      <c r="AH39" s="756">
        <v>0</v>
      </c>
      <c r="AI39" s="756">
        <v>0</v>
      </c>
      <c r="AJ39" s="756">
        <v>0</v>
      </c>
      <c r="AK39" s="756">
        <v>0</v>
      </c>
      <c r="AL39" s="756">
        <v>0</v>
      </c>
      <c r="AM39" s="756">
        <v>0</v>
      </c>
      <c r="AN39" s="756">
        <v>0</v>
      </c>
      <c r="AO39" s="756">
        <v>0</v>
      </c>
      <c r="AP39" s="756">
        <v>0</v>
      </c>
      <c r="AQ39" s="757">
        <v>3084.0176000000001</v>
      </c>
      <c r="AR39" s="757">
        <v>0</v>
      </c>
      <c r="AS39" s="757">
        <v>0</v>
      </c>
      <c r="AT39" s="757">
        <v>0</v>
      </c>
      <c r="AU39" s="756">
        <v>0</v>
      </c>
      <c r="AV39" s="756">
        <v>0</v>
      </c>
      <c r="AW39" s="756">
        <v>0</v>
      </c>
      <c r="AX39" s="756">
        <v>0</v>
      </c>
      <c r="AY39" s="756">
        <v>0</v>
      </c>
      <c r="AZ39" s="758">
        <v>0.56000000000000005</v>
      </c>
      <c r="BA39" s="759" t="str">
        <f t="shared" si="4"/>
        <v/>
      </c>
      <c r="BB39" s="759" t="str">
        <f t="shared" si="5"/>
        <v/>
      </c>
      <c r="BC39" s="760">
        <f t="shared" si="12"/>
        <v>0</v>
      </c>
      <c r="BD39" s="760">
        <f t="shared" si="13"/>
        <v>0</v>
      </c>
      <c r="BE39" s="760">
        <f t="shared" si="14"/>
        <v>1727.0498560000003</v>
      </c>
      <c r="BF39" s="760">
        <f t="shared" si="15"/>
        <v>1356.9677439999998</v>
      </c>
      <c r="BG39" s="761">
        <f t="shared" si="11"/>
        <v>0</v>
      </c>
      <c r="BH39" s="762">
        <f t="shared" si="0"/>
        <v>0</v>
      </c>
      <c r="BI39" s="762">
        <f t="shared" si="1"/>
        <v>0</v>
      </c>
      <c r="BJ39" s="762">
        <f t="shared" si="2"/>
        <v>0</v>
      </c>
      <c r="BK39" s="762">
        <f t="shared" si="3"/>
        <v>0</v>
      </c>
    </row>
    <row r="40" spans="1:63">
      <c r="A40" s="669"/>
      <c r="B40" s="745">
        <v>2028</v>
      </c>
      <c r="C40" s="746" t="s">
        <v>13</v>
      </c>
      <c r="D40" s="746" t="s">
        <v>550</v>
      </c>
      <c r="E40" s="746" t="s">
        <v>551</v>
      </c>
      <c r="F40" s="746" t="s">
        <v>552</v>
      </c>
      <c r="G40" s="746" t="s">
        <v>18</v>
      </c>
      <c r="H40" s="746" t="s">
        <v>553</v>
      </c>
      <c r="I40" s="746" t="s">
        <v>46</v>
      </c>
      <c r="J40" s="746" t="s">
        <v>489</v>
      </c>
      <c r="K40" s="746"/>
      <c r="L40" s="746" t="s">
        <v>29</v>
      </c>
      <c r="M40" s="746" t="s">
        <v>412</v>
      </c>
      <c r="N40" s="747">
        <v>0</v>
      </c>
      <c r="O40" s="747">
        <v>0</v>
      </c>
      <c r="P40" s="747">
        <v>0</v>
      </c>
      <c r="Q40" s="747">
        <v>0</v>
      </c>
      <c r="R40" s="747">
        <v>0</v>
      </c>
      <c r="S40" s="747">
        <v>0</v>
      </c>
      <c r="T40" s="747">
        <v>0</v>
      </c>
      <c r="U40" s="747">
        <v>0</v>
      </c>
      <c r="V40" s="747">
        <v>0</v>
      </c>
      <c r="W40" s="747">
        <v>0</v>
      </c>
      <c r="X40" s="748">
        <v>0</v>
      </c>
      <c r="Y40" s="748">
        <v>0</v>
      </c>
      <c r="Z40" s="748">
        <v>684480</v>
      </c>
      <c r="AA40" s="748">
        <v>684480</v>
      </c>
      <c r="AB40" s="748">
        <v>684480</v>
      </c>
      <c r="AC40" s="748">
        <v>684480</v>
      </c>
      <c r="AD40" s="748">
        <v>684480</v>
      </c>
      <c r="AE40" s="748">
        <v>684480</v>
      </c>
      <c r="AF40" s="747">
        <v>0</v>
      </c>
      <c r="AG40" s="747">
        <v>0</v>
      </c>
      <c r="AH40" s="747">
        <v>0</v>
      </c>
      <c r="AI40" s="747">
        <v>0</v>
      </c>
      <c r="AJ40" s="747">
        <v>0</v>
      </c>
      <c r="AK40" s="747">
        <v>0</v>
      </c>
      <c r="AL40" s="747">
        <v>0</v>
      </c>
      <c r="AM40" s="747">
        <v>0</v>
      </c>
      <c r="AN40" s="747">
        <v>0</v>
      </c>
      <c r="AO40" s="747">
        <v>0</v>
      </c>
      <c r="AP40" s="747">
        <v>0</v>
      </c>
      <c r="AQ40" s="748">
        <v>34224</v>
      </c>
      <c r="AR40" s="748">
        <v>34224</v>
      </c>
      <c r="AS40" s="748">
        <v>174964</v>
      </c>
      <c r="AT40" s="748">
        <v>441068</v>
      </c>
      <c r="AU40" s="747">
        <v>0</v>
      </c>
      <c r="AV40" s="747">
        <v>0</v>
      </c>
      <c r="AW40" s="747">
        <v>0</v>
      </c>
      <c r="AX40" s="747">
        <v>0</v>
      </c>
      <c r="AY40" s="747">
        <v>0</v>
      </c>
      <c r="AZ40" s="749">
        <v>0.56000000000000005</v>
      </c>
      <c r="BA40" s="750" t="str">
        <f t="shared" si="4"/>
        <v/>
      </c>
      <c r="BB40" s="750" t="str">
        <f t="shared" si="5"/>
        <v/>
      </c>
      <c r="BC40" s="751">
        <f t="shared" si="12"/>
        <v>0</v>
      </c>
      <c r="BD40" s="751">
        <f t="shared" si="13"/>
        <v>0</v>
      </c>
      <c r="BE40" s="751">
        <f t="shared" si="14"/>
        <v>383308.80000000005</v>
      </c>
      <c r="BF40" s="751">
        <f t="shared" si="15"/>
        <v>301171.19999999995</v>
      </c>
      <c r="BG40" s="752">
        <f t="shared" si="11"/>
        <v>0</v>
      </c>
      <c r="BH40" s="763">
        <f t="shared" si="0"/>
        <v>0</v>
      </c>
      <c r="BI40" s="763">
        <f t="shared" si="1"/>
        <v>0</v>
      </c>
      <c r="BJ40" s="763">
        <f t="shared" si="2"/>
        <v>0</v>
      </c>
      <c r="BK40" s="763">
        <f t="shared" si="3"/>
        <v>0</v>
      </c>
    </row>
    <row r="41" spans="1:63">
      <c r="A41" s="669"/>
      <c r="B41" s="754">
        <v>2028</v>
      </c>
      <c r="C41" s="755" t="s">
        <v>13</v>
      </c>
      <c r="D41" s="755" t="s">
        <v>554</v>
      </c>
      <c r="E41" s="755" t="s">
        <v>555</v>
      </c>
      <c r="F41" s="755" t="s">
        <v>552</v>
      </c>
      <c r="G41" s="755" t="s">
        <v>18</v>
      </c>
      <c r="H41" s="755" t="s">
        <v>553</v>
      </c>
      <c r="I41" s="755" t="s">
        <v>46</v>
      </c>
      <c r="J41" s="755" t="s">
        <v>17</v>
      </c>
      <c r="K41" s="755"/>
      <c r="L41" s="755" t="s">
        <v>29</v>
      </c>
      <c r="M41" s="755" t="s">
        <v>412</v>
      </c>
      <c r="N41" s="756">
        <v>0</v>
      </c>
      <c r="O41" s="756">
        <v>0</v>
      </c>
      <c r="P41" s="756">
        <v>0</v>
      </c>
      <c r="Q41" s="756">
        <v>0</v>
      </c>
      <c r="R41" s="756">
        <v>0</v>
      </c>
      <c r="S41" s="756">
        <v>0</v>
      </c>
      <c r="T41" s="756">
        <v>0</v>
      </c>
      <c r="U41" s="756">
        <v>0</v>
      </c>
      <c r="V41" s="756">
        <v>0</v>
      </c>
      <c r="W41" s="756">
        <v>0</v>
      </c>
      <c r="X41" s="757">
        <v>0</v>
      </c>
      <c r="Y41" s="757">
        <v>0</v>
      </c>
      <c r="Z41" s="757">
        <v>304452.50900000002</v>
      </c>
      <c r="AA41" s="757">
        <v>304452.50900000002</v>
      </c>
      <c r="AB41" s="757">
        <v>304452.50900000002</v>
      </c>
      <c r="AC41" s="757">
        <v>304452.50900000002</v>
      </c>
      <c r="AD41" s="757">
        <v>304452.50900000002</v>
      </c>
      <c r="AE41" s="757">
        <v>304452.50900000002</v>
      </c>
      <c r="AF41" s="756">
        <v>0</v>
      </c>
      <c r="AG41" s="756">
        <v>0</v>
      </c>
      <c r="AH41" s="756">
        <v>0</v>
      </c>
      <c r="AI41" s="756">
        <v>0</v>
      </c>
      <c r="AJ41" s="756">
        <v>0</v>
      </c>
      <c r="AK41" s="756">
        <v>0</v>
      </c>
      <c r="AL41" s="756">
        <v>0</v>
      </c>
      <c r="AM41" s="756">
        <v>0</v>
      </c>
      <c r="AN41" s="756">
        <v>0</v>
      </c>
      <c r="AO41" s="756">
        <v>0</v>
      </c>
      <c r="AP41" s="756">
        <v>0</v>
      </c>
      <c r="AQ41" s="757">
        <v>247612.10680000001</v>
      </c>
      <c r="AR41" s="757">
        <v>728.73059999999998</v>
      </c>
      <c r="AS41" s="757">
        <v>56111.671600000001</v>
      </c>
      <c r="AT41" s="757">
        <v>0</v>
      </c>
      <c r="AU41" s="756">
        <v>0</v>
      </c>
      <c r="AV41" s="756">
        <v>0</v>
      </c>
      <c r="AW41" s="756">
        <v>0</v>
      </c>
      <c r="AX41" s="756">
        <v>0</v>
      </c>
      <c r="AY41" s="756">
        <v>0</v>
      </c>
      <c r="AZ41" s="758">
        <v>0.56000000000000005</v>
      </c>
      <c r="BA41" s="759" t="str">
        <f t="shared" si="4"/>
        <v/>
      </c>
      <c r="BB41" s="759" t="str">
        <f t="shared" si="5"/>
        <v/>
      </c>
      <c r="BC41" s="760">
        <f t="shared" si="12"/>
        <v>0</v>
      </c>
      <c r="BD41" s="760">
        <f t="shared" si="13"/>
        <v>0</v>
      </c>
      <c r="BE41" s="760">
        <f t="shared" si="14"/>
        <v>170493.40504000004</v>
      </c>
      <c r="BF41" s="760">
        <f t="shared" si="15"/>
        <v>133959.10395999998</v>
      </c>
      <c r="BG41" s="761">
        <f t="shared" si="11"/>
        <v>0</v>
      </c>
      <c r="BH41" s="762">
        <f t="shared" si="0"/>
        <v>0</v>
      </c>
      <c r="BI41" s="762">
        <f t="shared" si="1"/>
        <v>0</v>
      </c>
      <c r="BJ41" s="762">
        <f t="shared" si="2"/>
        <v>0</v>
      </c>
      <c r="BK41" s="762">
        <f t="shared" si="3"/>
        <v>0</v>
      </c>
    </row>
    <row r="42" spans="1:63">
      <c r="A42" s="669"/>
      <c r="B42" s="745">
        <v>2028</v>
      </c>
      <c r="C42" s="746" t="s">
        <v>13</v>
      </c>
      <c r="D42" s="746" t="s">
        <v>556</v>
      </c>
      <c r="E42" s="746" t="s">
        <v>557</v>
      </c>
      <c r="F42" s="746" t="s">
        <v>478</v>
      </c>
      <c r="G42" s="746" t="s">
        <v>50</v>
      </c>
      <c r="H42" s="746" t="s">
        <v>558</v>
      </c>
      <c r="I42" s="746" t="s">
        <v>515</v>
      </c>
      <c r="J42" s="746" t="s">
        <v>489</v>
      </c>
      <c r="K42" s="746"/>
      <c r="L42" s="746" t="s">
        <v>29</v>
      </c>
      <c r="M42" s="746" t="s">
        <v>412</v>
      </c>
      <c r="N42" s="747">
        <v>0</v>
      </c>
      <c r="O42" s="747">
        <v>0</v>
      </c>
      <c r="P42" s="747">
        <v>0</v>
      </c>
      <c r="Q42" s="747">
        <v>0</v>
      </c>
      <c r="R42" s="747">
        <v>0</v>
      </c>
      <c r="S42" s="747">
        <v>0</v>
      </c>
      <c r="T42" s="747">
        <v>0</v>
      </c>
      <c r="U42" s="747">
        <v>0</v>
      </c>
      <c r="V42" s="747">
        <v>0</v>
      </c>
      <c r="W42" s="747">
        <v>0</v>
      </c>
      <c r="X42" s="748">
        <v>0</v>
      </c>
      <c r="Y42" s="748">
        <v>0</v>
      </c>
      <c r="Z42" s="748">
        <v>495000</v>
      </c>
      <c r="AA42" s="748">
        <v>495000</v>
      </c>
      <c r="AB42" s="748">
        <v>495000</v>
      </c>
      <c r="AC42" s="748">
        <v>495000</v>
      </c>
      <c r="AD42" s="748">
        <v>495000</v>
      </c>
      <c r="AE42" s="748">
        <v>495000</v>
      </c>
      <c r="AF42" s="747">
        <v>0</v>
      </c>
      <c r="AG42" s="747">
        <v>0</v>
      </c>
      <c r="AH42" s="747">
        <v>0</v>
      </c>
      <c r="AI42" s="747">
        <v>0</v>
      </c>
      <c r="AJ42" s="747">
        <v>0</v>
      </c>
      <c r="AK42" s="747">
        <v>0</v>
      </c>
      <c r="AL42" s="747">
        <v>0</v>
      </c>
      <c r="AM42" s="747">
        <v>0</v>
      </c>
      <c r="AN42" s="747">
        <v>0</v>
      </c>
      <c r="AO42" s="747">
        <v>0</v>
      </c>
      <c r="AP42" s="747">
        <v>0</v>
      </c>
      <c r="AQ42" s="748">
        <v>6600</v>
      </c>
      <c r="AR42" s="748">
        <v>1914</v>
      </c>
      <c r="AS42" s="748">
        <v>486486</v>
      </c>
      <c r="AT42" s="748">
        <v>0</v>
      </c>
      <c r="AU42" s="747">
        <v>0</v>
      </c>
      <c r="AV42" s="747">
        <v>0</v>
      </c>
      <c r="AW42" s="747">
        <v>0</v>
      </c>
      <c r="AX42" s="747">
        <v>0</v>
      </c>
      <c r="AY42" s="747">
        <v>0</v>
      </c>
      <c r="AZ42" s="749">
        <v>0.56000000000000005</v>
      </c>
      <c r="BA42" s="750" t="str">
        <f t="shared" si="4"/>
        <v/>
      </c>
      <c r="BB42" s="750" t="str">
        <f t="shared" si="5"/>
        <v/>
      </c>
      <c r="BC42" s="751">
        <f t="shared" si="12"/>
        <v>0</v>
      </c>
      <c r="BD42" s="751">
        <f t="shared" si="13"/>
        <v>0</v>
      </c>
      <c r="BE42" s="751">
        <f t="shared" si="14"/>
        <v>277200</v>
      </c>
      <c r="BF42" s="751">
        <f t="shared" si="15"/>
        <v>217799.99999999997</v>
      </c>
      <c r="BG42" s="752">
        <f t="shared" si="11"/>
        <v>0</v>
      </c>
      <c r="BH42" s="763">
        <f t="shared" si="0"/>
        <v>0</v>
      </c>
      <c r="BI42" s="763">
        <f t="shared" si="1"/>
        <v>0</v>
      </c>
      <c r="BJ42" s="763">
        <f t="shared" si="2"/>
        <v>0</v>
      </c>
      <c r="BK42" s="763">
        <f t="shared" si="3"/>
        <v>0</v>
      </c>
    </row>
    <row r="43" spans="1:63">
      <c r="A43" s="669"/>
      <c r="B43" s="754">
        <v>2028</v>
      </c>
      <c r="C43" s="755" t="s">
        <v>13</v>
      </c>
      <c r="D43" s="755" t="s">
        <v>559</v>
      </c>
      <c r="E43" s="755" t="s">
        <v>560</v>
      </c>
      <c r="F43" s="755" t="s">
        <v>478</v>
      </c>
      <c r="G43" s="755" t="s">
        <v>50</v>
      </c>
      <c r="H43" s="755" t="s">
        <v>558</v>
      </c>
      <c r="I43" s="755" t="s">
        <v>515</v>
      </c>
      <c r="J43" s="755" t="s">
        <v>17</v>
      </c>
      <c r="K43" s="755"/>
      <c r="L43" s="755" t="s">
        <v>29</v>
      </c>
      <c r="M43" s="755" t="s">
        <v>412</v>
      </c>
      <c r="N43" s="756">
        <v>0</v>
      </c>
      <c r="O43" s="756">
        <v>0</v>
      </c>
      <c r="P43" s="756">
        <v>0</v>
      </c>
      <c r="Q43" s="756">
        <v>0</v>
      </c>
      <c r="R43" s="756">
        <v>0</v>
      </c>
      <c r="S43" s="756">
        <v>0</v>
      </c>
      <c r="T43" s="756">
        <v>0</v>
      </c>
      <c r="U43" s="756">
        <v>0</v>
      </c>
      <c r="V43" s="756">
        <v>0</v>
      </c>
      <c r="W43" s="756">
        <v>0</v>
      </c>
      <c r="X43" s="757">
        <v>0</v>
      </c>
      <c r="Y43" s="757">
        <v>0</v>
      </c>
      <c r="Z43" s="757">
        <v>12871.882900000001</v>
      </c>
      <c r="AA43" s="757">
        <v>12871.882900000001</v>
      </c>
      <c r="AB43" s="757">
        <v>12871.882900000001</v>
      </c>
      <c r="AC43" s="757">
        <v>12871.882900000001</v>
      </c>
      <c r="AD43" s="757">
        <v>12871.882900000001</v>
      </c>
      <c r="AE43" s="757">
        <v>12871.882900000001</v>
      </c>
      <c r="AF43" s="756">
        <v>0</v>
      </c>
      <c r="AG43" s="756">
        <v>0</v>
      </c>
      <c r="AH43" s="756">
        <v>0</v>
      </c>
      <c r="AI43" s="756">
        <v>0</v>
      </c>
      <c r="AJ43" s="756">
        <v>0</v>
      </c>
      <c r="AK43" s="756">
        <v>0</v>
      </c>
      <c r="AL43" s="756">
        <v>0</v>
      </c>
      <c r="AM43" s="756">
        <v>0</v>
      </c>
      <c r="AN43" s="756">
        <v>0</v>
      </c>
      <c r="AO43" s="756">
        <v>0</v>
      </c>
      <c r="AP43" s="756">
        <v>0</v>
      </c>
      <c r="AQ43" s="757">
        <v>6196.8728000000001</v>
      </c>
      <c r="AR43" s="757">
        <v>0</v>
      </c>
      <c r="AS43" s="757">
        <v>6675.0101000000004</v>
      </c>
      <c r="AT43" s="757">
        <v>0</v>
      </c>
      <c r="AU43" s="756">
        <v>0</v>
      </c>
      <c r="AV43" s="756">
        <v>0</v>
      </c>
      <c r="AW43" s="756">
        <v>0</v>
      </c>
      <c r="AX43" s="756">
        <v>0</v>
      </c>
      <c r="AY43" s="756">
        <v>0</v>
      </c>
      <c r="AZ43" s="758">
        <v>0.56000000000000005</v>
      </c>
      <c r="BA43" s="759" t="str">
        <f t="shared" si="4"/>
        <v/>
      </c>
      <c r="BB43" s="759" t="str">
        <f t="shared" si="5"/>
        <v/>
      </c>
      <c r="BC43" s="760">
        <f t="shared" si="12"/>
        <v>0</v>
      </c>
      <c r="BD43" s="760">
        <f t="shared" si="13"/>
        <v>0</v>
      </c>
      <c r="BE43" s="760">
        <f t="shared" si="14"/>
        <v>7208.2544240000007</v>
      </c>
      <c r="BF43" s="760">
        <f t="shared" si="15"/>
        <v>5663.6284759999999</v>
      </c>
      <c r="BG43" s="761">
        <f t="shared" si="11"/>
        <v>0</v>
      </c>
      <c r="BH43" s="762">
        <f t="shared" si="0"/>
        <v>0</v>
      </c>
      <c r="BI43" s="762">
        <f t="shared" si="1"/>
        <v>0</v>
      </c>
      <c r="BJ43" s="762">
        <f t="shared" si="2"/>
        <v>0</v>
      </c>
      <c r="BK43" s="762">
        <f t="shared" si="3"/>
        <v>0</v>
      </c>
    </row>
    <row r="44" spans="1:63">
      <c r="A44" s="669"/>
      <c r="B44" s="745">
        <v>2028</v>
      </c>
      <c r="C44" s="746" t="s">
        <v>13</v>
      </c>
      <c r="D44" s="746" t="s">
        <v>561</v>
      </c>
      <c r="E44" s="746" t="s">
        <v>562</v>
      </c>
      <c r="F44" s="746" t="s">
        <v>478</v>
      </c>
      <c r="G44" s="746" t="s">
        <v>39</v>
      </c>
      <c r="H44" s="746" t="s">
        <v>563</v>
      </c>
      <c r="I44" s="746" t="s">
        <v>51</v>
      </c>
      <c r="J44" s="746" t="s">
        <v>489</v>
      </c>
      <c r="K44" s="746"/>
      <c r="L44" s="746" t="s">
        <v>29</v>
      </c>
      <c r="M44" s="746" t="s">
        <v>412</v>
      </c>
      <c r="N44" s="747">
        <v>4331.5999999999804</v>
      </c>
      <c r="O44" s="747">
        <v>0.18636800000000001</v>
      </c>
      <c r="P44" s="747">
        <v>0</v>
      </c>
      <c r="Q44" s="747">
        <v>1732.6399999999981</v>
      </c>
      <c r="R44" s="747">
        <v>7.4547199999999994E-2</v>
      </c>
      <c r="S44" s="747">
        <v>0</v>
      </c>
      <c r="T44" s="747">
        <v>17326.39999999998</v>
      </c>
      <c r="U44" s="747">
        <v>0</v>
      </c>
      <c r="V44" s="747">
        <v>3.39036263893599</v>
      </c>
      <c r="W44" s="747">
        <v>0</v>
      </c>
      <c r="X44" s="748">
        <v>2763.9986549120299</v>
      </c>
      <c r="Y44" s="748">
        <v>6225.4946372800596</v>
      </c>
      <c r="Z44" s="748">
        <v>60768.544099999999</v>
      </c>
      <c r="AA44" s="748">
        <v>44327.684180461962</v>
      </c>
      <c r="AB44" s="748">
        <v>58890.841186043348</v>
      </c>
      <c r="AC44" s="748">
        <v>44658.20240769982</v>
      </c>
      <c r="AD44" s="748">
        <v>44658.20240769982</v>
      </c>
      <c r="AE44" s="748">
        <v>64992.224708005837</v>
      </c>
      <c r="AF44" s="747">
        <v>1394.99465491203</v>
      </c>
      <c r="AG44" s="747">
        <v>0</v>
      </c>
      <c r="AH44" s="747">
        <v>1369.0039999999999</v>
      </c>
      <c r="AI44" s="747">
        <v>1593.3131019992038</v>
      </c>
      <c r="AJ44" s="747">
        <v>0</v>
      </c>
      <c r="AK44" s="747">
        <v>0</v>
      </c>
      <c r="AL44" s="747">
        <v>1593.3131019992038</v>
      </c>
      <c r="AM44" s="747">
        <v>0</v>
      </c>
      <c r="AN44" s="747">
        <v>0</v>
      </c>
      <c r="AO44" s="747">
        <v>0.44870030805600003</v>
      </c>
      <c r="AP44" s="747">
        <v>0</v>
      </c>
      <c r="AQ44" s="748">
        <v>5274.1088</v>
      </c>
      <c r="AR44" s="748">
        <v>3955.5816</v>
      </c>
      <c r="AS44" s="748">
        <v>17140.8537</v>
      </c>
      <c r="AT44" s="748">
        <v>34398</v>
      </c>
      <c r="AU44" s="747">
        <v>6101.3835219624398</v>
      </c>
      <c r="AV44" s="747">
        <v>0</v>
      </c>
      <c r="AW44" s="747">
        <v>0</v>
      </c>
      <c r="AX44" s="747">
        <v>0</v>
      </c>
      <c r="AY44" s="747">
        <v>0</v>
      </c>
      <c r="AZ44" s="749">
        <v>0.56000000000000005</v>
      </c>
      <c r="BA44" s="750">
        <f t="shared" si="4"/>
        <v>610.13835219624411</v>
      </c>
      <c r="BB44" s="750">
        <f t="shared" si="5"/>
        <v>0</v>
      </c>
      <c r="BC44" s="751">
        <f t="shared" si="12"/>
        <v>2161.6368949120301</v>
      </c>
      <c r="BD44" s="751">
        <f t="shared" si="13"/>
        <v>602.36175999999989</v>
      </c>
      <c r="BE44" s="751">
        <f t="shared" si="14"/>
        <v>39080.254586146715</v>
      </c>
      <c r="BF44" s="751">
        <f t="shared" si="15"/>
        <v>25911.970121859071</v>
      </c>
      <c r="BG44" s="752">
        <f t="shared" si="11"/>
        <v>9.9999999999999982</v>
      </c>
      <c r="BH44" s="763">
        <f t="shared" si="0"/>
        <v>216.16368949120306</v>
      </c>
      <c r="BI44" s="763">
        <f t="shared" si="1"/>
        <v>60.236176</v>
      </c>
      <c r="BJ44" s="763">
        <f t="shared" si="2"/>
        <v>3908.0254586146721</v>
      </c>
      <c r="BK44" s="763">
        <f t="shared" si="3"/>
        <v>2591.1970121859076</v>
      </c>
    </row>
    <row r="45" spans="1:63">
      <c r="A45" s="669"/>
      <c r="B45" s="754">
        <v>2028</v>
      </c>
      <c r="C45" s="755" t="s">
        <v>13</v>
      </c>
      <c r="D45" s="755" t="s">
        <v>564</v>
      </c>
      <c r="E45" s="755" t="s">
        <v>565</v>
      </c>
      <c r="F45" s="755" t="s">
        <v>478</v>
      </c>
      <c r="G45" s="755" t="s">
        <v>39</v>
      </c>
      <c r="H45" s="755" t="s">
        <v>563</v>
      </c>
      <c r="I45" s="755" t="s">
        <v>51</v>
      </c>
      <c r="J45" s="755" t="s">
        <v>17</v>
      </c>
      <c r="K45" s="755"/>
      <c r="L45" s="755" t="s">
        <v>29</v>
      </c>
      <c r="M45" s="755" t="s">
        <v>412</v>
      </c>
      <c r="N45" s="756">
        <v>0</v>
      </c>
      <c r="O45" s="756">
        <v>0</v>
      </c>
      <c r="P45" s="756">
        <v>0</v>
      </c>
      <c r="Q45" s="756">
        <v>0</v>
      </c>
      <c r="R45" s="756">
        <v>0</v>
      </c>
      <c r="S45" s="756">
        <v>0</v>
      </c>
      <c r="T45" s="756">
        <v>0</v>
      </c>
      <c r="U45" s="756">
        <v>0</v>
      </c>
      <c r="V45" s="756">
        <v>0</v>
      </c>
      <c r="W45" s="756">
        <v>0</v>
      </c>
      <c r="X45" s="757">
        <v>0</v>
      </c>
      <c r="Y45" s="757">
        <v>0</v>
      </c>
      <c r="Z45" s="757">
        <v>542.02269999999999</v>
      </c>
      <c r="AA45" s="757">
        <v>542.02269999999999</v>
      </c>
      <c r="AB45" s="757">
        <v>542.02269999999999</v>
      </c>
      <c r="AC45" s="757">
        <v>542.02269999999999</v>
      </c>
      <c r="AD45" s="757">
        <v>542.02269999999999</v>
      </c>
      <c r="AE45" s="757">
        <v>542.02269999999999</v>
      </c>
      <c r="AF45" s="756">
        <v>0</v>
      </c>
      <c r="AG45" s="756">
        <v>0</v>
      </c>
      <c r="AH45" s="756">
        <v>0</v>
      </c>
      <c r="AI45" s="756">
        <v>0</v>
      </c>
      <c r="AJ45" s="756">
        <v>0</v>
      </c>
      <c r="AK45" s="756">
        <v>0</v>
      </c>
      <c r="AL45" s="756">
        <v>0</v>
      </c>
      <c r="AM45" s="756">
        <v>0</v>
      </c>
      <c r="AN45" s="756">
        <v>0</v>
      </c>
      <c r="AO45" s="756">
        <v>0</v>
      </c>
      <c r="AP45" s="756">
        <v>0</v>
      </c>
      <c r="AQ45" s="757">
        <v>542.02269999999999</v>
      </c>
      <c r="AR45" s="757">
        <v>0</v>
      </c>
      <c r="AS45" s="757">
        <v>0</v>
      </c>
      <c r="AT45" s="757">
        <v>0</v>
      </c>
      <c r="AU45" s="756">
        <v>0</v>
      </c>
      <c r="AV45" s="756">
        <v>0</v>
      </c>
      <c r="AW45" s="756">
        <v>0</v>
      </c>
      <c r="AX45" s="756">
        <v>0</v>
      </c>
      <c r="AY45" s="756">
        <v>0</v>
      </c>
      <c r="AZ45" s="758">
        <v>0.56000000000000005</v>
      </c>
      <c r="BA45" s="759" t="str">
        <f t="shared" si="4"/>
        <v/>
      </c>
      <c r="BB45" s="759" t="str">
        <f t="shared" si="5"/>
        <v/>
      </c>
      <c r="BC45" s="760">
        <f t="shared" si="12"/>
        <v>0</v>
      </c>
      <c r="BD45" s="760">
        <f t="shared" si="13"/>
        <v>0</v>
      </c>
      <c r="BE45" s="760">
        <f t="shared" si="14"/>
        <v>303.532712</v>
      </c>
      <c r="BF45" s="760">
        <f t="shared" si="15"/>
        <v>238.48998799999995</v>
      </c>
      <c r="BG45" s="761">
        <f t="shared" si="11"/>
        <v>0</v>
      </c>
      <c r="BH45" s="762">
        <f t="shared" si="0"/>
        <v>0</v>
      </c>
      <c r="BI45" s="762">
        <f t="shared" si="1"/>
        <v>0</v>
      </c>
      <c r="BJ45" s="762">
        <f t="shared" si="2"/>
        <v>0</v>
      </c>
      <c r="BK45" s="762">
        <f t="shared" si="3"/>
        <v>0</v>
      </c>
    </row>
    <row r="46" spans="1:63">
      <c r="A46" s="669"/>
      <c r="B46" s="745">
        <v>2028</v>
      </c>
      <c r="C46" s="746" t="s">
        <v>13</v>
      </c>
      <c r="D46" s="746" t="s">
        <v>566</v>
      </c>
      <c r="E46" s="746" t="s">
        <v>567</v>
      </c>
      <c r="F46" s="746" t="s">
        <v>478</v>
      </c>
      <c r="G46" s="746" t="s">
        <v>27</v>
      </c>
      <c r="H46" s="746" t="s">
        <v>568</v>
      </c>
      <c r="I46" s="746" t="s">
        <v>51</v>
      </c>
      <c r="J46" s="746" t="s">
        <v>489</v>
      </c>
      <c r="K46" s="746"/>
      <c r="L46" s="746" t="s">
        <v>29</v>
      </c>
      <c r="M46" s="746" t="s">
        <v>412</v>
      </c>
      <c r="N46" s="747">
        <v>252685.14908</v>
      </c>
      <c r="O46" s="747">
        <v>34.66945700399998</v>
      </c>
      <c r="P46" s="747">
        <v>579.54478399999937</v>
      </c>
      <c r="Q46" s="747">
        <v>150228.89681799946</v>
      </c>
      <c r="R46" s="747">
        <v>20.292957593999976</v>
      </c>
      <c r="S46" s="747">
        <v>347.7268704</v>
      </c>
      <c r="T46" s="747">
        <v>1919716.3025039928</v>
      </c>
      <c r="U46" s="747">
        <v>4859.6996448</v>
      </c>
      <c r="V46" s="747">
        <v>309.99601843979059</v>
      </c>
      <c r="W46" s="747">
        <v>25.80500511388799</v>
      </c>
      <c r="X46" s="748">
        <v>172166.47267397767</v>
      </c>
      <c r="Y46" s="748">
        <v>292336.20339429262</v>
      </c>
      <c r="Z46" s="748">
        <v>388918.68257079984</v>
      </c>
      <c r="AA46" s="748">
        <v>325253.52776110673</v>
      </c>
      <c r="AB46" s="748">
        <v>379279.85261167836</v>
      </c>
      <c r="AC46" s="748">
        <v>327490.35422332922</v>
      </c>
      <c r="AD46" s="748">
        <v>327490.35422332888</v>
      </c>
      <c r="AE46" s="748">
        <v>809057.02753755508</v>
      </c>
      <c r="AF46" s="747">
        <v>156166.59895295338</v>
      </c>
      <c r="AG46" s="747">
        <v>8357.7076841386152</v>
      </c>
      <c r="AH46" s="747">
        <v>7764.2690851416564</v>
      </c>
      <c r="AI46" s="747">
        <v>183849.29098954794</v>
      </c>
      <c r="AJ46" s="747">
        <v>12832.655625883475</v>
      </c>
      <c r="AK46" s="747">
        <v>1438.6782933674253</v>
      </c>
      <c r="AL46" s="747">
        <v>183849.29098954794</v>
      </c>
      <c r="AM46" s="747">
        <v>12863.850070504543</v>
      </c>
      <c r="AN46" s="747">
        <v>1438.6782933674253</v>
      </c>
      <c r="AO46" s="747">
        <v>36.122387515832415</v>
      </c>
      <c r="AP46" s="747">
        <v>1.8464296818239978</v>
      </c>
      <c r="AQ46" s="748">
        <v>33754.296600000001</v>
      </c>
      <c r="AR46" s="748">
        <v>25315.722399999999</v>
      </c>
      <c r="AS46" s="748">
        <v>109701.4639</v>
      </c>
      <c r="AT46" s="748">
        <v>220147.19967079989</v>
      </c>
      <c r="AU46" s="747">
        <v>423795.79378983373</v>
      </c>
      <c r="AV46" s="747">
        <v>5981.3811360442332</v>
      </c>
      <c r="AW46" s="747">
        <v>0</v>
      </c>
      <c r="AX46" s="747">
        <v>0</v>
      </c>
      <c r="AY46" s="747">
        <v>1253.5548717438685</v>
      </c>
      <c r="AZ46" s="749">
        <v>0.56000000000000005</v>
      </c>
      <c r="BA46" s="750">
        <f t="shared" si="4"/>
        <v>32968.329181710244</v>
      </c>
      <c r="BB46" s="750">
        <f t="shared" si="5"/>
        <v>465.30934271653155</v>
      </c>
      <c r="BC46" s="751">
        <f t="shared" si="12"/>
        <v>161768.14451237657</v>
      </c>
      <c r="BD46" s="751">
        <f t="shared" si="13"/>
        <v>11773.986081600944</v>
      </c>
      <c r="BE46" s="751">
        <f t="shared" si="14"/>
        <v>636192.51125237369</v>
      </c>
      <c r="BF46" s="751">
        <f t="shared" si="15"/>
        <v>172864.51628518268</v>
      </c>
      <c r="BG46" s="752">
        <f t="shared" si="11"/>
        <v>12.854633653225649</v>
      </c>
      <c r="BH46" s="763">
        <f t="shared" si="0"/>
        <v>12584.422775189991</v>
      </c>
      <c r="BI46" s="763">
        <f t="shared" si="1"/>
        <v>915.93322682101211</v>
      </c>
      <c r="BJ46" s="763">
        <f t="shared" si="2"/>
        <v>49491.298500967554</v>
      </c>
      <c r="BK46" s="763">
        <f t="shared" si="3"/>
        <v>13447.642379275841</v>
      </c>
    </row>
    <row r="47" spans="1:63">
      <c r="A47" s="669"/>
      <c r="B47" s="754">
        <v>2028</v>
      </c>
      <c r="C47" s="755" t="s">
        <v>13</v>
      </c>
      <c r="D47" s="755" t="s">
        <v>569</v>
      </c>
      <c r="E47" s="755" t="s">
        <v>570</v>
      </c>
      <c r="F47" s="755" t="s">
        <v>478</v>
      </c>
      <c r="G47" s="755" t="s">
        <v>27</v>
      </c>
      <c r="H47" s="755" t="s">
        <v>568</v>
      </c>
      <c r="I47" s="755" t="s">
        <v>51</v>
      </c>
      <c r="J47" s="755" t="s">
        <v>17</v>
      </c>
      <c r="K47" s="755"/>
      <c r="L47" s="755" t="s">
        <v>29</v>
      </c>
      <c r="M47" s="755" t="s">
        <v>412</v>
      </c>
      <c r="N47" s="756">
        <v>0</v>
      </c>
      <c r="O47" s="756">
        <v>0</v>
      </c>
      <c r="P47" s="756">
        <v>0</v>
      </c>
      <c r="Q47" s="756">
        <v>0</v>
      </c>
      <c r="R47" s="756">
        <v>0</v>
      </c>
      <c r="S47" s="756">
        <v>0</v>
      </c>
      <c r="T47" s="756">
        <v>0</v>
      </c>
      <c r="U47" s="756">
        <v>0</v>
      </c>
      <c r="V47" s="756">
        <v>0</v>
      </c>
      <c r="W47" s="756">
        <v>0</v>
      </c>
      <c r="X47" s="757">
        <v>0</v>
      </c>
      <c r="Y47" s="757">
        <v>0</v>
      </c>
      <c r="Z47" s="757">
        <v>2510.5427</v>
      </c>
      <c r="AA47" s="757">
        <v>2510.5427</v>
      </c>
      <c r="AB47" s="757">
        <v>2510.5427</v>
      </c>
      <c r="AC47" s="757">
        <v>2510.5427</v>
      </c>
      <c r="AD47" s="757">
        <v>2510.5427</v>
      </c>
      <c r="AE47" s="757">
        <v>2510.5427</v>
      </c>
      <c r="AF47" s="756">
        <v>0</v>
      </c>
      <c r="AG47" s="756">
        <v>0</v>
      </c>
      <c r="AH47" s="756">
        <v>0</v>
      </c>
      <c r="AI47" s="756">
        <v>0</v>
      </c>
      <c r="AJ47" s="756">
        <v>0</v>
      </c>
      <c r="AK47" s="756">
        <v>0</v>
      </c>
      <c r="AL47" s="756">
        <v>0</v>
      </c>
      <c r="AM47" s="756">
        <v>0</v>
      </c>
      <c r="AN47" s="756">
        <v>0</v>
      </c>
      <c r="AO47" s="756">
        <v>0</v>
      </c>
      <c r="AP47" s="756">
        <v>0</v>
      </c>
      <c r="AQ47" s="757">
        <v>2510.5427</v>
      </c>
      <c r="AR47" s="757">
        <v>0</v>
      </c>
      <c r="AS47" s="757">
        <v>0</v>
      </c>
      <c r="AT47" s="757">
        <v>0</v>
      </c>
      <c r="AU47" s="756">
        <v>0</v>
      </c>
      <c r="AV47" s="756">
        <v>0</v>
      </c>
      <c r="AW47" s="756">
        <v>0</v>
      </c>
      <c r="AX47" s="756">
        <v>0</v>
      </c>
      <c r="AY47" s="756">
        <v>0</v>
      </c>
      <c r="AZ47" s="758">
        <v>0.56000000000000005</v>
      </c>
      <c r="BA47" s="759" t="str">
        <f t="shared" si="4"/>
        <v/>
      </c>
      <c r="BB47" s="759" t="str">
        <f t="shared" si="5"/>
        <v/>
      </c>
      <c r="BC47" s="760">
        <f t="shared" si="12"/>
        <v>0</v>
      </c>
      <c r="BD47" s="760">
        <f t="shared" si="13"/>
        <v>0</v>
      </c>
      <c r="BE47" s="760">
        <f t="shared" si="14"/>
        <v>1405.9039120000002</v>
      </c>
      <c r="BF47" s="760">
        <f t="shared" si="15"/>
        <v>1104.6387879999997</v>
      </c>
      <c r="BG47" s="761">
        <f t="shared" si="11"/>
        <v>0</v>
      </c>
      <c r="BH47" s="762">
        <f t="shared" si="0"/>
        <v>0</v>
      </c>
      <c r="BI47" s="762">
        <f t="shared" si="1"/>
        <v>0</v>
      </c>
      <c r="BJ47" s="762">
        <f t="shared" si="2"/>
        <v>0</v>
      </c>
      <c r="BK47" s="762">
        <f t="shared" si="3"/>
        <v>0</v>
      </c>
    </row>
    <row r="48" spans="1:63">
      <c r="A48" s="669"/>
      <c r="B48" s="745">
        <v>2028</v>
      </c>
      <c r="C48" s="746" t="s">
        <v>13</v>
      </c>
      <c r="D48" s="746" t="s">
        <v>571</v>
      </c>
      <c r="E48" s="746" t="s">
        <v>572</v>
      </c>
      <c r="F48" s="746" t="s">
        <v>478</v>
      </c>
      <c r="G48" s="746" t="s">
        <v>34</v>
      </c>
      <c r="H48" s="746" t="s">
        <v>573</v>
      </c>
      <c r="I48" s="746" t="s">
        <v>51</v>
      </c>
      <c r="J48" s="746" t="s">
        <v>489</v>
      </c>
      <c r="K48" s="746"/>
      <c r="L48" s="746" t="s">
        <v>29</v>
      </c>
      <c r="M48" s="746" t="s">
        <v>412</v>
      </c>
      <c r="N48" s="747">
        <v>2165.7999999999902</v>
      </c>
      <c r="O48" s="747">
        <v>9.3184000000000003E-2</v>
      </c>
      <c r="P48" s="747">
        <v>0</v>
      </c>
      <c r="Q48" s="747">
        <v>866.31999999999903</v>
      </c>
      <c r="R48" s="747">
        <v>3.7273599999999997E-2</v>
      </c>
      <c r="S48" s="747">
        <v>0</v>
      </c>
      <c r="T48" s="747">
        <v>8663.1999999999898</v>
      </c>
      <c r="U48" s="747">
        <v>0</v>
      </c>
      <c r="V48" s="747">
        <v>1.6605809751439999</v>
      </c>
      <c r="W48" s="747">
        <v>0</v>
      </c>
      <c r="X48" s="748">
        <v>1582.2039090556927</v>
      </c>
      <c r="Y48" s="748">
        <v>3507.72152263923</v>
      </c>
      <c r="Z48" s="748">
        <v>60768.544099999999</v>
      </c>
      <c r="AA48" s="748">
        <v>43442.493806870327</v>
      </c>
      <c r="AB48" s="748">
        <v>58865.723958860326</v>
      </c>
      <c r="AC48" s="748">
        <v>43777.217030275977</v>
      </c>
      <c r="AD48" s="748">
        <v>43777.217030275977</v>
      </c>
      <c r="AE48" s="748">
        <v>61916.415719841534</v>
      </c>
      <c r="AF48" s="747">
        <v>686.62740905569297</v>
      </c>
      <c r="AG48" s="747">
        <v>0</v>
      </c>
      <c r="AH48" s="747">
        <v>895.5764999999999</v>
      </c>
      <c r="AI48" s="747">
        <v>791.74077189380296</v>
      </c>
      <c r="AJ48" s="747">
        <v>0</v>
      </c>
      <c r="AK48" s="747">
        <v>0</v>
      </c>
      <c r="AL48" s="747">
        <v>791.74077189380296</v>
      </c>
      <c r="AM48" s="747">
        <v>0</v>
      </c>
      <c r="AN48" s="747">
        <v>0</v>
      </c>
      <c r="AO48" s="747">
        <v>0.18946435726399999</v>
      </c>
      <c r="AP48" s="747">
        <v>0</v>
      </c>
      <c r="AQ48" s="748">
        <v>5274.1088</v>
      </c>
      <c r="AR48" s="748">
        <v>3955.5816</v>
      </c>
      <c r="AS48" s="748">
        <v>17140.8537</v>
      </c>
      <c r="AT48" s="748">
        <v>34398</v>
      </c>
      <c r="AU48" s="747">
        <v>3050.6917609812199</v>
      </c>
      <c r="AV48" s="747">
        <v>0</v>
      </c>
      <c r="AW48" s="747">
        <v>0</v>
      </c>
      <c r="AX48" s="747">
        <v>0</v>
      </c>
      <c r="AY48" s="747">
        <v>0</v>
      </c>
      <c r="AZ48" s="749">
        <v>0.56000000000000005</v>
      </c>
      <c r="BA48" s="750">
        <f t="shared" si="4"/>
        <v>305.06917609812206</v>
      </c>
      <c r="BB48" s="750">
        <f t="shared" si="5"/>
        <v>0</v>
      </c>
      <c r="BC48" s="751">
        <f t="shared" si="12"/>
        <v>1188.1502490556929</v>
      </c>
      <c r="BD48" s="751">
        <f t="shared" si="13"/>
        <v>394.05365999999992</v>
      </c>
      <c r="BE48" s="751">
        <f t="shared" si="14"/>
        <v>36015.497177943005</v>
      </c>
      <c r="BF48" s="751">
        <f t="shared" si="15"/>
        <v>25900.91854189854</v>
      </c>
      <c r="BG48" s="752">
        <f t="shared" si="11"/>
        <v>9.9999999999999982</v>
      </c>
      <c r="BH48" s="763">
        <f t="shared" si="0"/>
        <v>118.81502490556932</v>
      </c>
      <c r="BI48" s="763">
        <f t="shared" si="1"/>
        <v>39.405366000000001</v>
      </c>
      <c r="BJ48" s="763">
        <f t="shared" si="2"/>
        <v>3601.5497177943012</v>
      </c>
      <c r="BK48" s="763">
        <f t="shared" si="3"/>
        <v>2590.0918541898545</v>
      </c>
    </row>
    <row r="49" spans="1:63">
      <c r="A49" s="669"/>
      <c r="B49" s="754">
        <v>2028</v>
      </c>
      <c r="C49" s="755" t="s">
        <v>13</v>
      </c>
      <c r="D49" s="755" t="s">
        <v>574</v>
      </c>
      <c r="E49" s="755" t="s">
        <v>575</v>
      </c>
      <c r="F49" s="755" t="s">
        <v>478</v>
      </c>
      <c r="G49" s="755" t="s">
        <v>34</v>
      </c>
      <c r="H49" s="755" t="s">
        <v>573</v>
      </c>
      <c r="I49" s="755" t="s">
        <v>51</v>
      </c>
      <c r="J49" s="755" t="s">
        <v>17</v>
      </c>
      <c r="K49" s="755"/>
      <c r="L49" s="755" t="s">
        <v>29</v>
      </c>
      <c r="M49" s="755" t="s">
        <v>412</v>
      </c>
      <c r="N49" s="756">
        <v>0</v>
      </c>
      <c r="O49" s="756">
        <v>0</v>
      </c>
      <c r="P49" s="756">
        <v>0</v>
      </c>
      <c r="Q49" s="756">
        <v>0</v>
      </c>
      <c r="R49" s="756">
        <v>0</v>
      </c>
      <c r="S49" s="756">
        <v>0</v>
      </c>
      <c r="T49" s="756">
        <v>0</v>
      </c>
      <c r="U49" s="756">
        <v>0</v>
      </c>
      <c r="V49" s="756">
        <v>0</v>
      </c>
      <c r="W49" s="756">
        <v>0</v>
      </c>
      <c r="X49" s="757">
        <v>0</v>
      </c>
      <c r="Y49" s="757">
        <v>0</v>
      </c>
      <c r="Z49" s="757">
        <v>542.02269999999999</v>
      </c>
      <c r="AA49" s="757">
        <v>542.02269999999999</v>
      </c>
      <c r="AB49" s="757">
        <v>542.02269999999999</v>
      </c>
      <c r="AC49" s="757">
        <v>542.02269999999999</v>
      </c>
      <c r="AD49" s="757">
        <v>542.02269999999999</v>
      </c>
      <c r="AE49" s="757">
        <v>542.02269999999999</v>
      </c>
      <c r="AF49" s="756">
        <v>0</v>
      </c>
      <c r="AG49" s="756">
        <v>0</v>
      </c>
      <c r="AH49" s="756">
        <v>0</v>
      </c>
      <c r="AI49" s="756">
        <v>0</v>
      </c>
      <c r="AJ49" s="756">
        <v>0</v>
      </c>
      <c r="AK49" s="756">
        <v>0</v>
      </c>
      <c r="AL49" s="756">
        <v>0</v>
      </c>
      <c r="AM49" s="756">
        <v>0</v>
      </c>
      <c r="AN49" s="756">
        <v>0</v>
      </c>
      <c r="AO49" s="756">
        <v>0</v>
      </c>
      <c r="AP49" s="756">
        <v>0</v>
      </c>
      <c r="AQ49" s="757">
        <v>542.02269999999999</v>
      </c>
      <c r="AR49" s="757">
        <v>0</v>
      </c>
      <c r="AS49" s="757">
        <v>0</v>
      </c>
      <c r="AT49" s="757">
        <v>0</v>
      </c>
      <c r="AU49" s="756">
        <v>0</v>
      </c>
      <c r="AV49" s="756">
        <v>0</v>
      </c>
      <c r="AW49" s="756">
        <v>0</v>
      </c>
      <c r="AX49" s="756">
        <v>0</v>
      </c>
      <c r="AY49" s="756">
        <v>0</v>
      </c>
      <c r="AZ49" s="758">
        <v>0.56000000000000005</v>
      </c>
      <c r="BA49" s="759" t="str">
        <f t="shared" si="4"/>
        <v/>
      </c>
      <c r="BB49" s="759" t="str">
        <f t="shared" si="5"/>
        <v/>
      </c>
      <c r="BC49" s="760">
        <f t="shared" si="12"/>
        <v>0</v>
      </c>
      <c r="BD49" s="760">
        <f t="shared" si="13"/>
        <v>0</v>
      </c>
      <c r="BE49" s="760">
        <f t="shared" si="14"/>
        <v>303.532712</v>
      </c>
      <c r="BF49" s="760">
        <f t="shared" si="15"/>
        <v>238.48998799999995</v>
      </c>
      <c r="BG49" s="761">
        <f t="shared" si="11"/>
        <v>0</v>
      </c>
      <c r="BH49" s="762">
        <f t="shared" si="0"/>
        <v>0</v>
      </c>
      <c r="BI49" s="762">
        <f t="shared" si="1"/>
        <v>0</v>
      </c>
      <c r="BJ49" s="762">
        <f t="shared" si="2"/>
        <v>0</v>
      </c>
      <c r="BK49" s="762">
        <f t="shared" si="3"/>
        <v>0</v>
      </c>
    </row>
    <row r="50" spans="1:63">
      <c r="A50" s="669"/>
      <c r="B50" s="745">
        <v>2028</v>
      </c>
      <c r="C50" s="746" t="s">
        <v>13</v>
      </c>
      <c r="D50" s="746" t="s">
        <v>576</v>
      </c>
      <c r="E50" s="746" t="s">
        <v>577</v>
      </c>
      <c r="F50" s="746" t="s">
        <v>478</v>
      </c>
      <c r="G50" s="746" t="s">
        <v>45</v>
      </c>
      <c r="H50" s="746" t="s">
        <v>578</v>
      </c>
      <c r="I50" s="746" t="s">
        <v>51</v>
      </c>
      <c r="J50" s="746" t="s">
        <v>489</v>
      </c>
      <c r="K50" s="746"/>
      <c r="L50" s="746" t="s">
        <v>29</v>
      </c>
      <c r="M50" s="746" t="s">
        <v>412</v>
      </c>
      <c r="N50" s="747">
        <v>27272.345099999984</v>
      </c>
      <c r="O50" s="747">
        <v>4.2032927299999958</v>
      </c>
      <c r="P50" s="747">
        <v>-16.984604000000203</v>
      </c>
      <c r="Q50" s="747">
        <v>16105.393303999994</v>
      </c>
      <c r="R50" s="747">
        <v>2.4333389989999965</v>
      </c>
      <c r="S50" s="747">
        <v>-10.19076239999994</v>
      </c>
      <c r="T50" s="747">
        <v>203472.7203599998</v>
      </c>
      <c r="U50" s="747">
        <v>-32.758252799999745</v>
      </c>
      <c r="V50" s="747">
        <v>33.02999561184604</v>
      </c>
      <c r="W50" s="747">
        <v>-0.17394632236800067</v>
      </c>
      <c r="X50" s="748">
        <v>39093.306521453698</v>
      </c>
      <c r="Y50" s="748">
        <v>73701.510350110868</v>
      </c>
      <c r="Z50" s="748">
        <v>255227.88586870008</v>
      </c>
      <c r="AA50" s="748">
        <v>194591.32064516432</v>
      </c>
      <c r="AB50" s="748">
        <v>247478.98657128832</v>
      </c>
      <c r="AC50" s="748">
        <v>196004.63437053212</v>
      </c>
      <c r="AD50" s="748">
        <v>196004.63437053238</v>
      </c>
      <c r="AE50" s="748">
        <v>305531.46586388809</v>
      </c>
      <c r="AF50" s="747">
        <v>15004.619647682191</v>
      </c>
      <c r="AG50" s="747">
        <v>-102.47159554002027</v>
      </c>
      <c r="AH50" s="747">
        <v>24146.228236449409</v>
      </c>
      <c r="AI50" s="747">
        <v>17537.782984703095</v>
      </c>
      <c r="AJ50" s="747">
        <v>-100.14026434883523</v>
      </c>
      <c r="AK50" s="747">
        <v>71.853633485619099</v>
      </c>
      <c r="AL50" s="747">
        <v>17537.782984703095</v>
      </c>
      <c r="AM50" s="747">
        <v>-101.96225734189187</v>
      </c>
      <c r="AN50" s="747">
        <v>71.853633485619099</v>
      </c>
      <c r="AO50" s="747">
        <v>3.8763818273892503</v>
      </c>
      <c r="AP50" s="747">
        <v>-5.4112948344000322E-2</v>
      </c>
      <c r="AQ50" s="748">
        <v>22151.257099999999</v>
      </c>
      <c r="AR50" s="748">
        <v>16613.442800000001</v>
      </c>
      <c r="AS50" s="748">
        <v>71991.585699999996</v>
      </c>
      <c r="AT50" s="748">
        <v>144471.6002687001</v>
      </c>
      <c r="AU50" s="747">
        <v>58121.778253228418</v>
      </c>
      <c r="AV50" s="747">
        <v>-69.298960628597143</v>
      </c>
      <c r="AW50" s="747">
        <v>0</v>
      </c>
      <c r="AX50" s="747">
        <v>0</v>
      </c>
      <c r="AY50" s="747">
        <v>62.125956862143759</v>
      </c>
      <c r="AZ50" s="749">
        <v>0.56000000000000005</v>
      </c>
      <c r="BA50" s="750">
        <f t="shared" si="4"/>
        <v>4536.5973580627315</v>
      </c>
      <c r="BB50" s="750">
        <f t="shared" si="5"/>
        <v>-5.409013473993709</v>
      </c>
      <c r="BC50" s="751">
        <f t="shared" si="12"/>
        <v>28588.633416956007</v>
      </c>
      <c r="BD50" s="751">
        <f t="shared" si="13"/>
        <v>10521.868828497718</v>
      </c>
      <c r="BE50" s="751">
        <f t="shared" si="14"/>
        <v>196710.01073314989</v>
      </c>
      <c r="BF50" s="751">
        <f t="shared" si="15"/>
        <v>108821.45513073825</v>
      </c>
      <c r="BG50" s="752">
        <f t="shared" si="11"/>
        <v>12.811755962854113</v>
      </c>
      <c r="BH50" s="763">
        <f t="shared" si="0"/>
        <v>2231.4375562448063</v>
      </c>
      <c r="BI50" s="763">
        <f t="shared" si="1"/>
        <v>821.2667224543145</v>
      </c>
      <c r="BJ50" s="763">
        <f t="shared" si="2"/>
        <v>15353.868064883764</v>
      </c>
      <c r="BK50" s="763">
        <f t="shared" si="3"/>
        <v>8493.8751133139576</v>
      </c>
    </row>
    <row r="51" spans="1:63">
      <c r="A51" s="669"/>
      <c r="B51" s="754">
        <v>2028</v>
      </c>
      <c r="C51" s="755" t="s">
        <v>13</v>
      </c>
      <c r="D51" s="755" t="s">
        <v>579</v>
      </c>
      <c r="E51" s="755" t="s">
        <v>580</v>
      </c>
      <c r="F51" s="755" t="s">
        <v>478</v>
      </c>
      <c r="G51" s="755" t="s">
        <v>45</v>
      </c>
      <c r="H51" s="755" t="s">
        <v>578</v>
      </c>
      <c r="I51" s="755" t="s">
        <v>51</v>
      </c>
      <c r="J51" s="755" t="s">
        <v>17</v>
      </c>
      <c r="K51" s="755"/>
      <c r="L51" s="755" t="s">
        <v>29</v>
      </c>
      <c r="M51" s="755" t="s">
        <v>412</v>
      </c>
      <c r="N51" s="756">
        <v>0</v>
      </c>
      <c r="O51" s="756">
        <v>0</v>
      </c>
      <c r="P51" s="756">
        <v>0</v>
      </c>
      <c r="Q51" s="756">
        <v>0</v>
      </c>
      <c r="R51" s="756">
        <v>0</v>
      </c>
      <c r="S51" s="756">
        <v>0</v>
      </c>
      <c r="T51" s="756">
        <v>0</v>
      </c>
      <c r="U51" s="756">
        <v>0</v>
      </c>
      <c r="V51" s="756">
        <v>0</v>
      </c>
      <c r="W51" s="756">
        <v>0</v>
      </c>
      <c r="X51" s="757">
        <v>0</v>
      </c>
      <c r="Y51" s="757">
        <v>0</v>
      </c>
      <c r="Z51" s="757">
        <v>1708.5527</v>
      </c>
      <c r="AA51" s="757">
        <v>1708.5527</v>
      </c>
      <c r="AB51" s="757">
        <v>1708.5527</v>
      </c>
      <c r="AC51" s="757">
        <v>1708.5527</v>
      </c>
      <c r="AD51" s="757">
        <v>1708.5527</v>
      </c>
      <c r="AE51" s="757">
        <v>1708.5527</v>
      </c>
      <c r="AF51" s="756">
        <v>0</v>
      </c>
      <c r="AG51" s="756">
        <v>0</v>
      </c>
      <c r="AH51" s="756">
        <v>0</v>
      </c>
      <c r="AI51" s="756">
        <v>0</v>
      </c>
      <c r="AJ51" s="756">
        <v>0</v>
      </c>
      <c r="AK51" s="756">
        <v>0</v>
      </c>
      <c r="AL51" s="756">
        <v>0</v>
      </c>
      <c r="AM51" s="756">
        <v>0</v>
      </c>
      <c r="AN51" s="756">
        <v>0</v>
      </c>
      <c r="AO51" s="756">
        <v>0</v>
      </c>
      <c r="AP51" s="756">
        <v>0</v>
      </c>
      <c r="AQ51" s="757">
        <v>1708.5527</v>
      </c>
      <c r="AR51" s="757">
        <v>0</v>
      </c>
      <c r="AS51" s="757">
        <v>0</v>
      </c>
      <c r="AT51" s="757">
        <v>0</v>
      </c>
      <c r="AU51" s="756">
        <v>0</v>
      </c>
      <c r="AV51" s="756">
        <v>0</v>
      </c>
      <c r="AW51" s="756">
        <v>0</v>
      </c>
      <c r="AX51" s="756">
        <v>0</v>
      </c>
      <c r="AY51" s="756">
        <v>0</v>
      </c>
      <c r="AZ51" s="758">
        <v>0.56000000000000005</v>
      </c>
      <c r="BA51" s="759" t="str">
        <f t="shared" si="4"/>
        <v/>
      </c>
      <c r="BB51" s="759" t="str">
        <f t="shared" si="5"/>
        <v/>
      </c>
      <c r="BC51" s="760">
        <f t="shared" si="12"/>
        <v>0</v>
      </c>
      <c r="BD51" s="760">
        <f t="shared" si="13"/>
        <v>0</v>
      </c>
      <c r="BE51" s="760">
        <f t="shared" si="14"/>
        <v>956.78951200000006</v>
      </c>
      <c r="BF51" s="760">
        <f t="shared" si="15"/>
        <v>751.7631879999999</v>
      </c>
      <c r="BG51" s="761">
        <f t="shared" si="11"/>
        <v>0</v>
      </c>
      <c r="BH51" s="762">
        <f t="shared" si="0"/>
        <v>0</v>
      </c>
      <c r="BI51" s="762">
        <f t="shared" si="1"/>
        <v>0</v>
      </c>
      <c r="BJ51" s="762">
        <f t="shared" si="2"/>
        <v>0</v>
      </c>
      <c r="BK51" s="762">
        <f t="shared" si="3"/>
        <v>0</v>
      </c>
    </row>
    <row r="52" spans="1:63">
      <c r="A52" s="669"/>
      <c r="B52" s="745">
        <v>2028</v>
      </c>
      <c r="C52" s="746" t="s">
        <v>13</v>
      </c>
      <c r="D52" s="746" t="s">
        <v>581</v>
      </c>
      <c r="E52" s="746" t="s">
        <v>582</v>
      </c>
      <c r="F52" s="746" t="s">
        <v>478</v>
      </c>
      <c r="G52" s="746" t="s">
        <v>18</v>
      </c>
      <c r="H52" s="746" t="s">
        <v>583</v>
      </c>
      <c r="I52" s="746" t="s">
        <v>51</v>
      </c>
      <c r="J52" s="746" t="s">
        <v>489</v>
      </c>
      <c r="K52" s="746"/>
      <c r="L52" s="746" t="s">
        <v>29</v>
      </c>
      <c r="M52" s="746" t="s">
        <v>412</v>
      </c>
      <c r="N52" s="747">
        <v>212371.33056352052</v>
      </c>
      <c r="O52" s="747">
        <v>70.579262401841902</v>
      </c>
      <c r="P52" s="747">
        <v>1949.0773411199978</v>
      </c>
      <c r="Q52" s="747">
        <v>114866.92708300355</v>
      </c>
      <c r="R52" s="747">
        <v>40.500377396713638</v>
      </c>
      <c r="S52" s="747">
        <v>616.17601281599946</v>
      </c>
      <c r="T52" s="747">
        <v>1980412.6135330936</v>
      </c>
      <c r="U52" s="747">
        <v>6610.2298953599893</v>
      </c>
      <c r="V52" s="747">
        <v>452.21579221847566</v>
      </c>
      <c r="W52" s="747">
        <v>35.100320744361589</v>
      </c>
      <c r="X52" s="748">
        <v>369359.2659289299</v>
      </c>
      <c r="Y52" s="748">
        <v>717717.39692317881</v>
      </c>
      <c r="Z52" s="748">
        <v>449687.22682015225</v>
      </c>
      <c r="AA52" s="748">
        <v>963665.09408724355</v>
      </c>
      <c r="AB52" s="748">
        <v>436284.57301155565</v>
      </c>
      <c r="AC52" s="748">
        <v>973987.00059355155</v>
      </c>
      <c r="AD52" s="748">
        <v>973987.00059355376</v>
      </c>
      <c r="AE52" s="748">
        <v>945928.0471278911</v>
      </c>
      <c r="AF52" s="747">
        <v>166377.83681816477</v>
      </c>
      <c r="AG52" s="747">
        <v>12279.730719287698</v>
      </c>
      <c r="AH52" s="747">
        <v>189074.2831530181</v>
      </c>
      <c r="AI52" s="747">
        <v>210089.03718587526</v>
      </c>
      <c r="AJ52" s="747">
        <v>17939.657971979614</v>
      </c>
      <c r="AK52" s="747">
        <v>1863.3260639512368</v>
      </c>
      <c r="AL52" s="747">
        <v>210089.03718587526</v>
      </c>
      <c r="AM52" s="747">
        <v>17985.317321305498</v>
      </c>
      <c r="AN52" s="747">
        <v>1863.3260639512368</v>
      </c>
      <c r="AO52" s="747">
        <v>29.740645206405571</v>
      </c>
      <c r="AP52" s="747">
        <v>3.2718946280529537</v>
      </c>
      <c r="AQ52" s="748">
        <v>39028.405400000003</v>
      </c>
      <c r="AR52" s="748">
        <v>29271.304100000001</v>
      </c>
      <c r="AS52" s="748">
        <v>126842.31759999999</v>
      </c>
      <c r="AT52" s="748">
        <v>254545.19972015225</v>
      </c>
      <c r="AU52" s="747">
        <v>495656.96411699557</v>
      </c>
      <c r="AV52" s="747">
        <v>13986.509999338596</v>
      </c>
      <c r="AW52" s="747">
        <v>0</v>
      </c>
      <c r="AX52" s="747">
        <v>0</v>
      </c>
      <c r="AY52" s="747">
        <v>1627.4152384600791</v>
      </c>
      <c r="AZ52" s="749">
        <v>0.56000000000000005</v>
      </c>
      <c r="BA52" s="750">
        <f t="shared" si="4"/>
        <v>30303.760663267632</v>
      </c>
      <c r="BB52" s="750">
        <f t="shared" si="5"/>
        <v>855.11529589708675</v>
      </c>
      <c r="BC52" s="751">
        <f t="shared" si="12"/>
        <v>273886.85062231502</v>
      </c>
      <c r="BD52" s="751">
        <f t="shared" si="13"/>
        <v>95472.415306615643</v>
      </c>
      <c r="BE52" s="751">
        <f t="shared" si="14"/>
        <v>739976.3250034668</v>
      </c>
      <c r="BF52" s="751">
        <f t="shared" si="15"/>
        <v>205951.72212442305</v>
      </c>
      <c r="BG52" s="752">
        <f t="shared" si="11"/>
        <v>16.356285598500012</v>
      </c>
      <c r="BH52" s="763">
        <f t="shared" si="0"/>
        <v>16745.051862351462</v>
      </c>
      <c r="BI52" s="763">
        <f t="shared" si="1"/>
        <v>5837.0474599300924</v>
      </c>
      <c r="BJ52" s="763">
        <f t="shared" si="2"/>
        <v>45241.098325608102</v>
      </c>
      <c r="BK52" s="763">
        <f t="shared" si="3"/>
        <v>12591.594887736021</v>
      </c>
    </row>
    <row r="53" spans="1:63">
      <c r="A53" s="669"/>
      <c r="B53" s="754">
        <v>2028</v>
      </c>
      <c r="C53" s="755" t="s">
        <v>13</v>
      </c>
      <c r="D53" s="755" t="s">
        <v>584</v>
      </c>
      <c r="E53" s="755" t="s">
        <v>585</v>
      </c>
      <c r="F53" s="755" t="s">
        <v>478</v>
      </c>
      <c r="G53" s="755" t="s">
        <v>18</v>
      </c>
      <c r="H53" s="755" t="s">
        <v>583</v>
      </c>
      <c r="I53" s="755" t="s">
        <v>51</v>
      </c>
      <c r="J53" s="755" t="s">
        <v>17</v>
      </c>
      <c r="K53" s="755"/>
      <c r="L53" s="755" t="s">
        <v>29</v>
      </c>
      <c r="M53" s="755" t="s">
        <v>412</v>
      </c>
      <c r="N53" s="756">
        <v>0</v>
      </c>
      <c r="O53" s="756">
        <v>0</v>
      </c>
      <c r="P53" s="756">
        <v>0</v>
      </c>
      <c r="Q53" s="756">
        <v>0</v>
      </c>
      <c r="R53" s="756">
        <v>0</v>
      </c>
      <c r="S53" s="756">
        <v>0</v>
      </c>
      <c r="T53" s="756">
        <v>0</v>
      </c>
      <c r="U53" s="756">
        <v>0</v>
      </c>
      <c r="V53" s="756">
        <v>0</v>
      </c>
      <c r="W53" s="756">
        <v>0</v>
      </c>
      <c r="X53" s="757">
        <v>0</v>
      </c>
      <c r="Y53" s="757">
        <v>0</v>
      </c>
      <c r="Z53" s="757">
        <v>2875.0826999999999</v>
      </c>
      <c r="AA53" s="757">
        <v>2875.0826999999999</v>
      </c>
      <c r="AB53" s="757">
        <v>2875.0826999999999</v>
      </c>
      <c r="AC53" s="757">
        <v>2875.0826999999999</v>
      </c>
      <c r="AD53" s="757">
        <v>2875.0826999999999</v>
      </c>
      <c r="AE53" s="757">
        <v>2875.0826999999999</v>
      </c>
      <c r="AF53" s="756">
        <v>0</v>
      </c>
      <c r="AG53" s="756">
        <v>0</v>
      </c>
      <c r="AH53" s="756">
        <v>0</v>
      </c>
      <c r="AI53" s="756">
        <v>0</v>
      </c>
      <c r="AJ53" s="756">
        <v>0</v>
      </c>
      <c r="AK53" s="756">
        <v>0</v>
      </c>
      <c r="AL53" s="756">
        <v>0</v>
      </c>
      <c r="AM53" s="756">
        <v>0</v>
      </c>
      <c r="AN53" s="756">
        <v>0</v>
      </c>
      <c r="AO53" s="756">
        <v>0</v>
      </c>
      <c r="AP53" s="756">
        <v>0</v>
      </c>
      <c r="AQ53" s="757">
        <v>2875.0826999999999</v>
      </c>
      <c r="AR53" s="757">
        <v>0</v>
      </c>
      <c r="AS53" s="757">
        <v>0</v>
      </c>
      <c r="AT53" s="757">
        <v>0</v>
      </c>
      <c r="AU53" s="756">
        <v>0</v>
      </c>
      <c r="AV53" s="756">
        <v>0</v>
      </c>
      <c r="AW53" s="756">
        <v>0</v>
      </c>
      <c r="AX53" s="756">
        <v>0</v>
      </c>
      <c r="AY53" s="756">
        <v>0</v>
      </c>
      <c r="AZ53" s="758">
        <v>0.56000000000000005</v>
      </c>
      <c r="BA53" s="759" t="str">
        <f t="shared" si="4"/>
        <v/>
      </c>
      <c r="BB53" s="759" t="str">
        <f t="shared" si="5"/>
        <v/>
      </c>
      <c r="BC53" s="760">
        <f t="shared" si="12"/>
        <v>0</v>
      </c>
      <c r="BD53" s="760">
        <f t="shared" si="13"/>
        <v>0</v>
      </c>
      <c r="BE53" s="760">
        <f t="shared" si="14"/>
        <v>1610.0463120000002</v>
      </c>
      <c r="BF53" s="760">
        <f t="shared" si="15"/>
        <v>1265.0363879999998</v>
      </c>
      <c r="BG53" s="761">
        <f t="shared" si="11"/>
        <v>0</v>
      </c>
      <c r="BH53" s="762">
        <f t="shared" si="0"/>
        <v>0</v>
      </c>
      <c r="BI53" s="762">
        <f t="shared" si="1"/>
        <v>0</v>
      </c>
      <c r="BJ53" s="762">
        <f t="shared" si="2"/>
        <v>0</v>
      </c>
      <c r="BK53" s="762">
        <f t="shared" si="3"/>
        <v>0</v>
      </c>
    </row>
    <row r="54" spans="1:63">
      <c r="A54" s="669"/>
      <c r="B54" s="745">
        <v>2028</v>
      </c>
      <c r="C54" s="746" t="s">
        <v>13</v>
      </c>
      <c r="D54" s="746" t="s">
        <v>586</v>
      </c>
      <c r="E54" s="746" t="s">
        <v>587</v>
      </c>
      <c r="F54" s="746" t="s">
        <v>478</v>
      </c>
      <c r="G54" s="746" t="s">
        <v>39</v>
      </c>
      <c r="H54" s="746" t="s">
        <v>588</v>
      </c>
      <c r="I54" s="746" t="s">
        <v>51</v>
      </c>
      <c r="J54" s="746" t="s">
        <v>489</v>
      </c>
      <c r="K54" s="746"/>
      <c r="L54" s="746" t="s">
        <v>29</v>
      </c>
      <c r="M54" s="746" t="s">
        <v>412</v>
      </c>
      <c r="N54" s="747">
        <v>28580.904351999965</v>
      </c>
      <c r="O54" s="747">
        <v>4.7842336359999944</v>
      </c>
      <c r="P54" s="747">
        <v>0</v>
      </c>
      <c r="Q54" s="747">
        <v>15712.600175999984</v>
      </c>
      <c r="R54" s="747">
        <v>2.7607032179999944</v>
      </c>
      <c r="S54" s="747">
        <v>0</v>
      </c>
      <c r="T54" s="747">
        <v>200212.98751999991</v>
      </c>
      <c r="U54" s="747">
        <v>0</v>
      </c>
      <c r="V54" s="747">
        <v>33.187136838371273</v>
      </c>
      <c r="W54" s="747">
        <v>0</v>
      </c>
      <c r="X54" s="748">
        <v>15332.33498680953</v>
      </c>
      <c r="Y54" s="748">
        <v>27727.182155609058</v>
      </c>
      <c r="Z54" s="748">
        <v>44562.00917012</v>
      </c>
      <c r="AA54" s="748">
        <v>37549.356616144229</v>
      </c>
      <c r="AB54" s="748">
        <v>43531.226312985484</v>
      </c>
      <c r="AC54" s="748">
        <v>37807.431877105882</v>
      </c>
      <c r="AD54" s="748">
        <v>37807.431877105882</v>
      </c>
      <c r="AE54" s="748">
        <v>89498.819811499619</v>
      </c>
      <c r="AF54" s="747">
        <v>15557.277732409526</v>
      </c>
      <c r="AG54" s="747">
        <v>0</v>
      </c>
      <c r="AH54" s="747">
        <v>0</v>
      </c>
      <c r="AI54" s="747">
        <v>18047.787873903726</v>
      </c>
      <c r="AJ54" s="747">
        <v>0</v>
      </c>
      <c r="AK54" s="747">
        <v>0</v>
      </c>
      <c r="AL54" s="747">
        <v>18047.787873903726</v>
      </c>
      <c r="AM54" s="747">
        <v>0</v>
      </c>
      <c r="AN54" s="747">
        <v>0</v>
      </c>
      <c r="AO54" s="747">
        <v>3.6709979374433068</v>
      </c>
      <c r="AP54" s="747">
        <v>0</v>
      </c>
      <c r="AQ54" s="748">
        <v>3912.7217999999998</v>
      </c>
      <c r="AR54" s="748">
        <v>2934.5412999999999</v>
      </c>
      <c r="AS54" s="748">
        <v>12716.345799999999</v>
      </c>
      <c r="AT54" s="748">
        <v>24998.400270119997</v>
      </c>
      <c r="AU54" s="747">
        <v>45967.593498514078</v>
      </c>
      <c r="AV54" s="747">
        <v>0</v>
      </c>
      <c r="AW54" s="747">
        <v>0</v>
      </c>
      <c r="AX54" s="747">
        <v>0</v>
      </c>
      <c r="AY54" s="747">
        <v>0</v>
      </c>
      <c r="AZ54" s="749">
        <v>0.56000000000000005</v>
      </c>
      <c r="BA54" s="750">
        <f t="shared" si="4"/>
        <v>3607.5103150983055</v>
      </c>
      <c r="BB54" s="750">
        <f t="shared" si="5"/>
        <v>0</v>
      </c>
      <c r="BC54" s="751">
        <f t="shared" si="12"/>
        <v>15557.277732409526</v>
      </c>
      <c r="BD54" s="751">
        <f t="shared" si="13"/>
        <v>0</v>
      </c>
      <c r="BE54" s="751">
        <f t="shared" si="14"/>
        <v>70345.08023378595</v>
      </c>
      <c r="BF54" s="751">
        <f t="shared" si="15"/>
        <v>19153.739577713612</v>
      </c>
      <c r="BG54" s="752">
        <f t="shared" si="11"/>
        <v>12.742193225651651</v>
      </c>
      <c r="BH54" s="763">
        <f t="shared" si="0"/>
        <v>1220.9262139496325</v>
      </c>
      <c r="BI54" s="763">
        <f t="shared" si="1"/>
        <v>0</v>
      </c>
      <c r="BJ54" s="763">
        <f t="shared" si="2"/>
        <v>5520.6414616419706</v>
      </c>
      <c r="BK54" s="763">
        <f t="shared" si="3"/>
        <v>1503.1744722843086</v>
      </c>
    </row>
    <row r="55" spans="1:63">
      <c r="A55" s="669"/>
      <c r="B55" s="754">
        <v>2028</v>
      </c>
      <c r="C55" s="755" t="s">
        <v>13</v>
      </c>
      <c r="D55" s="755" t="s">
        <v>589</v>
      </c>
      <c r="E55" s="755" t="s">
        <v>590</v>
      </c>
      <c r="F55" s="755" t="s">
        <v>478</v>
      </c>
      <c r="G55" s="755" t="s">
        <v>39</v>
      </c>
      <c r="H55" s="755" t="s">
        <v>588</v>
      </c>
      <c r="I55" s="755" t="s">
        <v>51</v>
      </c>
      <c r="J55" s="755" t="s">
        <v>17</v>
      </c>
      <c r="K55" s="755"/>
      <c r="L55" s="755" t="s">
        <v>29</v>
      </c>
      <c r="M55" s="755" t="s">
        <v>412</v>
      </c>
      <c r="N55" s="756">
        <v>0</v>
      </c>
      <c r="O55" s="756">
        <v>0</v>
      </c>
      <c r="P55" s="756">
        <v>0</v>
      </c>
      <c r="Q55" s="756">
        <v>0</v>
      </c>
      <c r="R55" s="756">
        <v>0</v>
      </c>
      <c r="S55" s="756">
        <v>0</v>
      </c>
      <c r="T55" s="756">
        <v>0</v>
      </c>
      <c r="U55" s="756">
        <v>0</v>
      </c>
      <c r="V55" s="756">
        <v>0</v>
      </c>
      <c r="W55" s="756">
        <v>0</v>
      </c>
      <c r="X55" s="757">
        <v>0</v>
      </c>
      <c r="Y55" s="757">
        <v>0</v>
      </c>
      <c r="Z55" s="757">
        <v>444.80270000000002</v>
      </c>
      <c r="AA55" s="757">
        <v>444.80270000000002</v>
      </c>
      <c r="AB55" s="757">
        <v>444.80270000000002</v>
      </c>
      <c r="AC55" s="757">
        <v>444.80270000000002</v>
      </c>
      <c r="AD55" s="757">
        <v>444.80270000000002</v>
      </c>
      <c r="AE55" s="757">
        <v>444.80270000000002</v>
      </c>
      <c r="AF55" s="756">
        <v>0</v>
      </c>
      <c r="AG55" s="756">
        <v>0</v>
      </c>
      <c r="AH55" s="756">
        <v>0</v>
      </c>
      <c r="AI55" s="756">
        <v>0</v>
      </c>
      <c r="AJ55" s="756">
        <v>0</v>
      </c>
      <c r="AK55" s="756">
        <v>0</v>
      </c>
      <c r="AL55" s="756">
        <v>0</v>
      </c>
      <c r="AM55" s="756">
        <v>0</v>
      </c>
      <c r="AN55" s="756">
        <v>0</v>
      </c>
      <c r="AO55" s="756">
        <v>0</v>
      </c>
      <c r="AP55" s="756">
        <v>0</v>
      </c>
      <c r="AQ55" s="757">
        <v>444.80270000000002</v>
      </c>
      <c r="AR55" s="757">
        <v>0</v>
      </c>
      <c r="AS55" s="757">
        <v>0</v>
      </c>
      <c r="AT55" s="757">
        <v>0</v>
      </c>
      <c r="AU55" s="756">
        <v>0</v>
      </c>
      <c r="AV55" s="756">
        <v>0</v>
      </c>
      <c r="AW55" s="756">
        <v>0</v>
      </c>
      <c r="AX55" s="756">
        <v>0</v>
      </c>
      <c r="AY55" s="756">
        <v>0</v>
      </c>
      <c r="AZ55" s="758">
        <v>0.56000000000000005</v>
      </c>
      <c r="BA55" s="759" t="str">
        <f t="shared" si="4"/>
        <v/>
      </c>
      <c r="BB55" s="759" t="str">
        <f t="shared" si="5"/>
        <v/>
      </c>
      <c r="BC55" s="760">
        <f t="shared" si="12"/>
        <v>0</v>
      </c>
      <c r="BD55" s="760">
        <f t="shared" si="13"/>
        <v>0</v>
      </c>
      <c r="BE55" s="760">
        <f t="shared" si="14"/>
        <v>249.08951200000004</v>
      </c>
      <c r="BF55" s="760">
        <f t="shared" si="15"/>
        <v>195.71318799999997</v>
      </c>
      <c r="BG55" s="761">
        <f t="shared" si="11"/>
        <v>0</v>
      </c>
      <c r="BH55" s="762">
        <f t="shared" si="0"/>
        <v>0</v>
      </c>
      <c r="BI55" s="762">
        <f t="shared" si="1"/>
        <v>0</v>
      </c>
      <c r="BJ55" s="762">
        <f t="shared" si="2"/>
        <v>0</v>
      </c>
      <c r="BK55" s="762">
        <f t="shared" si="3"/>
        <v>0</v>
      </c>
    </row>
    <row r="56" spans="1:63">
      <c r="A56" s="669"/>
      <c r="B56" s="745">
        <v>2028</v>
      </c>
      <c r="C56" s="746" t="s">
        <v>13</v>
      </c>
      <c r="D56" s="746" t="s">
        <v>591</v>
      </c>
      <c r="E56" s="746" t="s">
        <v>592</v>
      </c>
      <c r="F56" s="746" t="s">
        <v>478</v>
      </c>
      <c r="G56" s="746" t="s">
        <v>27</v>
      </c>
      <c r="H56" s="746" t="s">
        <v>593</v>
      </c>
      <c r="I56" s="746" t="s">
        <v>51</v>
      </c>
      <c r="J56" s="746" t="s">
        <v>489</v>
      </c>
      <c r="K56" s="746"/>
      <c r="L56" s="746" t="s">
        <v>29</v>
      </c>
      <c r="M56" s="746" t="s">
        <v>412</v>
      </c>
      <c r="N56" s="747">
        <v>73623.613104859935</v>
      </c>
      <c r="O56" s="747">
        <v>18.631463874659978</v>
      </c>
      <c r="P56" s="747">
        <v>1026.8508624000008</v>
      </c>
      <c r="Q56" s="747">
        <v>42735.083964572892</v>
      </c>
      <c r="R56" s="747">
        <v>10.841199350162993</v>
      </c>
      <c r="S56" s="747">
        <v>566.63420352000026</v>
      </c>
      <c r="T56" s="747">
        <v>652163.64290167985</v>
      </c>
      <c r="U56" s="747">
        <v>7334.7474182399974</v>
      </c>
      <c r="V56" s="747">
        <v>115.34478346803576</v>
      </c>
      <c r="W56" s="747">
        <v>38.947508790854378</v>
      </c>
      <c r="X56" s="748">
        <v>70737.367126641911</v>
      </c>
      <c r="Y56" s="748">
        <v>124878.13792671739</v>
      </c>
      <c r="Z56" s="748">
        <v>285196.85719759995</v>
      </c>
      <c r="AA56" s="748">
        <v>261033.6968507648</v>
      </c>
      <c r="AB56" s="748">
        <v>277363.29581837356</v>
      </c>
      <c r="AC56" s="748">
        <v>262790.53261987714</v>
      </c>
      <c r="AD56" s="748">
        <v>262790.53261987696</v>
      </c>
      <c r="AE56" s="748">
        <v>484587.14945552114</v>
      </c>
      <c r="AF56" s="747">
        <v>51603.563835806686</v>
      </c>
      <c r="AG56" s="747">
        <v>9849.8237724335904</v>
      </c>
      <c r="AH56" s="747">
        <v>9180.1061888130807</v>
      </c>
      <c r="AI56" s="747">
        <v>62184.811115502576</v>
      </c>
      <c r="AJ56" s="747">
        <v>14869.808315311844</v>
      </c>
      <c r="AK56" s="747">
        <v>464.53262025771363</v>
      </c>
      <c r="AL56" s="747">
        <v>62184.811115502576</v>
      </c>
      <c r="AM56" s="747">
        <v>14910.281041217731</v>
      </c>
      <c r="AN56" s="747">
        <v>464.53262025771363</v>
      </c>
      <c r="AO56" s="747">
        <v>11.042613465494028</v>
      </c>
      <c r="AP56" s="747">
        <v>3.0088276206912017</v>
      </c>
      <c r="AQ56" s="748">
        <v>25041.4195</v>
      </c>
      <c r="AR56" s="748">
        <v>18781.064600000002</v>
      </c>
      <c r="AS56" s="748">
        <v>81384.613299999997</v>
      </c>
      <c r="AT56" s="748">
        <v>159989.75979759998</v>
      </c>
      <c r="AU56" s="747">
        <v>200624.62583445484</v>
      </c>
      <c r="AV56" s="747">
        <v>6599.2278026925778</v>
      </c>
      <c r="AW56" s="747">
        <v>0</v>
      </c>
      <c r="AX56" s="747">
        <v>0</v>
      </c>
      <c r="AY56" s="747">
        <v>403.79699038865186</v>
      </c>
      <c r="AZ56" s="749">
        <v>0.56000000000000005</v>
      </c>
      <c r="BA56" s="750">
        <f t="shared" si="4"/>
        <v>13729.611834184985</v>
      </c>
      <c r="BB56" s="750">
        <f t="shared" si="5"/>
        <v>451.61373265858725</v>
      </c>
      <c r="BC56" s="751">
        <f t="shared" si="12"/>
        <v>57148.220291930666</v>
      </c>
      <c r="BD56" s="751">
        <f t="shared" si="13"/>
        <v>13889.070495511345</v>
      </c>
      <c r="BE56" s="751">
        <f t="shared" si="14"/>
        <v>355948.07149274403</v>
      </c>
      <c r="BF56" s="751">
        <f t="shared" si="15"/>
        <v>128639.07796277694</v>
      </c>
      <c r="BG56" s="752">
        <f t="shared" si="11"/>
        <v>14.612549011394851</v>
      </c>
      <c r="BH56" s="763">
        <f t="shared" si="0"/>
        <v>3910.9001617285621</v>
      </c>
      <c r="BI56" s="763">
        <f t="shared" si="1"/>
        <v>950.48923255488569</v>
      </c>
      <c r="BJ56" s="763">
        <f t="shared" si="2"/>
        <v>24359.06775848458</v>
      </c>
      <c r="BK56" s="763">
        <f t="shared" si="3"/>
        <v>8803.3291017511256</v>
      </c>
    </row>
    <row r="57" spans="1:63">
      <c r="A57" s="669"/>
      <c r="B57" s="754">
        <v>2028</v>
      </c>
      <c r="C57" s="755" t="s">
        <v>13</v>
      </c>
      <c r="D57" s="755" t="s">
        <v>594</v>
      </c>
      <c r="E57" s="755" t="s">
        <v>595</v>
      </c>
      <c r="F57" s="755" t="s">
        <v>478</v>
      </c>
      <c r="G57" s="755" t="s">
        <v>27</v>
      </c>
      <c r="H57" s="755" t="s">
        <v>593</v>
      </c>
      <c r="I57" s="755" t="s">
        <v>51</v>
      </c>
      <c r="J57" s="755" t="s">
        <v>17</v>
      </c>
      <c r="K57" s="755"/>
      <c r="L57" s="755" t="s">
        <v>29</v>
      </c>
      <c r="M57" s="755" t="s">
        <v>412</v>
      </c>
      <c r="N57" s="756">
        <v>0</v>
      </c>
      <c r="O57" s="756">
        <v>0</v>
      </c>
      <c r="P57" s="756">
        <v>0</v>
      </c>
      <c r="Q57" s="756">
        <v>0</v>
      </c>
      <c r="R57" s="756">
        <v>0</v>
      </c>
      <c r="S57" s="756">
        <v>0</v>
      </c>
      <c r="T57" s="756">
        <v>0</v>
      </c>
      <c r="U57" s="756">
        <v>0</v>
      </c>
      <c r="V57" s="756">
        <v>0</v>
      </c>
      <c r="W57" s="756">
        <v>0</v>
      </c>
      <c r="X57" s="757">
        <v>0</v>
      </c>
      <c r="Y57" s="757">
        <v>0</v>
      </c>
      <c r="Z57" s="757">
        <v>1888.3326999999999</v>
      </c>
      <c r="AA57" s="757">
        <v>1888.3326999999999</v>
      </c>
      <c r="AB57" s="757">
        <v>1888.3326999999999</v>
      </c>
      <c r="AC57" s="757">
        <v>1888.3326999999999</v>
      </c>
      <c r="AD57" s="757">
        <v>1888.3326999999999</v>
      </c>
      <c r="AE57" s="757">
        <v>1888.3326999999999</v>
      </c>
      <c r="AF57" s="756">
        <v>0</v>
      </c>
      <c r="AG57" s="756">
        <v>0</v>
      </c>
      <c r="AH57" s="756">
        <v>0</v>
      </c>
      <c r="AI57" s="756">
        <v>0</v>
      </c>
      <c r="AJ57" s="756">
        <v>0</v>
      </c>
      <c r="AK57" s="756">
        <v>0</v>
      </c>
      <c r="AL57" s="756">
        <v>0</v>
      </c>
      <c r="AM57" s="756">
        <v>0</v>
      </c>
      <c r="AN57" s="756">
        <v>0</v>
      </c>
      <c r="AO57" s="756">
        <v>0</v>
      </c>
      <c r="AP57" s="756">
        <v>0</v>
      </c>
      <c r="AQ57" s="757">
        <v>1888.3326999999999</v>
      </c>
      <c r="AR57" s="757">
        <v>0</v>
      </c>
      <c r="AS57" s="757">
        <v>0</v>
      </c>
      <c r="AT57" s="757">
        <v>0</v>
      </c>
      <c r="AU57" s="756">
        <v>0</v>
      </c>
      <c r="AV57" s="756">
        <v>0</v>
      </c>
      <c r="AW57" s="756">
        <v>0</v>
      </c>
      <c r="AX57" s="756">
        <v>0</v>
      </c>
      <c r="AY57" s="756">
        <v>0</v>
      </c>
      <c r="AZ57" s="758">
        <v>0.56000000000000005</v>
      </c>
      <c r="BA57" s="759" t="str">
        <f t="shared" si="4"/>
        <v/>
      </c>
      <c r="BB57" s="759" t="str">
        <f t="shared" si="5"/>
        <v/>
      </c>
      <c r="BC57" s="760">
        <f t="shared" si="12"/>
        <v>0</v>
      </c>
      <c r="BD57" s="760">
        <f t="shared" si="13"/>
        <v>0</v>
      </c>
      <c r="BE57" s="760">
        <f t="shared" si="14"/>
        <v>1057.466312</v>
      </c>
      <c r="BF57" s="760">
        <f t="shared" si="15"/>
        <v>830.86638799999992</v>
      </c>
      <c r="BG57" s="761">
        <f t="shared" si="11"/>
        <v>0</v>
      </c>
      <c r="BH57" s="762">
        <f t="shared" si="0"/>
        <v>0</v>
      </c>
      <c r="BI57" s="762">
        <f t="shared" si="1"/>
        <v>0</v>
      </c>
      <c r="BJ57" s="762">
        <f t="shared" si="2"/>
        <v>0</v>
      </c>
      <c r="BK57" s="762">
        <f t="shared" si="3"/>
        <v>0</v>
      </c>
    </row>
    <row r="58" spans="1:63">
      <c r="A58" s="669"/>
      <c r="B58" s="745">
        <v>2028</v>
      </c>
      <c r="C58" s="746" t="s">
        <v>13</v>
      </c>
      <c r="D58" s="746" t="s">
        <v>596</v>
      </c>
      <c r="E58" s="746" t="s">
        <v>597</v>
      </c>
      <c r="F58" s="746" t="s">
        <v>478</v>
      </c>
      <c r="G58" s="746" t="s">
        <v>34</v>
      </c>
      <c r="H58" s="746" t="s">
        <v>598</v>
      </c>
      <c r="I58" s="746" t="s">
        <v>51</v>
      </c>
      <c r="J58" s="746" t="s">
        <v>489</v>
      </c>
      <c r="K58" s="746"/>
      <c r="L58" s="746" t="s">
        <v>29</v>
      </c>
      <c r="M58" s="746" t="s">
        <v>412</v>
      </c>
      <c r="N58" s="747">
        <v>915.45999999999799</v>
      </c>
      <c r="O58" s="747">
        <v>0.19856199999999999</v>
      </c>
      <c r="P58" s="747">
        <v>1516.3829999999998</v>
      </c>
      <c r="Q58" s="747">
        <v>496.49599999999998</v>
      </c>
      <c r="R58" s="747">
        <v>0.10142859999999999</v>
      </c>
      <c r="S58" s="747">
        <v>909.82979999999998</v>
      </c>
      <c r="T58" s="747">
        <v>6982.2479999999996</v>
      </c>
      <c r="U58" s="747">
        <v>13647.447</v>
      </c>
      <c r="V58" s="747">
        <v>0.93306273303880005</v>
      </c>
      <c r="W58" s="747">
        <v>72.467943570000003</v>
      </c>
      <c r="X58" s="748">
        <v>18525.337415090831</v>
      </c>
      <c r="Y58" s="748">
        <v>31014.727909999256</v>
      </c>
      <c r="Z58" s="748">
        <v>44562.010060000001</v>
      </c>
      <c r="AA58" s="748">
        <v>33382.7029168015</v>
      </c>
      <c r="AB58" s="748">
        <v>43193.041108039099</v>
      </c>
      <c r="AC58" s="748">
        <v>33641.50549601188</v>
      </c>
      <c r="AD58" s="748">
        <v>33641.505496011843</v>
      </c>
      <c r="AE58" s="748">
        <v>55960.63225281363</v>
      </c>
      <c r="AF58" s="747">
        <v>648.25262754480991</v>
      </c>
      <c r="AG58" s="747">
        <v>17831.301011546024</v>
      </c>
      <c r="AH58" s="747">
        <v>45.783775999999797</v>
      </c>
      <c r="AI58" s="747">
        <v>776.50346244873401</v>
      </c>
      <c r="AJ58" s="747">
        <v>27626.565894968</v>
      </c>
      <c r="AK58" s="747">
        <v>0</v>
      </c>
      <c r="AL58" s="747">
        <v>776.50346244873401</v>
      </c>
      <c r="AM58" s="747">
        <v>27673.203900688117</v>
      </c>
      <c r="AN58" s="747">
        <v>0</v>
      </c>
      <c r="AO58" s="747">
        <v>0.1049073660544</v>
      </c>
      <c r="AP58" s="747">
        <v>4.8311962380000004</v>
      </c>
      <c r="AQ58" s="748">
        <v>3912.7217999999998</v>
      </c>
      <c r="AR58" s="748">
        <v>2934.5412999999999</v>
      </c>
      <c r="AS58" s="748">
        <v>12716.345799999999</v>
      </c>
      <c r="AT58" s="748">
        <v>24998.401160000001</v>
      </c>
      <c r="AU58" s="747">
        <v>1382.3599215646541</v>
      </c>
      <c r="AV58" s="747">
        <v>11385.231223209801</v>
      </c>
      <c r="AW58" s="747">
        <v>0</v>
      </c>
      <c r="AX58" s="747">
        <v>0</v>
      </c>
      <c r="AY58" s="747">
        <v>0</v>
      </c>
      <c r="AZ58" s="749">
        <v>0.56000000000000005</v>
      </c>
      <c r="BA58" s="750">
        <f t="shared" si="4"/>
        <v>92.262699682025854</v>
      </c>
      <c r="BB58" s="750">
        <f t="shared" si="5"/>
        <v>759.88326395377214</v>
      </c>
      <c r="BC58" s="751">
        <f t="shared" si="12"/>
        <v>673.89154210480979</v>
      </c>
      <c r="BD58" s="751">
        <f t="shared" si="13"/>
        <v>17851.445872986023</v>
      </c>
      <c r="BE58" s="751">
        <f t="shared" si="14"/>
        <v>25570.462942066551</v>
      </c>
      <c r="BF58" s="751">
        <f t="shared" si="15"/>
        <v>30390.169310747002</v>
      </c>
      <c r="BG58" s="752">
        <f t="shared" si="11"/>
        <v>14.982868768514459</v>
      </c>
      <c r="BH58" s="763">
        <f t="shared" si="0"/>
        <v>44.977470771215039</v>
      </c>
      <c r="BI58" s="763">
        <f t="shared" si="1"/>
        <v>1191.4571333962222</v>
      </c>
      <c r="BJ58" s="763">
        <f t="shared" si="2"/>
        <v>1706.6466600709502</v>
      </c>
      <c r="BK58" s="763">
        <f t="shared" si="3"/>
        <v>2028.3278042593552</v>
      </c>
    </row>
    <row r="59" spans="1:63">
      <c r="A59" s="669"/>
      <c r="B59" s="754">
        <v>2028</v>
      </c>
      <c r="C59" s="755" t="s">
        <v>13</v>
      </c>
      <c r="D59" s="755" t="s">
        <v>599</v>
      </c>
      <c r="E59" s="755" t="s">
        <v>600</v>
      </c>
      <c r="F59" s="755" t="s">
        <v>478</v>
      </c>
      <c r="G59" s="755" t="s">
        <v>34</v>
      </c>
      <c r="H59" s="755" t="s">
        <v>598</v>
      </c>
      <c r="I59" s="755" t="s">
        <v>51</v>
      </c>
      <c r="J59" s="755" t="s">
        <v>17</v>
      </c>
      <c r="K59" s="755"/>
      <c r="L59" s="755" t="s">
        <v>29</v>
      </c>
      <c r="M59" s="755" t="s">
        <v>412</v>
      </c>
      <c r="N59" s="756">
        <v>0</v>
      </c>
      <c r="O59" s="756">
        <v>0</v>
      </c>
      <c r="P59" s="756">
        <v>0</v>
      </c>
      <c r="Q59" s="756">
        <v>0</v>
      </c>
      <c r="R59" s="756">
        <v>0</v>
      </c>
      <c r="S59" s="756">
        <v>0</v>
      </c>
      <c r="T59" s="756">
        <v>0</v>
      </c>
      <c r="U59" s="756">
        <v>0</v>
      </c>
      <c r="V59" s="756">
        <v>0</v>
      </c>
      <c r="W59" s="756">
        <v>0</v>
      </c>
      <c r="X59" s="757">
        <v>0</v>
      </c>
      <c r="Y59" s="757">
        <v>0</v>
      </c>
      <c r="Z59" s="757">
        <v>444.80270000000002</v>
      </c>
      <c r="AA59" s="757">
        <v>444.80270000000002</v>
      </c>
      <c r="AB59" s="757">
        <v>444.80270000000002</v>
      </c>
      <c r="AC59" s="757">
        <v>444.80270000000002</v>
      </c>
      <c r="AD59" s="757">
        <v>444.80270000000002</v>
      </c>
      <c r="AE59" s="757">
        <v>444.80270000000002</v>
      </c>
      <c r="AF59" s="756">
        <v>0</v>
      </c>
      <c r="AG59" s="756">
        <v>0</v>
      </c>
      <c r="AH59" s="756">
        <v>0</v>
      </c>
      <c r="AI59" s="756">
        <v>0</v>
      </c>
      <c r="AJ59" s="756">
        <v>0</v>
      </c>
      <c r="AK59" s="756">
        <v>0</v>
      </c>
      <c r="AL59" s="756">
        <v>0</v>
      </c>
      <c r="AM59" s="756">
        <v>0</v>
      </c>
      <c r="AN59" s="756">
        <v>0</v>
      </c>
      <c r="AO59" s="756">
        <v>0</v>
      </c>
      <c r="AP59" s="756">
        <v>0</v>
      </c>
      <c r="AQ59" s="757">
        <v>444.80270000000002</v>
      </c>
      <c r="AR59" s="757">
        <v>0</v>
      </c>
      <c r="AS59" s="757">
        <v>0</v>
      </c>
      <c r="AT59" s="757">
        <v>0</v>
      </c>
      <c r="AU59" s="756">
        <v>0</v>
      </c>
      <c r="AV59" s="756">
        <v>0</v>
      </c>
      <c r="AW59" s="756">
        <v>0</v>
      </c>
      <c r="AX59" s="756">
        <v>0</v>
      </c>
      <c r="AY59" s="756">
        <v>0</v>
      </c>
      <c r="AZ59" s="758">
        <v>0.56000000000000005</v>
      </c>
      <c r="BA59" s="759" t="str">
        <f t="shared" si="4"/>
        <v/>
      </c>
      <c r="BB59" s="759" t="str">
        <f t="shared" si="5"/>
        <v/>
      </c>
      <c r="BC59" s="760">
        <f t="shared" si="12"/>
        <v>0</v>
      </c>
      <c r="BD59" s="760">
        <f t="shared" si="13"/>
        <v>0</v>
      </c>
      <c r="BE59" s="760">
        <f t="shared" si="14"/>
        <v>249.08951200000004</v>
      </c>
      <c r="BF59" s="760">
        <f t="shared" si="15"/>
        <v>195.71318799999997</v>
      </c>
      <c r="BG59" s="761">
        <f t="shared" si="11"/>
        <v>0</v>
      </c>
      <c r="BH59" s="762">
        <f t="shared" si="0"/>
        <v>0</v>
      </c>
      <c r="BI59" s="762">
        <f t="shared" si="1"/>
        <v>0</v>
      </c>
      <c r="BJ59" s="762">
        <f t="shared" si="2"/>
        <v>0</v>
      </c>
      <c r="BK59" s="762">
        <f t="shared" si="3"/>
        <v>0</v>
      </c>
    </row>
    <row r="60" spans="1:63">
      <c r="A60" s="669"/>
      <c r="B60" s="745">
        <v>2028</v>
      </c>
      <c r="C60" s="746" t="s">
        <v>13</v>
      </c>
      <c r="D60" s="746" t="s">
        <v>601</v>
      </c>
      <c r="E60" s="746" t="s">
        <v>602</v>
      </c>
      <c r="F60" s="746" t="s">
        <v>478</v>
      </c>
      <c r="G60" s="746" t="s">
        <v>45</v>
      </c>
      <c r="H60" s="746" t="s">
        <v>603</v>
      </c>
      <c r="I60" s="746" t="s">
        <v>51</v>
      </c>
      <c r="J60" s="746" t="s">
        <v>489</v>
      </c>
      <c r="K60" s="746"/>
      <c r="L60" s="746" t="s">
        <v>29</v>
      </c>
      <c r="M60" s="746" t="s">
        <v>412</v>
      </c>
      <c r="N60" s="747">
        <v>15199.056599999947</v>
      </c>
      <c r="O60" s="747">
        <v>6.4888277999999966</v>
      </c>
      <c r="P60" s="747">
        <v>67.201199999999986</v>
      </c>
      <c r="Q60" s="747">
        <v>8193.4543599999924</v>
      </c>
      <c r="R60" s="747">
        <v>3.6692091799999966</v>
      </c>
      <c r="S60" s="747">
        <v>40.320720000000001</v>
      </c>
      <c r="T60" s="747">
        <v>121363.76615999993</v>
      </c>
      <c r="U60" s="747">
        <v>571.28544000000011</v>
      </c>
      <c r="V60" s="747">
        <v>17.978674082356619</v>
      </c>
      <c r="W60" s="747">
        <v>3.0335256864</v>
      </c>
      <c r="X60" s="748">
        <v>21498.120727591715</v>
      </c>
      <c r="Y60" s="748">
        <v>41306.380029627901</v>
      </c>
      <c r="Z60" s="748">
        <v>187160.43782399994</v>
      </c>
      <c r="AA60" s="748">
        <v>147685.75998638882</v>
      </c>
      <c r="AB60" s="748">
        <v>181443.26693427525</v>
      </c>
      <c r="AC60" s="748">
        <v>148872.40997430615</v>
      </c>
      <c r="AD60" s="748">
        <v>148872.40997430612</v>
      </c>
      <c r="AE60" s="748">
        <v>219001.60145061856</v>
      </c>
      <c r="AF60" s="747">
        <v>9391.5973609217617</v>
      </c>
      <c r="AG60" s="747">
        <v>754.50624415645643</v>
      </c>
      <c r="AH60" s="747">
        <v>11371.023528600002</v>
      </c>
      <c r="AI60" s="747">
        <v>11319.168906814155</v>
      </c>
      <c r="AJ60" s="747">
        <v>1157.4783185710348</v>
      </c>
      <c r="AK60" s="747">
        <v>22.069058202167341</v>
      </c>
      <c r="AL60" s="747">
        <v>11319.168906814155</v>
      </c>
      <c r="AM60" s="747">
        <v>1159.9532131564984</v>
      </c>
      <c r="AN60" s="747">
        <v>22.069058202167341</v>
      </c>
      <c r="AO60" s="747">
        <v>1.8048366944276744</v>
      </c>
      <c r="AP60" s="747">
        <v>0.21410302319999999</v>
      </c>
      <c r="AQ60" s="748">
        <v>16433.431499999999</v>
      </c>
      <c r="AR60" s="748">
        <v>12325.0736</v>
      </c>
      <c r="AS60" s="748">
        <v>53408.652499999997</v>
      </c>
      <c r="AT60" s="748">
        <v>104993.28022399994</v>
      </c>
      <c r="AU60" s="747">
        <v>37074.851332133963</v>
      </c>
      <c r="AV60" s="747">
        <v>483.48318420930354</v>
      </c>
      <c r="AW60" s="747">
        <v>0</v>
      </c>
      <c r="AX60" s="747">
        <v>0</v>
      </c>
      <c r="AY60" s="747">
        <v>18.484051513498201</v>
      </c>
      <c r="AZ60" s="749">
        <v>0.56000000000000005</v>
      </c>
      <c r="BA60" s="750">
        <f t="shared" si="4"/>
        <v>2516.7640553401716</v>
      </c>
      <c r="BB60" s="750">
        <f t="shared" si="5"/>
        <v>32.820444469988608</v>
      </c>
      <c r="BC60" s="751">
        <f t="shared" si="12"/>
        <v>15777.854588451262</v>
      </c>
      <c r="BD60" s="751">
        <f t="shared" si="13"/>
        <v>5757.7565967404571</v>
      </c>
      <c r="BE60" s="751">
        <f t="shared" si="14"/>
        <v>138683.08081532811</v>
      </c>
      <c r="BF60" s="751">
        <f t="shared" si="15"/>
        <v>80318.520635290392</v>
      </c>
      <c r="BG60" s="752">
        <f t="shared" si="11"/>
        <v>14.731158947326447</v>
      </c>
      <c r="BH60" s="763">
        <f t="shared" si="0"/>
        <v>1071.0531767980672</v>
      </c>
      <c r="BI60" s="763">
        <f t="shared" si="1"/>
        <v>390.85564260953345</v>
      </c>
      <c r="BJ60" s="763">
        <f t="shared" si="2"/>
        <v>9414.2681720570017</v>
      </c>
      <c r="BK60" s="763">
        <f t="shared" si="3"/>
        <v>5452.2879647474965</v>
      </c>
    </row>
    <row r="61" spans="1:63">
      <c r="A61" s="669"/>
      <c r="B61" s="754">
        <v>2028</v>
      </c>
      <c r="C61" s="755" t="s">
        <v>13</v>
      </c>
      <c r="D61" s="755" t="s">
        <v>604</v>
      </c>
      <c r="E61" s="755" t="s">
        <v>605</v>
      </c>
      <c r="F61" s="755" t="s">
        <v>478</v>
      </c>
      <c r="G61" s="755" t="s">
        <v>45</v>
      </c>
      <c r="H61" s="755" t="s">
        <v>603</v>
      </c>
      <c r="I61" s="755" t="s">
        <v>51</v>
      </c>
      <c r="J61" s="755" t="s">
        <v>17</v>
      </c>
      <c r="K61" s="755"/>
      <c r="L61" s="755" t="s">
        <v>29</v>
      </c>
      <c r="M61" s="755" t="s">
        <v>412</v>
      </c>
      <c r="N61" s="756">
        <v>0</v>
      </c>
      <c r="O61" s="756">
        <v>0</v>
      </c>
      <c r="P61" s="756">
        <v>0</v>
      </c>
      <c r="Q61" s="756">
        <v>0</v>
      </c>
      <c r="R61" s="756">
        <v>0</v>
      </c>
      <c r="S61" s="756">
        <v>0</v>
      </c>
      <c r="T61" s="756">
        <v>0</v>
      </c>
      <c r="U61" s="756">
        <v>0</v>
      </c>
      <c r="V61" s="756">
        <v>0</v>
      </c>
      <c r="W61" s="756">
        <v>0</v>
      </c>
      <c r="X61" s="757">
        <v>0</v>
      </c>
      <c r="Y61" s="757">
        <v>0</v>
      </c>
      <c r="Z61" s="757">
        <v>1300.2227</v>
      </c>
      <c r="AA61" s="757">
        <v>1300.2227</v>
      </c>
      <c r="AB61" s="757">
        <v>1300.2227</v>
      </c>
      <c r="AC61" s="757">
        <v>1300.2227</v>
      </c>
      <c r="AD61" s="757">
        <v>1300.2227</v>
      </c>
      <c r="AE61" s="757">
        <v>1300.2227</v>
      </c>
      <c r="AF61" s="756">
        <v>0</v>
      </c>
      <c r="AG61" s="756">
        <v>0</v>
      </c>
      <c r="AH61" s="756">
        <v>0</v>
      </c>
      <c r="AI61" s="756">
        <v>0</v>
      </c>
      <c r="AJ61" s="756">
        <v>0</v>
      </c>
      <c r="AK61" s="756">
        <v>0</v>
      </c>
      <c r="AL61" s="756">
        <v>0</v>
      </c>
      <c r="AM61" s="756">
        <v>0</v>
      </c>
      <c r="AN61" s="756">
        <v>0</v>
      </c>
      <c r="AO61" s="756">
        <v>0</v>
      </c>
      <c r="AP61" s="756">
        <v>0</v>
      </c>
      <c r="AQ61" s="757">
        <v>1300.2227</v>
      </c>
      <c r="AR61" s="757">
        <v>0</v>
      </c>
      <c r="AS61" s="757">
        <v>0</v>
      </c>
      <c r="AT61" s="757">
        <v>0</v>
      </c>
      <c r="AU61" s="756">
        <v>0</v>
      </c>
      <c r="AV61" s="756">
        <v>0</v>
      </c>
      <c r="AW61" s="756">
        <v>0</v>
      </c>
      <c r="AX61" s="756">
        <v>0</v>
      </c>
      <c r="AY61" s="756">
        <v>0</v>
      </c>
      <c r="AZ61" s="758">
        <v>0.56000000000000005</v>
      </c>
      <c r="BA61" s="759" t="str">
        <f t="shared" si="4"/>
        <v/>
      </c>
      <c r="BB61" s="759" t="str">
        <f t="shared" si="5"/>
        <v/>
      </c>
      <c r="BC61" s="760">
        <f t="shared" si="12"/>
        <v>0</v>
      </c>
      <c r="BD61" s="760">
        <f t="shared" si="13"/>
        <v>0</v>
      </c>
      <c r="BE61" s="760">
        <f t="shared" si="14"/>
        <v>728.12471200000005</v>
      </c>
      <c r="BF61" s="760">
        <f t="shared" si="15"/>
        <v>572.09798799999999</v>
      </c>
      <c r="BG61" s="761">
        <f t="shared" si="11"/>
        <v>0</v>
      </c>
      <c r="BH61" s="762">
        <f t="shared" si="0"/>
        <v>0</v>
      </c>
      <c r="BI61" s="762">
        <f t="shared" si="1"/>
        <v>0</v>
      </c>
      <c r="BJ61" s="762">
        <f t="shared" si="2"/>
        <v>0</v>
      </c>
      <c r="BK61" s="762">
        <f t="shared" si="3"/>
        <v>0</v>
      </c>
    </row>
    <row r="62" spans="1:63">
      <c r="A62" s="669"/>
      <c r="B62" s="745">
        <v>2028</v>
      </c>
      <c r="C62" s="746" t="s">
        <v>13</v>
      </c>
      <c r="D62" s="746" t="s">
        <v>606</v>
      </c>
      <c r="E62" s="746" t="s">
        <v>607</v>
      </c>
      <c r="F62" s="746" t="s">
        <v>478</v>
      </c>
      <c r="G62" s="746" t="s">
        <v>18</v>
      </c>
      <c r="H62" s="746" t="s">
        <v>608</v>
      </c>
      <c r="I62" s="746" t="s">
        <v>51</v>
      </c>
      <c r="J62" s="746" t="s">
        <v>489</v>
      </c>
      <c r="K62" s="746"/>
      <c r="L62" s="746" t="s">
        <v>29</v>
      </c>
      <c r="M62" s="746" t="s">
        <v>412</v>
      </c>
      <c r="N62" s="747">
        <v>72067.191553630022</v>
      </c>
      <c r="O62" s="747">
        <v>12.383718025769987</v>
      </c>
      <c r="P62" s="747">
        <v>2339.5777996800002</v>
      </c>
      <c r="Q62" s="747">
        <v>37017.762268896469</v>
      </c>
      <c r="R62" s="747">
        <v>6.5020585637734918</v>
      </c>
      <c r="S62" s="747">
        <v>744.10839782399989</v>
      </c>
      <c r="T62" s="747">
        <v>577554.88555446442</v>
      </c>
      <c r="U62" s="747">
        <v>8000.9006114399981</v>
      </c>
      <c r="V62" s="747">
        <v>126.36921984655051</v>
      </c>
      <c r="W62" s="747">
        <v>42.484782246746384</v>
      </c>
      <c r="X62" s="748">
        <v>64295.767923640211</v>
      </c>
      <c r="Y62" s="748">
        <v>134279.66558901052</v>
      </c>
      <c r="Z62" s="748">
        <v>329758.86587048002</v>
      </c>
      <c r="AA62" s="748">
        <v>1377241.9215182993</v>
      </c>
      <c r="AB62" s="748">
        <v>319784.53368885489</v>
      </c>
      <c r="AC62" s="748">
        <v>1394762.3217069511</v>
      </c>
      <c r="AD62" s="748">
        <v>1394762.3217069518</v>
      </c>
      <c r="AE62" s="748">
        <v>499334.89633921889</v>
      </c>
      <c r="AF62" s="747">
        <v>52077.787424976581</v>
      </c>
      <c r="AG62" s="747">
        <v>11152.413615760739</v>
      </c>
      <c r="AH62" s="747">
        <v>386.59660434879777</v>
      </c>
      <c r="AI62" s="747">
        <v>63772.261200471658</v>
      </c>
      <c r="AJ62" s="747">
        <v>16206.795212039897</v>
      </c>
      <c r="AK62" s="747">
        <v>775.24024941033451</v>
      </c>
      <c r="AL62" s="747">
        <v>63772.261200471658</v>
      </c>
      <c r="AM62" s="747">
        <v>16243.877621728689</v>
      </c>
      <c r="AN62" s="747">
        <v>775.24024941033451</v>
      </c>
      <c r="AO62" s="747">
        <v>8.8578308191407302</v>
      </c>
      <c r="AP62" s="747">
        <v>3.9512155924454397</v>
      </c>
      <c r="AQ62" s="748">
        <v>28954.141299999999</v>
      </c>
      <c r="AR62" s="748">
        <v>21715.605899999999</v>
      </c>
      <c r="AS62" s="748">
        <v>94100.959099999993</v>
      </c>
      <c r="AT62" s="748">
        <v>184988.15957048003</v>
      </c>
      <c r="AU62" s="747">
        <v>168216.97176860072</v>
      </c>
      <c r="AV62" s="747">
        <v>11333.390881763657</v>
      </c>
      <c r="AW62" s="747">
        <v>0</v>
      </c>
      <c r="AX62" s="747">
        <v>0</v>
      </c>
      <c r="AY62" s="747">
        <v>678.9702785541117</v>
      </c>
      <c r="AZ62" s="749">
        <v>0.56000000000000005</v>
      </c>
      <c r="BA62" s="750">
        <f t="shared" si="4"/>
        <v>12185.685925840542</v>
      </c>
      <c r="BB62" s="750">
        <f t="shared" si="5"/>
        <v>820.99410248529728</v>
      </c>
      <c r="BC62" s="751">
        <f t="shared" si="12"/>
        <v>52973.251801966013</v>
      </c>
      <c r="BD62" s="751">
        <f t="shared" si="13"/>
        <v>11322.516121674211</v>
      </c>
      <c r="BE62" s="751">
        <f t="shared" si="14"/>
        <v>347296.31063435948</v>
      </c>
      <c r="BF62" s="751">
        <f t="shared" si="15"/>
        <v>152038.58570485978</v>
      </c>
      <c r="BG62" s="752">
        <f t="shared" si="11"/>
        <v>13.804472952309204</v>
      </c>
      <c r="BH62" s="763">
        <f t="shared" si="0"/>
        <v>3837.3976308240494</v>
      </c>
      <c r="BI62" s="763">
        <f t="shared" si="1"/>
        <v>820.20633172961425</v>
      </c>
      <c r="BJ62" s="763">
        <f t="shared" si="2"/>
        <v>25158.244855430279</v>
      </c>
      <c r="BK62" s="763">
        <f t="shared" si="3"/>
        <v>11013.718975734373</v>
      </c>
    </row>
    <row r="63" spans="1:63">
      <c r="A63" s="669"/>
      <c r="B63" s="754">
        <v>2028</v>
      </c>
      <c r="C63" s="755" t="s">
        <v>13</v>
      </c>
      <c r="D63" s="755" t="s">
        <v>609</v>
      </c>
      <c r="E63" s="755" t="s">
        <v>610</v>
      </c>
      <c r="F63" s="755" t="s">
        <v>478</v>
      </c>
      <c r="G63" s="755" t="s">
        <v>18</v>
      </c>
      <c r="H63" s="755" t="s">
        <v>608</v>
      </c>
      <c r="I63" s="755" t="s">
        <v>51</v>
      </c>
      <c r="J63" s="755" t="s">
        <v>17</v>
      </c>
      <c r="K63" s="755"/>
      <c r="L63" s="755" t="s">
        <v>29</v>
      </c>
      <c r="M63" s="755" t="s">
        <v>412</v>
      </c>
      <c r="N63" s="756">
        <v>0</v>
      </c>
      <c r="O63" s="756">
        <v>0</v>
      </c>
      <c r="P63" s="756">
        <v>0</v>
      </c>
      <c r="Q63" s="756">
        <v>0</v>
      </c>
      <c r="R63" s="756">
        <v>0</v>
      </c>
      <c r="S63" s="756">
        <v>0</v>
      </c>
      <c r="T63" s="756">
        <v>0</v>
      </c>
      <c r="U63" s="756">
        <v>0</v>
      </c>
      <c r="V63" s="756">
        <v>0</v>
      </c>
      <c r="W63" s="756">
        <v>0</v>
      </c>
      <c r="X63" s="757">
        <v>0</v>
      </c>
      <c r="Y63" s="757">
        <v>0</v>
      </c>
      <c r="Z63" s="757">
        <v>2155.6527000000001</v>
      </c>
      <c r="AA63" s="757">
        <v>2155.6527000000001</v>
      </c>
      <c r="AB63" s="757">
        <v>2155.6527000000001</v>
      </c>
      <c r="AC63" s="757">
        <v>2155.6527000000001</v>
      </c>
      <c r="AD63" s="757">
        <v>2155.6527000000001</v>
      </c>
      <c r="AE63" s="757">
        <v>2155.6527000000001</v>
      </c>
      <c r="AF63" s="756">
        <v>0</v>
      </c>
      <c r="AG63" s="756">
        <v>0</v>
      </c>
      <c r="AH63" s="756">
        <v>0</v>
      </c>
      <c r="AI63" s="756">
        <v>0</v>
      </c>
      <c r="AJ63" s="756">
        <v>0</v>
      </c>
      <c r="AK63" s="756">
        <v>0</v>
      </c>
      <c r="AL63" s="756">
        <v>0</v>
      </c>
      <c r="AM63" s="756">
        <v>0</v>
      </c>
      <c r="AN63" s="756">
        <v>0</v>
      </c>
      <c r="AO63" s="756">
        <v>0</v>
      </c>
      <c r="AP63" s="756">
        <v>0</v>
      </c>
      <c r="AQ63" s="757">
        <v>2155.6527000000001</v>
      </c>
      <c r="AR63" s="757">
        <v>0</v>
      </c>
      <c r="AS63" s="757">
        <v>0</v>
      </c>
      <c r="AT63" s="757">
        <v>0</v>
      </c>
      <c r="AU63" s="756">
        <v>0</v>
      </c>
      <c r="AV63" s="756">
        <v>0</v>
      </c>
      <c r="AW63" s="756">
        <v>0</v>
      </c>
      <c r="AX63" s="756">
        <v>0</v>
      </c>
      <c r="AY63" s="756">
        <v>0</v>
      </c>
      <c r="AZ63" s="758">
        <v>0.56000000000000005</v>
      </c>
      <c r="BA63" s="759" t="str">
        <f t="shared" si="4"/>
        <v/>
      </c>
      <c r="BB63" s="759" t="str">
        <f t="shared" si="5"/>
        <v/>
      </c>
      <c r="BC63" s="760">
        <f t="shared" si="12"/>
        <v>0</v>
      </c>
      <c r="BD63" s="760">
        <f t="shared" si="13"/>
        <v>0</v>
      </c>
      <c r="BE63" s="760">
        <f t="shared" si="14"/>
        <v>1207.1655120000003</v>
      </c>
      <c r="BF63" s="760">
        <f t="shared" si="15"/>
        <v>948.48718799999995</v>
      </c>
      <c r="BG63" s="761">
        <f t="shared" si="11"/>
        <v>0</v>
      </c>
      <c r="BH63" s="762">
        <f t="shared" si="0"/>
        <v>0</v>
      </c>
      <c r="BI63" s="762">
        <f t="shared" si="1"/>
        <v>0</v>
      </c>
      <c r="BJ63" s="762">
        <f t="shared" si="2"/>
        <v>0</v>
      </c>
      <c r="BK63" s="762">
        <f t="shared" si="3"/>
        <v>0</v>
      </c>
    </row>
    <row r="64" spans="1:63">
      <c r="A64" s="669"/>
      <c r="B64" s="745">
        <v>2028</v>
      </c>
      <c r="C64" s="746" t="s">
        <v>13</v>
      </c>
      <c r="D64" s="746" t="s">
        <v>611</v>
      </c>
      <c r="E64" s="746" t="s">
        <v>612</v>
      </c>
      <c r="F64" s="746" t="s">
        <v>613</v>
      </c>
      <c r="G64" s="746" t="s">
        <v>18</v>
      </c>
      <c r="H64" s="746" t="s">
        <v>614</v>
      </c>
      <c r="I64" s="746" t="s">
        <v>51</v>
      </c>
      <c r="J64" s="746" t="s">
        <v>489</v>
      </c>
      <c r="K64" s="746"/>
      <c r="L64" s="746" t="s">
        <v>29</v>
      </c>
      <c r="M64" s="746" t="s">
        <v>412</v>
      </c>
      <c r="N64" s="747">
        <v>-104004.68912717521</v>
      </c>
      <c r="O64" s="747">
        <v>0</v>
      </c>
      <c r="P64" s="747">
        <v>16396.625901750631</v>
      </c>
      <c r="Q64" s="747">
        <v>-101018.07501771871</v>
      </c>
      <c r="R64" s="747">
        <v>0</v>
      </c>
      <c r="S64" s="747">
        <v>15936.376134500631</v>
      </c>
      <c r="T64" s="747">
        <v>-1146538.0760461583</v>
      </c>
      <c r="U64" s="747">
        <v>197060.66151775658</v>
      </c>
      <c r="V64" s="747">
        <v>-242.74710209879009</v>
      </c>
      <c r="W64" s="747">
        <v>1046.3921126592845</v>
      </c>
      <c r="X64" s="748">
        <v>703946.20441714127</v>
      </c>
      <c r="Y64" s="748">
        <v>736443.50796409231</v>
      </c>
      <c r="Z64" s="748">
        <v>996888.25591999979</v>
      </c>
      <c r="AA64" s="748">
        <v>1234048.168411985</v>
      </c>
      <c r="AB64" s="748">
        <v>1088112.7870737999</v>
      </c>
      <c r="AC64" s="748">
        <v>1257597.947410437</v>
      </c>
      <c r="AD64" s="748">
        <v>1257597.9474104361</v>
      </c>
      <c r="AE64" s="748">
        <v>1293878.7227991624</v>
      </c>
      <c r="AF64" s="747">
        <v>-50613.806714315506</v>
      </c>
      <c r="AG64" s="747">
        <v>353943.22843513102</v>
      </c>
      <c r="AH64" s="747">
        <v>517611.36281399976</v>
      </c>
      <c r="AI64" s="747">
        <v>-58835.167761638942</v>
      </c>
      <c r="AJ64" s="747">
        <v>531748.41034123756</v>
      </c>
      <c r="AK64" s="747">
        <v>0</v>
      </c>
      <c r="AL64" s="747">
        <v>-58835.167761638942</v>
      </c>
      <c r="AM64" s="747">
        <v>532652.14556763135</v>
      </c>
      <c r="AN64" s="747">
        <v>0</v>
      </c>
      <c r="AO64" s="747">
        <v>-23.241413778414657</v>
      </c>
      <c r="AP64" s="747">
        <v>84.622157274198386</v>
      </c>
      <c r="AQ64" s="748">
        <v>34270.235999999997</v>
      </c>
      <c r="AR64" s="748">
        <v>20020</v>
      </c>
      <c r="AS64" s="748">
        <v>376951.12</v>
      </c>
      <c r="AT64" s="748">
        <v>565646.89991999976</v>
      </c>
      <c r="AU64" s="747">
        <v>-191114.86750625886</v>
      </c>
      <c r="AV64" s="747">
        <v>396880.80323162366</v>
      </c>
      <c r="AW64" s="747">
        <v>154172.87020092524</v>
      </c>
      <c r="AX64" s="747">
        <v>0</v>
      </c>
      <c r="AY64" s="747">
        <v>0</v>
      </c>
      <c r="AZ64" s="749">
        <v>0.56000000000000005</v>
      </c>
      <c r="BA64" s="750">
        <f t="shared" si="4"/>
        <v>-27304.443541244702</v>
      </c>
      <c r="BB64" s="750">
        <f t="shared" si="5"/>
        <v>31384.287077207282</v>
      </c>
      <c r="BC64" s="751">
        <f t="shared" si="12"/>
        <v>393421.42666244961</v>
      </c>
      <c r="BD64" s="751">
        <f t="shared" si="13"/>
        <v>581692.2280732909</v>
      </c>
      <c r="BE64" s="751">
        <f t="shared" si="14"/>
        <v>418228.29325506906</v>
      </c>
      <c r="BF64" s="751">
        <f t="shared" si="15"/>
        <v>875650.42954409553</v>
      </c>
      <c r="BG64" s="752">
        <f t="shared" si="11"/>
        <v>12.645844153007918</v>
      </c>
      <c r="BH64" s="763">
        <f t="shared" si="0"/>
        <v>31110.728702826145</v>
      </c>
      <c r="BI64" s="763">
        <f t="shared" si="1"/>
        <v>45998.68708131522</v>
      </c>
      <c r="BJ64" s="763">
        <f t="shared" si="2"/>
        <v>33072.3902805326</v>
      </c>
      <c r="BK64" s="763">
        <f t="shared" si="3"/>
        <v>69244.126287592662</v>
      </c>
    </row>
    <row r="65" spans="1:63">
      <c r="A65" s="669"/>
      <c r="B65" s="754">
        <v>2028</v>
      </c>
      <c r="C65" s="755" t="s">
        <v>13</v>
      </c>
      <c r="D65" s="755" t="s">
        <v>615</v>
      </c>
      <c r="E65" s="755" t="s">
        <v>616</v>
      </c>
      <c r="F65" s="755" t="s">
        <v>613</v>
      </c>
      <c r="G65" s="755" t="s">
        <v>18</v>
      </c>
      <c r="H65" s="755" t="s">
        <v>614</v>
      </c>
      <c r="I65" s="755" t="s">
        <v>51</v>
      </c>
      <c r="J65" s="755" t="s">
        <v>17</v>
      </c>
      <c r="K65" s="755"/>
      <c r="L65" s="755" t="s">
        <v>29</v>
      </c>
      <c r="M65" s="755" t="s">
        <v>412</v>
      </c>
      <c r="N65" s="756">
        <v>0</v>
      </c>
      <c r="O65" s="756">
        <v>0</v>
      </c>
      <c r="P65" s="756">
        <v>0</v>
      </c>
      <c r="Q65" s="756">
        <v>0</v>
      </c>
      <c r="R65" s="756">
        <v>0</v>
      </c>
      <c r="S65" s="756">
        <v>0</v>
      </c>
      <c r="T65" s="756">
        <v>0</v>
      </c>
      <c r="U65" s="756">
        <v>0</v>
      </c>
      <c r="V65" s="756">
        <v>0</v>
      </c>
      <c r="W65" s="756">
        <v>0</v>
      </c>
      <c r="X65" s="757">
        <v>0</v>
      </c>
      <c r="Y65" s="757">
        <v>0</v>
      </c>
      <c r="Z65" s="757">
        <v>7754.9975999999997</v>
      </c>
      <c r="AA65" s="757">
        <v>7754.9975999999997</v>
      </c>
      <c r="AB65" s="757">
        <v>7754.9975999999997</v>
      </c>
      <c r="AC65" s="757">
        <v>7754.9975999999997</v>
      </c>
      <c r="AD65" s="757">
        <v>7754.9975999999997</v>
      </c>
      <c r="AE65" s="757">
        <v>7754.9975999999997</v>
      </c>
      <c r="AF65" s="756">
        <v>0</v>
      </c>
      <c r="AG65" s="756">
        <v>0</v>
      </c>
      <c r="AH65" s="756">
        <v>0</v>
      </c>
      <c r="AI65" s="756">
        <v>0</v>
      </c>
      <c r="AJ65" s="756">
        <v>0</v>
      </c>
      <c r="AK65" s="756">
        <v>0</v>
      </c>
      <c r="AL65" s="756">
        <v>0</v>
      </c>
      <c r="AM65" s="756">
        <v>0</v>
      </c>
      <c r="AN65" s="756">
        <v>0</v>
      </c>
      <c r="AO65" s="756">
        <v>0</v>
      </c>
      <c r="AP65" s="756">
        <v>0</v>
      </c>
      <c r="AQ65" s="757">
        <v>7754.9975999999997</v>
      </c>
      <c r="AR65" s="757">
        <v>0</v>
      </c>
      <c r="AS65" s="757">
        <v>0</v>
      </c>
      <c r="AT65" s="757">
        <v>0</v>
      </c>
      <c r="AU65" s="756">
        <v>0</v>
      </c>
      <c r="AV65" s="756">
        <v>0</v>
      </c>
      <c r="AW65" s="756">
        <v>0</v>
      </c>
      <c r="AX65" s="756">
        <v>0</v>
      </c>
      <c r="AY65" s="756">
        <v>0</v>
      </c>
      <c r="AZ65" s="758">
        <v>0.56000000000000005</v>
      </c>
      <c r="BA65" s="759" t="str">
        <f t="shared" si="4"/>
        <v/>
      </c>
      <c r="BB65" s="759" t="str">
        <f t="shared" si="5"/>
        <v/>
      </c>
      <c r="BC65" s="760">
        <f t="shared" si="12"/>
        <v>0</v>
      </c>
      <c r="BD65" s="760">
        <f t="shared" si="13"/>
        <v>0</v>
      </c>
      <c r="BE65" s="760">
        <f t="shared" si="14"/>
        <v>4342.7986559999999</v>
      </c>
      <c r="BF65" s="760">
        <f t="shared" si="15"/>
        <v>3412.1989439999993</v>
      </c>
      <c r="BG65" s="761">
        <f t="shared" si="11"/>
        <v>0</v>
      </c>
      <c r="BH65" s="762">
        <f t="shared" si="0"/>
        <v>0</v>
      </c>
      <c r="BI65" s="762">
        <f t="shared" si="1"/>
        <v>0</v>
      </c>
      <c r="BJ65" s="762">
        <f t="shared" si="2"/>
        <v>0</v>
      </c>
      <c r="BK65" s="762">
        <f t="shared" si="3"/>
        <v>0</v>
      </c>
    </row>
    <row r="66" spans="1:63">
      <c r="A66" s="669"/>
      <c r="B66" s="745">
        <v>2028</v>
      </c>
      <c r="C66" s="746" t="s">
        <v>13</v>
      </c>
      <c r="D66" s="746" t="s">
        <v>617</v>
      </c>
      <c r="E66" s="746" t="s">
        <v>618</v>
      </c>
      <c r="F66" s="746" t="s">
        <v>478</v>
      </c>
      <c r="G66" s="746" t="s">
        <v>27</v>
      </c>
      <c r="H66" s="746"/>
      <c r="I66" s="746" t="s">
        <v>46</v>
      </c>
      <c r="J66" s="746" t="s">
        <v>489</v>
      </c>
      <c r="K66" s="746"/>
      <c r="L66" s="746" t="s">
        <v>20</v>
      </c>
      <c r="M66" s="746" t="s">
        <v>412</v>
      </c>
      <c r="N66" s="747">
        <v>3537016.9289099998</v>
      </c>
      <c r="O66" s="747">
        <v>526.35402000000011</v>
      </c>
      <c r="P66" s="747">
        <v>7766.0540999999994</v>
      </c>
      <c r="Q66" s="747">
        <v>3360166.0824644999</v>
      </c>
      <c r="R66" s="747">
        <v>500.03631899999993</v>
      </c>
      <c r="S66" s="747">
        <v>7377.7513949999993</v>
      </c>
      <c r="T66" s="747">
        <v>38261910.826849498</v>
      </c>
      <c r="U66" s="747">
        <v>79923.159899999999</v>
      </c>
      <c r="V66" s="747">
        <v>4824.8900362326049</v>
      </c>
      <c r="W66" s="747">
        <v>424.391979069</v>
      </c>
      <c r="X66" s="748">
        <v>2361183.5086165606</v>
      </c>
      <c r="Y66" s="748">
        <v>2485456.3248595367</v>
      </c>
      <c r="Z66" s="748">
        <v>1824860.4331</v>
      </c>
      <c r="AA66" s="748">
        <v>2177314.6134366221</v>
      </c>
      <c r="AB66" s="748">
        <v>1777539.7213590087</v>
      </c>
      <c r="AC66" s="748">
        <v>2198863.1452701157</v>
      </c>
      <c r="AD66" s="748">
        <v>2198863.1452701157</v>
      </c>
      <c r="AE66" s="748">
        <v>13852544.871352565</v>
      </c>
      <c r="AF66" s="747">
        <v>2220651.5045593232</v>
      </c>
      <c r="AG66" s="747">
        <v>140532.0040572373</v>
      </c>
      <c r="AH66" s="747">
        <v>0</v>
      </c>
      <c r="AI66" s="747">
        <v>2561235.9201379889</v>
      </c>
      <c r="AJ66" s="747">
        <v>215060.10550920959</v>
      </c>
      <c r="AK66" s="747">
        <v>0</v>
      </c>
      <c r="AL66" s="747">
        <v>2561235.9201379889</v>
      </c>
      <c r="AM66" s="747">
        <v>215478.49006499781</v>
      </c>
      <c r="AN66" s="747">
        <v>0</v>
      </c>
      <c r="AO66" s="747">
        <v>539.01550522762955</v>
      </c>
      <c r="AP66" s="747">
        <v>39.175859907450004</v>
      </c>
      <c r="AQ66" s="748">
        <v>242965.51199999999</v>
      </c>
      <c r="AR66" s="748">
        <v>99698.730599999995</v>
      </c>
      <c r="AS66" s="748">
        <v>593199.41350000002</v>
      </c>
      <c r="AT66" s="748">
        <v>888996.777</v>
      </c>
      <c r="AU66" s="747">
        <v>11993184.004570602</v>
      </c>
      <c r="AV66" s="747">
        <v>81821.145422961912</v>
      </c>
      <c r="AW66" s="747">
        <v>0</v>
      </c>
      <c r="AX66" s="747">
        <v>0</v>
      </c>
      <c r="AY66" s="747">
        <v>0</v>
      </c>
      <c r="AZ66" s="749">
        <v>0.56000000000000005</v>
      </c>
      <c r="BA66" s="750">
        <f t="shared" si="4"/>
        <v>1056348.9891508175</v>
      </c>
      <c r="BB66" s="750">
        <f t="shared" si="5"/>
        <v>7206.7337769326932</v>
      </c>
      <c r="BC66" s="751">
        <f t="shared" si="12"/>
        <v>2220651.5045593232</v>
      </c>
      <c r="BD66" s="751">
        <f t="shared" si="13"/>
        <v>140532.0040572373</v>
      </c>
      <c r="BE66" s="751">
        <f t="shared" si="14"/>
        <v>12988606.248531647</v>
      </c>
      <c r="BF66" s="751">
        <f t="shared" si="15"/>
        <v>863938.62282092567</v>
      </c>
      <c r="BG66" s="752">
        <f t="shared" si="11"/>
        <v>11.353429716642921</v>
      </c>
      <c r="BH66" s="763">
        <f t="shared" si="0"/>
        <v>195593.011097262</v>
      </c>
      <c r="BI66" s="763">
        <f t="shared" si="1"/>
        <v>12377.934030915108</v>
      </c>
      <c r="BJ66" s="763">
        <f t="shared" si="2"/>
        <v>1144024.8957979395</v>
      </c>
      <c r="BK66" s="763">
        <f t="shared" si="3"/>
        <v>76094.946142528497</v>
      </c>
    </row>
    <row r="67" spans="1:63">
      <c r="A67" s="669"/>
      <c r="B67" s="754">
        <v>2028</v>
      </c>
      <c r="C67" s="755" t="s">
        <v>13</v>
      </c>
      <c r="D67" s="755" t="s">
        <v>619</v>
      </c>
      <c r="E67" s="755" t="s">
        <v>620</v>
      </c>
      <c r="F67" s="755" t="s">
        <v>478</v>
      </c>
      <c r="G67" s="755" t="s">
        <v>27</v>
      </c>
      <c r="H67" s="755"/>
      <c r="I67" s="755" t="s">
        <v>46</v>
      </c>
      <c r="J67" s="755" t="s">
        <v>489</v>
      </c>
      <c r="K67" s="755"/>
      <c r="L67" s="755" t="s">
        <v>20</v>
      </c>
      <c r="M67" s="755" t="s">
        <v>412</v>
      </c>
      <c r="N67" s="756">
        <v>7475618.9939999972</v>
      </c>
      <c r="O67" s="756">
        <v>871.11663772739951</v>
      </c>
      <c r="P67" s="756">
        <v>8570.4251000000004</v>
      </c>
      <c r="Q67" s="756">
        <v>6895898.2993000019</v>
      </c>
      <c r="R67" s="756">
        <v>806.46176084102967</v>
      </c>
      <c r="S67" s="756">
        <v>6243.2528450000009</v>
      </c>
      <c r="T67" s="756">
        <v>54569633.561754987</v>
      </c>
      <c r="U67" s="756">
        <v>124566.82295524998</v>
      </c>
      <c r="V67" s="756">
        <v>6915.7396679074018</v>
      </c>
      <c r="W67" s="756">
        <v>661.44982989237747</v>
      </c>
      <c r="X67" s="757">
        <v>3712231.0816472638</v>
      </c>
      <c r="Y67" s="757">
        <v>4102133.400637228</v>
      </c>
      <c r="Z67" s="757">
        <v>2374614.8164948006</v>
      </c>
      <c r="AA67" s="757">
        <v>4496919.0747317793</v>
      </c>
      <c r="AB67" s="757">
        <v>2342111.4071239959</v>
      </c>
      <c r="AC67" s="757">
        <v>4518835.0073914267</v>
      </c>
      <c r="AD67" s="757">
        <v>4518835.0073914239</v>
      </c>
      <c r="AE67" s="757">
        <v>20048360.125057526</v>
      </c>
      <c r="AF67" s="756">
        <v>3483919.7195071783</v>
      </c>
      <c r="AG67" s="756">
        <v>226392.87179090339</v>
      </c>
      <c r="AH67" s="756">
        <v>0</v>
      </c>
      <c r="AI67" s="756">
        <v>4045786.400507478</v>
      </c>
      <c r="AJ67" s="756">
        <v>334670.32282135769</v>
      </c>
      <c r="AK67" s="756">
        <v>2491.0054306527527</v>
      </c>
      <c r="AL67" s="756">
        <v>4062956.4930023327</v>
      </c>
      <c r="AM67" s="756">
        <v>335350.05686042609</v>
      </c>
      <c r="AN67" s="756">
        <v>2491.0054306527527</v>
      </c>
      <c r="AO67" s="756">
        <v>1389.2902345792531</v>
      </c>
      <c r="AP67" s="756">
        <v>33.151672606949987</v>
      </c>
      <c r="AQ67" s="757">
        <v>143926.89720000001</v>
      </c>
      <c r="AR67" s="757">
        <v>67119.930599999992</v>
      </c>
      <c r="AS67" s="757">
        <v>962558.6716</v>
      </c>
      <c r="AT67" s="757">
        <v>1201009.3170948008</v>
      </c>
      <c r="AU67" s="756">
        <v>17572787.266363382</v>
      </c>
      <c r="AV67" s="756">
        <v>133461.45157016252</v>
      </c>
      <c r="AW67" s="756">
        <v>0</v>
      </c>
      <c r="AX67" s="756">
        <v>0</v>
      </c>
      <c r="AY67" s="756">
        <v>2180.6483491815948</v>
      </c>
      <c r="AZ67" s="758">
        <v>0.56000000000000005</v>
      </c>
      <c r="BA67" s="759">
        <f t="shared" si="4"/>
        <v>2136651.8657830902</v>
      </c>
      <c r="BB67" s="759">
        <f t="shared" si="5"/>
        <v>16227.400649943685</v>
      </c>
      <c r="BC67" s="760">
        <f t="shared" si="12"/>
        <v>3486100.36785636</v>
      </c>
      <c r="BD67" s="760">
        <f t="shared" si="13"/>
        <v>226392.87179090339</v>
      </c>
      <c r="BE67" s="760">
        <f t="shared" si="14"/>
        <v>18884369.654352821</v>
      </c>
      <c r="BF67" s="760">
        <f t="shared" si="15"/>
        <v>1163990.4707047206</v>
      </c>
      <c r="BG67" s="761">
        <f t="shared" si="11"/>
        <v>8.2244503879076696</v>
      </c>
      <c r="BH67" s="762">
        <f t="shared" si="0"/>
        <v>423870.31393391831</v>
      </c>
      <c r="BI67" s="762">
        <f t="shared" si="1"/>
        <v>27526.808614927832</v>
      </c>
      <c r="BJ67" s="762">
        <f t="shared" si="2"/>
        <v>2296125.426462336</v>
      </c>
      <c r="BK67" s="762">
        <f t="shared" si="3"/>
        <v>141528.05546935083</v>
      </c>
    </row>
    <row r="68" spans="1:63">
      <c r="A68" s="669"/>
      <c r="B68" s="745">
        <v>2028</v>
      </c>
      <c r="C68" s="746" t="s">
        <v>13</v>
      </c>
      <c r="D68" s="746" t="s">
        <v>621</v>
      </c>
      <c r="E68" s="746" t="s">
        <v>622</v>
      </c>
      <c r="F68" s="746" t="s">
        <v>478</v>
      </c>
      <c r="G68" s="746" t="s">
        <v>27</v>
      </c>
      <c r="H68" s="746"/>
      <c r="I68" s="746" t="s">
        <v>46</v>
      </c>
      <c r="J68" s="746" t="s">
        <v>489</v>
      </c>
      <c r="K68" s="746"/>
      <c r="L68" s="746" t="s">
        <v>20</v>
      </c>
      <c r="M68" s="746" t="s">
        <v>412</v>
      </c>
      <c r="N68" s="747">
        <v>7364297.3906000005</v>
      </c>
      <c r="O68" s="747">
        <v>463.05256487000003</v>
      </c>
      <c r="P68" s="747">
        <v>486423.3359451</v>
      </c>
      <c r="Q68" s="747">
        <v>3682818.5301600005</v>
      </c>
      <c r="R68" s="747">
        <v>242.65171392200014</v>
      </c>
      <c r="S68" s="747">
        <v>321026.27256706002</v>
      </c>
      <c r="T68" s="747">
        <v>22095591.497229997</v>
      </c>
      <c r="U68" s="747">
        <v>4509688.3924178416</v>
      </c>
      <c r="V68" s="747">
        <v>2563.1163399045063</v>
      </c>
      <c r="W68" s="747">
        <v>23946.445363738741</v>
      </c>
      <c r="X68" s="748">
        <v>9329068.9842706975</v>
      </c>
      <c r="Y68" s="748">
        <v>15151188.748131974</v>
      </c>
      <c r="Z68" s="748">
        <v>6139780.6492999997</v>
      </c>
      <c r="AA68" s="748">
        <v>7032629.5470943656</v>
      </c>
      <c r="AB68" s="748">
        <v>6631947.2086450644</v>
      </c>
      <c r="AC68" s="748">
        <v>7104922.080656725</v>
      </c>
      <c r="AD68" s="748">
        <v>7104922.0806567194</v>
      </c>
      <c r="AE68" s="748">
        <v>20631950.323991653</v>
      </c>
      <c r="AF68" s="747">
        <v>2005059.3254601888</v>
      </c>
      <c r="AG68" s="747">
        <v>7886781.3588508861</v>
      </c>
      <c r="AH68" s="747">
        <v>0</v>
      </c>
      <c r="AI68" s="747">
        <v>2232496.4850267223</v>
      </c>
      <c r="AJ68" s="747">
        <v>12108364.440749384</v>
      </c>
      <c r="AK68" s="747">
        <v>302.70424095519701</v>
      </c>
      <c r="AL68" s="747">
        <v>2232496.4850267223</v>
      </c>
      <c r="AM68" s="747">
        <v>12134030.231356494</v>
      </c>
      <c r="AN68" s="747">
        <v>302.70424095519701</v>
      </c>
      <c r="AO68" s="747">
        <v>755.64727739307637</v>
      </c>
      <c r="AP68" s="747">
        <v>1704.6495073310887</v>
      </c>
      <c r="AQ68" s="748">
        <v>396871.96549999999</v>
      </c>
      <c r="AR68" s="748">
        <v>94328.730599999995</v>
      </c>
      <c r="AS68" s="748">
        <v>3063451.0431999997</v>
      </c>
      <c r="AT68" s="748">
        <v>2585128.91</v>
      </c>
      <c r="AU68" s="747">
        <v>9482345.0367940385</v>
      </c>
      <c r="AV68" s="747">
        <v>4517658.0785525674</v>
      </c>
      <c r="AW68" s="747">
        <v>2208204.3499906668</v>
      </c>
      <c r="AX68" s="747">
        <v>0</v>
      </c>
      <c r="AY68" s="747">
        <v>284.32477021278902</v>
      </c>
      <c r="AZ68" s="749">
        <v>0.56000000000000005</v>
      </c>
      <c r="BA68" s="750">
        <f t="shared" si="4"/>
        <v>617329.28222715377</v>
      </c>
      <c r="BB68" s="750">
        <f t="shared" si="5"/>
        <v>383396.84906563669</v>
      </c>
      <c r="BC68" s="751">
        <f t="shared" si="12"/>
        <v>4213548.000221068</v>
      </c>
      <c r="BD68" s="751">
        <f t="shared" si="13"/>
        <v>7886781.3588508861</v>
      </c>
      <c r="BE68" s="751">
        <f t="shared" si="14"/>
        <v>13196235.473635275</v>
      </c>
      <c r="BF68" s="751">
        <f t="shared" si="15"/>
        <v>7435714.8503563954</v>
      </c>
      <c r="BG68" s="752">
        <f t="shared" si="11"/>
        <v>11.783242584185022</v>
      </c>
      <c r="BH68" s="763">
        <f t="shared" si="0"/>
        <v>357588.1570898249</v>
      </c>
      <c r="BI68" s="763">
        <f t="shared" si="1"/>
        <v>669321.81888847775</v>
      </c>
      <c r="BJ68" s="763">
        <f t="shared" si="2"/>
        <v>1119915.454456205</v>
      </c>
      <c r="BK68" s="763">
        <f t="shared" si="3"/>
        <v>631041.48091937811</v>
      </c>
    </row>
    <row r="69" spans="1:63">
      <c r="A69" s="669"/>
      <c r="B69" s="754">
        <v>2028</v>
      </c>
      <c r="C69" s="755" t="s">
        <v>13</v>
      </c>
      <c r="D69" s="755" t="s">
        <v>623</v>
      </c>
      <c r="E69" s="755" t="s">
        <v>624</v>
      </c>
      <c r="F69" s="755" t="s">
        <v>478</v>
      </c>
      <c r="G69" s="755" t="s">
        <v>27</v>
      </c>
      <c r="H69" s="755"/>
      <c r="I69" s="755" t="s">
        <v>46</v>
      </c>
      <c r="J69" s="755" t="s">
        <v>489</v>
      </c>
      <c r="K69" s="755"/>
      <c r="L69" s="755" t="s">
        <v>20</v>
      </c>
      <c r="M69" s="755" t="s">
        <v>412</v>
      </c>
      <c r="N69" s="756">
        <v>3071419.6875119992</v>
      </c>
      <c r="O69" s="756">
        <v>373.28708483999998</v>
      </c>
      <c r="P69" s="756">
        <v>113099.87664</v>
      </c>
      <c r="Q69" s="756">
        <v>2917848.7031363994</v>
      </c>
      <c r="R69" s="756">
        <v>354.62273059800003</v>
      </c>
      <c r="S69" s="756">
        <v>107444.88280799999</v>
      </c>
      <c r="T69" s="756">
        <v>30535936.831368003</v>
      </c>
      <c r="U69" s="756">
        <v>603368.59845599998</v>
      </c>
      <c r="V69" s="756">
        <v>4269.0209474681533</v>
      </c>
      <c r="W69" s="756">
        <v>3203.8872578013597</v>
      </c>
      <c r="X69" s="757">
        <v>3068640.4024158702</v>
      </c>
      <c r="Y69" s="757">
        <v>3230147.792016706</v>
      </c>
      <c r="Z69" s="757">
        <v>1690516.4211000004</v>
      </c>
      <c r="AA69" s="757">
        <v>2334167.8979997048</v>
      </c>
      <c r="AB69" s="757">
        <v>1643085.7352536162</v>
      </c>
      <c r="AC69" s="757">
        <v>2360806.7593148653</v>
      </c>
      <c r="AD69" s="757">
        <v>2360806.7593148658</v>
      </c>
      <c r="AE69" s="757">
        <v>12047766.905474193</v>
      </c>
      <c r="AF69" s="756">
        <v>1908620.9364941129</v>
      </c>
      <c r="AG69" s="756">
        <v>1160019.4659217582</v>
      </c>
      <c r="AH69" s="756">
        <v>0</v>
      </c>
      <c r="AI69" s="756">
        <v>2192635.0514520202</v>
      </c>
      <c r="AJ69" s="756">
        <v>1640313.757681556</v>
      </c>
      <c r="AK69" s="756">
        <v>0</v>
      </c>
      <c r="AL69" s="756">
        <v>2192635.0514520202</v>
      </c>
      <c r="AM69" s="756">
        <v>1646403.5547876577</v>
      </c>
      <c r="AN69" s="756">
        <v>0</v>
      </c>
      <c r="AO69" s="756">
        <v>493.35605608998367</v>
      </c>
      <c r="AP69" s="756">
        <v>570.53232771047999</v>
      </c>
      <c r="AQ69" s="757">
        <v>225697.6159</v>
      </c>
      <c r="AR69" s="757">
        <v>92385.730599999995</v>
      </c>
      <c r="AS69" s="757">
        <v>481370.25459999999</v>
      </c>
      <c r="AT69" s="757">
        <v>891062.82000000018</v>
      </c>
      <c r="AU69" s="756">
        <v>9673274.4955661073</v>
      </c>
      <c r="AV69" s="756">
        <v>731406.67465447937</v>
      </c>
      <c r="AW69" s="756">
        <v>0</v>
      </c>
      <c r="AX69" s="756">
        <v>0</v>
      </c>
      <c r="AY69" s="756">
        <v>0</v>
      </c>
      <c r="AZ69" s="758">
        <v>0.56000000000000005</v>
      </c>
      <c r="BA69" s="759">
        <f t="shared" si="4"/>
        <v>1217015.5289516805</v>
      </c>
      <c r="BB69" s="759">
        <f t="shared" si="5"/>
        <v>92019.851337974236</v>
      </c>
      <c r="BC69" s="760">
        <f t="shared" si="12"/>
        <v>1908620.9364941129</v>
      </c>
      <c r="BD69" s="760">
        <f t="shared" si="13"/>
        <v>1160019.4659217582</v>
      </c>
      <c r="BE69" s="760">
        <f t="shared" si="14"/>
        <v>10593402.507308133</v>
      </c>
      <c r="BF69" s="760">
        <f t="shared" si="15"/>
        <v>1454364.3981660705</v>
      </c>
      <c r="BG69" s="761">
        <f t="shared" si="11"/>
        <v>7.9483574904738683</v>
      </c>
      <c r="BH69" s="762">
        <f t="shared" si="0"/>
        <v>240127.71679955276</v>
      </c>
      <c r="BI69" s="762">
        <f t="shared" si="1"/>
        <v>145944.55109902206</v>
      </c>
      <c r="BJ69" s="762">
        <f t="shared" si="2"/>
        <v>1332778.8187690803</v>
      </c>
      <c r="BK69" s="762">
        <f t="shared" si="3"/>
        <v>182976.72190878817</v>
      </c>
    </row>
    <row r="70" spans="1:63">
      <c r="A70" s="669"/>
      <c r="B70" s="745">
        <v>2028</v>
      </c>
      <c r="C70" s="746" t="s">
        <v>13</v>
      </c>
      <c r="D70" s="746" t="s">
        <v>625</v>
      </c>
      <c r="E70" s="746" t="s">
        <v>626</v>
      </c>
      <c r="F70" s="746" t="s">
        <v>478</v>
      </c>
      <c r="G70" s="746" t="s">
        <v>18</v>
      </c>
      <c r="H70" s="746"/>
      <c r="I70" s="746" t="s">
        <v>46</v>
      </c>
      <c r="J70" s="746" t="s">
        <v>17</v>
      </c>
      <c r="K70" s="746"/>
      <c r="L70" s="746" t="s">
        <v>29</v>
      </c>
      <c r="M70" s="746" t="s">
        <v>412</v>
      </c>
      <c r="N70" s="747">
        <v>0</v>
      </c>
      <c r="O70" s="747">
        <v>0</v>
      </c>
      <c r="P70" s="747">
        <v>0</v>
      </c>
      <c r="Q70" s="747">
        <v>0</v>
      </c>
      <c r="R70" s="747">
        <v>0</v>
      </c>
      <c r="S70" s="747">
        <v>0</v>
      </c>
      <c r="T70" s="747">
        <v>0</v>
      </c>
      <c r="U70" s="747">
        <v>0</v>
      </c>
      <c r="V70" s="747">
        <v>0</v>
      </c>
      <c r="W70" s="747">
        <v>0</v>
      </c>
      <c r="X70" s="748">
        <v>0</v>
      </c>
      <c r="Y70" s="748">
        <v>0</v>
      </c>
      <c r="Z70" s="748">
        <v>1061954.1475</v>
      </c>
      <c r="AA70" s="748">
        <v>1061954.1475</v>
      </c>
      <c r="AB70" s="748">
        <v>1061954.1475</v>
      </c>
      <c r="AC70" s="748">
        <v>1061954.1475</v>
      </c>
      <c r="AD70" s="748">
        <v>1061954.1475</v>
      </c>
      <c r="AE70" s="748">
        <v>1061954.1475</v>
      </c>
      <c r="AF70" s="747">
        <v>0</v>
      </c>
      <c r="AG70" s="747">
        <v>0</v>
      </c>
      <c r="AH70" s="747">
        <v>0</v>
      </c>
      <c r="AI70" s="747">
        <v>0</v>
      </c>
      <c r="AJ70" s="747">
        <v>0</v>
      </c>
      <c r="AK70" s="747">
        <v>0</v>
      </c>
      <c r="AL70" s="747">
        <v>0</v>
      </c>
      <c r="AM70" s="747">
        <v>0</v>
      </c>
      <c r="AN70" s="747">
        <v>0</v>
      </c>
      <c r="AO70" s="747">
        <v>0</v>
      </c>
      <c r="AP70" s="747">
        <v>0</v>
      </c>
      <c r="AQ70" s="748">
        <v>240209.96179999999</v>
      </c>
      <c r="AR70" s="748">
        <v>104199.65300000001</v>
      </c>
      <c r="AS70" s="748">
        <v>651544.53269999998</v>
      </c>
      <c r="AT70" s="748">
        <v>66000</v>
      </c>
      <c r="AU70" s="747">
        <v>0</v>
      </c>
      <c r="AV70" s="747">
        <v>0</v>
      </c>
      <c r="AW70" s="747">
        <v>0</v>
      </c>
      <c r="AX70" s="747">
        <v>0</v>
      </c>
      <c r="AY70" s="747">
        <v>0</v>
      </c>
      <c r="AZ70" s="749">
        <v>0.56000000000000005</v>
      </c>
      <c r="BA70" s="750" t="str">
        <f t="shared" si="4"/>
        <v/>
      </c>
      <c r="BB70" s="750" t="str">
        <f t="shared" si="5"/>
        <v/>
      </c>
      <c r="BC70" s="751">
        <f t="shared" si="12"/>
        <v>0</v>
      </c>
      <c r="BD70" s="751">
        <f t="shared" si="13"/>
        <v>0</v>
      </c>
      <c r="BE70" s="751">
        <f t="shared" si="14"/>
        <v>594694.32260000007</v>
      </c>
      <c r="BF70" s="751">
        <f t="shared" si="15"/>
        <v>467259.82489999995</v>
      </c>
      <c r="BG70" s="752">
        <f t="shared" si="11"/>
        <v>0</v>
      </c>
      <c r="BH70" s="763">
        <f t="shared" si="0"/>
        <v>0</v>
      </c>
      <c r="BI70" s="763">
        <f t="shared" si="1"/>
        <v>0</v>
      </c>
      <c r="BJ70" s="763">
        <f t="shared" si="2"/>
        <v>0</v>
      </c>
      <c r="BK70" s="763">
        <f t="shared" si="3"/>
        <v>0</v>
      </c>
    </row>
    <row r="71" spans="1:63">
      <c r="A71" s="669"/>
      <c r="B71" s="754">
        <v>2028</v>
      </c>
      <c r="C71" s="755" t="s">
        <v>13</v>
      </c>
      <c r="D71" s="755" t="s">
        <v>627</v>
      </c>
      <c r="E71" s="755" t="s">
        <v>628</v>
      </c>
      <c r="F71" s="755" t="s">
        <v>478</v>
      </c>
      <c r="G71" s="755" t="s">
        <v>54</v>
      </c>
      <c r="H71" s="755"/>
      <c r="I71" s="755" t="s">
        <v>46</v>
      </c>
      <c r="J71" s="755" t="s">
        <v>17</v>
      </c>
      <c r="K71" s="755"/>
      <c r="L71" s="755" t="s">
        <v>347</v>
      </c>
      <c r="M71" s="755" t="s">
        <v>412</v>
      </c>
      <c r="N71" s="756">
        <v>0</v>
      </c>
      <c r="O71" s="756">
        <v>0</v>
      </c>
      <c r="P71" s="756">
        <v>0</v>
      </c>
      <c r="Q71" s="756">
        <v>0</v>
      </c>
      <c r="R71" s="756">
        <v>0</v>
      </c>
      <c r="S71" s="756">
        <v>0</v>
      </c>
      <c r="T71" s="756">
        <v>0</v>
      </c>
      <c r="U71" s="756">
        <v>0</v>
      </c>
      <c r="V71" s="756">
        <v>0</v>
      </c>
      <c r="W71" s="756">
        <v>0</v>
      </c>
      <c r="X71" s="757">
        <v>0</v>
      </c>
      <c r="Y71" s="757">
        <v>0</v>
      </c>
      <c r="Z71" s="757">
        <v>258420.92540000001</v>
      </c>
      <c r="AA71" s="757">
        <v>258420.92540000001</v>
      </c>
      <c r="AB71" s="757">
        <v>258420.92540000001</v>
      </c>
      <c r="AC71" s="757">
        <v>258420.92540000001</v>
      </c>
      <c r="AD71" s="757">
        <v>258420.92540000001</v>
      </c>
      <c r="AE71" s="757">
        <v>258420.92540000001</v>
      </c>
      <c r="AF71" s="756">
        <v>0</v>
      </c>
      <c r="AG71" s="756">
        <v>0</v>
      </c>
      <c r="AH71" s="756">
        <v>0</v>
      </c>
      <c r="AI71" s="756">
        <v>0</v>
      </c>
      <c r="AJ71" s="756">
        <v>0</v>
      </c>
      <c r="AK71" s="756">
        <v>0</v>
      </c>
      <c r="AL71" s="756">
        <v>0</v>
      </c>
      <c r="AM71" s="756">
        <v>0</v>
      </c>
      <c r="AN71" s="756">
        <v>0</v>
      </c>
      <c r="AO71" s="756">
        <v>0</v>
      </c>
      <c r="AP71" s="756">
        <v>0</v>
      </c>
      <c r="AQ71" s="757">
        <v>258420.92540000001</v>
      </c>
      <c r="AR71" s="757">
        <v>0</v>
      </c>
      <c r="AS71" s="757">
        <v>0</v>
      </c>
      <c r="AT71" s="757">
        <v>0</v>
      </c>
      <c r="AU71" s="756">
        <v>0</v>
      </c>
      <c r="AV71" s="756">
        <v>0</v>
      </c>
      <c r="AW71" s="756">
        <v>0</v>
      </c>
      <c r="AX71" s="756">
        <v>0</v>
      </c>
      <c r="AY71" s="756">
        <v>0</v>
      </c>
      <c r="AZ71" s="758">
        <v>0.56000000000000005</v>
      </c>
      <c r="BA71" s="759" t="str">
        <f t="shared" si="4"/>
        <v/>
      </c>
      <c r="BB71" s="759" t="str">
        <f t="shared" si="5"/>
        <v/>
      </c>
      <c r="BC71" s="760">
        <f t="shared" si="12"/>
        <v>0</v>
      </c>
      <c r="BD71" s="760">
        <f t="shared" si="13"/>
        <v>0</v>
      </c>
      <c r="BE71" s="760">
        <f t="shared" si="14"/>
        <v>144715.71822400001</v>
      </c>
      <c r="BF71" s="760">
        <f t="shared" si="15"/>
        <v>113705.207176</v>
      </c>
      <c r="BG71" s="761">
        <f>IFERROR(($U71*99976.1+$T71*3412.14)/($S71*99976.1+$Q71*3412.14),0)</f>
        <v>0</v>
      </c>
      <c r="BH71" s="762">
        <f t="shared" si="0"/>
        <v>0</v>
      </c>
      <c r="BI71" s="762">
        <f t="shared" si="1"/>
        <v>0</v>
      </c>
      <c r="BJ71" s="762">
        <f t="shared" si="2"/>
        <v>0</v>
      </c>
      <c r="BK71" s="762">
        <f t="shared" si="3"/>
        <v>0</v>
      </c>
    </row>
    <row r="72" spans="1:63">
      <c r="A72" s="669"/>
      <c r="B72" s="745">
        <v>2028</v>
      </c>
      <c r="C72" s="746" t="s">
        <v>13</v>
      </c>
      <c r="D72" s="746" t="s">
        <v>629</v>
      </c>
      <c r="E72" s="746" t="s">
        <v>630</v>
      </c>
      <c r="F72" s="746" t="s">
        <v>478</v>
      </c>
      <c r="G72" s="746" t="s">
        <v>54</v>
      </c>
      <c r="H72" s="746"/>
      <c r="I72" s="746" t="s">
        <v>46</v>
      </c>
      <c r="J72" s="746" t="s">
        <v>17</v>
      </c>
      <c r="K72" s="746"/>
      <c r="L72" s="746" t="s">
        <v>36</v>
      </c>
      <c r="M72" s="746" t="s">
        <v>412</v>
      </c>
      <c r="N72" s="747">
        <v>0</v>
      </c>
      <c r="O72" s="747">
        <v>0</v>
      </c>
      <c r="P72" s="747">
        <v>0</v>
      </c>
      <c r="Q72" s="747">
        <v>0</v>
      </c>
      <c r="R72" s="747">
        <v>0</v>
      </c>
      <c r="S72" s="747">
        <v>0</v>
      </c>
      <c r="T72" s="747">
        <v>0</v>
      </c>
      <c r="U72" s="747">
        <v>0</v>
      </c>
      <c r="V72" s="747">
        <v>0</v>
      </c>
      <c r="W72" s="747">
        <v>0</v>
      </c>
      <c r="X72" s="748">
        <v>0</v>
      </c>
      <c r="Y72" s="748">
        <v>0</v>
      </c>
      <c r="Z72" s="748">
        <v>12464.002899999999</v>
      </c>
      <c r="AA72" s="748">
        <v>12464.002899999999</v>
      </c>
      <c r="AB72" s="748">
        <v>12464.002899999999</v>
      </c>
      <c r="AC72" s="748">
        <v>12464.002899999999</v>
      </c>
      <c r="AD72" s="748">
        <v>12464.002899999999</v>
      </c>
      <c r="AE72" s="748">
        <v>12464.002899999999</v>
      </c>
      <c r="AF72" s="747">
        <v>0</v>
      </c>
      <c r="AG72" s="747">
        <v>0</v>
      </c>
      <c r="AH72" s="747">
        <v>0</v>
      </c>
      <c r="AI72" s="747">
        <v>0</v>
      </c>
      <c r="AJ72" s="747">
        <v>0</v>
      </c>
      <c r="AK72" s="747">
        <v>0</v>
      </c>
      <c r="AL72" s="747">
        <v>0</v>
      </c>
      <c r="AM72" s="747">
        <v>0</v>
      </c>
      <c r="AN72" s="747">
        <v>0</v>
      </c>
      <c r="AO72" s="747">
        <v>0</v>
      </c>
      <c r="AP72" s="747">
        <v>0</v>
      </c>
      <c r="AQ72" s="748">
        <v>12464.002899999999</v>
      </c>
      <c r="AR72" s="748">
        <v>0</v>
      </c>
      <c r="AS72" s="748">
        <v>0</v>
      </c>
      <c r="AT72" s="748">
        <v>0</v>
      </c>
      <c r="AU72" s="747">
        <v>0</v>
      </c>
      <c r="AV72" s="747">
        <v>0</v>
      </c>
      <c r="AW72" s="747">
        <v>0</v>
      </c>
      <c r="AX72" s="747">
        <v>0</v>
      </c>
      <c r="AY72" s="747">
        <v>0</v>
      </c>
      <c r="AZ72" s="749">
        <v>0.56000000000000005</v>
      </c>
      <c r="BA72" s="750" t="str">
        <f t="shared" si="4"/>
        <v/>
      </c>
      <c r="BB72" s="750" t="str">
        <f t="shared" si="5"/>
        <v/>
      </c>
      <c r="BC72" s="751">
        <f t="shared" si="12"/>
        <v>0</v>
      </c>
      <c r="BD72" s="751">
        <f t="shared" si="13"/>
        <v>0</v>
      </c>
      <c r="BE72" s="751">
        <f t="shared" si="14"/>
        <v>6979.8416240000006</v>
      </c>
      <c r="BF72" s="751">
        <f t="shared" si="15"/>
        <v>5484.1612759999989</v>
      </c>
      <c r="BG72" s="752">
        <f t="shared" si="11"/>
        <v>0</v>
      </c>
      <c r="BH72" s="763">
        <f t="shared" si="0"/>
        <v>0</v>
      </c>
      <c r="BI72" s="763">
        <f t="shared" si="1"/>
        <v>0</v>
      </c>
      <c r="BJ72" s="763">
        <f t="shared" si="2"/>
        <v>0</v>
      </c>
      <c r="BK72" s="763">
        <f t="shared" si="3"/>
        <v>0</v>
      </c>
    </row>
    <row r="73" spans="1:63">
      <c r="A73" s="669"/>
      <c r="B73" s="754">
        <v>2028</v>
      </c>
      <c r="C73" s="755" t="s">
        <v>13</v>
      </c>
      <c r="D73" s="755" t="s">
        <v>631</v>
      </c>
      <c r="E73" s="755" t="s">
        <v>632</v>
      </c>
      <c r="F73" s="755" t="s">
        <v>478</v>
      </c>
      <c r="G73" s="755" t="s">
        <v>54</v>
      </c>
      <c r="H73" s="755"/>
      <c r="I73" s="755" t="s">
        <v>46</v>
      </c>
      <c r="J73" s="755" t="s">
        <v>17</v>
      </c>
      <c r="K73" s="755"/>
      <c r="L73" s="755" t="s">
        <v>29</v>
      </c>
      <c r="M73" s="755" t="s">
        <v>412</v>
      </c>
      <c r="N73" s="756">
        <v>0</v>
      </c>
      <c r="O73" s="756">
        <v>0</v>
      </c>
      <c r="P73" s="756">
        <v>0</v>
      </c>
      <c r="Q73" s="756">
        <v>0</v>
      </c>
      <c r="R73" s="756">
        <v>0</v>
      </c>
      <c r="S73" s="756">
        <v>0</v>
      </c>
      <c r="T73" s="756">
        <v>0</v>
      </c>
      <c r="U73" s="756">
        <v>0</v>
      </c>
      <c r="V73" s="756">
        <v>0</v>
      </c>
      <c r="W73" s="756">
        <v>0</v>
      </c>
      <c r="X73" s="757">
        <v>0</v>
      </c>
      <c r="Y73" s="757">
        <v>0</v>
      </c>
      <c r="Z73" s="757">
        <v>467193.94669999997</v>
      </c>
      <c r="AA73" s="757">
        <v>467193.94669999997</v>
      </c>
      <c r="AB73" s="757">
        <v>467193.94669999997</v>
      </c>
      <c r="AC73" s="757">
        <v>467193.94669999997</v>
      </c>
      <c r="AD73" s="757">
        <v>467193.94669999997</v>
      </c>
      <c r="AE73" s="757">
        <v>467193.94669999997</v>
      </c>
      <c r="AF73" s="756">
        <v>0</v>
      </c>
      <c r="AG73" s="756">
        <v>0</v>
      </c>
      <c r="AH73" s="756">
        <v>0</v>
      </c>
      <c r="AI73" s="756">
        <v>0</v>
      </c>
      <c r="AJ73" s="756">
        <v>0</v>
      </c>
      <c r="AK73" s="756">
        <v>0</v>
      </c>
      <c r="AL73" s="756">
        <v>0</v>
      </c>
      <c r="AM73" s="756">
        <v>0</v>
      </c>
      <c r="AN73" s="756">
        <v>0</v>
      </c>
      <c r="AO73" s="756">
        <v>0</v>
      </c>
      <c r="AP73" s="756">
        <v>0</v>
      </c>
      <c r="AQ73" s="757">
        <v>467193.94669999997</v>
      </c>
      <c r="AR73" s="757">
        <v>0</v>
      </c>
      <c r="AS73" s="757">
        <v>0</v>
      </c>
      <c r="AT73" s="757">
        <v>0</v>
      </c>
      <c r="AU73" s="756">
        <v>0</v>
      </c>
      <c r="AV73" s="756">
        <v>0</v>
      </c>
      <c r="AW73" s="756">
        <v>0</v>
      </c>
      <c r="AX73" s="756">
        <v>0</v>
      </c>
      <c r="AY73" s="756">
        <v>0</v>
      </c>
      <c r="AZ73" s="758">
        <v>0.56000000000000005</v>
      </c>
      <c r="BA73" s="759" t="str">
        <f t="shared" si="4"/>
        <v/>
      </c>
      <c r="BB73" s="759" t="str">
        <f t="shared" si="5"/>
        <v/>
      </c>
      <c r="BC73" s="760">
        <f t="shared" si="12"/>
        <v>0</v>
      </c>
      <c r="BD73" s="760">
        <f t="shared" si="13"/>
        <v>0</v>
      </c>
      <c r="BE73" s="760">
        <f t="shared" si="14"/>
        <v>261628.61015200001</v>
      </c>
      <c r="BF73" s="760">
        <f t="shared" si="15"/>
        <v>205565.33654799996</v>
      </c>
      <c r="BG73" s="761">
        <f t="shared" si="11"/>
        <v>0</v>
      </c>
      <c r="BH73" s="762">
        <f t="shared" si="0"/>
        <v>0</v>
      </c>
      <c r="BI73" s="762">
        <f t="shared" si="1"/>
        <v>0</v>
      </c>
      <c r="BJ73" s="762">
        <f t="shared" si="2"/>
        <v>0</v>
      </c>
      <c r="BK73" s="762">
        <f t="shared" si="3"/>
        <v>0</v>
      </c>
    </row>
    <row r="74" spans="1:63">
      <c r="A74" s="669"/>
      <c r="B74" s="745">
        <v>2028</v>
      </c>
      <c r="C74" s="746" t="s">
        <v>13</v>
      </c>
      <c r="D74" s="746" t="s">
        <v>633</v>
      </c>
      <c r="E74" s="746" t="s">
        <v>634</v>
      </c>
      <c r="F74" s="746" t="s">
        <v>478</v>
      </c>
      <c r="G74" s="746" t="s">
        <v>54</v>
      </c>
      <c r="H74" s="746"/>
      <c r="I74" s="746" t="s">
        <v>46</v>
      </c>
      <c r="J74" s="746" t="s">
        <v>17</v>
      </c>
      <c r="K74" s="746"/>
      <c r="L74" s="746" t="s">
        <v>20</v>
      </c>
      <c r="M74" s="746" t="s">
        <v>412</v>
      </c>
      <c r="N74" s="747">
        <v>0</v>
      </c>
      <c r="O74" s="747">
        <v>0</v>
      </c>
      <c r="P74" s="747">
        <v>0</v>
      </c>
      <c r="Q74" s="747">
        <v>0</v>
      </c>
      <c r="R74" s="747">
        <v>0</v>
      </c>
      <c r="S74" s="747">
        <v>0</v>
      </c>
      <c r="T74" s="747">
        <v>0</v>
      </c>
      <c r="U74" s="747">
        <v>0</v>
      </c>
      <c r="V74" s="747">
        <v>0</v>
      </c>
      <c r="W74" s="747">
        <v>0</v>
      </c>
      <c r="X74" s="748">
        <v>0</v>
      </c>
      <c r="Y74" s="748">
        <v>0</v>
      </c>
      <c r="Z74" s="748">
        <v>2764121.3977999999</v>
      </c>
      <c r="AA74" s="748">
        <v>2764121.3977999999</v>
      </c>
      <c r="AB74" s="748">
        <v>2764121.3977999999</v>
      </c>
      <c r="AC74" s="748">
        <v>2764121.3977999999</v>
      </c>
      <c r="AD74" s="748">
        <v>2764121.3977999999</v>
      </c>
      <c r="AE74" s="748">
        <v>2764121.3977999999</v>
      </c>
      <c r="AF74" s="747">
        <v>0</v>
      </c>
      <c r="AG74" s="747">
        <v>0</v>
      </c>
      <c r="AH74" s="747">
        <v>0</v>
      </c>
      <c r="AI74" s="747">
        <v>0</v>
      </c>
      <c r="AJ74" s="747">
        <v>0</v>
      </c>
      <c r="AK74" s="747">
        <v>0</v>
      </c>
      <c r="AL74" s="747">
        <v>0</v>
      </c>
      <c r="AM74" s="747">
        <v>0</v>
      </c>
      <c r="AN74" s="747">
        <v>0</v>
      </c>
      <c r="AO74" s="747">
        <v>0</v>
      </c>
      <c r="AP74" s="747">
        <v>0</v>
      </c>
      <c r="AQ74" s="748">
        <v>2764121.3977999999</v>
      </c>
      <c r="AR74" s="748">
        <v>0</v>
      </c>
      <c r="AS74" s="748">
        <v>0</v>
      </c>
      <c r="AT74" s="748">
        <v>0</v>
      </c>
      <c r="AU74" s="747">
        <v>0</v>
      </c>
      <c r="AV74" s="747">
        <v>0</v>
      </c>
      <c r="AW74" s="747">
        <v>0</v>
      </c>
      <c r="AX74" s="747">
        <v>0</v>
      </c>
      <c r="AY74" s="747">
        <v>0</v>
      </c>
      <c r="AZ74" s="749">
        <v>0.56000000000000005</v>
      </c>
      <c r="BA74" s="750" t="str">
        <f t="shared" si="4"/>
        <v/>
      </c>
      <c r="BB74" s="750" t="str">
        <f t="shared" si="5"/>
        <v/>
      </c>
      <c r="BC74" s="751">
        <f t="shared" si="12"/>
        <v>0</v>
      </c>
      <c r="BD74" s="751">
        <f t="shared" si="13"/>
        <v>0</v>
      </c>
      <c r="BE74" s="751">
        <f t="shared" si="14"/>
        <v>1547907.9827680001</v>
      </c>
      <c r="BF74" s="751">
        <f t="shared" si="15"/>
        <v>1216213.4150319998</v>
      </c>
      <c r="BG74" s="752">
        <f t="shared" si="11"/>
        <v>0</v>
      </c>
      <c r="BH74" s="763">
        <f t="shared" ref="BH74:BH137" si="16">IF($BG74=0,0,BC74/$BG74)</f>
        <v>0</v>
      </c>
      <c r="BI74" s="763">
        <f t="shared" ref="BI74:BI137" si="17">IF($BG74=0,0,BD74/$BG74)</f>
        <v>0</v>
      </c>
      <c r="BJ74" s="763">
        <f t="shared" ref="BJ74:BJ137" si="18">IF($BG74=0,0,BE74/$BG74)</f>
        <v>0</v>
      </c>
      <c r="BK74" s="763">
        <f t="shared" ref="BK74:BK137" si="19">IF($BG74=0,0,BF74/$BG74)</f>
        <v>0</v>
      </c>
    </row>
    <row r="75" spans="1:63">
      <c r="A75" s="669"/>
      <c r="B75" s="754">
        <v>2028</v>
      </c>
      <c r="C75" s="755" t="s">
        <v>13</v>
      </c>
      <c r="D75" s="755" t="s">
        <v>635</v>
      </c>
      <c r="E75" s="755" t="s">
        <v>636</v>
      </c>
      <c r="F75" s="755" t="s">
        <v>478</v>
      </c>
      <c r="G75" s="755" t="s">
        <v>18</v>
      </c>
      <c r="H75" s="755" t="s">
        <v>637</v>
      </c>
      <c r="I75" s="755" t="s">
        <v>40</v>
      </c>
      <c r="J75" s="755" t="s">
        <v>33</v>
      </c>
      <c r="K75" s="755"/>
      <c r="L75" s="755" t="s">
        <v>29</v>
      </c>
      <c r="M75" s="755" t="s">
        <v>638</v>
      </c>
      <c r="N75" s="756">
        <v>0</v>
      </c>
      <c r="O75" s="756">
        <v>0</v>
      </c>
      <c r="P75" s="756">
        <v>0</v>
      </c>
      <c r="Q75" s="756">
        <v>0</v>
      </c>
      <c r="R75" s="756">
        <v>0</v>
      </c>
      <c r="S75" s="756">
        <v>0</v>
      </c>
      <c r="T75" s="756">
        <v>0</v>
      </c>
      <c r="U75" s="756">
        <v>0</v>
      </c>
      <c r="V75" s="756">
        <v>0</v>
      </c>
      <c r="W75" s="756">
        <v>0</v>
      </c>
      <c r="X75" s="757">
        <v>0</v>
      </c>
      <c r="Y75" s="757">
        <v>0</v>
      </c>
      <c r="Z75" s="757">
        <v>460210.02879999997</v>
      </c>
      <c r="AA75" s="757">
        <v>460210.02879999997</v>
      </c>
      <c r="AB75" s="757">
        <v>460210.02879999997</v>
      </c>
      <c r="AC75" s="757">
        <v>460210.02879999997</v>
      </c>
      <c r="AD75" s="757">
        <v>460210.02879999997</v>
      </c>
      <c r="AE75" s="757">
        <v>460210.02879999997</v>
      </c>
      <c r="AF75" s="756">
        <v>0</v>
      </c>
      <c r="AG75" s="756">
        <v>0</v>
      </c>
      <c r="AH75" s="756">
        <v>0</v>
      </c>
      <c r="AI75" s="756">
        <v>0</v>
      </c>
      <c r="AJ75" s="756">
        <v>0</v>
      </c>
      <c r="AK75" s="756">
        <v>0</v>
      </c>
      <c r="AL75" s="756">
        <v>0</v>
      </c>
      <c r="AM75" s="756">
        <v>0</v>
      </c>
      <c r="AN75" s="756">
        <v>0</v>
      </c>
      <c r="AO75" s="756">
        <v>0</v>
      </c>
      <c r="AP75" s="756">
        <v>0</v>
      </c>
      <c r="AQ75" s="757">
        <v>15262.5152</v>
      </c>
      <c r="AR75" s="757">
        <v>42160</v>
      </c>
      <c r="AS75" s="757">
        <v>92787.513600000006</v>
      </c>
      <c r="AT75" s="757">
        <v>310000</v>
      </c>
      <c r="AU75" s="756">
        <v>0</v>
      </c>
      <c r="AV75" s="756">
        <v>0</v>
      </c>
      <c r="AW75" s="756">
        <v>0</v>
      </c>
      <c r="AX75" s="756">
        <v>0</v>
      </c>
      <c r="AY75" s="756">
        <v>0</v>
      </c>
      <c r="AZ75" s="758">
        <v>0.56000000000000005</v>
      </c>
      <c r="BA75" s="759" t="str">
        <f t="shared" ref="BA75:BA138" si="20">IFERROR(($AU75-$AW75)/$BG75,"")</f>
        <v/>
      </c>
      <c r="BB75" s="759" t="str">
        <f t="shared" ref="BB75:BB138" si="21">IFERROR(($AV75-$AX75)/$BG75,"")</f>
        <v/>
      </c>
      <c r="BC75" s="760">
        <f t="shared" si="12"/>
        <v>0</v>
      </c>
      <c r="BD75" s="760">
        <f t="shared" si="13"/>
        <v>0</v>
      </c>
      <c r="BE75" s="760">
        <f t="shared" si="14"/>
        <v>257717.61612799999</v>
      </c>
      <c r="BF75" s="760">
        <f t="shared" si="15"/>
        <v>202492.41267199998</v>
      </c>
      <c r="BG75" s="761">
        <f t="shared" si="11"/>
        <v>0</v>
      </c>
      <c r="BH75" s="762">
        <f t="shared" si="16"/>
        <v>0</v>
      </c>
      <c r="BI75" s="762">
        <f t="shared" si="17"/>
        <v>0</v>
      </c>
      <c r="BJ75" s="762">
        <f t="shared" si="18"/>
        <v>0</v>
      </c>
      <c r="BK75" s="762">
        <f t="shared" si="19"/>
        <v>0</v>
      </c>
    </row>
    <row r="76" spans="1:63">
      <c r="A76" s="669"/>
      <c r="B76" s="745">
        <v>2028</v>
      </c>
      <c r="C76" s="746" t="s">
        <v>13</v>
      </c>
      <c r="D76" s="746" t="s">
        <v>639</v>
      </c>
      <c r="E76" s="746" t="s">
        <v>640</v>
      </c>
      <c r="F76" s="746" t="s">
        <v>478</v>
      </c>
      <c r="G76" s="746" t="s">
        <v>18</v>
      </c>
      <c r="H76" s="746" t="s">
        <v>637</v>
      </c>
      <c r="I76" s="746" t="s">
        <v>40</v>
      </c>
      <c r="J76" s="746" t="s">
        <v>17</v>
      </c>
      <c r="K76" s="746"/>
      <c r="L76" s="746" t="s">
        <v>29</v>
      </c>
      <c r="M76" s="746" t="s">
        <v>638</v>
      </c>
      <c r="N76" s="747">
        <v>0</v>
      </c>
      <c r="O76" s="747">
        <v>0</v>
      </c>
      <c r="P76" s="747">
        <v>0</v>
      </c>
      <c r="Q76" s="747">
        <v>0</v>
      </c>
      <c r="R76" s="747">
        <v>0</v>
      </c>
      <c r="S76" s="747">
        <v>0</v>
      </c>
      <c r="T76" s="747">
        <v>0</v>
      </c>
      <c r="U76" s="747">
        <v>0</v>
      </c>
      <c r="V76" s="747">
        <v>0</v>
      </c>
      <c r="W76" s="747">
        <v>0</v>
      </c>
      <c r="X76" s="748">
        <v>0</v>
      </c>
      <c r="Y76" s="748">
        <v>0</v>
      </c>
      <c r="Z76" s="748">
        <v>4585.6476000000002</v>
      </c>
      <c r="AA76" s="748">
        <v>4585.6476000000002</v>
      </c>
      <c r="AB76" s="748">
        <v>4585.6476000000002</v>
      </c>
      <c r="AC76" s="748">
        <v>4585.6476000000002</v>
      </c>
      <c r="AD76" s="748">
        <v>4585.6476000000002</v>
      </c>
      <c r="AE76" s="748">
        <v>4585.6476000000002</v>
      </c>
      <c r="AF76" s="747">
        <v>0</v>
      </c>
      <c r="AG76" s="747">
        <v>0</v>
      </c>
      <c r="AH76" s="747">
        <v>0</v>
      </c>
      <c r="AI76" s="747">
        <v>0</v>
      </c>
      <c r="AJ76" s="747">
        <v>0</v>
      </c>
      <c r="AK76" s="747">
        <v>0</v>
      </c>
      <c r="AL76" s="747">
        <v>0</v>
      </c>
      <c r="AM76" s="747">
        <v>0</v>
      </c>
      <c r="AN76" s="747">
        <v>0</v>
      </c>
      <c r="AO76" s="747">
        <v>0</v>
      </c>
      <c r="AP76" s="747">
        <v>0</v>
      </c>
      <c r="AQ76" s="748">
        <v>4585.6476000000002</v>
      </c>
      <c r="AR76" s="748">
        <v>0</v>
      </c>
      <c r="AS76" s="748">
        <v>0</v>
      </c>
      <c r="AT76" s="748">
        <v>0</v>
      </c>
      <c r="AU76" s="747">
        <v>0</v>
      </c>
      <c r="AV76" s="747">
        <v>0</v>
      </c>
      <c r="AW76" s="747">
        <v>0</v>
      </c>
      <c r="AX76" s="747">
        <v>0</v>
      </c>
      <c r="AY76" s="747">
        <v>0</v>
      </c>
      <c r="AZ76" s="749">
        <v>0.56000000000000005</v>
      </c>
      <c r="BA76" s="750" t="str">
        <f t="shared" si="20"/>
        <v/>
      </c>
      <c r="BB76" s="750" t="str">
        <f t="shared" si="21"/>
        <v/>
      </c>
      <c r="BC76" s="751">
        <f t="shared" si="12"/>
        <v>0</v>
      </c>
      <c r="BD76" s="751">
        <f t="shared" si="13"/>
        <v>0</v>
      </c>
      <c r="BE76" s="751">
        <f t="shared" si="14"/>
        <v>2567.9626560000002</v>
      </c>
      <c r="BF76" s="751">
        <f t="shared" si="15"/>
        <v>2017.6849439999999</v>
      </c>
      <c r="BG76" s="752">
        <f t="shared" si="11"/>
        <v>0</v>
      </c>
      <c r="BH76" s="763">
        <f t="shared" si="16"/>
        <v>0</v>
      </c>
      <c r="BI76" s="763">
        <f t="shared" si="17"/>
        <v>0</v>
      </c>
      <c r="BJ76" s="763">
        <f t="shared" si="18"/>
        <v>0</v>
      </c>
      <c r="BK76" s="763">
        <f t="shared" si="19"/>
        <v>0</v>
      </c>
    </row>
    <row r="77" spans="1:63">
      <c r="A77" s="669"/>
      <c r="B77" s="754">
        <v>2028</v>
      </c>
      <c r="C77" s="755" t="s">
        <v>13</v>
      </c>
      <c r="D77" s="755" t="s">
        <v>641</v>
      </c>
      <c r="E77" s="755" t="s">
        <v>642</v>
      </c>
      <c r="F77" s="755" t="s">
        <v>478</v>
      </c>
      <c r="G77" s="755" t="s">
        <v>18</v>
      </c>
      <c r="H77" s="755"/>
      <c r="I77" s="755" t="s">
        <v>46</v>
      </c>
      <c r="J77" s="755" t="s">
        <v>489</v>
      </c>
      <c r="K77" s="755"/>
      <c r="L77" s="755" t="s">
        <v>20</v>
      </c>
      <c r="M77" s="755" t="s">
        <v>412</v>
      </c>
      <c r="N77" s="756">
        <v>38298.821599999996</v>
      </c>
      <c r="O77" s="756">
        <v>22.674026699999999</v>
      </c>
      <c r="P77" s="756">
        <v>12717.581488999998</v>
      </c>
      <c r="Q77" s="756">
        <v>30849.338164999997</v>
      </c>
      <c r="R77" s="756">
        <v>21.031069334999998</v>
      </c>
      <c r="S77" s="756">
        <v>12464.34621455</v>
      </c>
      <c r="T77" s="756">
        <v>471882.11740999995</v>
      </c>
      <c r="U77" s="756">
        <v>176503.4968619</v>
      </c>
      <c r="V77" s="756">
        <v>40.523947944757879</v>
      </c>
      <c r="W77" s="756">
        <v>937.23356833668902</v>
      </c>
      <c r="X77" s="757">
        <v>297050.52342693449</v>
      </c>
      <c r="Y77" s="757">
        <v>312693.19314866391</v>
      </c>
      <c r="Z77" s="757">
        <v>324476.60110000003</v>
      </c>
      <c r="AA77" s="757">
        <v>483047.67797954602</v>
      </c>
      <c r="AB77" s="757">
        <v>417926.06000718829</v>
      </c>
      <c r="AC77" s="757">
        <v>494976.86537159898</v>
      </c>
      <c r="AD77" s="757">
        <v>494976.8653715988</v>
      </c>
      <c r="AE77" s="757">
        <v>1028569.9972561252</v>
      </c>
      <c r="AF77" s="756">
        <v>81304.071982364112</v>
      </c>
      <c r="AG77" s="756">
        <v>318633.34993005329</v>
      </c>
      <c r="AH77" s="756">
        <v>0</v>
      </c>
      <c r="AI77" s="756">
        <v>96282.463227509346</v>
      </c>
      <c r="AJ77" s="756">
        <v>477477.34151959082</v>
      </c>
      <c r="AK77" s="756">
        <v>0</v>
      </c>
      <c r="AL77" s="756">
        <v>96282.463227509346</v>
      </c>
      <c r="AM77" s="756">
        <v>478184.18152931298</v>
      </c>
      <c r="AN77" s="756">
        <v>0</v>
      </c>
      <c r="AO77" s="756">
        <v>5.2114790385600696</v>
      </c>
      <c r="AP77" s="756">
        <v>66.185678399260496</v>
      </c>
      <c r="AQ77" s="757">
        <v>44456.638500000001</v>
      </c>
      <c r="AR77" s="757">
        <v>17669.730599999999</v>
      </c>
      <c r="AS77" s="757">
        <v>85052.531699999992</v>
      </c>
      <c r="AT77" s="757">
        <v>177297.7003</v>
      </c>
      <c r="AU77" s="756">
        <v>294319.40800587606</v>
      </c>
      <c r="AV77" s="756">
        <v>316324.52924306318</v>
      </c>
      <c r="AW77" s="756">
        <v>162484.6879053732</v>
      </c>
      <c r="AX77" s="756">
        <v>0</v>
      </c>
      <c r="AY77" s="756">
        <v>0</v>
      </c>
      <c r="AZ77" s="758">
        <v>0.56000000000000005</v>
      </c>
      <c r="BA77" s="759">
        <f t="shared" si="20"/>
        <v>9252.1245122621403</v>
      </c>
      <c r="BB77" s="759">
        <f t="shared" si="21"/>
        <v>22199.568737343292</v>
      </c>
      <c r="BC77" s="760">
        <f t="shared" si="12"/>
        <v>243788.75988773731</v>
      </c>
      <c r="BD77" s="760">
        <f t="shared" si="13"/>
        <v>318633.34993005329</v>
      </c>
      <c r="BE77" s="760">
        <f t="shared" si="14"/>
        <v>528358.00160990155</v>
      </c>
      <c r="BF77" s="760">
        <f t="shared" si="15"/>
        <v>500211.99564622599</v>
      </c>
      <c r="BG77" s="761">
        <f t="shared" si="11"/>
        <v>14.249129475698046</v>
      </c>
      <c r="BH77" s="762">
        <f t="shared" si="16"/>
        <v>17109.028330714526</v>
      </c>
      <c r="BI77" s="762">
        <f t="shared" si="17"/>
        <v>22361.601140159746</v>
      </c>
      <c r="BJ77" s="762">
        <f t="shared" si="18"/>
        <v>37080.019696011499</v>
      </c>
      <c r="BK77" s="762">
        <f t="shared" si="19"/>
        <v>35104.740714114487</v>
      </c>
    </row>
    <row r="78" spans="1:63">
      <c r="A78" s="669"/>
      <c r="B78" s="745">
        <v>2028</v>
      </c>
      <c r="C78" s="746" t="s">
        <v>13</v>
      </c>
      <c r="D78" s="746" t="s">
        <v>643</v>
      </c>
      <c r="E78" s="746" t="s">
        <v>644</v>
      </c>
      <c r="F78" s="746" t="s">
        <v>478</v>
      </c>
      <c r="G78" s="746" t="s">
        <v>27</v>
      </c>
      <c r="H78" s="746"/>
      <c r="I78" s="746" t="s">
        <v>46</v>
      </c>
      <c r="J78" s="746" t="s">
        <v>489</v>
      </c>
      <c r="K78" s="746"/>
      <c r="L78" s="746" t="s">
        <v>20</v>
      </c>
      <c r="M78" s="746" t="s">
        <v>412</v>
      </c>
      <c r="N78" s="747">
        <v>3550680.8352899994</v>
      </c>
      <c r="O78" s="747">
        <v>524.94965999999999</v>
      </c>
      <c r="P78" s="747">
        <v>0</v>
      </c>
      <c r="Q78" s="747">
        <v>3373146.7935255002</v>
      </c>
      <c r="R78" s="747">
        <v>498.70217699999995</v>
      </c>
      <c r="S78" s="747">
        <v>0</v>
      </c>
      <c r="T78" s="747">
        <v>44840747.24159652</v>
      </c>
      <c r="U78" s="747">
        <v>0</v>
      </c>
      <c r="V78" s="747">
        <v>5709.042544965685</v>
      </c>
      <c r="W78" s="747">
        <v>0</v>
      </c>
      <c r="X78" s="748">
        <v>2511402.4613555637</v>
      </c>
      <c r="Y78" s="748">
        <v>2643581.5382690146</v>
      </c>
      <c r="Z78" s="748">
        <v>2058670.1894</v>
      </c>
      <c r="AA78" s="748">
        <v>2115265.8290754957</v>
      </c>
      <c r="AB78" s="748">
        <v>1997237.7293104848</v>
      </c>
      <c r="AC78" s="748">
        <v>2136280.6804359457</v>
      </c>
      <c r="AD78" s="748">
        <v>2136280.6804359457</v>
      </c>
      <c r="AE78" s="748">
        <v>15575852.412956255</v>
      </c>
      <c r="AF78" s="747">
        <v>2511402.4613555637</v>
      </c>
      <c r="AG78" s="747">
        <v>0</v>
      </c>
      <c r="AH78" s="747">
        <v>0</v>
      </c>
      <c r="AI78" s="747">
        <v>2936581.9980695876</v>
      </c>
      <c r="AJ78" s="747">
        <v>0</v>
      </c>
      <c r="AK78" s="747">
        <v>0</v>
      </c>
      <c r="AL78" s="747">
        <v>2936581.9980695876</v>
      </c>
      <c r="AM78" s="747">
        <v>0</v>
      </c>
      <c r="AN78" s="747">
        <v>0</v>
      </c>
      <c r="AO78" s="747">
        <v>566.37214227358072</v>
      </c>
      <c r="AP78" s="747">
        <v>0</v>
      </c>
      <c r="AQ78" s="748">
        <v>269978.31849999999</v>
      </c>
      <c r="AR78" s="748">
        <v>108985.7306</v>
      </c>
      <c r="AS78" s="748">
        <v>525597.14630000002</v>
      </c>
      <c r="AT78" s="748">
        <v>1154108.9940000002</v>
      </c>
      <c r="AU78" s="747">
        <v>13578614.683645766</v>
      </c>
      <c r="AV78" s="747">
        <v>0</v>
      </c>
      <c r="AW78" s="747">
        <v>0</v>
      </c>
      <c r="AX78" s="747">
        <v>0</v>
      </c>
      <c r="AY78" s="747">
        <v>0</v>
      </c>
      <c r="AZ78" s="749">
        <v>0.56000000000000005</v>
      </c>
      <c r="BA78" s="750">
        <f t="shared" si="20"/>
        <v>1021451.7687200619</v>
      </c>
      <c r="BB78" s="750">
        <f t="shared" si="21"/>
        <v>0</v>
      </c>
      <c r="BC78" s="751">
        <f t="shared" si="12"/>
        <v>2511402.4613555637</v>
      </c>
      <c r="BD78" s="751">
        <f t="shared" si="13"/>
        <v>0</v>
      </c>
      <c r="BE78" s="751">
        <f t="shared" si="14"/>
        <v>14697067.812059637</v>
      </c>
      <c r="BF78" s="751">
        <f t="shared" si="15"/>
        <v>878784.60089661321</v>
      </c>
      <c r="BG78" s="752">
        <f t="shared" si="11"/>
        <v>13.293446738714405</v>
      </c>
      <c r="BH78" s="763">
        <f t="shared" si="16"/>
        <v>188920.33877426427</v>
      </c>
      <c r="BI78" s="763">
        <f t="shared" si="17"/>
        <v>0</v>
      </c>
      <c r="BJ78" s="763">
        <f t="shared" si="18"/>
        <v>1105587.4447713757</v>
      </c>
      <c r="BK78" s="763">
        <f t="shared" si="19"/>
        <v>66106.602611746697</v>
      </c>
    </row>
    <row r="79" spans="1:63">
      <c r="A79" s="669"/>
      <c r="B79" s="754">
        <v>2028</v>
      </c>
      <c r="C79" s="755" t="s">
        <v>13</v>
      </c>
      <c r="D79" s="755" t="s">
        <v>645</v>
      </c>
      <c r="E79" s="755" t="s">
        <v>646</v>
      </c>
      <c r="F79" s="755" t="s">
        <v>647</v>
      </c>
      <c r="G79" s="755" t="s">
        <v>27</v>
      </c>
      <c r="H79" s="755" t="s">
        <v>648</v>
      </c>
      <c r="I79" s="755" t="s">
        <v>40</v>
      </c>
      <c r="J79" s="755" t="s">
        <v>489</v>
      </c>
      <c r="K79" s="755"/>
      <c r="L79" s="755" t="s">
        <v>20</v>
      </c>
      <c r="M79" s="755" t="s">
        <v>638</v>
      </c>
      <c r="N79" s="756">
        <v>-67912.478269999992</v>
      </c>
      <c r="O79" s="756">
        <v>11.440045889999993</v>
      </c>
      <c r="P79" s="756">
        <v>22669.926551999983</v>
      </c>
      <c r="Q79" s="756">
        <v>-86210.758269999904</v>
      </c>
      <c r="R79" s="756">
        <v>5.7200229449999984</v>
      </c>
      <c r="S79" s="756">
        <v>22669.928663199986</v>
      </c>
      <c r="T79" s="756">
        <v>-1815706.5653999965</v>
      </c>
      <c r="U79" s="756">
        <v>453398.58909799944</v>
      </c>
      <c r="V79" s="756">
        <v>-249.21788421594204</v>
      </c>
      <c r="W79" s="756">
        <v>2407.546508110378</v>
      </c>
      <c r="X79" s="757">
        <v>624231.11487099295</v>
      </c>
      <c r="Y79" s="757">
        <v>644939.72051682347</v>
      </c>
      <c r="Z79" s="757">
        <v>700091.43164000008</v>
      </c>
      <c r="AA79" s="757">
        <v>771627.81735168328</v>
      </c>
      <c r="AB79" s="757">
        <v>838283.73242916632</v>
      </c>
      <c r="AC79" s="757">
        <v>812995.72186676122</v>
      </c>
      <c r="AD79" s="757">
        <v>812995.72186676122</v>
      </c>
      <c r="AE79" s="757">
        <v>1406448.1379199796</v>
      </c>
      <c r="AF79" s="756">
        <v>31883.790374795411</v>
      </c>
      <c r="AG79" s="756">
        <v>740997.65493127226</v>
      </c>
      <c r="AH79" s="756">
        <v>0</v>
      </c>
      <c r="AI79" s="756">
        <v>39505.335090775734</v>
      </c>
      <c r="AJ79" s="756">
        <v>1213607.9287114728</v>
      </c>
      <c r="AK79" s="756">
        <v>0</v>
      </c>
      <c r="AL79" s="756">
        <v>39505.335090775734</v>
      </c>
      <c r="AM79" s="756">
        <v>1214893.5166098967</v>
      </c>
      <c r="AN79" s="756">
        <v>0</v>
      </c>
      <c r="AO79" s="756">
        <v>-15.352000418503096</v>
      </c>
      <c r="AP79" s="756">
        <v>120.37732120159194</v>
      </c>
      <c r="AQ79" s="757">
        <v>84010.972999999998</v>
      </c>
      <c r="AR79" s="757">
        <v>56007.314100000003</v>
      </c>
      <c r="AS79" s="757">
        <v>370981.4472</v>
      </c>
      <c r="AT79" s="757">
        <v>189091.69734000001</v>
      </c>
      <c r="AU79" s="756">
        <v>106528.91003497863</v>
      </c>
      <c r="AV79" s="756">
        <v>461635.49545583356</v>
      </c>
      <c r="AW79" s="756">
        <v>592279.69065756118</v>
      </c>
      <c r="AX79" s="756">
        <v>0</v>
      </c>
      <c r="AY79" s="756">
        <v>0</v>
      </c>
      <c r="AZ79" s="758">
        <v>0.56000000000000005</v>
      </c>
      <c r="BA79" s="759">
        <f t="shared" si="20"/>
        <v>-24481.287763843782</v>
      </c>
      <c r="BB79" s="759">
        <f t="shared" si="21"/>
        <v>23265.904774818711</v>
      </c>
      <c r="BC79" s="760">
        <f t="shared" si="12"/>
        <v>624163.48103235662</v>
      </c>
      <c r="BD79" s="760">
        <f t="shared" si="13"/>
        <v>740997.65493127226</v>
      </c>
      <c r="BE79" s="760">
        <f t="shared" si="14"/>
        <v>575967.80019531178</v>
      </c>
      <c r="BF79" s="760">
        <f t="shared" si="15"/>
        <v>830480.33772466669</v>
      </c>
      <c r="BG79" s="761">
        <f t="shared" si="11"/>
        <v>19.841716878144947</v>
      </c>
      <c r="BH79" s="762">
        <f t="shared" si="16"/>
        <v>31457.130694161548</v>
      </c>
      <c r="BI79" s="762">
        <f t="shared" si="17"/>
        <v>37345.440391171935</v>
      </c>
      <c r="BJ79" s="762">
        <f t="shared" si="18"/>
        <v>29028.123107114938</v>
      </c>
      <c r="BK79" s="762">
        <f t="shared" si="19"/>
        <v>41855.265994618429</v>
      </c>
    </row>
    <row r="80" spans="1:63">
      <c r="A80" s="669"/>
      <c r="B80" s="745">
        <v>2028</v>
      </c>
      <c r="C80" s="746" t="s">
        <v>13</v>
      </c>
      <c r="D80" s="746" t="s">
        <v>649</v>
      </c>
      <c r="E80" s="746" t="s">
        <v>650</v>
      </c>
      <c r="F80" s="746" t="s">
        <v>647</v>
      </c>
      <c r="G80" s="746" t="s">
        <v>27</v>
      </c>
      <c r="H80" s="746" t="s">
        <v>648</v>
      </c>
      <c r="I80" s="746" t="s">
        <v>40</v>
      </c>
      <c r="J80" s="746" t="s">
        <v>17</v>
      </c>
      <c r="K80" s="746"/>
      <c r="L80" s="746" t="s">
        <v>20</v>
      </c>
      <c r="M80" s="746" t="s">
        <v>638</v>
      </c>
      <c r="N80" s="747">
        <v>0</v>
      </c>
      <c r="O80" s="747">
        <v>0</v>
      </c>
      <c r="P80" s="747">
        <v>0</v>
      </c>
      <c r="Q80" s="747">
        <v>0</v>
      </c>
      <c r="R80" s="747">
        <v>0</v>
      </c>
      <c r="S80" s="747">
        <v>0</v>
      </c>
      <c r="T80" s="747">
        <v>0</v>
      </c>
      <c r="U80" s="747">
        <v>0</v>
      </c>
      <c r="V80" s="747">
        <v>0</v>
      </c>
      <c r="W80" s="747">
        <v>0</v>
      </c>
      <c r="X80" s="748">
        <v>0</v>
      </c>
      <c r="Y80" s="748">
        <v>0</v>
      </c>
      <c r="Z80" s="748">
        <v>5974.5576000000001</v>
      </c>
      <c r="AA80" s="748">
        <v>5974.5576000000001</v>
      </c>
      <c r="AB80" s="748">
        <v>5974.5576000000001</v>
      </c>
      <c r="AC80" s="748">
        <v>5974.5576000000001</v>
      </c>
      <c r="AD80" s="748">
        <v>5974.5576000000001</v>
      </c>
      <c r="AE80" s="748">
        <v>5974.5576000000001</v>
      </c>
      <c r="AF80" s="747">
        <v>0</v>
      </c>
      <c r="AG80" s="747">
        <v>0</v>
      </c>
      <c r="AH80" s="747">
        <v>0</v>
      </c>
      <c r="AI80" s="747">
        <v>0</v>
      </c>
      <c r="AJ80" s="747">
        <v>0</v>
      </c>
      <c r="AK80" s="747">
        <v>0</v>
      </c>
      <c r="AL80" s="747">
        <v>0</v>
      </c>
      <c r="AM80" s="747">
        <v>0</v>
      </c>
      <c r="AN80" s="747">
        <v>0</v>
      </c>
      <c r="AO80" s="747">
        <v>0</v>
      </c>
      <c r="AP80" s="747">
        <v>0</v>
      </c>
      <c r="AQ80" s="748">
        <v>5974.5576000000001</v>
      </c>
      <c r="AR80" s="748">
        <v>0</v>
      </c>
      <c r="AS80" s="748">
        <v>0</v>
      </c>
      <c r="AT80" s="748">
        <v>0</v>
      </c>
      <c r="AU80" s="747">
        <v>0</v>
      </c>
      <c r="AV80" s="747">
        <v>0</v>
      </c>
      <c r="AW80" s="747">
        <v>0</v>
      </c>
      <c r="AX80" s="747">
        <v>0</v>
      </c>
      <c r="AY80" s="747">
        <v>0</v>
      </c>
      <c r="AZ80" s="749">
        <v>0.56000000000000005</v>
      </c>
      <c r="BA80" s="750" t="str">
        <f t="shared" si="20"/>
        <v/>
      </c>
      <c r="BB80" s="750" t="str">
        <f t="shared" si="21"/>
        <v/>
      </c>
      <c r="BC80" s="751">
        <f t="shared" si="12"/>
        <v>0</v>
      </c>
      <c r="BD80" s="751">
        <f t="shared" si="13"/>
        <v>0</v>
      </c>
      <c r="BE80" s="751">
        <f t="shared" si="14"/>
        <v>3345.7522560000002</v>
      </c>
      <c r="BF80" s="751">
        <f t="shared" si="15"/>
        <v>2628.8053439999999</v>
      </c>
      <c r="BG80" s="752">
        <f t="shared" si="11"/>
        <v>0</v>
      </c>
      <c r="BH80" s="763">
        <f t="shared" si="16"/>
        <v>0</v>
      </c>
      <c r="BI80" s="763">
        <f t="shared" si="17"/>
        <v>0</v>
      </c>
      <c r="BJ80" s="763">
        <f t="shared" si="18"/>
        <v>0</v>
      </c>
      <c r="BK80" s="763">
        <f t="shared" si="19"/>
        <v>0</v>
      </c>
    </row>
    <row r="81" spans="1:63">
      <c r="A81" s="669"/>
      <c r="B81" s="754">
        <v>2028</v>
      </c>
      <c r="C81" s="755" t="s">
        <v>13</v>
      </c>
      <c r="D81" s="755" t="s">
        <v>651</v>
      </c>
      <c r="E81" s="755" t="s">
        <v>652</v>
      </c>
      <c r="F81" s="755" t="s">
        <v>478</v>
      </c>
      <c r="G81" s="755" t="s">
        <v>50</v>
      </c>
      <c r="H81" s="755"/>
      <c r="I81" s="755" t="s">
        <v>46</v>
      </c>
      <c r="J81" s="755" t="s">
        <v>482</v>
      </c>
      <c r="K81" s="755"/>
      <c r="L81" s="755" t="s">
        <v>29</v>
      </c>
      <c r="M81" s="755" t="s">
        <v>638</v>
      </c>
      <c r="N81" s="756">
        <v>0</v>
      </c>
      <c r="O81" s="756">
        <v>0</v>
      </c>
      <c r="P81" s="756">
        <v>0</v>
      </c>
      <c r="Q81" s="756">
        <v>0</v>
      </c>
      <c r="R81" s="756">
        <v>0</v>
      </c>
      <c r="S81" s="756">
        <v>0</v>
      </c>
      <c r="T81" s="756">
        <v>0</v>
      </c>
      <c r="U81" s="756">
        <v>0</v>
      </c>
      <c r="V81" s="756">
        <v>0</v>
      </c>
      <c r="W81" s="756">
        <v>0</v>
      </c>
      <c r="X81" s="757">
        <v>0</v>
      </c>
      <c r="Y81" s="757">
        <v>0</v>
      </c>
      <c r="Z81" s="757">
        <v>125650.6293</v>
      </c>
      <c r="AA81" s="757">
        <v>125650.6293</v>
      </c>
      <c r="AB81" s="757">
        <v>125650.6293</v>
      </c>
      <c r="AC81" s="757">
        <v>125650.6293</v>
      </c>
      <c r="AD81" s="757">
        <v>125650.6293</v>
      </c>
      <c r="AE81" s="757">
        <v>125650.6293</v>
      </c>
      <c r="AF81" s="756">
        <v>0</v>
      </c>
      <c r="AG81" s="756">
        <v>0</v>
      </c>
      <c r="AH81" s="756">
        <v>0</v>
      </c>
      <c r="AI81" s="756">
        <v>0</v>
      </c>
      <c r="AJ81" s="756">
        <v>0</v>
      </c>
      <c r="AK81" s="756">
        <v>0</v>
      </c>
      <c r="AL81" s="756">
        <v>0</v>
      </c>
      <c r="AM81" s="756">
        <v>0</v>
      </c>
      <c r="AN81" s="756">
        <v>0</v>
      </c>
      <c r="AO81" s="756">
        <v>0</v>
      </c>
      <c r="AP81" s="756">
        <v>0</v>
      </c>
      <c r="AQ81" s="757">
        <v>125650.6293</v>
      </c>
      <c r="AR81" s="757">
        <v>0</v>
      </c>
      <c r="AS81" s="757">
        <v>0</v>
      </c>
      <c r="AT81" s="757">
        <v>0</v>
      </c>
      <c r="AU81" s="756">
        <v>0</v>
      </c>
      <c r="AV81" s="756">
        <v>0</v>
      </c>
      <c r="AW81" s="756">
        <v>0</v>
      </c>
      <c r="AX81" s="756">
        <v>0</v>
      </c>
      <c r="AY81" s="756">
        <v>0</v>
      </c>
      <c r="AZ81" s="758">
        <v>0.56000000000000005</v>
      </c>
      <c r="BA81" s="759" t="str">
        <f t="shared" si="20"/>
        <v/>
      </c>
      <c r="BB81" s="759" t="str">
        <f t="shared" si="21"/>
        <v/>
      </c>
      <c r="BC81" s="760">
        <f t="shared" si="12"/>
        <v>0</v>
      </c>
      <c r="BD81" s="760">
        <f t="shared" si="13"/>
        <v>0</v>
      </c>
      <c r="BE81" s="760">
        <f t="shared" si="14"/>
        <v>70364.352408000006</v>
      </c>
      <c r="BF81" s="760">
        <f t="shared" si="15"/>
        <v>55286.276891999994</v>
      </c>
      <c r="BG81" s="761">
        <f t="shared" ref="BG81:BG144" si="22">IFERROR(($U81*99976.1+$T81*3412.14)/($S81*99976.1+$Q81*3412.14),0)</f>
        <v>0</v>
      </c>
      <c r="BH81" s="762">
        <f t="shared" si="16"/>
        <v>0</v>
      </c>
      <c r="BI81" s="762">
        <f t="shared" si="17"/>
        <v>0</v>
      </c>
      <c r="BJ81" s="762">
        <f t="shared" si="18"/>
        <v>0</v>
      </c>
      <c r="BK81" s="762">
        <f t="shared" si="19"/>
        <v>0</v>
      </c>
    </row>
    <row r="82" spans="1:63">
      <c r="A82" s="669"/>
      <c r="B82" s="745">
        <v>2029</v>
      </c>
      <c r="C82" s="746" t="s">
        <v>13</v>
      </c>
      <c r="D82" s="746" t="s">
        <v>470</v>
      </c>
      <c r="E82" s="746" t="s">
        <v>471</v>
      </c>
      <c r="F82" s="746" t="s">
        <v>347</v>
      </c>
      <c r="G82" s="746" t="s">
        <v>50</v>
      </c>
      <c r="H82" s="746"/>
      <c r="I82" s="746" t="s">
        <v>347</v>
      </c>
      <c r="J82" s="746" t="s">
        <v>17</v>
      </c>
      <c r="K82" s="746"/>
      <c r="L82" s="746" t="s">
        <v>347</v>
      </c>
      <c r="M82" s="746" t="s">
        <v>412</v>
      </c>
      <c r="N82" s="747">
        <v>0</v>
      </c>
      <c r="O82" s="747">
        <v>0</v>
      </c>
      <c r="P82" s="747">
        <v>0</v>
      </c>
      <c r="Q82" s="747">
        <v>0</v>
      </c>
      <c r="R82" s="747">
        <v>0</v>
      </c>
      <c r="S82" s="747">
        <v>0</v>
      </c>
      <c r="T82" s="747">
        <v>0</v>
      </c>
      <c r="U82" s="747">
        <v>0</v>
      </c>
      <c r="V82" s="747">
        <v>0</v>
      </c>
      <c r="W82" s="747">
        <v>0</v>
      </c>
      <c r="X82" s="748">
        <v>0</v>
      </c>
      <c r="Y82" s="748">
        <v>0</v>
      </c>
      <c r="Z82" s="748">
        <v>1149086.0893000001</v>
      </c>
      <c r="AA82" s="748">
        <v>1149086.0893000001</v>
      </c>
      <c r="AB82" s="748">
        <v>1149086.0893000001</v>
      </c>
      <c r="AC82" s="748">
        <v>1149086.0893000001</v>
      </c>
      <c r="AD82" s="748">
        <v>1149086.0893000001</v>
      </c>
      <c r="AE82" s="748">
        <v>1149086.0893000001</v>
      </c>
      <c r="AF82" s="747">
        <v>0</v>
      </c>
      <c r="AG82" s="747">
        <v>0</v>
      </c>
      <c r="AH82" s="747">
        <v>0</v>
      </c>
      <c r="AI82" s="747">
        <v>0</v>
      </c>
      <c r="AJ82" s="747">
        <v>0</v>
      </c>
      <c r="AK82" s="747">
        <v>0</v>
      </c>
      <c r="AL82" s="747">
        <v>0</v>
      </c>
      <c r="AM82" s="747">
        <v>0</v>
      </c>
      <c r="AN82" s="747">
        <v>0</v>
      </c>
      <c r="AO82" s="747">
        <v>0</v>
      </c>
      <c r="AP82" s="747">
        <v>0</v>
      </c>
      <c r="AQ82" s="748">
        <v>34266.462299999999</v>
      </c>
      <c r="AR82" s="748">
        <v>0</v>
      </c>
      <c r="AS82" s="748">
        <v>1114819.6270000001</v>
      </c>
      <c r="AT82" s="748">
        <v>0</v>
      </c>
      <c r="AU82" s="747">
        <v>0</v>
      </c>
      <c r="AV82" s="747">
        <v>0</v>
      </c>
      <c r="AW82" s="747">
        <v>0</v>
      </c>
      <c r="AX82" s="747">
        <v>0</v>
      </c>
      <c r="AY82" s="747">
        <v>0</v>
      </c>
      <c r="AZ82" s="749">
        <v>0.56000000000000005</v>
      </c>
      <c r="BA82" s="750" t="str">
        <f t="shared" si="20"/>
        <v/>
      </c>
      <c r="BB82" s="750" t="str">
        <f t="shared" si="21"/>
        <v/>
      </c>
      <c r="BC82" s="751">
        <f t="shared" ref="BC82:BC145" si="23">$AF82+$AY82+$AW82+$AZ82*$AH82</f>
        <v>0</v>
      </c>
      <c r="BD82" s="751">
        <f t="shared" ref="BD82:BD145" si="24">$AG82+$AX82+(1-$AZ82)*$AH82</f>
        <v>0</v>
      </c>
      <c r="BE82" s="751">
        <f t="shared" ref="BE82:BE145" si="25">$AB82*$AZ82+$AU82</f>
        <v>643488.21000800014</v>
      </c>
      <c r="BF82" s="751">
        <f t="shared" ref="BF82:BF145" si="26">$AB82*(1-$AZ82)+$AV82</f>
        <v>505597.87929199997</v>
      </c>
      <c r="BG82" s="752">
        <f t="shared" si="22"/>
        <v>0</v>
      </c>
      <c r="BH82" s="763">
        <f t="shared" si="16"/>
        <v>0</v>
      </c>
      <c r="BI82" s="763">
        <f t="shared" si="17"/>
        <v>0</v>
      </c>
      <c r="BJ82" s="763">
        <f t="shared" si="18"/>
        <v>0</v>
      </c>
      <c r="BK82" s="763">
        <f t="shared" si="19"/>
        <v>0</v>
      </c>
    </row>
    <row r="83" spans="1:63">
      <c r="A83" s="669"/>
      <c r="B83" s="754">
        <v>2029</v>
      </c>
      <c r="C83" s="755" t="s">
        <v>13</v>
      </c>
      <c r="D83" s="755" t="s">
        <v>472</v>
      </c>
      <c r="E83" s="755" t="s">
        <v>473</v>
      </c>
      <c r="F83" s="755" t="s">
        <v>347</v>
      </c>
      <c r="G83" s="755" t="s">
        <v>50</v>
      </c>
      <c r="H83" s="755"/>
      <c r="I83" s="755" t="s">
        <v>347</v>
      </c>
      <c r="J83" s="755" t="s">
        <v>17</v>
      </c>
      <c r="K83" s="755"/>
      <c r="L83" s="755" t="s">
        <v>347</v>
      </c>
      <c r="M83" s="755" t="s">
        <v>412</v>
      </c>
      <c r="N83" s="756">
        <v>0</v>
      </c>
      <c r="O83" s="756">
        <v>0</v>
      </c>
      <c r="P83" s="756">
        <v>0</v>
      </c>
      <c r="Q83" s="756">
        <v>0</v>
      </c>
      <c r="R83" s="756">
        <v>0</v>
      </c>
      <c r="S83" s="756">
        <v>0</v>
      </c>
      <c r="T83" s="756">
        <v>0</v>
      </c>
      <c r="U83" s="756">
        <v>0</v>
      </c>
      <c r="V83" s="756">
        <v>0</v>
      </c>
      <c r="W83" s="756">
        <v>0</v>
      </c>
      <c r="X83" s="757">
        <v>0</v>
      </c>
      <c r="Y83" s="757">
        <v>0</v>
      </c>
      <c r="Z83" s="757">
        <v>1076618.9145</v>
      </c>
      <c r="AA83" s="757">
        <v>1076618.9145</v>
      </c>
      <c r="AB83" s="757">
        <v>1076618.9145</v>
      </c>
      <c r="AC83" s="757">
        <v>1076618.9145</v>
      </c>
      <c r="AD83" s="757">
        <v>1076618.9145</v>
      </c>
      <c r="AE83" s="757">
        <v>1076618.9145</v>
      </c>
      <c r="AF83" s="756">
        <v>0</v>
      </c>
      <c r="AG83" s="756">
        <v>0</v>
      </c>
      <c r="AH83" s="756">
        <v>0</v>
      </c>
      <c r="AI83" s="756">
        <v>0</v>
      </c>
      <c r="AJ83" s="756">
        <v>0</v>
      </c>
      <c r="AK83" s="756">
        <v>0</v>
      </c>
      <c r="AL83" s="756">
        <v>0</v>
      </c>
      <c r="AM83" s="756">
        <v>0</v>
      </c>
      <c r="AN83" s="756">
        <v>0</v>
      </c>
      <c r="AO83" s="756">
        <v>0</v>
      </c>
      <c r="AP83" s="756">
        <v>0</v>
      </c>
      <c r="AQ83" s="757">
        <v>23476.179100000001</v>
      </c>
      <c r="AR83" s="757">
        <v>0</v>
      </c>
      <c r="AS83" s="757">
        <v>1053142.7353999999</v>
      </c>
      <c r="AT83" s="757">
        <v>0</v>
      </c>
      <c r="AU83" s="756">
        <v>0</v>
      </c>
      <c r="AV83" s="756">
        <v>0</v>
      </c>
      <c r="AW83" s="756">
        <v>0</v>
      </c>
      <c r="AX83" s="756">
        <v>0</v>
      </c>
      <c r="AY83" s="756">
        <v>0</v>
      </c>
      <c r="AZ83" s="758">
        <v>0.56000000000000005</v>
      </c>
      <c r="BA83" s="759" t="str">
        <f t="shared" si="20"/>
        <v/>
      </c>
      <c r="BB83" s="759" t="str">
        <f t="shared" si="21"/>
        <v/>
      </c>
      <c r="BC83" s="760">
        <f t="shared" si="23"/>
        <v>0</v>
      </c>
      <c r="BD83" s="760">
        <f t="shared" si="24"/>
        <v>0</v>
      </c>
      <c r="BE83" s="760">
        <f t="shared" si="25"/>
        <v>602906.59212000004</v>
      </c>
      <c r="BF83" s="760">
        <f t="shared" si="26"/>
        <v>473712.32237999991</v>
      </c>
      <c r="BG83" s="761">
        <f t="shared" si="22"/>
        <v>0</v>
      </c>
      <c r="BH83" s="762">
        <f t="shared" si="16"/>
        <v>0</v>
      </c>
      <c r="BI83" s="762">
        <f t="shared" si="17"/>
        <v>0</v>
      </c>
      <c r="BJ83" s="762">
        <f t="shared" si="18"/>
        <v>0</v>
      </c>
      <c r="BK83" s="762">
        <f t="shared" si="19"/>
        <v>0</v>
      </c>
    </row>
    <row r="84" spans="1:63">
      <c r="A84" s="669"/>
      <c r="B84" s="745">
        <v>2029</v>
      </c>
      <c r="C84" s="746" t="s">
        <v>13</v>
      </c>
      <c r="D84" s="746" t="s">
        <v>474</v>
      </c>
      <c r="E84" s="746" t="s">
        <v>475</v>
      </c>
      <c r="F84" s="746" t="s">
        <v>347</v>
      </c>
      <c r="G84" s="746" t="s">
        <v>50</v>
      </c>
      <c r="H84" s="746"/>
      <c r="I84" s="746" t="s">
        <v>347</v>
      </c>
      <c r="J84" s="746" t="s">
        <v>17</v>
      </c>
      <c r="K84" s="746"/>
      <c r="L84" s="746" t="s">
        <v>347</v>
      </c>
      <c r="M84" s="746" t="s">
        <v>412</v>
      </c>
      <c r="N84" s="747">
        <v>0</v>
      </c>
      <c r="O84" s="747">
        <v>0</v>
      </c>
      <c r="P84" s="747">
        <v>0</v>
      </c>
      <c r="Q84" s="747">
        <v>0</v>
      </c>
      <c r="R84" s="747">
        <v>0</v>
      </c>
      <c r="S84" s="747">
        <v>0</v>
      </c>
      <c r="T84" s="747">
        <v>0</v>
      </c>
      <c r="U84" s="747">
        <v>0</v>
      </c>
      <c r="V84" s="747">
        <v>0</v>
      </c>
      <c r="W84" s="747">
        <v>0</v>
      </c>
      <c r="X84" s="748">
        <v>0</v>
      </c>
      <c r="Y84" s="748">
        <v>0</v>
      </c>
      <c r="Z84" s="748">
        <v>796395.99800000002</v>
      </c>
      <c r="AA84" s="748">
        <v>796395.99800000002</v>
      </c>
      <c r="AB84" s="748">
        <v>796395.99800000002</v>
      </c>
      <c r="AC84" s="748">
        <v>796395.99800000002</v>
      </c>
      <c r="AD84" s="748">
        <v>796395.99800000002</v>
      </c>
      <c r="AE84" s="748">
        <v>796395.99800000002</v>
      </c>
      <c r="AF84" s="747">
        <v>0</v>
      </c>
      <c r="AG84" s="747">
        <v>0</v>
      </c>
      <c r="AH84" s="747">
        <v>0</v>
      </c>
      <c r="AI84" s="747">
        <v>0</v>
      </c>
      <c r="AJ84" s="747">
        <v>0</v>
      </c>
      <c r="AK84" s="747">
        <v>0</v>
      </c>
      <c r="AL84" s="747">
        <v>0</v>
      </c>
      <c r="AM84" s="747">
        <v>0</v>
      </c>
      <c r="AN84" s="747">
        <v>0</v>
      </c>
      <c r="AO84" s="747">
        <v>0</v>
      </c>
      <c r="AP84" s="747">
        <v>0</v>
      </c>
      <c r="AQ84" s="748">
        <v>20381.724099999999</v>
      </c>
      <c r="AR84" s="748">
        <v>0</v>
      </c>
      <c r="AS84" s="748">
        <v>776014.27390000003</v>
      </c>
      <c r="AT84" s="748">
        <v>0</v>
      </c>
      <c r="AU84" s="747">
        <v>0</v>
      </c>
      <c r="AV84" s="747">
        <v>0</v>
      </c>
      <c r="AW84" s="747">
        <v>0</v>
      </c>
      <c r="AX84" s="747">
        <v>0</v>
      </c>
      <c r="AY84" s="747">
        <v>0</v>
      </c>
      <c r="AZ84" s="749">
        <v>0.56000000000000005</v>
      </c>
      <c r="BA84" s="750" t="str">
        <f t="shared" si="20"/>
        <v/>
      </c>
      <c r="BB84" s="750" t="str">
        <f t="shared" si="21"/>
        <v/>
      </c>
      <c r="BC84" s="751">
        <f t="shared" si="23"/>
        <v>0</v>
      </c>
      <c r="BD84" s="751">
        <f t="shared" si="24"/>
        <v>0</v>
      </c>
      <c r="BE84" s="751">
        <f t="shared" si="25"/>
        <v>445981.75888000004</v>
      </c>
      <c r="BF84" s="751">
        <f t="shared" si="26"/>
        <v>350414.23911999998</v>
      </c>
      <c r="BG84" s="752">
        <f t="shared" si="22"/>
        <v>0</v>
      </c>
      <c r="BH84" s="763">
        <f t="shared" si="16"/>
        <v>0</v>
      </c>
      <c r="BI84" s="763">
        <f t="shared" si="17"/>
        <v>0</v>
      </c>
      <c r="BJ84" s="763">
        <f t="shared" si="18"/>
        <v>0</v>
      </c>
      <c r="BK84" s="763">
        <f t="shared" si="19"/>
        <v>0</v>
      </c>
    </row>
    <row r="85" spans="1:63">
      <c r="A85" s="669"/>
      <c r="B85" s="754">
        <v>2029</v>
      </c>
      <c r="C85" s="755" t="s">
        <v>13</v>
      </c>
      <c r="D85" s="755" t="s">
        <v>476</v>
      </c>
      <c r="E85" s="755" t="s">
        <v>477</v>
      </c>
      <c r="F85" s="755" t="s">
        <v>478</v>
      </c>
      <c r="G85" s="755" t="s">
        <v>27</v>
      </c>
      <c r="H85" s="755"/>
      <c r="I85" s="755" t="s">
        <v>35</v>
      </c>
      <c r="J85" s="755" t="s">
        <v>17</v>
      </c>
      <c r="K85" s="755"/>
      <c r="L85" s="755" t="s">
        <v>29</v>
      </c>
      <c r="M85" s="755" t="s">
        <v>412</v>
      </c>
      <c r="N85" s="756">
        <v>0</v>
      </c>
      <c r="O85" s="756">
        <v>0</v>
      </c>
      <c r="P85" s="756">
        <v>0</v>
      </c>
      <c r="Q85" s="756">
        <v>0</v>
      </c>
      <c r="R85" s="756">
        <v>0</v>
      </c>
      <c r="S85" s="756">
        <v>0</v>
      </c>
      <c r="T85" s="756">
        <v>0</v>
      </c>
      <c r="U85" s="756">
        <v>0</v>
      </c>
      <c r="V85" s="756">
        <v>0</v>
      </c>
      <c r="W85" s="756">
        <v>0</v>
      </c>
      <c r="X85" s="757">
        <v>0</v>
      </c>
      <c r="Y85" s="757">
        <v>0</v>
      </c>
      <c r="Z85" s="757">
        <v>112723.16039999999</v>
      </c>
      <c r="AA85" s="757">
        <v>112723.16039999999</v>
      </c>
      <c r="AB85" s="757">
        <v>112723.16039999999</v>
      </c>
      <c r="AC85" s="757">
        <v>112723.16039999999</v>
      </c>
      <c r="AD85" s="757">
        <v>112723.16039999999</v>
      </c>
      <c r="AE85" s="757">
        <v>112723.16039999999</v>
      </c>
      <c r="AF85" s="756">
        <v>0</v>
      </c>
      <c r="AG85" s="756">
        <v>0</v>
      </c>
      <c r="AH85" s="756">
        <v>0</v>
      </c>
      <c r="AI85" s="756">
        <v>0</v>
      </c>
      <c r="AJ85" s="756">
        <v>0</v>
      </c>
      <c r="AK85" s="756">
        <v>0</v>
      </c>
      <c r="AL85" s="756">
        <v>0</v>
      </c>
      <c r="AM85" s="756">
        <v>0</v>
      </c>
      <c r="AN85" s="756">
        <v>0</v>
      </c>
      <c r="AO85" s="756">
        <v>0</v>
      </c>
      <c r="AP85" s="756">
        <v>0</v>
      </c>
      <c r="AQ85" s="757">
        <v>44514.994299999998</v>
      </c>
      <c r="AR85" s="757">
        <v>750.59259999999995</v>
      </c>
      <c r="AS85" s="757">
        <v>67457.573499999999</v>
      </c>
      <c r="AT85" s="757">
        <v>0</v>
      </c>
      <c r="AU85" s="756">
        <v>0</v>
      </c>
      <c r="AV85" s="756">
        <v>0</v>
      </c>
      <c r="AW85" s="756">
        <v>0</v>
      </c>
      <c r="AX85" s="756">
        <v>0</v>
      </c>
      <c r="AY85" s="756">
        <v>0</v>
      </c>
      <c r="AZ85" s="758">
        <v>0.56000000000000005</v>
      </c>
      <c r="BA85" s="759" t="str">
        <f t="shared" si="20"/>
        <v/>
      </c>
      <c r="BB85" s="759" t="str">
        <f t="shared" si="21"/>
        <v/>
      </c>
      <c r="BC85" s="760">
        <f t="shared" si="23"/>
        <v>0</v>
      </c>
      <c r="BD85" s="760">
        <f t="shared" si="24"/>
        <v>0</v>
      </c>
      <c r="BE85" s="760">
        <f t="shared" si="25"/>
        <v>63124.969824</v>
      </c>
      <c r="BF85" s="760">
        <f t="shared" si="26"/>
        <v>49598.190575999994</v>
      </c>
      <c r="BG85" s="761">
        <f t="shared" si="22"/>
        <v>0</v>
      </c>
      <c r="BH85" s="762">
        <f t="shared" si="16"/>
        <v>0</v>
      </c>
      <c r="BI85" s="762">
        <f t="shared" si="17"/>
        <v>0</v>
      </c>
      <c r="BJ85" s="762">
        <f t="shared" si="18"/>
        <v>0</v>
      </c>
      <c r="BK85" s="762">
        <f t="shared" si="19"/>
        <v>0</v>
      </c>
    </row>
    <row r="86" spans="1:63">
      <c r="A86" s="669"/>
      <c r="B86" s="745">
        <v>2029</v>
      </c>
      <c r="C86" s="746" t="s">
        <v>13</v>
      </c>
      <c r="D86" s="746" t="s">
        <v>479</v>
      </c>
      <c r="E86" s="746" t="s">
        <v>480</v>
      </c>
      <c r="F86" s="746" t="s">
        <v>478</v>
      </c>
      <c r="G86" s="746" t="s">
        <v>50</v>
      </c>
      <c r="H86" s="746"/>
      <c r="I86" s="746" t="s">
        <v>481</v>
      </c>
      <c r="J86" s="746" t="s">
        <v>482</v>
      </c>
      <c r="K86" s="746"/>
      <c r="L86" s="746" t="s">
        <v>29</v>
      </c>
      <c r="M86" s="746" t="s">
        <v>412</v>
      </c>
      <c r="N86" s="747">
        <v>0</v>
      </c>
      <c r="O86" s="747">
        <v>0</v>
      </c>
      <c r="P86" s="747">
        <v>0</v>
      </c>
      <c r="Q86" s="747">
        <v>0</v>
      </c>
      <c r="R86" s="747">
        <v>0</v>
      </c>
      <c r="S86" s="747">
        <v>0</v>
      </c>
      <c r="T86" s="747">
        <v>0</v>
      </c>
      <c r="U86" s="747">
        <v>0</v>
      </c>
      <c r="V86" s="747">
        <v>0</v>
      </c>
      <c r="W86" s="747">
        <v>0</v>
      </c>
      <c r="X86" s="748">
        <v>0</v>
      </c>
      <c r="Y86" s="748">
        <v>0</v>
      </c>
      <c r="Z86" s="748">
        <v>156714.05350000001</v>
      </c>
      <c r="AA86" s="748">
        <v>156714.05350000001</v>
      </c>
      <c r="AB86" s="748">
        <v>156714.05350000001</v>
      </c>
      <c r="AC86" s="748">
        <v>156714.05350000001</v>
      </c>
      <c r="AD86" s="748">
        <v>156714.05350000001</v>
      </c>
      <c r="AE86" s="748">
        <v>156714.05350000001</v>
      </c>
      <c r="AF86" s="747">
        <v>0</v>
      </c>
      <c r="AG86" s="747">
        <v>0</v>
      </c>
      <c r="AH86" s="747">
        <v>0</v>
      </c>
      <c r="AI86" s="747">
        <v>0</v>
      </c>
      <c r="AJ86" s="747">
        <v>0</v>
      </c>
      <c r="AK86" s="747">
        <v>0</v>
      </c>
      <c r="AL86" s="747">
        <v>0</v>
      </c>
      <c r="AM86" s="747">
        <v>0</v>
      </c>
      <c r="AN86" s="747">
        <v>0</v>
      </c>
      <c r="AO86" s="747">
        <v>0</v>
      </c>
      <c r="AP86" s="747">
        <v>0</v>
      </c>
      <c r="AQ86" s="748">
        <v>156714.05350000001</v>
      </c>
      <c r="AR86" s="748">
        <v>0</v>
      </c>
      <c r="AS86" s="748">
        <v>0</v>
      </c>
      <c r="AT86" s="748">
        <v>0</v>
      </c>
      <c r="AU86" s="747">
        <v>0</v>
      </c>
      <c r="AV86" s="747">
        <v>0</v>
      </c>
      <c r="AW86" s="747">
        <v>0</v>
      </c>
      <c r="AX86" s="747">
        <v>0</v>
      </c>
      <c r="AY86" s="747">
        <v>0</v>
      </c>
      <c r="AZ86" s="749">
        <v>0.56000000000000005</v>
      </c>
      <c r="BA86" s="750" t="str">
        <f t="shared" si="20"/>
        <v/>
      </c>
      <c r="BB86" s="750" t="str">
        <f t="shared" si="21"/>
        <v/>
      </c>
      <c r="BC86" s="751">
        <f t="shared" si="23"/>
        <v>0</v>
      </c>
      <c r="BD86" s="751">
        <f t="shared" si="24"/>
        <v>0</v>
      </c>
      <c r="BE86" s="751">
        <f t="shared" si="25"/>
        <v>87759.869960000011</v>
      </c>
      <c r="BF86" s="751">
        <f t="shared" si="26"/>
        <v>68954.183539999998</v>
      </c>
      <c r="BG86" s="752">
        <f t="shared" si="22"/>
        <v>0</v>
      </c>
      <c r="BH86" s="763">
        <f t="shared" si="16"/>
        <v>0</v>
      </c>
      <c r="BI86" s="763">
        <f t="shared" si="17"/>
        <v>0</v>
      </c>
      <c r="BJ86" s="763">
        <f t="shared" si="18"/>
        <v>0</v>
      </c>
      <c r="BK86" s="763">
        <f t="shared" si="19"/>
        <v>0</v>
      </c>
    </row>
    <row r="87" spans="1:63">
      <c r="A87" s="669"/>
      <c r="B87" s="754">
        <v>2029</v>
      </c>
      <c r="C87" s="755" t="s">
        <v>13</v>
      </c>
      <c r="D87" s="755" t="s">
        <v>483</v>
      </c>
      <c r="E87" s="755" t="s">
        <v>484</v>
      </c>
      <c r="F87" s="755" t="s">
        <v>478</v>
      </c>
      <c r="G87" s="755" t="s">
        <v>50</v>
      </c>
      <c r="H87" s="755"/>
      <c r="I87" s="755" t="s">
        <v>485</v>
      </c>
      <c r="J87" s="755" t="s">
        <v>482</v>
      </c>
      <c r="K87" s="755"/>
      <c r="L87" s="755" t="s">
        <v>486</v>
      </c>
      <c r="M87" s="755" t="s">
        <v>412</v>
      </c>
      <c r="N87" s="756">
        <v>0</v>
      </c>
      <c r="O87" s="756">
        <v>0</v>
      </c>
      <c r="P87" s="756">
        <v>0</v>
      </c>
      <c r="Q87" s="756">
        <v>0</v>
      </c>
      <c r="R87" s="756">
        <v>0</v>
      </c>
      <c r="S87" s="756">
        <v>0</v>
      </c>
      <c r="T87" s="756">
        <v>0</v>
      </c>
      <c r="U87" s="756">
        <v>0</v>
      </c>
      <c r="V87" s="756">
        <v>0</v>
      </c>
      <c r="W87" s="756">
        <v>0</v>
      </c>
      <c r="X87" s="757">
        <v>0</v>
      </c>
      <c r="Y87" s="757">
        <v>0</v>
      </c>
      <c r="Z87" s="757">
        <v>2710424.0972000002</v>
      </c>
      <c r="AA87" s="757">
        <v>2710424.0972000002</v>
      </c>
      <c r="AB87" s="757">
        <v>2710424.0972000002</v>
      </c>
      <c r="AC87" s="757">
        <v>2710424.0972000002</v>
      </c>
      <c r="AD87" s="757">
        <v>2710424.0972000002</v>
      </c>
      <c r="AE87" s="757">
        <v>2710424.0972000002</v>
      </c>
      <c r="AF87" s="756">
        <v>0</v>
      </c>
      <c r="AG87" s="756">
        <v>0</v>
      </c>
      <c r="AH87" s="756">
        <v>0</v>
      </c>
      <c r="AI87" s="756">
        <v>0</v>
      </c>
      <c r="AJ87" s="756">
        <v>0</v>
      </c>
      <c r="AK87" s="756">
        <v>0</v>
      </c>
      <c r="AL87" s="756">
        <v>0</v>
      </c>
      <c r="AM87" s="756">
        <v>0</v>
      </c>
      <c r="AN87" s="756">
        <v>0</v>
      </c>
      <c r="AO87" s="756">
        <v>0</v>
      </c>
      <c r="AP87" s="756">
        <v>0</v>
      </c>
      <c r="AQ87" s="757">
        <v>2710424.0972000002</v>
      </c>
      <c r="AR87" s="757">
        <v>0</v>
      </c>
      <c r="AS87" s="757">
        <v>0</v>
      </c>
      <c r="AT87" s="757">
        <v>0</v>
      </c>
      <c r="AU87" s="756">
        <v>0</v>
      </c>
      <c r="AV87" s="756">
        <v>0</v>
      </c>
      <c r="AW87" s="756">
        <v>0</v>
      </c>
      <c r="AX87" s="756">
        <v>0</v>
      </c>
      <c r="AY87" s="756">
        <v>0</v>
      </c>
      <c r="AZ87" s="758">
        <v>0.56000000000000005</v>
      </c>
      <c r="BA87" s="759" t="str">
        <f t="shared" si="20"/>
        <v/>
      </c>
      <c r="BB87" s="759" t="str">
        <f t="shared" si="21"/>
        <v/>
      </c>
      <c r="BC87" s="760">
        <f t="shared" si="23"/>
        <v>0</v>
      </c>
      <c r="BD87" s="760">
        <f t="shared" si="24"/>
        <v>0</v>
      </c>
      <c r="BE87" s="760">
        <f t="shared" si="25"/>
        <v>1517837.4944320002</v>
      </c>
      <c r="BF87" s="760">
        <f t="shared" si="26"/>
        <v>1192586.602768</v>
      </c>
      <c r="BG87" s="761">
        <f t="shared" si="22"/>
        <v>0</v>
      </c>
      <c r="BH87" s="762">
        <f t="shared" si="16"/>
        <v>0</v>
      </c>
      <c r="BI87" s="762">
        <f t="shared" si="17"/>
        <v>0</v>
      </c>
      <c r="BJ87" s="762">
        <f t="shared" si="18"/>
        <v>0</v>
      </c>
      <c r="BK87" s="762">
        <f t="shared" si="19"/>
        <v>0</v>
      </c>
    </row>
    <row r="88" spans="1:63">
      <c r="A88" s="669"/>
      <c r="B88" s="745">
        <v>2029</v>
      </c>
      <c r="C88" s="746" t="s">
        <v>13</v>
      </c>
      <c r="D88" s="746" t="s">
        <v>487</v>
      </c>
      <c r="E88" s="746" t="s">
        <v>488</v>
      </c>
      <c r="F88" s="746" t="s">
        <v>478</v>
      </c>
      <c r="G88" s="746" t="s">
        <v>18</v>
      </c>
      <c r="H88" s="746"/>
      <c r="I88" s="746" t="s">
        <v>46</v>
      </c>
      <c r="J88" s="746" t="s">
        <v>489</v>
      </c>
      <c r="K88" s="746"/>
      <c r="L88" s="746" t="s">
        <v>20</v>
      </c>
      <c r="M88" s="746" t="s">
        <v>412</v>
      </c>
      <c r="N88" s="747">
        <v>2211719.5227587102</v>
      </c>
      <c r="O88" s="747">
        <v>2223.4790929667702</v>
      </c>
      <c r="P88" s="747">
        <v>31464.009108996099</v>
      </c>
      <c r="Q88" s="747">
        <v>1967605.1827013099</v>
      </c>
      <c r="R88" s="747">
        <v>1978.0668126908399</v>
      </c>
      <c r="S88" s="747">
        <v>27991.2288852079</v>
      </c>
      <c r="T88" s="747">
        <v>16730674.7628462</v>
      </c>
      <c r="U88" s="747">
        <v>238011.2386408</v>
      </c>
      <c r="V88" s="747">
        <v>4508.4737200502896</v>
      </c>
      <c r="W88" s="747">
        <v>1263.8396771826499</v>
      </c>
      <c r="X88" s="748">
        <v>5435590.5628724704</v>
      </c>
      <c r="Y88" s="748">
        <v>6109966.5071643703</v>
      </c>
      <c r="Z88" s="748">
        <v>5478950.4216999998</v>
      </c>
      <c r="AA88" s="748">
        <v>5312438.1702439599</v>
      </c>
      <c r="AB88" s="748">
        <v>5312438.1702439599</v>
      </c>
      <c r="AC88" s="748">
        <v>5364172.4307079604</v>
      </c>
      <c r="AD88" s="748">
        <v>5364172.4307079604</v>
      </c>
      <c r="AE88" s="748">
        <v>11436079.927968999</v>
      </c>
      <c r="AF88" s="747">
        <v>1868837.6766799199</v>
      </c>
      <c r="AG88" s="747">
        <v>483264.086780696</v>
      </c>
      <c r="AH88" s="747">
        <v>3079372.1422526902</v>
      </c>
      <c r="AI88" s="747">
        <v>2070562.93689335</v>
      </c>
      <c r="AJ88" s="747">
        <v>678759.33396238799</v>
      </c>
      <c r="AK88" s="747">
        <v>4561.6559555451204</v>
      </c>
      <c r="AL88" s="747">
        <v>2070562.93689335</v>
      </c>
      <c r="AM88" s="747">
        <v>679311.67604420497</v>
      </c>
      <c r="AN88" s="747">
        <v>4561.6559555451204</v>
      </c>
      <c r="AO88" s="747">
        <v>524.66515413806701</v>
      </c>
      <c r="AP88" s="747">
        <v>148.63342538045401</v>
      </c>
      <c r="AQ88" s="748">
        <v>298980.74939999997</v>
      </c>
      <c r="AR88" s="748">
        <v>150750.5926</v>
      </c>
      <c r="AS88" s="748">
        <v>379219.08069999999</v>
      </c>
      <c r="AT88" s="748">
        <v>4649999.9989999998</v>
      </c>
      <c r="AU88" s="747">
        <v>5636469.9395332299</v>
      </c>
      <c r="AV88" s="747">
        <v>487171.81819179002</v>
      </c>
      <c r="AW88" s="747">
        <v>0</v>
      </c>
      <c r="AX88" s="747">
        <v>0</v>
      </c>
      <c r="AY88" s="747">
        <v>4116.6571591551301</v>
      </c>
      <c r="AZ88" s="749">
        <v>0.56000000000000005</v>
      </c>
      <c r="BA88" s="750">
        <f t="shared" si="20"/>
        <v>662875.08557599073</v>
      </c>
      <c r="BB88" s="750">
        <f t="shared" si="21"/>
        <v>57293.672127849008</v>
      </c>
      <c r="BC88" s="751">
        <f t="shared" si="23"/>
        <v>3597402.7335005822</v>
      </c>
      <c r="BD88" s="751">
        <f t="shared" si="24"/>
        <v>1838187.8293718793</v>
      </c>
      <c r="BE88" s="751">
        <f t="shared" si="25"/>
        <v>8611435.3148698471</v>
      </c>
      <c r="BF88" s="751">
        <f t="shared" si="26"/>
        <v>2824644.6130991322</v>
      </c>
      <c r="BG88" s="752">
        <f t="shared" si="22"/>
        <v>8.5030650000000279</v>
      </c>
      <c r="BH88" s="763">
        <f t="shared" si="16"/>
        <v>423071.29646787018</v>
      </c>
      <c r="BI88" s="763">
        <f t="shared" si="17"/>
        <v>216179.4399280581</v>
      </c>
      <c r="BJ88" s="763">
        <f t="shared" si="18"/>
        <v>1012744.8531641024</v>
      </c>
      <c r="BK88" s="763">
        <f t="shared" si="19"/>
        <v>332191.34666136542</v>
      </c>
    </row>
    <row r="89" spans="1:63">
      <c r="A89" s="669"/>
      <c r="B89" s="754">
        <v>2029</v>
      </c>
      <c r="C89" s="755" t="s">
        <v>13</v>
      </c>
      <c r="D89" s="755" t="s">
        <v>490</v>
      </c>
      <c r="E89" s="755" t="s">
        <v>491</v>
      </c>
      <c r="F89" s="755" t="s">
        <v>478</v>
      </c>
      <c r="G89" s="755" t="s">
        <v>18</v>
      </c>
      <c r="H89" s="755"/>
      <c r="I89" s="755" t="s">
        <v>46</v>
      </c>
      <c r="J89" s="755" t="s">
        <v>489</v>
      </c>
      <c r="K89" s="755"/>
      <c r="L89" s="755" t="s">
        <v>20</v>
      </c>
      <c r="M89" s="755" t="s">
        <v>412</v>
      </c>
      <c r="N89" s="756">
        <v>3089784.6452400102</v>
      </c>
      <c r="O89" s="756">
        <v>4621.0226507935904</v>
      </c>
      <c r="P89" s="756">
        <v>508358.904578374</v>
      </c>
      <c r="Q89" s="756">
        <v>2564570.0741466</v>
      </c>
      <c r="R89" s="756">
        <v>3835.52181231656</v>
      </c>
      <c r="S89" s="756">
        <v>421945.92287074198</v>
      </c>
      <c r="T89" s="756">
        <v>22924112.299959701</v>
      </c>
      <c r="U89" s="756">
        <v>3771679.2447629999</v>
      </c>
      <c r="V89" s="756">
        <v>5318.0822683883998</v>
      </c>
      <c r="W89" s="756">
        <v>20027.616789691499</v>
      </c>
      <c r="X89" s="757">
        <v>12307997.475754101</v>
      </c>
      <c r="Y89" s="757">
        <v>14828630.3414394</v>
      </c>
      <c r="Z89" s="757">
        <v>10957878.9244</v>
      </c>
      <c r="AA89" s="757">
        <v>10638607.9151225</v>
      </c>
      <c r="AB89" s="757">
        <v>10624854.421452099</v>
      </c>
      <c r="AC89" s="757">
        <v>10742235.1354635</v>
      </c>
      <c r="AD89" s="757">
        <v>10742235.1354635</v>
      </c>
      <c r="AE89" s="757">
        <v>25778023.316428699</v>
      </c>
      <c r="AF89" s="756">
        <v>2536842.1101088002</v>
      </c>
      <c r="AG89" s="756">
        <v>7638042.1598730301</v>
      </c>
      <c r="AH89" s="756">
        <v>2132466.6265302701</v>
      </c>
      <c r="AI89" s="756">
        <v>2820342.0919664199</v>
      </c>
      <c r="AJ89" s="756">
        <v>10767343.106683001</v>
      </c>
      <c r="AK89" s="756">
        <v>719.03476996554195</v>
      </c>
      <c r="AL89" s="756">
        <v>2820342.0919664199</v>
      </c>
      <c r="AM89" s="756">
        <v>10775669.2323565</v>
      </c>
      <c r="AN89" s="756">
        <v>719.03476996554195</v>
      </c>
      <c r="AO89" s="756">
        <v>572.65530147225297</v>
      </c>
      <c r="AP89" s="756">
        <v>2240.5328504436402</v>
      </c>
      <c r="AQ89" s="757">
        <v>597098.6655</v>
      </c>
      <c r="AR89" s="757">
        <v>300750.59259999997</v>
      </c>
      <c r="AS89" s="757">
        <v>760029.66729999997</v>
      </c>
      <c r="AT89" s="757">
        <v>9299999.9989999998</v>
      </c>
      <c r="AU89" s="756">
        <v>7585926.0346576199</v>
      </c>
      <c r="AV89" s="756">
        <v>7567242.8603189802</v>
      </c>
      <c r="AW89" s="756">
        <v>0</v>
      </c>
      <c r="AX89" s="756">
        <v>0</v>
      </c>
      <c r="AY89" s="756">
        <v>646.57924195435896</v>
      </c>
      <c r="AZ89" s="758">
        <v>0.56000000000000005</v>
      </c>
      <c r="BA89" s="759">
        <f t="shared" si="20"/>
        <v>848653.96917492384</v>
      </c>
      <c r="BB89" s="759">
        <f t="shared" si="21"/>
        <v>846563.84201222344</v>
      </c>
      <c r="BC89" s="760">
        <f t="shared" si="23"/>
        <v>3731670.0002077059</v>
      </c>
      <c r="BD89" s="760">
        <f t="shared" si="24"/>
        <v>8576327.4755463488</v>
      </c>
      <c r="BE89" s="760">
        <f t="shared" si="25"/>
        <v>13535844.510670796</v>
      </c>
      <c r="BF89" s="760">
        <f t="shared" si="26"/>
        <v>12242178.805757903</v>
      </c>
      <c r="BG89" s="761">
        <f t="shared" si="22"/>
        <v>8.9387740000000111</v>
      </c>
      <c r="BH89" s="762">
        <f t="shared" si="16"/>
        <v>417470.00206154684</v>
      </c>
      <c r="BI89" s="762">
        <f t="shared" si="17"/>
        <v>959452.32260557637</v>
      </c>
      <c r="BJ89" s="762">
        <f t="shared" si="18"/>
        <v>1514284.2307760303</v>
      </c>
      <c r="BK89" s="762">
        <f t="shared" si="19"/>
        <v>1369559.0475559498</v>
      </c>
    </row>
    <row r="90" spans="1:63">
      <c r="A90" s="669"/>
      <c r="B90" s="745">
        <v>2029</v>
      </c>
      <c r="C90" s="746" t="s">
        <v>13</v>
      </c>
      <c r="D90" s="746" t="s">
        <v>492</v>
      </c>
      <c r="E90" s="746" t="s">
        <v>493</v>
      </c>
      <c r="F90" s="746" t="s">
        <v>478</v>
      </c>
      <c r="G90" s="746" t="s">
        <v>34</v>
      </c>
      <c r="H90" s="746"/>
      <c r="I90" s="746" t="s">
        <v>46</v>
      </c>
      <c r="J90" s="746" t="s">
        <v>489</v>
      </c>
      <c r="K90" s="746"/>
      <c r="L90" s="746" t="s">
        <v>20</v>
      </c>
      <c r="M90" s="746" t="s">
        <v>412</v>
      </c>
      <c r="N90" s="747">
        <v>18675000</v>
      </c>
      <c r="O90" s="747">
        <v>2403.27</v>
      </c>
      <c r="P90" s="747">
        <v>195750</v>
      </c>
      <c r="Q90" s="747">
        <v>18675000</v>
      </c>
      <c r="R90" s="747">
        <v>2403.27</v>
      </c>
      <c r="S90" s="747">
        <v>195750</v>
      </c>
      <c r="T90" s="747">
        <v>93375000</v>
      </c>
      <c r="U90" s="747">
        <v>978750</v>
      </c>
      <c r="V90" s="747">
        <v>19385.110057499998</v>
      </c>
      <c r="W90" s="747">
        <v>5197.1625000000004</v>
      </c>
      <c r="X90" s="748">
        <v>9832115.7932340242</v>
      </c>
      <c r="Y90" s="748">
        <v>9832115.7932340242</v>
      </c>
      <c r="Z90" s="748">
        <v>9527107.7327999994</v>
      </c>
      <c r="AA90" s="748">
        <v>9138932.0402202196</v>
      </c>
      <c r="AB90" s="748">
        <v>9428455.4548054188</v>
      </c>
      <c r="AC90" s="748">
        <v>9164363.7543989383</v>
      </c>
      <c r="AD90" s="748">
        <v>9164363.754398942</v>
      </c>
      <c r="AE90" s="748">
        <v>43506474.266184375</v>
      </c>
      <c r="AF90" s="747">
        <v>7823211.2593496693</v>
      </c>
      <c r="AG90" s="747">
        <v>2008904.5338843556</v>
      </c>
      <c r="AH90" s="747">
        <v>0</v>
      </c>
      <c r="AI90" s="747">
        <v>10600950.775743207</v>
      </c>
      <c r="AJ90" s="747">
        <v>2789110.9695710475</v>
      </c>
      <c r="AK90" s="747">
        <v>0</v>
      </c>
      <c r="AL90" s="747">
        <v>10592044.080280503</v>
      </c>
      <c r="AM90" s="747">
        <v>2791030.2386393463</v>
      </c>
      <c r="AN90" s="747">
        <v>0</v>
      </c>
      <c r="AO90" s="747">
        <v>3810.8540024999998</v>
      </c>
      <c r="AP90" s="747">
        <v>1039.4325000000001</v>
      </c>
      <c r="AQ90" s="748">
        <v>833618.0969</v>
      </c>
      <c r="AR90" s="748">
        <v>418876.06259999995</v>
      </c>
      <c r="AS90" s="748">
        <v>6421269.5733000003</v>
      </c>
      <c r="AT90" s="748">
        <v>1853344</v>
      </c>
      <c r="AU90" s="747">
        <v>32823045.341429926</v>
      </c>
      <c r="AV90" s="747">
        <v>1254973.4699489977</v>
      </c>
      <c r="AW90" s="747">
        <v>0</v>
      </c>
      <c r="AX90" s="747">
        <v>0</v>
      </c>
      <c r="AY90" s="747">
        <v>0</v>
      </c>
      <c r="AZ90" s="749">
        <v>0.56000000000000005</v>
      </c>
      <c r="BA90" s="750">
        <f t="shared" si="20"/>
        <v>6564609.0682859849</v>
      </c>
      <c r="BB90" s="750">
        <f t="shared" si="21"/>
        <v>250994.69398979953</v>
      </c>
      <c r="BC90" s="751">
        <f t="shared" si="23"/>
        <v>7823211.2593496693</v>
      </c>
      <c r="BD90" s="751">
        <f t="shared" si="24"/>
        <v>2008904.5338843556</v>
      </c>
      <c r="BE90" s="751">
        <f t="shared" si="25"/>
        <v>38102980.396120965</v>
      </c>
      <c r="BF90" s="751">
        <f t="shared" si="26"/>
        <v>5403493.8700633813</v>
      </c>
      <c r="BG90" s="752">
        <f t="shared" si="22"/>
        <v>5</v>
      </c>
      <c r="BH90" s="763">
        <f t="shared" si="16"/>
        <v>1564642.2518699339</v>
      </c>
      <c r="BI90" s="763">
        <f t="shared" si="17"/>
        <v>401780.90677687112</v>
      </c>
      <c r="BJ90" s="763">
        <f t="shared" si="18"/>
        <v>7620596.0792241935</v>
      </c>
      <c r="BK90" s="763">
        <f t="shared" si="19"/>
        <v>1080698.7740126762</v>
      </c>
    </row>
    <row r="91" spans="1:63">
      <c r="A91" s="669"/>
      <c r="B91" s="754">
        <v>2029</v>
      </c>
      <c r="C91" s="755" t="s">
        <v>13</v>
      </c>
      <c r="D91" s="755" t="s">
        <v>494</v>
      </c>
      <c r="E91" s="755" t="s">
        <v>495</v>
      </c>
      <c r="F91" s="755" t="s">
        <v>496</v>
      </c>
      <c r="G91" s="755" t="s">
        <v>18</v>
      </c>
      <c r="H91" s="755"/>
      <c r="I91" s="755" t="s">
        <v>46</v>
      </c>
      <c r="J91" s="755" t="s">
        <v>489</v>
      </c>
      <c r="K91" s="755"/>
      <c r="L91" s="755" t="s">
        <v>20</v>
      </c>
      <c r="M91" s="755" t="s">
        <v>412</v>
      </c>
      <c r="N91" s="756">
        <v>46096340</v>
      </c>
      <c r="O91" s="756">
        <v>5500</v>
      </c>
      <c r="P91" s="756">
        <v>610014.31559999997</v>
      </c>
      <c r="Q91" s="756">
        <v>46096340</v>
      </c>
      <c r="R91" s="756">
        <v>5500</v>
      </c>
      <c r="S91" s="756">
        <v>610014.31559999997</v>
      </c>
      <c r="T91" s="756">
        <v>46096340</v>
      </c>
      <c r="U91" s="756">
        <v>610014.31559999997</v>
      </c>
      <c r="V91" s="756">
        <v>8227.5259882530008</v>
      </c>
      <c r="W91" s="756">
        <v>3239.1760158359998</v>
      </c>
      <c r="X91" s="757">
        <v>6526012.3277229704</v>
      </c>
      <c r="Y91" s="757">
        <v>6526012.3277229704</v>
      </c>
      <c r="Z91" s="757">
        <v>2900563.0984999998</v>
      </c>
      <c r="AA91" s="757">
        <v>2900563.0985000022</v>
      </c>
      <c r="AB91" s="757">
        <v>2900563.0985000022</v>
      </c>
      <c r="AC91" s="757">
        <v>2900563.0985000022</v>
      </c>
      <c r="AD91" s="757">
        <v>2900563.0984999998</v>
      </c>
      <c r="AE91" s="757">
        <v>22748358.808989581</v>
      </c>
      <c r="AF91" s="756">
        <v>5181633.8762296401</v>
      </c>
      <c r="AG91" s="756">
        <v>1344378.4514933301</v>
      </c>
      <c r="AH91" s="756">
        <v>0</v>
      </c>
      <c r="AI91" s="756">
        <v>5333316.8820068697</v>
      </c>
      <c r="AJ91" s="756">
        <v>1775591.0028587179</v>
      </c>
      <c r="AK91" s="756">
        <v>0</v>
      </c>
      <c r="AL91" s="756">
        <v>5333316.8820068697</v>
      </c>
      <c r="AM91" s="756">
        <v>1781572.0072375061</v>
      </c>
      <c r="AN91" s="756">
        <v>0</v>
      </c>
      <c r="AO91" s="756">
        <v>8227.5259882530008</v>
      </c>
      <c r="AP91" s="756">
        <v>3239.1760158359998</v>
      </c>
      <c r="AQ91" s="757">
        <v>368149.27999999997</v>
      </c>
      <c r="AR91" s="757">
        <v>18014.220300000001</v>
      </c>
      <c r="AS91" s="757">
        <v>2514399.5981999999</v>
      </c>
      <c r="AT91" s="757">
        <v>0</v>
      </c>
      <c r="AU91" s="756">
        <v>18374001.124000002</v>
      </c>
      <c r="AV91" s="756">
        <v>1473794.5864895999</v>
      </c>
      <c r="AW91" s="756">
        <v>0</v>
      </c>
      <c r="AX91" s="756">
        <v>0</v>
      </c>
      <c r="AY91" s="756">
        <v>0</v>
      </c>
      <c r="AZ91" s="758">
        <v>0.56000000000000005</v>
      </c>
      <c r="BA91" s="759">
        <f t="shared" si="20"/>
        <v>18374001.124000002</v>
      </c>
      <c r="BB91" s="759">
        <f t="shared" si="21"/>
        <v>1473794.5864895999</v>
      </c>
      <c r="BC91" s="760">
        <f t="shared" si="23"/>
        <v>5181633.8762296401</v>
      </c>
      <c r="BD91" s="760">
        <f t="shared" si="24"/>
        <v>1344378.4514933301</v>
      </c>
      <c r="BE91" s="760">
        <f t="shared" si="25"/>
        <v>19998316.459160004</v>
      </c>
      <c r="BF91" s="760">
        <f t="shared" si="26"/>
        <v>2750042.3498296007</v>
      </c>
      <c r="BG91" s="761">
        <f t="shared" si="22"/>
        <v>1</v>
      </c>
      <c r="BH91" s="762">
        <f t="shared" si="16"/>
        <v>5181633.8762296401</v>
      </c>
      <c r="BI91" s="762">
        <f t="shared" si="17"/>
        <v>1344378.4514933301</v>
      </c>
      <c r="BJ91" s="762">
        <f t="shared" si="18"/>
        <v>19998316.459160004</v>
      </c>
      <c r="BK91" s="762">
        <f t="shared" si="19"/>
        <v>2750042.3498296007</v>
      </c>
    </row>
    <row r="92" spans="1:63">
      <c r="A92" s="669"/>
      <c r="B92" s="745">
        <v>2029</v>
      </c>
      <c r="C92" s="746" t="s">
        <v>13</v>
      </c>
      <c r="D92" s="746" t="s">
        <v>497</v>
      </c>
      <c r="E92" s="746" t="s">
        <v>498</v>
      </c>
      <c r="F92" s="746" t="s">
        <v>347</v>
      </c>
      <c r="G92" s="746" t="s">
        <v>50</v>
      </c>
      <c r="H92" s="746" t="s">
        <v>499</v>
      </c>
      <c r="I92" s="746" t="s">
        <v>347</v>
      </c>
      <c r="J92" s="746" t="s">
        <v>489</v>
      </c>
      <c r="K92" s="746"/>
      <c r="L92" s="746" t="s">
        <v>347</v>
      </c>
      <c r="M92" s="746" t="s">
        <v>412</v>
      </c>
      <c r="N92" s="747">
        <v>215456737.43881786</v>
      </c>
      <c r="O92" s="747">
        <v>62854.185139696579</v>
      </c>
      <c r="P92" s="747">
        <v>225609.25523516245</v>
      </c>
      <c r="Q92" s="747">
        <v>25225210.197726149</v>
      </c>
      <c r="R92" s="747">
        <v>9870.6269276209405</v>
      </c>
      <c r="S92" s="747">
        <v>33652.37541943018</v>
      </c>
      <c r="T92" s="747">
        <v>373787422.11854148</v>
      </c>
      <c r="U92" s="747">
        <v>913667.90544168942</v>
      </c>
      <c r="V92" s="747">
        <v>71415.416597401505</v>
      </c>
      <c r="W92" s="747">
        <v>4851.5765778953428</v>
      </c>
      <c r="X92" s="748">
        <v>25430445.104252152</v>
      </c>
      <c r="Y92" s="748">
        <v>235082779.07574198</v>
      </c>
      <c r="Z92" s="748">
        <v>423899.28909999999</v>
      </c>
      <c r="AA92" s="748">
        <v>15549224.730356459</v>
      </c>
      <c r="AB92" s="748">
        <v>423899.28909999895</v>
      </c>
      <c r="AC92" s="748">
        <v>15694491.659350375</v>
      </c>
      <c r="AD92" s="748">
        <v>15694491.659350364</v>
      </c>
      <c r="AE92" s="748">
        <v>61410344.903771661</v>
      </c>
      <c r="AF92" s="747">
        <v>22426701.883723948</v>
      </c>
      <c r="AG92" s="747">
        <v>3003743.2205281858</v>
      </c>
      <c r="AH92" s="747">
        <v>0</v>
      </c>
      <c r="AI92" s="747">
        <v>31472970.781061068</v>
      </c>
      <c r="AJ92" s="747">
        <v>4914894.3645847449</v>
      </c>
      <c r="AK92" s="747">
        <v>0</v>
      </c>
      <c r="AL92" s="747">
        <v>31826968.700754054</v>
      </c>
      <c r="AM92" s="747">
        <v>4916420.3530542543</v>
      </c>
      <c r="AN92" s="747">
        <v>0</v>
      </c>
      <c r="AO92" s="747">
        <v>4828.734242157585</v>
      </c>
      <c r="AP92" s="747">
        <v>178.69411347717519</v>
      </c>
      <c r="AQ92" s="748">
        <v>0</v>
      </c>
      <c r="AR92" s="748">
        <v>0</v>
      </c>
      <c r="AS92" s="748">
        <v>423899.28909999999</v>
      </c>
      <c r="AT92" s="748">
        <v>0</v>
      </c>
      <c r="AU92" s="747">
        <v>58880654.236710288</v>
      </c>
      <c r="AV92" s="747">
        <v>2105791.3779613175</v>
      </c>
      <c r="AW92" s="747">
        <v>0</v>
      </c>
      <c r="AX92" s="747">
        <v>0</v>
      </c>
      <c r="AY92" s="747">
        <v>0</v>
      </c>
      <c r="AZ92" s="749">
        <v>0.56000000000000005</v>
      </c>
      <c r="BA92" s="750">
        <f t="shared" si="20"/>
        <v>3852960.874626358</v>
      </c>
      <c r="BB92" s="750">
        <f t="shared" si="21"/>
        <v>137796.22347252967</v>
      </c>
      <c r="BC92" s="751">
        <f t="shared" si="23"/>
        <v>22426701.883723948</v>
      </c>
      <c r="BD92" s="751">
        <f t="shared" si="24"/>
        <v>3003743.2205281858</v>
      </c>
      <c r="BE92" s="751">
        <f t="shared" si="25"/>
        <v>59118037.838606291</v>
      </c>
      <c r="BF92" s="751">
        <f t="shared" si="26"/>
        <v>2292307.0651653172</v>
      </c>
      <c r="BG92" s="752">
        <f t="shared" si="22"/>
        <v>15.281923734151663</v>
      </c>
      <c r="BH92" s="763">
        <f t="shared" si="16"/>
        <v>1467531.3313863301</v>
      </c>
      <c r="BI92" s="763">
        <f t="shared" si="17"/>
        <v>196555.30761585306</v>
      </c>
      <c r="BJ92" s="763">
        <f t="shared" si="18"/>
        <v>3868494.4950020113</v>
      </c>
      <c r="BK92" s="763">
        <f t="shared" si="19"/>
        <v>150001.21091054304</v>
      </c>
    </row>
    <row r="93" spans="1:63">
      <c r="A93" s="669"/>
      <c r="B93" s="754">
        <v>2029</v>
      </c>
      <c r="C93" s="755" t="s">
        <v>13</v>
      </c>
      <c r="D93" s="755" t="s">
        <v>500</v>
      </c>
      <c r="E93" s="755" t="s">
        <v>501</v>
      </c>
      <c r="F93" s="755" t="s">
        <v>347</v>
      </c>
      <c r="G93" s="755" t="s">
        <v>50</v>
      </c>
      <c r="H93" s="755" t="s">
        <v>499</v>
      </c>
      <c r="I93" s="755" t="s">
        <v>347</v>
      </c>
      <c r="J93" s="755" t="s">
        <v>17</v>
      </c>
      <c r="K93" s="755"/>
      <c r="L93" s="755" t="s">
        <v>347</v>
      </c>
      <c r="M93" s="755" t="s">
        <v>412</v>
      </c>
      <c r="N93" s="756">
        <v>0</v>
      </c>
      <c r="O93" s="756">
        <v>0</v>
      </c>
      <c r="P93" s="756">
        <v>0</v>
      </c>
      <c r="Q93" s="756">
        <v>0</v>
      </c>
      <c r="R93" s="756">
        <v>0</v>
      </c>
      <c r="S93" s="756">
        <v>0</v>
      </c>
      <c r="T93" s="756">
        <v>0</v>
      </c>
      <c r="U93" s="756">
        <v>0</v>
      </c>
      <c r="V93" s="756">
        <v>0</v>
      </c>
      <c r="W93" s="756">
        <v>0</v>
      </c>
      <c r="X93" s="757">
        <v>0</v>
      </c>
      <c r="Y93" s="757">
        <v>0</v>
      </c>
      <c r="Z93" s="757">
        <v>61722.652900000001</v>
      </c>
      <c r="AA93" s="757">
        <v>61722.652900000001</v>
      </c>
      <c r="AB93" s="757">
        <v>61722.652900000001</v>
      </c>
      <c r="AC93" s="757">
        <v>61722.652900000001</v>
      </c>
      <c r="AD93" s="757">
        <v>61722.652900000001</v>
      </c>
      <c r="AE93" s="757">
        <v>61722.652900000001</v>
      </c>
      <c r="AF93" s="756">
        <v>0</v>
      </c>
      <c r="AG93" s="756">
        <v>0</v>
      </c>
      <c r="AH93" s="756">
        <v>0</v>
      </c>
      <c r="AI93" s="756">
        <v>0</v>
      </c>
      <c r="AJ93" s="756">
        <v>0</v>
      </c>
      <c r="AK93" s="756">
        <v>0</v>
      </c>
      <c r="AL93" s="756">
        <v>0</v>
      </c>
      <c r="AM93" s="756">
        <v>0</v>
      </c>
      <c r="AN93" s="756">
        <v>0</v>
      </c>
      <c r="AO93" s="756">
        <v>0</v>
      </c>
      <c r="AP93" s="756">
        <v>0</v>
      </c>
      <c r="AQ93" s="757">
        <v>14332.4784</v>
      </c>
      <c r="AR93" s="757">
        <v>0</v>
      </c>
      <c r="AS93" s="757">
        <v>47390.174500000001</v>
      </c>
      <c r="AT93" s="757">
        <v>0</v>
      </c>
      <c r="AU93" s="756">
        <v>0</v>
      </c>
      <c r="AV93" s="756">
        <v>0</v>
      </c>
      <c r="AW93" s="756">
        <v>0</v>
      </c>
      <c r="AX93" s="756">
        <v>0</v>
      </c>
      <c r="AY93" s="756">
        <v>0</v>
      </c>
      <c r="AZ93" s="758">
        <v>0.56000000000000005</v>
      </c>
      <c r="BA93" s="759" t="str">
        <f t="shared" si="20"/>
        <v/>
      </c>
      <c r="BB93" s="759" t="str">
        <f t="shared" si="21"/>
        <v/>
      </c>
      <c r="BC93" s="760">
        <f t="shared" si="23"/>
        <v>0</v>
      </c>
      <c r="BD93" s="760">
        <f t="shared" si="24"/>
        <v>0</v>
      </c>
      <c r="BE93" s="760">
        <f t="shared" si="25"/>
        <v>34564.685624000005</v>
      </c>
      <c r="BF93" s="760">
        <f t="shared" si="26"/>
        <v>27157.967275999996</v>
      </c>
      <c r="BG93" s="761">
        <f t="shared" si="22"/>
        <v>0</v>
      </c>
      <c r="BH93" s="762">
        <f t="shared" si="16"/>
        <v>0</v>
      </c>
      <c r="BI93" s="762">
        <f t="shared" si="17"/>
        <v>0</v>
      </c>
      <c r="BJ93" s="762">
        <f t="shared" si="18"/>
        <v>0</v>
      </c>
      <c r="BK93" s="762">
        <f t="shared" si="19"/>
        <v>0</v>
      </c>
    </row>
    <row r="94" spans="1:63">
      <c r="A94" s="669"/>
      <c r="B94" s="745">
        <v>2029</v>
      </c>
      <c r="C94" s="746" t="s">
        <v>13</v>
      </c>
      <c r="D94" s="746" t="s">
        <v>502</v>
      </c>
      <c r="E94" s="746" t="s">
        <v>503</v>
      </c>
      <c r="F94" s="746" t="s">
        <v>347</v>
      </c>
      <c r="G94" s="746" t="s">
        <v>50</v>
      </c>
      <c r="H94" s="746" t="s">
        <v>504</v>
      </c>
      <c r="I94" s="746" t="s">
        <v>347</v>
      </c>
      <c r="J94" s="746" t="s">
        <v>489</v>
      </c>
      <c r="K94" s="746"/>
      <c r="L94" s="746" t="s">
        <v>347</v>
      </c>
      <c r="M94" s="746" t="s">
        <v>412</v>
      </c>
      <c r="N94" s="747">
        <v>66351359.182741515</v>
      </c>
      <c r="O94" s="747">
        <v>7310.0233440341508</v>
      </c>
      <c r="P94" s="747">
        <v>27126.142240213241</v>
      </c>
      <c r="Q94" s="747">
        <v>12505203.866624566</v>
      </c>
      <c r="R94" s="747">
        <v>1553.5429999881769</v>
      </c>
      <c r="S94" s="747">
        <v>41112.730369596757</v>
      </c>
      <c r="T94" s="747">
        <v>159338416.57700032</v>
      </c>
      <c r="U94" s="747">
        <v>489318.79802324396</v>
      </c>
      <c r="V94" s="747">
        <v>32207.391641332022</v>
      </c>
      <c r="W94" s="747">
        <v>2598.2828175034238</v>
      </c>
      <c r="X94" s="748">
        <v>12086942.058197586</v>
      </c>
      <c r="Y94" s="748">
        <v>58381859.138451986</v>
      </c>
      <c r="Z94" s="748">
        <v>333070.63510000001</v>
      </c>
      <c r="AA94" s="748">
        <v>2291737.098764319</v>
      </c>
      <c r="AB94" s="748">
        <v>333070.63509999943</v>
      </c>
      <c r="AC94" s="748">
        <v>2310522.1406643786</v>
      </c>
      <c r="AD94" s="748">
        <v>2310522.1406643782</v>
      </c>
      <c r="AE94" s="748">
        <v>33160666.514570359</v>
      </c>
      <c r="AF94" s="747">
        <v>10312135.542926628</v>
      </c>
      <c r="AG94" s="747">
        <v>1774806.5152709573</v>
      </c>
      <c r="AH94" s="747">
        <v>0</v>
      </c>
      <c r="AI94" s="747">
        <v>14275208.699320728</v>
      </c>
      <c r="AJ94" s="747">
        <v>2615339.7839190708</v>
      </c>
      <c r="AK94" s="747">
        <v>0</v>
      </c>
      <c r="AL94" s="747">
        <v>14449218.575217111</v>
      </c>
      <c r="AM94" s="747">
        <v>2617230.4711547238</v>
      </c>
      <c r="AN94" s="747">
        <v>0</v>
      </c>
      <c r="AO94" s="747">
        <v>2448.5729683974482</v>
      </c>
      <c r="AP94" s="747">
        <v>218.308598262559</v>
      </c>
      <c r="AQ94" s="748">
        <v>0</v>
      </c>
      <c r="AR94" s="748">
        <v>0</v>
      </c>
      <c r="AS94" s="748">
        <v>333070.63510000001</v>
      </c>
      <c r="AT94" s="748">
        <v>0</v>
      </c>
      <c r="AU94" s="747">
        <v>30988360.682172921</v>
      </c>
      <c r="AV94" s="747">
        <v>1839235.197297419</v>
      </c>
      <c r="AW94" s="747">
        <v>0</v>
      </c>
      <c r="AX94" s="747">
        <v>0</v>
      </c>
      <c r="AY94" s="747">
        <v>0</v>
      </c>
      <c r="AZ94" s="749">
        <v>0.56000000000000005</v>
      </c>
      <c r="BA94" s="750">
        <f t="shared" si="20"/>
        <v>2446197.3816427793</v>
      </c>
      <c r="BB94" s="750">
        <f t="shared" si="21"/>
        <v>145187.81325668711</v>
      </c>
      <c r="BC94" s="751">
        <f t="shared" si="23"/>
        <v>10312135.542926628</v>
      </c>
      <c r="BD94" s="751">
        <f t="shared" si="24"/>
        <v>1774806.5152709573</v>
      </c>
      <c r="BE94" s="751">
        <f t="shared" si="25"/>
        <v>31174880.237828922</v>
      </c>
      <c r="BF94" s="751">
        <f t="shared" si="26"/>
        <v>1985786.2767414188</v>
      </c>
      <c r="BG94" s="752">
        <f t="shared" si="22"/>
        <v>12.66797230457431</v>
      </c>
      <c r="BH94" s="763">
        <f t="shared" si="16"/>
        <v>814032.05619600171</v>
      </c>
      <c r="BI94" s="763">
        <f t="shared" si="17"/>
        <v>140101.86260275356</v>
      </c>
      <c r="BJ94" s="763">
        <f t="shared" si="18"/>
        <v>2460921.092049744</v>
      </c>
      <c r="BK94" s="763">
        <f t="shared" si="19"/>
        <v>156756.44286215925</v>
      </c>
    </row>
    <row r="95" spans="1:63">
      <c r="A95" s="669"/>
      <c r="B95" s="754">
        <v>2029</v>
      </c>
      <c r="C95" s="755" t="s">
        <v>13</v>
      </c>
      <c r="D95" s="755" t="s">
        <v>505</v>
      </c>
      <c r="E95" s="755" t="s">
        <v>506</v>
      </c>
      <c r="F95" s="755" t="s">
        <v>347</v>
      </c>
      <c r="G95" s="755" t="s">
        <v>50</v>
      </c>
      <c r="H95" s="755" t="s">
        <v>504</v>
      </c>
      <c r="I95" s="755" t="s">
        <v>347</v>
      </c>
      <c r="J95" s="755" t="s">
        <v>17</v>
      </c>
      <c r="K95" s="755"/>
      <c r="L95" s="755" t="s">
        <v>347</v>
      </c>
      <c r="M95" s="755" t="s">
        <v>412</v>
      </c>
      <c r="N95" s="756">
        <v>0</v>
      </c>
      <c r="O95" s="756">
        <v>0</v>
      </c>
      <c r="P95" s="756">
        <v>0</v>
      </c>
      <c r="Q95" s="756">
        <v>0</v>
      </c>
      <c r="R95" s="756">
        <v>0</v>
      </c>
      <c r="S95" s="756">
        <v>0</v>
      </c>
      <c r="T95" s="756">
        <v>0</v>
      </c>
      <c r="U95" s="756">
        <v>0</v>
      </c>
      <c r="V95" s="756">
        <v>0</v>
      </c>
      <c r="W95" s="756">
        <v>0</v>
      </c>
      <c r="X95" s="757">
        <v>0</v>
      </c>
      <c r="Y95" s="757">
        <v>0</v>
      </c>
      <c r="Z95" s="757">
        <v>63238.108399999997</v>
      </c>
      <c r="AA95" s="757">
        <v>63238.108399999997</v>
      </c>
      <c r="AB95" s="757">
        <v>63238.108399999997</v>
      </c>
      <c r="AC95" s="757">
        <v>63238.108399999997</v>
      </c>
      <c r="AD95" s="757">
        <v>63238.108399999997</v>
      </c>
      <c r="AE95" s="757">
        <v>63238.108399999997</v>
      </c>
      <c r="AF95" s="756">
        <v>0</v>
      </c>
      <c r="AG95" s="756">
        <v>0</v>
      </c>
      <c r="AH95" s="756">
        <v>0</v>
      </c>
      <c r="AI95" s="756">
        <v>0</v>
      </c>
      <c r="AJ95" s="756">
        <v>0</v>
      </c>
      <c r="AK95" s="756">
        <v>0</v>
      </c>
      <c r="AL95" s="756">
        <v>0</v>
      </c>
      <c r="AM95" s="756">
        <v>0</v>
      </c>
      <c r="AN95" s="756">
        <v>0</v>
      </c>
      <c r="AO95" s="756">
        <v>0</v>
      </c>
      <c r="AP95" s="756">
        <v>0</v>
      </c>
      <c r="AQ95" s="757">
        <v>13892.140100000001</v>
      </c>
      <c r="AR95" s="757">
        <v>0</v>
      </c>
      <c r="AS95" s="757">
        <v>49345.9683</v>
      </c>
      <c r="AT95" s="757">
        <v>0</v>
      </c>
      <c r="AU95" s="756">
        <v>0</v>
      </c>
      <c r="AV95" s="756">
        <v>0</v>
      </c>
      <c r="AW95" s="756">
        <v>0</v>
      </c>
      <c r="AX95" s="756">
        <v>0</v>
      </c>
      <c r="AY95" s="756">
        <v>0</v>
      </c>
      <c r="AZ95" s="758">
        <v>0.56000000000000005</v>
      </c>
      <c r="BA95" s="759" t="str">
        <f t="shared" si="20"/>
        <v/>
      </c>
      <c r="BB95" s="759" t="str">
        <f t="shared" si="21"/>
        <v/>
      </c>
      <c r="BC95" s="760">
        <f t="shared" si="23"/>
        <v>0</v>
      </c>
      <c r="BD95" s="760">
        <f t="shared" si="24"/>
        <v>0</v>
      </c>
      <c r="BE95" s="760">
        <f t="shared" si="25"/>
        <v>35413.340704000002</v>
      </c>
      <c r="BF95" s="760">
        <f t="shared" si="26"/>
        <v>27824.767695999995</v>
      </c>
      <c r="BG95" s="761">
        <f t="shared" si="22"/>
        <v>0</v>
      </c>
      <c r="BH95" s="762">
        <f t="shared" si="16"/>
        <v>0</v>
      </c>
      <c r="BI95" s="762">
        <f t="shared" si="17"/>
        <v>0</v>
      </c>
      <c r="BJ95" s="762">
        <f t="shared" si="18"/>
        <v>0</v>
      </c>
      <c r="BK95" s="762">
        <f t="shared" si="19"/>
        <v>0</v>
      </c>
    </row>
    <row r="96" spans="1:63">
      <c r="A96" s="669"/>
      <c r="B96" s="745">
        <v>2029</v>
      </c>
      <c r="C96" s="746" t="s">
        <v>13</v>
      </c>
      <c r="D96" s="746" t="s">
        <v>507</v>
      </c>
      <c r="E96" s="746" t="s">
        <v>508</v>
      </c>
      <c r="F96" s="746" t="s">
        <v>347</v>
      </c>
      <c r="G96" s="746" t="s">
        <v>50</v>
      </c>
      <c r="H96" s="746" t="s">
        <v>509</v>
      </c>
      <c r="I96" s="746" t="s">
        <v>347</v>
      </c>
      <c r="J96" s="746" t="s">
        <v>489</v>
      </c>
      <c r="K96" s="746"/>
      <c r="L96" s="746" t="s">
        <v>347</v>
      </c>
      <c r="M96" s="746" t="s">
        <v>412</v>
      </c>
      <c r="N96" s="747">
        <v>223827645.52310187</v>
      </c>
      <c r="O96" s="747">
        <v>42657.533145089605</v>
      </c>
      <c r="P96" s="747">
        <v>3188800.4647714174</v>
      </c>
      <c r="Q96" s="747">
        <v>78112614.442610472</v>
      </c>
      <c r="R96" s="747">
        <v>14665.949618705105</v>
      </c>
      <c r="S96" s="747">
        <v>1475018.4534409707</v>
      </c>
      <c r="T96" s="747">
        <v>1174782580.3095164</v>
      </c>
      <c r="U96" s="747">
        <v>22938769.825318642</v>
      </c>
      <c r="V96" s="747">
        <v>190191.20057553891</v>
      </c>
      <c r="W96" s="747">
        <v>121804.86777244187</v>
      </c>
      <c r="X96" s="748">
        <v>140261406.48294988</v>
      </c>
      <c r="Y96" s="748">
        <v>345342514.02261841</v>
      </c>
      <c r="Z96" s="748">
        <v>699685.34719999996</v>
      </c>
      <c r="AA96" s="748">
        <v>85360073.669368729</v>
      </c>
      <c r="AB96" s="748">
        <v>699685.34720000008</v>
      </c>
      <c r="AC96" s="748">
        <v>86172738.451818556</v>
      </c>
      <c r="AD96" s="748">
        <v>86172738.451818511</v>
      </c>
      <c r="AE96" s="748">
        <v>252859272.1399377</v>
      </c>
      <c r="AF96" s="747">
        <v>62507303.429914542</v>
      </c>
      <c r="AG96" s="747">
        <v>77754103.053035706</v>
      </c>
      <c r="AH96" s="747">
        <v>0</v>
      </c>
      <c r="AI96" s="747">
        <v>87321262.782508805</v>
      </c>
      <c r="AJ96" s="747">
        <v>120417086.53735828</v>
      </c>
      <c r="AK96" s="747">
        <v>0</v>
      </c>
      <c r="AL96" s="747">
        <v>88277133.426698431</v>
      </c>
      <c r="AM96" s="747">
        <v>120483774.82944901</v>
      </c>
      <c r="AN96" s="747">
        <v>0</v>
      </c>
      <c r="AO96" s="747">
        <v>12916.752926335537</v>
      </c>
      <c r="AP96" s="747">
        <v>7832.3479877715499</v>
      </c>
      <c r="AQ96" s="748">
        <v>0</v>
      </c>
      <c r="AR96" s="748">
        <v>0</v>
      </c>
      <c r="AS96" s="748">
        <v>699685.34719999996</v>
      </c>
      <c r="AT96" s="748">
        <v>0</v>
      </c>
      <c r="AU96" s="747">
        <v>193759134.57768491</v>
      </c>
      <c r="AV96" s="747">
        <v>58400452.215052634</v>
      </c>
      <c r="AW96" s="747">
        <v>0</v>
      </c>
      <c r="AX96" s="747">
        <v>0</v>
      </c>
      <c r="AY96" s="747">
        <v>0</v>
      </c>
      <c r="AZ96" s="749">
        <v>0.56000000000000005</v>
      </c>
      <c r="BA96" s="750">
        <f t="shared" si="20"/>
        <v>12728933.854422333</v>
      </c>
      <c r="BB96" s="750">
        <f t="shared" si="21"/>
        <v>3836595.8587398189</v>
      </c>
      <c r="BC96" s="751">
        <f t="shared" si="23"/>
        <v>62507303.429914542</v>
      </c>
      <c r="BD96" s="751">
        <f t="shared" si="24"/>
        <v>77754103.053035706</v>
      </c>
      <c r="BE96" s="751">
        <f t="shared" si="25"/>
        <v>194150958.37211692</v>
      </c>
      <c r="BF96" s="751">
        <f t="shared" si="26"/>
        <v>58708313.767820634</v>
      </c>
      <c r="BG96" s="752">
        <f t="shared" si="22"/>
        <v>15.221945277873244</v>
      </c>
      <c r="BH96" s="763">
        <f t="shared" si="16"/>
        <v>4106393.9127921918</v>
      </c>
      <c r="BI96" s="763">
        <f t="shared" si="17"/>
        <v>5108026.709704427</v>
      </c>
      <c r="BJ96" s="763">
        <f t="shared" si="18"/>
        <v>12754674.572003389</v>
      </c>
      <c r="BK96" s="763">
        <f t="shared" si="19"/>
        <v>3856820.7082677903</v>
      </c>
    </row>
    <row r="97" spans="1:63">
      <c r="A97" s="669"/>
      <c r="B97" s="754">
        <v>2029</v>
      </c>
      <c r="C97" s="755" t="s">
        <v>13</v>
      </c>
      <c r="D97" s="755" t="s">
        <v>510</v>
      </c>
      <c r="E97" s="755" t="s">
        <v>511</v>
      </c>
      <c r="F97" s="755" t="s">
        <v>347</v>
      </c>
      <c r="G97" s="755" t="s">
        <v>50</v>
      </c>
      <c r="H97" s="755" t="s">
        <v>509</v>
      </c>
      <c r="I97" s="755" t="s">
        <v>347</v>
      </c>
      <c r="J97" s="755" t="s">
        <v>17</v>
      </c>
      <c r="K97" s="755"/>
      <c r="L97" s="755" t="s">
        <v>347</v>
      </c>
      <c r="M97" s="755" t="s">
        <v>412</v>
      </c>
      <c r="N97" s="756">
        <v>0</v>
      </c>
      <c r="O97" s="756">
        <v>0</v>
      </c>
      <c r="P97" s="756">
        <v>0</v>
      </c>
      <c r="Q97" s="756">
        <v>0</v>
      </c>
      <c r="R97" s="756">
        <v>0</v>
      </c>
      <c r="S97" s="756">
        <v>0</v>
      </c>
      <c r="T97" s="756">
        <v>0</v>
      </c>
      <c r="U97" s="756">
        <v>0</v>
      </c>
      <c r="V97" s="756">
        <v>0</v>
      </c>
      <c r="W97" s="756">
        <v>0</v>
      </c>
      <c r="X97" s="757">
        <v>0</v>
      </c>
      <c r="Y97" s="757">
        <v>0</v>
      </c>
      <c r="Z97" s="757">
        <v>79349.012000000002</v>
      </c>
      <c r="AA97" s="757">
        <v>79349.012000000002</v>
      </c>
      <c r="AB97" s="757">
        <v>79349.012000000002</v>
      </c>
      <c r="AC97" s="757">
        <v>79349.012000000002</v>
      </c>
      <c r="AD97" s="757">
        <v>79349.012000000002</v>
      </c>
      <c r="AE97" s="757">
        <v>79349.012000000002</v>
      </c>
      <c r="AF97" s="756">
        <v>0</v>
      </c>
      <c r="AG97" s="756">
        <v>0</v>
      </c>
      <c r="AH97" s="756">
        <v>0</v>
      </c>
      <c r="AI97" s="756">
        <v>0</v>
      </c>
      <c r="AJ97" s="756">
        <v>0</v>
      </c>
      <c r="AK97" s="756">
        <v>0</v>
      </c>
      <c r="AL97" s="756">
        <v>0</v>
      </c>
      <c r="AM97" s="756">
        <v>0</v>
      </c>
      <c r="AN97" s="756">
        <v>0</v>
      </c>
      <c r="AO97" s="756">
        <v>0</v>
      </c>
      <c r="AP97" s="756">
        <v>0</v>
      </c>
      <c r="AQ97" s="757">
        <v>16914.216</v>
      </c>
      <c r="AR97" s="757">
        <v>0</v>
      </c>
      <c r="AS97" s="757">
        <v>62434.796000000002</v>
      </c>
      <c r="AT97" s="757">
        <v>0</v>
      </c>
      <c r="AU97" s="756">
        <v>0</v>
      </c>
      <c r="AV97" s="756">
        <v>0</v>
      </c>
      <c r="AW97" s="756">
        <v>0</v>
      </c>
      <c r="AX97" s="756">
        <v>0</v>
      </c>
      <c r="AY97" s="756">
        <v>0</v>
      </c>
      <c r="AZ97" s="758">
        <v>0.56000000000000005</v>
      </c>
      <c r="BA97" s="759" t="str">
        <f t="shared" si="20"/>
        <v/>
      </c>
      <c r="BB97" s="759" t="str">
        <f t="shared" si="21"/>
        <v/>
      </c>
      <c r="BC97" s="760">
        <f t="shared" si="23"/>
        <v>0</v>
      </c>
      <c r="BD97" s="760">
        <f t="shared" si="24"/>
        <v>0</v>
      </c>
      <c r="BE97" s="760">
        <f t="shared" si="25"/>
        <v>44435.446720000007</v>
      </c>
      <c r="BF97" s="760">
        <f t="shared" si="26"/>
        <v>34913.565279999995</v>
      </c>
      <c r="BG97" s="761">
        <f t="shared" si="22"/>
        <v>0</v>
      </c>
      <c r="BH97" s="762">
        <f t="shared" si="16"/>
        <v>0</v>
      </c>
      <c r="BI97" s="762">
        <f t="shared" si="17"/>
        <v>0</v>
      </c>
      <c r="BJ97" s="762">
        <f t="shared" si="18"/>
        <v>0</v>
      </c>
      <c r="BK97" s="762">
        <f t="shared" si="19"/>
        <v>0</v>
      </c>
    </row>
    <row r="98" spans="1:63">
      <c r="A98" s="669"/>
      <c r="B98" s="745">
        <v>2029</v>
      </c>
      <c r="C98" s="746" t="s">
        <v>13</v>
      </c>
      <c r="D98" s="746" t="s">
        <v>512</v>
      </c>
      <c r="E98" s="746" t="s">
        <v>513</v>
      </c>
      <c r="F98" s="746" t="s">
        <v>478</v>
      </c>
      <c r="G98" s="746" t="s">
        <v>50</v>
      </c>
      <c r="H98" s="746" t="s">
        <v>514</v>
      </c>
      <c r="I98" s="746" t="s">
        <v>515</v>
      </c>
      <c r="J98" s="746" t="s">
        <v>489</v>
      </c>
      <c r="K98" s="746"/>
      <c r="L98" s="746" t="s">
        <v>29</v>
      </c>
      <c r="M98" s="746" t="s">
        <v>412</v>
      </c>
      <c r="N98" s="747">
        <v>0</v>
      </c>
      <c r="O98" s="747">
        <v>0</v>
      </c>
      <c r="P98" s="747">
        <v>0</v>
      </c>
      <c r="Q98" s="747">
        <v>0</v>
      </c>
      <c r="R98" s="747">
        <v>0</v>
      </c>
      <c r="S98" s="747">
        <v>0</v>
      </c>
      <c r="T98" s="747">
        <v>0</v>
      </c>
      <c r="U98" s="747">
        <v>0</v>
      </c>
      <c r="V98" s="747">
        <v>0</v>
      </c>
      <c r="W98" s="747">
        <v>0</v>
      </c>
      <c r="X98" s="748">
        <v>0</v>
      </c>
      <c r="Y98" s="748">
        <v>0</v>
      </c>
      <c r="Z98" s="748">
        <v>1547000</v>
      </c>
      <c r="AA98" s="748">
        <v>1547000</v>
      </c>
      <c r="AB98" s="748">
        <v>1547000</v>
      </c>
      <c r="AC98" s="748">
        <v>1547000</v>
      </c>
      <c r="AD98" s="748">
        <v>1547000</v>
      </c>
      <c r="AE98" s="748">
        <v>1547000</v>
      </c>
      <c r="AF98" s="747">
        <v>0</v>
      </c>
      <c r="AG98" s="747">
        <v>0</v>
      </c>
      <c r="AH98" s="747">
        <v>0</v>
      </c>
      <c r="AI98" s="747">
        <v>0</v>
      </c>
      <c r="AJ98" s="747">
        <v>0</v>
      </c>
      <c r="AK98" s="747">
        <v>0</v>
      </c>
      <c r="AL98" s="747">
        <v>0</v>
      </c>
      <c r="AM98" s="747">
        <v>0</v>
      </c>
      <c r="AN98" s="747">
        <v>0</v>
      </c>
      <c r="AO98" s="747">
        <v>0</v>
      </c>
      <c r="AP98" s="747">
        <v>0</v>
      </c>
      <c r="AQ98" s="748">
        <v>0</v>
      </c>
      <c r="AR98" s="748">
        <v>0</v>
      </c>
      <c r="AS98" s="748">
        <v>1547000</v>
      </c>
      <c r="AT98" s="748">
        <v>0</v>
      </c>
      <c r="AU98" s="747">
        <v>0</v>
      </c>
      <c r="AV98" s="747">
        <v>0</v>
      </c>
      <c r="AW98" s="747">
        <v>0</v>
      </c>
      <c r="AX98" s="747">
        <v>0</v>
      </c>
      <c r="AY98" s="747">
        <v>0</v>
      </c>
      <c r="AZ98" s="749">
        <v>0.56000000000000005</v>
      </c>
      <c r="BA98" s="750" t="str">
        <f t="shared" si="20"/>
        <v/>
      </c>
      <c r="BB98" s="750" t="str">
        <f t="shared" si="21"/>
        <v/>
      </c>
      <c r="BC98" s="751">
        <f t="shared" si="23"/>
        <v>0</v>
      </c>
      <c r="BD98" s="751">
        <f t="shared" si="24"/>
        <v>0</v>
      </c>
      <c r="BE98" s="751">
        <f t="shared" si="25"/>
        <v>866320.00000000012</v>
      </c>
      <c r="BF98" s="751">
        <f t="shared" si="26"/>
        <v>680679.99999999988</v>
      </c>
      <c r="BG98" s="752">
        <f t="shared" si="22"/>
        <v>0</v>
      </c>
      <c r="BH98" s="763">
        <f t="shared" si="16"/>
        <v>0</v>
      </c>
      <c r="BI98" s="763">
        <f t="shared" si="17"/>
        <v>0</v>
      </c>
      <c r="BJ98" s="763">
        <f t="shared" si="18"/>
        <v>0</v>
      </c>
      <c r="BK98" s="763">
        <f t="shared" si="19"/>
        <v>0</v>
      </c>
    </row>
    <row r="99" spans="1:63">
      <c r="A99" s="669"/>
      <c r="B99" s="754">
        <v>2029</v>
      </c>
      <c r="C99" s="755" t="s">
        <v>13</v>
      </c>
      <c r="D99" s="755" t="s">
        <v>516</v>
      </c>
      <c r="E99" s="755" t="s">
        <v>517</v>
      </c>
      <c r="F99" s="755" t="s">
        <v>478</v>
      </c>
      <c r="G99" s="755" t="s">
        <v>50</v>
      </c>
      <c r="H99" s="755" t="s">
        <v>514</v>
      </c>
      <c r="I99" s="755" t="s">
        <v>515</v>
      </c>
      <c r="J99" s="755" t="s">
        <v>17</v>
      </c>
      <c r="K99" s="755"/>
      <c r="L99" s="755" t="s">
        <v>29</v>
      </c>
      <c r="M99" s="755" t="s">
        <v>412</v>
      </c>
      <c r="N99" s="756">
        <v>0</v>
      </c>
      <c r="O99" s="756">
        <v>0</v>
      </c>
      <c r="P99" s="756">
        <v>0</v>
      </c>
      <c r="Q99" s="756">
        <v>0</v>
      </c>
      <c r="R99" s="756">
        <v>0</v>
      </c>
      <c r="S99" s="756">
        <v>0</v>
      </c>
      <c r="T99" s="756">
        <v>0</v>
      </c>
      <c r="U99" s="756">
        <v>0</v>
      </c>
      <c r="V99" s="756">
        <v>0</v>
      </c>
      <c r="W99" s="756">
        <v>0</v>
      </c>
      <c r="X99" s="757">
        <v>0</v>
      </c>
      <c r="Y99" s="757">
        <v>0</v>
      </c>
      <c r="Z99" s="757">
        <v>101271.64969999999</v>
      </c>
      <c r="AA99" s="757">
        <v>101271.64969999999</v>
      </c>
      <c r="AB99" s="757">
        <v>101271.64969999999</v>
      </c>
      <c r="AC99" s="757">
        <v>101271.64969999999</v>
      </c>
      <c r="AD99" s="757">
        <v>101271.64969999999</v>
      </c>
      <c r="AE99" s="757">
        <v>101271.64969999999</v>
      </c>
      <c r="AF99" s="756">
        <v>0</v>
      </c>
      <c r="AG99" s="756">
        <v>0</v>
      </c>
      <c r="AH99" s="756">
        <v>0</v>
      </c>
      <c r="AI99" s="756">
        <v>0</v>
      </c>
      <c r="AJ99" s="756">
        <v>0</v>
      </c>
      <c r="AK99" s="756">
        <v>0</v>
      </c>
      <c r="AL99" s="756">
        <v>0</v>
      </c>
      <c r="AM99" s="756">
        <v>0</v>
      </c>
      <c r="AN99" s="756">
        <v>0</v>
      </c>
      <c r="AO99" s="756">
        <v>0</v>
      </c>
      <c r="AP99" s="756">
        <v>0</v>
      </c>
      <c r="AQ99" s="757">
        <v>24244.749100000001</v>
      </c>
      <c r="AR99" s="757">
        <v>0</v>
      </c>
      <c r="AS99" s="757">
        <v>77026.900599999994</v>
      </c>
      <c r="AT99" s="757">
        <v>0</v>
      </c>
      <c r="AU99" s="756">
        <v>0</v>
      </c>
      <c r="AV99" s="756">
        <v>0</v>
      </c>
      <c r="AW99" s="756">
        <v>0</v>
      </c>
      <c r="AX99" s="756">
        <v>0</v>
      </c>
      <c r="AY99" s="756">
        <v>0</v>
      </c>
      <c r="AZ99" s="758">
        <v>0.56000000000000005</v>
      </c>
      <c r="BA99" s="759" t="str">
        <f t="shared" si="20"/>
        <v/>
      </c>
      <c r="BB99" s="759" t="str">
        <f t="shared" si="21"/>
        <v/>
      </c>
      <c r="BC99" s="760">
        <f t="shared" si="23"/>
        <v>0</v>
      </c>
      <c r="BD99" s="760">
        <f t="shared" si="24"/>
        <v>0</v>
      </c>
      <c r="BE99" s="760">
        <f t="shared" si="25"/>
        <v>56712.123832000005</v>
      </c>
      <c r="BF99" s="760">
        <f t="shared" si="26"/>
        <v>44559.52586799999</v>
      </c>
      <c r="BG99" s="761">
        <f t="shared" si="22"/>
        <v>0</v>
      </c>
      <c r="BH99" s="762">
        <f t="shared" si="16"/>
        <v>0</v>
      </c>
      <c r="BI99" s="762">
        <f t="shared" si="17"/>
        <v>0</v>
      </c>
      <c r="BJ99" s="762">
        <f t="shared" si="18"/>
        <v>0</v>
      </c>
      <c r="BK99" s="762">
        <f t="shared" si="19"/>
        <v>0</v>
      </c>
    </row>
    <row r="100" spans="1:63">
      <c r="A100" s="669"/>
      <c r="B100" s="745">
        <v>2029</v>
      </c>
      <c r="C100" s="746" t="s">
        <v>13</v>
      </c>
      <c r="D100" s="746" t="s">
        <v>518</v>
      </c>
      <c r="E100" s="746" t="s">
        <v>519</v>
      </c>
      <c r="F100" s="746" t="s">
        <v>478</v>
      </c>
      <c r="G100" s="746" t="s">
        <v>45</v>
      </c>
      <c r="H100" s="746" t="s">
        <v>520</v>
      </c>
      <c r="I100" s="746" t="s">
        <v>521</v>
      </c>
      <c r="J100" s="746" t="s">
        <v>489</v>
      </c>
      <c r="K100" s="746"/>
      <c r="L100" s="746" t="s">
        <v>20</v>
      </c>
      <c r="M100" s="746" t="s">
        <v>412</v>
      </c>
      <c r="N100" s="747">
        <v>327098.76289915369</v>
      </c>
      <c r="O100" s="747">
        <v>104.39520000027296</v>
      </c>
      <c r="P100" s="747">
        <v>17725.887960813117</v>
      </c>
      <c r="Q100" s="747">
        <v>170536.28773949217</v>
      </c>
      <c r="R100" s="747">
        <v>55.167840000163807</v>
      </c>
      <c r="S100" s="747">
        <v>11494.1567404092</v>
      </c>
      <c r="T100" s="747">
        <v>780999.32455588097</v>
      </c>
      <c r="U100" s="747">
        <v>152033.7541807075</v>
      </c>
      <c r="V100" s="747">
        <v>154.71413215445105</v>
      </c>
      <c r="W100" s="747">
        <v>807.29923469955645</v>
      </c>
      <c r="X100" s="748">
        <v>286882.21087151073</v>
      </c>
      <c r="Y100" s="748">
        <v>476197.66669481038</v>
      </c>
      <c r="Z100" s="748">
        <v>230942.56013499998</v>
      </c>
      <c r="AA100" s="748">
        <v>430569.46370518545</v>
      </c>
      <c r="AB100" s="748">
        <v>252441.89716191424</v>
      </c>
      <c r="AC100" s="748">
        <v>438262.08006604575</v>
      </c>
      <c r="AD100" s="748">
        <v>438349.4319777764</v>
      </c>
      <c r="AE100" s="748">
        <v>798365.2548907937</v>
      </c>
      <c r="AF100" s="747">
        <v>102569.15510347545</v>
      </c>
      <c r="AG100" s="747">
        <v>209475.37849188875</v>
      </c>
      <c r="AH100" s="747">
        <v>0</v>
      </c>
      <c r="AI100" s="747">
        <v>117088.94802743946</v>
      </c>
      <c r="AJ100" s="747">
        <v>321570.3410781956</v>
      </c>
      <c r="AK100" s="747">
        <v>0</v>
      </c>
      <c r="AL100" s="747">
        <v>117443.21683537013</v>
      </c>
      <c r="AM100" s="747">
        <v>321791.06013726082</v>
      </c>
      <c r="AN100" s="747">
        <v>0</v>
      </c>
      <c r="AO100" s="747">
        <v>23.992786594465581</v>
      </c>
      <c r="AP100" s="747">
        <v>61.033972291572837</v>
      </c>
      <c r="AQ100" s="748">
        <v>9523.2000000000007</v>
      </c>
      <c r="AR100" s="748">
        <v>496</v>
      </c>
      <c r="AS100" s="748">
        <v>94754.1486</v>
      </c>
      <c r="AT100" s="748">
        <v>126169.21153499999</v>
      </c>
      <c r="AU100" s="747">
        <v>411908.88316510164</v>
      </c>
      <c r="AV100" s="747">
        <v>134014.47456377765</v>
      </c>
      <c r="AW100" s="747">
        <v>94435.665180616692</v>
      </c>
      <c r="AX100" s="747">
        <v>0</v>
      </c>
      <c r="AY100" s="747">
        <v>0</v>
      </c>
      <c r="AZ100" s="749">
        <v>0.56000000000000005</v>
      </c>
      <c r="BA100" s="750">
        <f t="shared" si="20"/>
        <v>30762.317672626727</v>
      </c>
      <c r="BB100" s="750">
        <f t="shared" si="21"/>
        <v>12985.649200376187</v>
      </c>
      <c r="BC100" s="751">
        <f t="shared" si="23"/>
        <v>197004.82028409216</v>
      </c>
      <c r="BD100" s="751">
        <f t="shared" si="24"/>
        <v>209475.37849188875</v>
      </c>
      <c r="BE100" s="751">
        <f t="shared" si="25"/>
        <v>553276.34557577362</v>
      </c>
      <c r="BF100" s="751">
        <f t="shared" si="26"/>
        <v>245088.9093150199</v>
      </c>
      <c r="BG100" s="752">
        <f t="shared" si="22"/>
        <v>10.320198281645814</v>
      </c>
      <c r="BH100" s="763">
        <f t="shared" si="16"/>
        <v>19089.247600451607</v>
      </c>
      <c r="BI100" s="763">
        <f t="shared" si="17"/>
        <v>20297.61180697806</v>
      </c>
      <c r="BJ100" s="763">
        <f t="shared" si="18"/>
        <v>53611.018943285249</v>
      </c>
      <c r="BK100" s="763">
        <f t="shared" si="19"/>
        <v>23748.469033865727</v>
      </c>
    </row>
    <row r="101" spans="1:63">
      <c r="A101" s="669"/>
      <c r="B101" s="754">
        <v>2029</v>
      </c>
      <c r="C101" s="755" t="s">
        <v>13</v>
      </c>
      <c r="D101" s="755" t="s">
        <v>522</v>
      </c>
      <c r="E101" s="755" t="s">
        <v>523</v>
      </c>
      <c r="F101" s="755" t="s">
        <v>478</v>
      </c>
      <c r="G101" s="755" t="s">
        <v>45</v>
      </c>
      <c r="H101" s="755" t="s">
        <v>520</v>
      </c>
      <c r="I101" s="755" t="s">
        <v>521</v>
      </c>
      <c r="J101" s="755" t="s">
        <v>17</v>
      </c>
      <c r="K101" s="755"/>
      <c r="L101" s="755" t="s">
        <v>20</v>
      </c>
      <c r="M101" s="755" t="s">
        <v>412</v>
      </c>
      <c r="N101" s="756">
        <v>0</v>
      </c>
      <c r="O101" s="756">
        <v>0</v>
      </c>
      <c r="P101" s="756">
        <v>0</v>
      </c>
      <c r="Q101" s="756">
        <v>0</v>
      </c>
      <c r="R101" s="756">
        <v>0</v>
      </c>
      <c r="S101" s="756">
        <v>0</v>
      </c>
      <c r="T101" s="756">
        <v>0</v>
      </c>
      <c r="U101" s="756">
        <v>0</v>
      </c>
      <c r="V101" s="756">
        <v>0</v>
      </c>
      <c r="W101" s="756">
        <v>0</v>
      </c>
      <c r="X101" s="757">
        <v>0</v>
      </c>
      <c r="Y101" s="757">
        <v>0</v>
      </c>
      <c r="Z101" s="757">
        <v>3242.6624999999999</v>
      </c>
      <c r="AA101" s="757">
        <v>3242.6624999999999</v>
      </c>
      <c r="AB101" s="757">
        <v>3242.6624999999999</v>
      </c>
      <c r="AC101" s="757">
        <v>3242.6624999999999</v>
      </c>
      <c r="AD101" s="757">
        <v>3242.6624999999999</v>
      </c>
      <c r="AE101" s="757">
        <v>3242.6624999999999</v>
      </c>
      <c r="AF101" s="756">
        <v>0</v>
      </c>
      <c r="AG101" s="756">
        <v>0</v>
      </c>
      <c r="AH101" s="756">
        <v>0</v>
      </c>
      <c r="AI101" s="756">
        <v>0</v>
      </c>
      <c r="AJ101" s="756">
        <v>0</v>
      </c>
      <c r="AK101" s="756">
        <v>0</v>
      </c>
      <c r="AL101" s="756">
        <v>0</v>
      </c>
      <c r="AM101" s="756">
        <v>0</v>
      </c>
      <c r="AN101" s="756">
        <v>0</v>
      </c>
      <c r="AO101" s="756">
        <v>0</v>
      </c>
      <c r="AP101" s="756">
        <v>0</v>
      </c>
      <c r="AQ101" s="757">
        <v>3242.6624999999999</v>
      </c>
      <c r="AR101" s="757">
        <v>0</v>
      </c>
      <c r="AS101" s="757">
        <v>0</v>
      </c>
      <c r="AT101" s="757">
        <v>0</v>
      </c>
      <c r="AU101" s="756">
        <v>0</v>
      </c>
      <c r="AV101" s="756">
        <v>0</v>
      </c>
      <c r="AW101" s="756">
        <v>0</v>
      </c>
      <c r="AX101" s="756">
        <v>0</v>
      </c>
      <c r="AY101" s="756">
        <v>0</v>
      </c>
      <c r="AZ101" s="758">
        <v>0.56000000000000005</v>
      </c>
      <c r="BA101" s="759" t="str">
        <f t="shared" si="20"/>
        <v/>
      </c>
      <c r="BB101" s="759" t="str">
        <f t="shared" si="21"/>
        <v/>
      </c>
      <c r="BC101" s="760">
        <f t="shared" si="23"/>
        <v>0</v>
      </c>
      <c r="BD101" s="760">
        <f t="shared" si="24"/>
        <v>0</v>
      </c>
      <c r="BE101" s="760">
        <f t="shared" si="25"/>
        <v>1815.8910000000001</v>
      </c>
      <c r="BF101" s="760">
        <f t="shared" si="26"/>
        <v>1426.7714999999998</v>
      </c>
      <c r="BG101" s="761">
        <f t="shared" si="22"/>
        <v>0</v>
      </c>
      <c r="BH101" s="762">
        <f t="shared" si="16"/>
        <v>0</v>
      </c>
      <c r="BI101" s="762">
        <f t="shared" si="17"/>
        <v>0</v>
      </c>
      <c r="BJ101" s="762">
        <f t="shared" si="18"/>
        <v>0</v>
      </c>
      <c r="BK101" s="762">
        <f t="shared" si="19"/>
        <v>0</v>
      </c>
    </row>
    <row r="102" spans="1:63">
      <c r="A102" s="669"/>
      <c r="B102" s="745">
        <v>2029</v>
      </c>
      <c r="C102" s="746" t="s">
        <v>13</v>
      </c>
      <c r="D102" s="746" t="s">
        <v>524</v>
      </c>
      <c r="E102" s="746" t="s">
        <v>525</v>
      </c>
      <c r="F102" s="746" t="s">
        <v>478</v>
      </c>
      <c r="G102" s="746" t="s">
        <v>45</v>
      </c>
      <c r="H102" s="746" t="s">
        <v>526</v>
      </c>
      <c r="I102" s="746" t="s">
        <v>521</v>
      </c>
      <c r="J102" s="746" t="s">
        <v>489</v>
      </c>
      <c r="K102" s="746"/>
      <c r="L102" s="746" t="s">
        <v>20</v>
      </c>
      <c r="M102" s="746" t="s">
        <v>412</v>
      </c>
      <c r="N102" s="747">
        <v>1596799.5125698401</v>
      </c>
      <c r="O102" s="747">
        <v>1325.3435793987001</v>
      </c>
      <c r="P102" s="747">
        <v>0</v>
      </c>
      <c r="Q102" s="747">
        <v>958079.70754190197</v>
      </c>
      <c r="R102" s="747">
        <v>795.20614763922299</v>
      </c>
      <c r="S102" s="747">
        <v>0</v>
      </c>
      <c r="T102" s="747">
        <v>7664637.6603352204</v>
      </c>
      <c r="U102" s="747">
        <v>0</v>
      </c>
      <c r="V102" s="747">
        <v>1202.6022476203</v>
      </c>
      <c r="W102" s="747">
        <v>0</v>
      </c>
      <c r="X102" s="748">
        <v>834788.56382927299</v>
      </c>
      <c r="Y102" s="748">
        <v>1391314.2730487799</v>
      </c>
      <c r="Z102" s="748">
        <v>495269.00910879998</v>
      </c>
      <c r="AA102" s="748">
        <v>673087.86486687604</v>
      </c>
      <c r="AB102" s="748">
        <v>485652.03684500902</v>
      </c>
      <c r="AC102" s="748">
        <v>679960.75294516899</v>
      </c>
      <c r="AD102" s="748">
        <v>679960.75294516899</v>
      </c>
      <c r="AE102" s="748">
        <v>2265902.5850326</v>
      </c>
      <c r="AF102" s="747">
        <v>834788.56382927299</v>
      </c>
      <c r="AG102" s="747">
        <v>0</v>
      </c>
      <c r="AH102" s="747">
        <v>0</v>
      </c>
      <c r="AI102" s="747">
        <v>939040.93017271103</v>
      </c>
      <c r="AJ102" s="747">
        <v>0</v>
      </c>
      <c r="AK102" s="747">
        <v>0</v>
      </c>
      <c r="AL102" s="747">
        <v>939040.93017271103</v>
      </c>
      <c r="AM102" s="747">
        <v>0</v>
      </c>
      <c r="AN102" s="747">
        <v>0</v>
      </c>
      <c r="AO102" s="747">
        <v>146.95658886884701</v>
      </c>
      <c r="AP102" s="747">
        <v>0</v>
      </c>
      <c r="AQ102" s="748">
        <v>0</v>
      </c>
      <c r="AR102" s="748">
        <v>0</v>
      </c>
      <c r="AS102" s="748">
        <v>321200.315</v>
      </c>
      <c r="AT102" s="748">
        <v>174068.6941088</v>
      </c>
      <c r="AU102" s="747">
        <v>1780250.5481876</v>
      </c>
      <c r="AV102" s="747">
        <v>0</v>
      </c>
      <c r="AW102" s="747">
        <v>0</v>
      </c>
      <c r="AX102" s="747">
        <v>0</v>
      </c>
      <c r="AY102" s="747">
        <v>0</v>
      </c>
      <c r="AZ102" s="749">
        <v>0.56000000000000005</v>
      </c>
      <c r="BA102" s="750">
        <f t="shared" si="20"/>
        <v>222531.31852344985</v>
      </c>
      <c r="BB102" s="750">
        <f t="shared" si="21"/>
        <v>0</v>
      </c>
      <c r="BC102" s="751">
        <f t="shared" si="23"/>
        <v>834788.56382927299</v>
      </c>
      <c r="BD102" s="751">
        <f t="shared" si="24"/>
        <v>0</v>
      </c>
      <c r="BE102" s="751">
        <f t="shared" si="25"/>
        <v>2052215.6888208049</v>
      </c>
      <c r="BF102" s="751">
        <f t="shared" si="26"/>
        <v>213686.89621180395</v>
      </c>
      <c r="BG102" s="752">
        <f t="shared" si="22"/>
        <v>8.0000000000000053</v>
      </c>
      <c r="BH102" s="763">
        <f t="shared" si="16"/>
        <v>104348.57047865905</v>
      </c>
      <c r="BI102" s="763">
        <f t="shared" si="17"/>
        <v>0</v>
      </c>
      <c r="BJ102" s="763">
        <f t="shared" si="18"/>
        <v>256526.96110260044</v>
      </c>
      <c r="BK102" s="763">
        <f t="shared" si="19"/>
        <v>26710.862026475475</v>
      </c>
    </row>
    <row r="103" spans="1:63">
      <c r="A103" s="669"/>
      <c r="B103" s="754">
        <v>2029</v>
      </c>
      <c r="C103" s="755" t="s">
        <v>13</v>
      </c>
      <c r="D103" s="755" t="s">
        <v>527</v>
      </c>
      <c r="E103" s="755" t="s">
        <v>528</v>
      </c>
      <c r="F103" s="755" t="s">
        <v>478</v>
      </c>
      <c r="G103" s="755" t="s">
        <v>45</v>
      </c>
      <c r="H103" s="755" t="s">
        <v>526</v>
      </c>
      <c r="I103" s="755" t="s">
        <v>521</v>
      </c>
      <c r="J103" s="755" t="s">
        <v>17</v>
      </c>
      <c r="K103" s="755"/>
      <c r="L103" s="755" t="s">
        <v>20</v>
      </c>
      <c r="M103" s="755" t="s">
        <v>412</v>
      </c>
      <c r="N103" s="756">
        <v>0</v>
      </c>
      <c r="O103" s="756">
        <v>0</v>
      </c>
      <c r="P103" s="756">
        <v>0</v>
      </c>
      <c r="Q103" s="756">
        <v>0</v>
      </c>
      <c r="R103" s="756">
        <v>0</v>
      </c>
      <c r="S103" s="756">
        <v>0</v>
      </c>
      <c r="T103" s="756">
        <v>0</v>
      </c>
      <c r="U103" s="756">
        <v>0</v>
      </c>
      <c r="V103" s="756">
        <v>0</v>
      </c>
      <c r="W103" s="756">
        <v>0</v>
      </c>
      <c r="X103" s="757">
        <v>0</v>
      </c>
      <c r="Y103" s="757">
        <v>0</v>
      </c>
      <c r="Z103" s="757">
        <v>4861.7425000000003</v>
      </c>
      <c r="AA103" s="757">
        <v>4861.7425000000003</v>
      </c>
      <c r="AB103" s="757">
        <v>4861.7425000000003</v>
      </c>
      <c r="AC103" s="757">
        <v>4861.7425000000003</v>
      </c>
      <c r="AD103" s="757">
        <v>4861.7425000000003</v>
      </c>
      <c r="AE103" s="757">
        <v>4861.7425000000003</v>
      </c>
      <c r="AF103" s="756">
        <v>0</v>
      </c>
      <c r="AG103" s="756">
        <v>0</v>
      </c>
      <c r="AH103" s="756">
        <v>0</v>
      </c>
      <c r="AI103" s="756">
        <v>0</v>
      </c>
      <c r="AJ103" s="756">
        <v>0</v>
      </c>
      <c r="AK103" s="756">
        <v>0</v>
      </c>
      <c r="AL103" s="756">
        <v>0</v>
      </c>
      <c r="AM103" s="756">
        <v>0</v>
      </c>
      <c r="AN103" s="756">
        <v>0</v>
      </c>
      <c r="AO103" s="756">
        <v>0</v>
      </c>
      <c r="AP103" s="756">
        <v>0</v>
      </c>
      <c r="AQ103" s="757">
        <v>4861.7425000000003</v>
      </c>
      <c r="AR103" s="757">
        <v>0</v>
      </c>
      <c r="AS103" s="757">
        <v>0</v>
      </c>
      <c r="AT103" s="757">
        <v>0</v>
      </c>
      <c r="AU103" s="756">
        <v>0</v>
      </c>
      <c r="AV103" s="756">
        <v>0</v>
      </c>
      <c r="AW103" s="756">
        <v>0</v>
      </c>
      <c r="AX103" s="756">
        <v>0</v>
      </c>
      <c r="AY103" s="756">
        <v>0</v>
      </c>
      <c r="AZ103" s="758">
        <v>0.56000000000000005</v>
      </c>
      <c r="BA103" s="759" t="str">
        <f t="shared" si="20"/>
        <v/>
      </c>
      <c r="BB103" s="759" t="str">
        <f t="shared" si="21"/>
        <v/>
      </c>
      <c r="BC103" s="760">
        <f t="shared" si="23"/>
        <v>0</v>
      </c>
      <c r="BD103" s="760">
        <f t="shared" si="24"/>
        <v>0</v>
      </c>
      <c r="BE103" s="760">
        <f t="shared" si="25"/>
        <v>2722.5758000000005</v>
      </c>
      <c r="BF103" s="760">
        <f t="shared" si="26"/>
        <v>2139.1666999999998</v>
      </c>
      <c r="BG103" s="761">
        <f t="shared" si="22"/>
        <v>0</v>
      </c>
      <c r="BH103" s="762">
        <f t="shared" si="16"/>
        <v>0</v>
      </c>
      <c r="BI103" s="762">
        <f t="shared" si="17"/>
        <v>0</v>
      </c>
      <c r="BJ103" s="762">
        <f t="shared" si="18"/>
        <v>0</v>
      </c>
      <c r="BK103" s="762">
        <f t="shared" si="19"/>
        <v>0</v>
      </c>
    </row>
    <row r="104" spans="1:63">
      <c r="A104" s="669"/>
      <c r="B104" s="745">
        <v>2029</v>
      </c>
      <c r="C104" s="746" t="s">
        <v>13</v>
      </c>
      <c r="D104" s="746" t="s">
        <v>529</v>
      </c>
      <c r="E104" s="746" t="s">
        <v>530</v>
      </c>
      <c r="F104" s="746" t="s">
        <v>478</v>
      </c>
      <c r="G104" s="746" t="s">
        <v>27</v>
      </c>
      <c r="H104" s="746" t="s">
        <v>531</v>
      </c>
      <c r="I104" s="746" t="s">
        <v>46</v>
      </c>
      <c r="J104" s="746" t="s">
        <v>489</v>
      </c>
      <c r="K104" s="746"/>
      <c r="L104" s="746" t="s">
        <v>20</v>
      </c>
      <c r="M104" s="746" t="s">
        <v>412</v>
      </c>
      <c r="N104" s="747">
        <v>-526101.37282944971</v>
      </c>
      <c r="O104" s="747">
        <v>-2.2652899424609978</v>
      </c>
      <c r="P104" s="747">
        <v>940584.83206887438</v>
      </c>
      <c r="Q104" s="747">
        <v>-520731.14178689878</v>
      </c>
      <c r="R104" s="747">
        <v>-1.4474483183296509</v>
      </c>
      <c r="S104" s="747">
        <v>573622.42326910747</v>
      </c>
      <c r="T104" s="747">
        <v>-8894952.6766490564</v>
      </c>
      <c r="U104" s="747">
        <v>10475710.522140374</v>
      </c>
      <c r="V104" s="747">
        <v>-1387.2321367265556</v>
      </c>
      <c r="W104" s="747">
        <v>55626.022872565365</v>
      </c>
      <c r="X104" s="748">
        <v>15195368.689699186</v>
      </c>
      <c r="Y104" s="748">
        <v>25664695.480952434</v>
      </c>
      <c r="Z104" s="748">
        <v>2427599.9999266234</v>
      </c>
      <c r="AA104" s="748">
        <v>3862374.5356640127</v>
      </c>
      <c r="AB104" s="748">
        <v>3246164.0559825432</v>
      </c>
      <c r="AC104" s="748">
        <v>4104436.0040554442</v>
      </c>
      <c r="AD104" s="748">
        <v>4104436.0040554446</v>
      </c>
      <c r="AE104" s="748">
        <v>14480387.748886589</v>
      </c>
      <c r="AF104" s="747">
        <v>-20465.269336505073</v>
      </c>
      <c r="AG104" s="747">
        <v>16100324.956956843</v>
      </c>
      <c r="AH104" s="747">
        <v>0</v>
      </c>
      <c r="AI104" s="747">
        <v>-25699.642933297735</v>
      </c>
      <c r="AJ104" s="747">
        <v>25380686.482021295</v>
      </c>
      <c r="AK104" s="747">
        <v>0</v>
      </c>
      <c r="AL104" s="747">
        <v>-25699.642933297735</v>
      </c>
      <c r="AM104" s="747">
        <v>25385611.911771666</v>
      </c>
      <c r="AN104" s="747">
        <v>0</v>
      </c>
      <c r="AO104" s="747">
        <v>-81.062603596430179</v>
      </c>
      <c r="AP104" s="747">
        <v>3045.9350675589599</v>
      </c>
      <c r="AQ104" s="748">
        <v>284760.36629999999</v>
      </c>
      <c r="AR104" s="748">
        <v>207222.9277</v>
      </c>
      <c r="AS104" s="748">
        <v>702690.96600000001</v>
      </c>
      <c r="AT104" s="748">
        <v>1232925.7399266236</v>
      </c>
      <c r="AU104" s="747">
        <v>-57705.162522832841</v>
      </c>
      <c r="AV104" s="747">
        <v>11291928.855426885</v>
      </c>
      <c r="AW104" s="747">
        <v>2107271.206072941</v>
      </c>
      <c r="AX104" s="747">
        <v>0</v>
      </c>
      <c r="AY104" s="747">
        <v>0</v>
      </c>
      <c r="AZ104" s="749">
        <v>0.56000000000000005</v>
      </c>
      <c r="BA104" s="750">
        <f t="shared" si="20"/>
        <v>-118303.87179223393</v>
      </c>
      <c r="BB104" s="750">
        <f t="shared" si="21"/>
        <v>617040.87073519139</v>
      </c>
      <c r="BC104" s="751">
        <f t="shared" si="23"/>
        <v>2086805.9367364359</v>
      </c>
      <c r="BD104" s="751">
        <f t="shared" si="24"/>
        <v>16100324.956956843</v>
      </c>
      <c r="BE104" s="751">
        <f t="shared" si="25"/>
        <v>1760146.7088273915</v>
      </c>
      <c r="BF104" s="751">
        <f t="shared" si="26"/>
        <v>12720241.040059203</v>
      </c>
      <c r="BG104" s="752">
        <f t="shared" si="22"/>
        <v>18.300131143619037</v>
      </c>
      <c r="BH104" s="763">
        <f t="shared" si="16"/>
        <v>114032.29410539343</v>
      </c>
      <c r="BI104" s="763">
        <f t="shared" si="17"/>
        <v>879792.87310029846</v>
      </c>
      <c r="BJ104" s="763">
        <f t="shared" si="18"/>
        <v>96182.190991627212</v>
      </c>
      <c r="BK104" s="763">
        <f t="shared" si="19"/>
        <v>695090.15756395541</v>
      </c>
    </row>
    <row r="105" spans="1:63">
      <c r="A105" s="669"/>
      <c r="B105" s="754">
        <v>2029</v>
      </c>
      <c r="C105" s="755" t="s">
        <v>13</v>
      </c>
      <c r="D105" s="755" t="s">
        <v>532</v>
      </c>
      <c r="E105" s="755" t="s">
        <v>533</v>
      </c>
      <c r="F105" s="755" t="s">
        <v>478</v>
      </c>
      <c r="G105" s="755" t="s">
        <v>27</v>
      </c>
      <c r="H105" s="755" t="s">
        <v>531</v>
      </c>
      <c r="I105" s="755" t="s">
        <v>46</v>
      </c>
      <c r="J105" s="755" t="s">
        <v>17</v>
      </c>
      <c r="K105" s="755"/>
      <c r="L105" s="755" t="s">
        <v>20</v>
      </c>
      <c r="M105" s="755" t="s">
        <v>412</v>
      </c>
      <c r="N105" s="756">
        <v>0</v>
      </c>
      <c r="O105" s="756">
        <v>0</v>
      </c>
      <c r="P105" s="756">
        <v>0</v>
      </c>
      <c r="Q105" s="756">
        <v>0</v>
      </c>
      <c r="R105" s="756">
        <v>0</v>
      </c>
      <c r="S105" s="756">
        <v>0</v>
      </c>
      <c r="T105" s="756">
        <v>0</v>
      </c>
      <c r="U105" s="756">
        <v>0</v>
      </c>
      <c r="V105" s="756">
        <v>0</v>
      </c>
      <c r="W105" s="756">
        <v>0</v>
      </c>
      <c r="X105" s="757">
        <v>0</v>
      </c>
      <c r="Y105" s="757">
        <v>0</v>
      </c>
      <c r="Z105" s="757">
        <v>16697.822499999998</v>
      </c>
      <c r="AA105" s="757">
        <v>16697.822499999998</v>
      </c>
      <c r="AB105" s="757">
        <v>16697.822499999998</v>
      </c>
      <c r="AC105" s="757">
        <v>16697.822499999998</v>
      </c>
      <c r="AD105" s="757">
        <v>16697.822499999998</v>
      </c>
      <c r="AE105" s="757">
        <v>16697.822499999998</v>
      </c>
      <c r="AF105" s="756">
        <v>0</v>
      </c>
      <c r="AG105" s="756">
        <v>0</v>
      </c>
      <c r="AH105" s="756">
        <v>0</v>
      </c>
      <c r="AI105" s="756">
        <v>0</v>
      </c>
      <c r="AJ105" s="756">
        <v>0</v>
      </c>
      <c r="AK105" s="756">
        <v>0</v>
      </c>
      <c r="AL105" s="756">
        <v>0</v>
      </c>
      <c r="AM105" s="756">
        <v>0</v>
      </c>
      <c r="AN105" s="756">
        <v>0</v>
      </c>
      <c r="AO105" s="756">
        <v>0</v>
      </c>
      <c r="AP105" s="756">
        <v>0</v>
      </c>
      <c r="AQ105" s="757">
        <v>16697.822499999998</v>
      </c>
      <c r="AR105" s="757">
        <v>0</v>
      </c>
      <c r="AS105" s="757">
        <v>0</v>
      </c>
      <c r="AT105" s="757">
        <v>0</v>
      </c>
      <c r="AU105" s="756">
        <v>0</v>
      </c>
      <c r="AV105" s="756">
        <v>0</v>
      </c>
      <c r="AW105" s="756">
        <v>0</v>
      </c>
      <c r="AX105" s="756">
        <v>0</v>
      </c>
      <c r="AY105" s="756">
        <v>0</v>
      </c>
      <c r="AZ105" s="758">
        <v>0.56000000000000005</v>
      </c>
      <c r="BA105" s="759" t="str">
        <f t="shared" si="20"/>
        <v/>
      </c>
      <c r="BB105" s="759" t="str">
        <f t="shared" si="21"/>
        <v/>
      </c>
      <c r="BC105" s="760">
        <f t="shared" si="23"/>
        <v>0</v>
      </c>
      <c r="BD105" s="760">
        <f t="shared" si="24"/>
        <v>0</v>
      </c>
      <c r="BE105" s="760">
        <f t="shared" si="25"/>
        <v>9350.7806</v>
      </c>
      <c r="BF105" s="760">
        <f t="shared" si="26"/>
        <v>7347.0418999999983</v>
      </c>
      <c r="BG105" s="761">
        <f t="shared" si="22"/>
        <v>0</v>
      </c>
      <c r="BH105" s="762">
        <f t="shared" si="16"/>
        <v>0</v>
      </c>
      <c r="BI105" s="762">
        <f t="shared" si="17"/>
        <v>0</v>
      </c>
      <c r="BJ105" s="762">
        <f t="shared" si="18"/>
        <v>0</v>
      </c>
      <c r="BK105" s="762">
        <f t="shared" si="19"/>
        <v>0</v>
      </c>
    </row>
    <row r="106" spans="1:63">
      <c r="A106" s="669"/>
      <c r="B106" s="745">
        <v>2029</v>
      </c>
      <c r="C106" s="746" t="s">
        <v>13</v>
      </c>
      <c r="D106" s="746" t="s">
        <v>534</v>
      </c>
      <c r="E106" s="746" t="s">
        <v>535</v>
      </c>
      <c r="F106" s="746" t="s">
        <v>478</v>
      </c>
      <c r="G106" s="746" t="s">
        <v>27</v>
      </c>
      <c r="H106" s="746" t="s">
        <v>536</v>
      </c>
      <c r="I106" s="746" t="s">
        <v>46</v>
      </c>
      <c r="J106" s="746" t="s">
        <v>489</v>
      </c>
      <c r="K106" s="746"/>
      <c r="L106" s="746" t="s">
        <v>20</v>
      </c>
      <c r="M106" s="746" t="s">
        <v>412</v>
      </c>
      <c r="N106" s="747">
        <v>1939550.4878294969</v>
      </c>
      <c r="O106" s="747">
        <v>229.00838896662952</v>
      </c>
      <c r="P106" s="747">
        <v>249968.92272000006</v>
      </c>
      <c r="Q106" s="747">
        <v>1160677.7886976984</v>
      </c>
      <c r="R106" s="747">
        <v>137.40503337997777</v>
      </c>
      <c r="S106" s="747">
        <v>150425.61283199998</v>
      </c>
      <c r="T106" s="747">
        <v>13972752.802772382</v>
      </c>
      <c r="U106" s="747">
        <v>1771571.6821440007</v>
      </c>
      <c r="V106" s="747">
        <v>1921.5404811299688</v>
      </c>
      <c r="W106" s="747">
        <v>9407.0456321846395</v>
      </c>
      <c r="X106" s="748">
        <v>4344629.3740722081</v>
      </c>
      <c r="Y106" s="748">
        <v>7232708.1025919467</v>
      </c>
      <c r="Z106" s="748">
        <v>2196399.9996000007</v>
      </c>
      <c r="AA106" s="748">
        <v>3156316.5651373416</v>
      </c>
      <c r="AB106" s="748">
        <v>2157734.4253428695</v>
      </c>
      <c r="AC106" s="748">
        <v>3192424.0612828759</v>
      </c>
      <c r="AD106" s="748">
        <v>3192424.0612828792</v>
      </c>
      <c r="AE106" s="748">
        <v>8587052.9472595025</v>
      </c>
      <c r="AF106" s="747">
        <v>1411996.8109307047</v>
      </c>
      <c r="AG106" s="747">
        <v>2921286.9705971763</v>
      </c>
      <c r="AH106" s="747">
        <v>0</v>
      </c>
      <c r="AI106" s="747">
        <v>1660952.2747448671</v>
      </c>
      <c r="AJ106" s="747">
        <v>4344051.1179731889</v>
      </c>
      <c r="AK106" s="747">
        <v>24052.333459909794</v>
      </c>
      <c r="AL106" s="747">
        <v>1660952.2747448671</v>
      </c>
      <c r="AM106" s="747">
        <v>4345342.7529165335</v>
      </c>
      <c r="AN106" s="747">
        <v>24052.333459909794</v>
      </c>
      <c r="AO106" s="747">
        <v>156.9696919676322</v>
      </c>
      <c r="AP106" s="747">
        <v>798.76000413791962</v>
      </c>
      <c r="AQ106" s="748">
        <v>206005.6054</v>
      </c>
      <c r="AR106" s="748">
        <v>157582.62880000001</v>
      </c>
      <c r="AS106" s="748">
        <v>948476.38939999999</v>
      </c>
      <c r="AT106" s="748">
        <v>884335.37600000051</v>
      </c>
      <c r="AU106" s="747">
        <v>4463299.6247316152</v>
      </c>
      <c r="AV106" s="747">
        <v>1966018.8971850255</v>
      </c>
      <c r="AW106" s="747">
        <v>30270.837008213151</v>
      </c>
      <c r="AX106" s="747">
        <v>0</v>
      </c>
      <c r="AY106" s="747">
        <v>20958.114090961521</v>
      </c>
      <c r="AZ106" s="749">
        <v>0.56000000000000005</v>
      </c>
      <c r="BA106" s="750">
        <f t="shared" si="20"/>
        <v>374678.74315860949</v>
      </c>
      <c r="BB106" s="750">
        <f t="shared" si="21"/>
        <v>166167.54022968063</v>
      </c>
      <c r="BC106" s="751">
        <f t="shared" si="23"/>
        <v>1463225.7620298793</v>
      </c>
      <c r="BD106" s="751">
        <f t="shared" si="24"/>
        <v>2921286.9705971763</v>
      </c>
      <c r="BE106" s="751">
        <f t="shared" si="25"/>
        <v>5671630.9029236222</v>
      </c>
      <c r="BF106" s="751">
        <f t="shared" si="26"/>
        <v>2915422.0443358878</v>
      </c>
      <c r="BG106" s="752">
        <f t="shared" si="22"/>
        <v>11.831546007526793</v>
      </c>
      <c r="BH106" s="763">
        <f t="shared" si="16"/>
        <v>123671.56085088364</v>
      </c>
      <c r="BI106" s="763">
        <f t="shared" si="17"/>
        <v>246906.61463335066</v>
      </c>
      <c r="BJ106" s="763">
        <f t="shared" si="18"/>
        <v>479365.1564483238</v>
      </c>
      <c r="BK106" s="763">
        <f t="shared" si="19"/>
        <v>246410.91219027538</v>
      </c>
    </row>
    <row r="107" spans="1:63">
      <c r="A107" s="669"/>
      <c r="B107" s="754">
        <v>2029</v>
      </c>
      <c r="C107" s="755" t="s">
        <v>13</v>
      </c>
      <c r="D107" s="755" t="s">
        <v>537</v>
      </c>
      <c r="E107" s="755" t="s">
        <v>538</v>
      </c>
      <c r="F107" s="755" t="s">
        <v>478</v>
      </c>
      <c r="G107" s="755" t="s">
        <v>27</v>
      </c>
      <c r="H107" s="755" t="s">
        <v>536</v>
      </c>
      <c r="I107" s="755" t="s">
        <v>46</v>
      </c>
      <c r="J107" s="755" t="s">
        <v>17</v>
      </c>
      <c r="K107" s="755"/>
      <c r="L107" s="755" t="s">
        <v>20</v>
      </c>
      <c r="M107" s="755" t="s">
        <v>412</v>
      </c>
      <c r="N107" s="756">
        <v>0</v>
      </c>
      <c r="O107" s="756">
        <v>0</v>
      </c>
      <c r="P107" s="756">
        <v>0</v>
      </c>
      <c r="Q107" s="756">
        <v>0</v>
      </c>
      <c r="R107" s="756">
        <v>0</v>
      </c>
      <c r="S107" s="756">
        <v>0</v>
      </c>
      <c r="T107" s="756">
        <v>0</v>
      </c>
      <c r="U107" s="756">
        <v>0</v>
      </c>
      <c r="V107" s="756">
        <v>0</v>
      </c>
      <c r="W107" s="756">
        <v>0</v>
      </c>
      <c r="X107" s="757">
        <v>0</v>
      </c>
      <c r="Y107" s="757">
        <v>0</v>
      </c>
      <c r="Z107" s="757">
        <v>15281.6525</v>
      </c>
      <c r="AA107" s="757">
        <v>15281.6525</v>
      </c>
      <c r="AB107" s="757">
        <v>15281.6525</v>
      </c>
      <c r="AC107" s="757">
        <v>15281.6525</v>
      </c>
      <c r="AD107" s="757">
        <v>15281.6525</v>
      </c>
      <c r="AE107" s="757">
        <v>15281.6525</v>
      </c>
      <c r="AF107" s="756">
        <v>0</v>
      </c>
      <c r="AG107" s="756">
        <v>0</v>
      </c>
      <c r="AH107" s="756">
        <v>0</v>
      </c>
      <c r="AI107" s="756">
        <v>0</v>
      </c>
      <c r="AJ107" s="756">
        <v>0</v>
      </c>
      <c r="AK107" s="756">
        <v>0</v>
      </c>
      <c r="AL107" s="756">
        <v>0</v>
      </c>
      <c r="AM107" s="756">
        <v>0</v>
      </c>
      <c r="AN107" s="756">
        <v>0</v>
      </c>
      <c r="AO107" s="756">
        <v>0</v>
      </c>
      <c r="AP107" s="756">
        <v>0</v>
      </c>
      <c r="AQ107" s="757">
        <v>15281.6525</v>
      </c>
      <c r="AR107" s="757">
        <v>0</v>
      </c>
      <c r="AS107" s="757">
        <v>0</v>
      </c>
      <c r="AT107" s="757">
        <v>0</v>
      </c>
      <c r="AU107" s="756">
        <v>0</v>
      </c>
      <c r="AV107" s="756">
        <v>0</v>
      </c>
      <c r="AW107" s="756">
        <v>0</v>
      </c>
      <c r="AX107" s="756">
        <v>0</v>
      </c>
      <c r="AY107" s="756">
        <v>0</v>
      </c>
      <c r="AZ107" s="758">
        <v>0.56000000000000005</v>
      </c>
      <c r="BA107" s="759" t="str">
        <f t="shared" si="20"/>
        <v/>
      </c>
      <c r="BB107" s="759" t="str">
        <f t="shared" si="21"/>
        <v/>
      </c>
      <c r="BC107" s="760">
        <f t="shared" si="23"/>
        <v>0</v>
      </c>
      <c r="BD107" s="760">
        <f t="shared" si="24"/>
        <v>0</v>
      </c>
      <c r="BE107" s="760">
        <f t="shared" si="25"/>
        <v>8557.7254000000012</v>
      </c>
      <c r="BF107" s="760">
        <f t="shared" si="26"/>
        <v>6723.927099999999</v>
      </c>
      <c r="BG107" s="761">
        <f t="shared" si="22"/>
        <v>0</v>
      </c>
      <c r="BH107" s="762">
        <f t="shared" si="16"/>
        <v>0</v>
      </c>
      <c r="BI107" s="762">
        <f t="shared" si="17"/>
        <v>0</v>
      </c>
      <c r="BJ107" s="762">
        <f t="shared" si="18"/>
        <v>0</v>
      </c>
      <c r="BK107" s="762">
        <f t="shared" si="19"/>
        <v>0</v>
      </c>
    </row>
    <row r="108" spans="1:63">
      <c r="A108" s="669"/>
      <c r="B108" s="745">
        <v>2029</v>
      </c>
      <c r="C108" s="746" t="s">
        <v>13</v>
      </c>
      <c r="D108" s="746" t="s">
        <v>539</v>
      </c>
      <c r="E108" s="746" t="s">
        <v>540</v>
      </c>
      <c r="F108" s="746" t="s">
        <v>478</v>
      </c>
      <c r="G108" s="746" t="s">
        <v>50</v>
      </c>
      <c r="H108" s="746" t="s">
        <v>541</v>
      </c>
      <c r="I108" s="746" t="s">
        <v>542</v>
      </c>
      <c r="J108" s="746" t="s">
        <v>489</v>
      </c>
      <c r="K108" s="746"/>
      <c r="L108" s="746" t="s">
        <v>29</v>
      </c>
      <c r="M108" s="746" t="s">
        <v>412</v>
      </c>
      <c r="N108" s="747">
        <v>0</v>
      </c>
      <c r="O108" s="747">
        <v>0</v>
      </c>
      <c r="P108" s="747">
        <v>0</v>
      </c>
      <c r="Q108" s="747">
        <v>0</v>
      </c>
      <c r="R108" s="747">
        <v>0</v>
      </c>
      <c r="S108" s="747">
        <v>0</v>
      </c>
      <c r="T108" s="747">
        <v>0</v>
      </c>
      <c r="U108" s="747">
        <v>0</v>
      </c>
      <c r="V108" s="747">
        <v>0</v>
      </c>
      <c r="W108" s="747">
        <v>0</v>
      </c>
      <c r="X108" s="748">
        <v>0</v>
      </c>
      <c r="Y108" s="748">
        <v>0</v>
      </c>
      <c r="Z108" s="748">
        <v>109120</v>
      </c>
      <c r="AA108" s="748">
        <v>109120</v>
      </c>
      <c r="AB108" s="748">
        <v>109120</v>
      </c>
      <c r="AC108" s="748">
        <v>109120</v>
      </c>
      <c r="AD108" s="748">
        <v>109120</v>
      </c>
      <c r="AE108" s="748">
        <v>109120</v>
      </c>
      <c r="AF108" s="747">
        <v>0</v>
      </c>
      <c r="AG108" s="747">
        <v>0</v>
      </c>
      <c r="AH108" s="747">
        <v>0</v>
      </c>
      <c r="AI108" s="747">
        <v>0</v>
      </c>
      <c r="AJ108" s="747">
        <v>0</v>
      </c>
      <c r="AK108" s="747">
        <v>0</v>
      </c>
      <c r="AL108" s="747">
        <v>0</v>
      </c>
      <c r="AM108" s="747">
        <v>0</v>
      </c>
      <c r="AN108" s="747">
        <v>0</v>
      </c>
      <c r="AO108" s="747">
        <v>0</v>
      </c>
      <c r="AP108" s="747">
        <v>0</v>
      </c>
      <c r="AQ108" s="748">
        <v>1091.2</v>
      </c>
      <c r="AR108" s="748">
        <v>7638.4</v>
      </c>
      <c r="AS108" s="748">
        <v>100390.39999999999</v>
      </c>
      <c r="AT108" s="748">
        <v>0</v>
      </c>
      <c r="AU108" s="747">
        <v>0</v>
      </c>
      <c r="AV108" s="747">
        <v>0</v>
      </c>
      <c r="AW108" s="747">
        <v>0</v>
      </c>
      <c r="AX108" s="747">
        <v>0</v>
      </c>
      <c r="AY108" s="747">
        <v>0</v>
      </c>
      <c r="AZ108" s="749">
        <v>0.56000000000000005</v>
      </c>
      <c r="BA108" s="750" t="str">
        <f t="shared" si="20"/>
        <v/>
      </c>
      <c r="BB108" s="750" t="str">
        <f t="shared" si="21"/>
        <v/>
      </c>
      <c r="BC108" s="751">
        <f t="shared" si="23"/>
        <v>0</v>
      </c>
      <c r="BD108" s="751">
        <f t="shared" si="24"/>
        <v>0</v>
      </c>
      <c r="BE108" s="751">
        <f t="shared" si="25"/>
        <v>61107.200000000004</v>
      </c>
      <c r="BF108" s="751">
        <f t="shared" si="26"/>
        <v>48012.799999999996</v>
      </c>
      <c r="BG108" s="752">
        <f t="shared" si="22"/>
        <v>0</v>
      </c>
      <c r="BH108" s="763">
        <f t="shared" si="16"/>
        <v>0</v>
      </c>
      <c r="BI108" s="763">
        <f t="shared" si="17"/>
        <v>0</v>
      </c>
      <c r="BJ108" s="763">
        <f t="shared" si="18"/>
        <v>0</v>
      </c>
      <c r="BK108" s="763">
        <f t="shared" si="19"/>
        <v>0</v>
      </c>
    </row>
    <row r="109" spans="1:63">
      <c r="A109" s="669"/>
      <c r="B109" s="754">
        <v>2029</v>
      </c>
      <c r="C109" s="755" t="s">
        <v>13</v>
      </c>
      <c r="D109" s="755" t="s">
        <v>543</v>
      </c>
      <c r="E109" s="755" t="s">
        <v>544</v>
      </c>
      <c r="F109" s="755" t="s">
        <v>478</v>
      </c>
      <c r="G109" s="755" t="s">
        <v>50</v>
      </c>
      <c r="H109" s="755" t="s">
        <v>541</v>
      </c>
      <c r="I109" s="755" t="s">
        <v>542</v>
      </c>
      <c r="J109" s="755" t="s">
        <v>17</v>
      </c>
      <c r="K109" s="755"/>
      <c r="L109" s="755" t="s">
        <v>29</v>
      </c>
      <c r="M109" s="755" t="s">
        <v>412</v>
      </c>
      <c r="N109" s="756">
        <v>0</v>
      </c>
      <c r="O109" s="756">
        <v>0</v>
      </c>
      <c r="P109" s="756">
        <v>0</v>
      </c>
      <c r="Q109" s="756">
        <v>0</v>
      </c>
      <c r="R109" s="756">
        <v>0</v>
      </c>
      <c r="S109" s="756">
        <v>0</v>
      </c>
      <c r="T109" s="756">
        <v>0</v>
      </c>
      <c r="U109" s="756">
        <v>0</v>
      </c>
      <c r="V109" s="756">
        <v>0</v>
      </c>
      <c r="W109" s="756">
        <v>0</v>
      </c>
      <c r="X109" s="757">
        <v>0</v>
      </c>
      <c r="Y109" s="757">
        <v>0</v>
      </c>
      <c r="Z109" s="757">
        <v>2496.4625000000001</v>
      </c>
      <c r="AA109" s="757">
        <v>2496.4625000000001</v>
      </c>
      <c r="AB109" s="757">
        <v>2496.4625000000001</v>
      </c>
      <c r="AC109" s="757">
        <v>2496.4625000000001</v>
      </c>
      <c r="AD109" s="757">
        <v>2496.4625000000001</v>
      </c>
      <c r="AE109" s="757">
        <v>2496.4625000000001</v>
      </c>
      <c r="AF109" s="756">
        <v>0</v>
      </c>
      <c r="AG109" s="756">
        <v>0</v>
      </c>
      <c r="AH109" s="756">
        <v>0</v>
      </c>
      <c r="AI109" s="756">
        <v>0</v>
      </c>
      <c r="AJ109" s="756">
        <v>0</v>
      </c>
      <c r="AK109" s="756">
        <v>0</v>
      </c>
      <c r="AL109" s="756">
        <v>0</v>
      </c>
      <c r="AM109" s="756">
        <v>0</v>
      </c>
      <c r="AN109" s="756">
        <v>0</v>
      </c>
      <c r="AO109" s="756">
        <v>0</v>
      </c>
      <c r="AP109" s="756">
        <v>0</v>
      </c>
      <c r="AQ109" s="757">
        <v>2496.4625000000001</v>
      </c>
      <c r="AR109" s="757">
        <v>0</v>
      </c>
      <c r="AS109" s="757">
        <v>0</v>
      </c>
      <c r="AT109" s="757">
        <v>0</v>
      </c>
      <c r="AU109" s="756">
        <v>0</v>
      </c>
      <c r="AV109" s="756">
        <v>0</v>
      </c>
      <c r="AW109" s="756">
        <v>0</v>
      </c>
      <c r="AX109" s="756">
        <v>0</v>
      </c>
      <c r="AY109" s="756">
        <v>0</v>
      </c>
      <c r="AZ109" s="758">
        <v>0.56000000000000005</v>
      </c>
      <c r="BA109" s="759" t="str">
        <f t="shared" si="20"/>
        <v/>
      </c>
      <c r="BB109" s="759" t="str">
        <f t="shared" si="21"/>
        <v/>
      </c>
      <c r="BC109" s="760">
        <f t="shared" si="23"/>
        <v>0</v>
      </c>
      <c r="BD109" s="760">
        <f t="shared" si="24"/>
        <v>0</v>
      </c>
      <c r="BE109" s="760">
        <f t="shared" si="25"/>
        <v>1398.0190000000002</v>
      </c>
      <c r="BF109" s="760">
        <f t="shared" si="26"/>
        <v>1098.4434999999999</v>
      </c>
      <c r="BG109" s="761">
        <f t="shared" si="22"/>
        <v>0</v>
      </c>
      <c r="BH109" s="762">
        <f t="shared" si="16"/>
        <v>0</v>
      </c>
      <c r="BI109" s="762">
        <f t="shared" si="17"/>
        <v>0</v>
      </c>
      <c r="BJ109" s="762">
        <f t="shared" si="18"/>
        <v>0</v>
      </c>
      <c r="BK109" s="762">
        <f t="shared" si="19"/>
        <v>0</v>
      </c>
    </row>
    <row r="110" spans="1:63">
      <c r="A110" s="669"/>
      <c r="B110" s="745">
        <v>2029</v>
      </c>
      <c r="C110" s="746" t="s">
        <v>13</v>
      </c>
      <c r="D110" s="746" t="s">
        <v>545</v>
      </c>
      <c r="E110" s="746" t="s">
        <v>546</v>
      </c>
      <c r="F110" s="746" t="s">
        <v>478</v>
      </c>
      <c r="G110" s="746" t="s">
        <v>50</v>
      </c>
      <c r="H110" s="746" t="s">
        <v>547</v>
      </c>
      <c r="I110" s="746" t="s">
        <v>542</v>
      </c>
      <c r="J110" s="746" t="s">
        <v>489</v>
      </c>
      <c r="K110" s="746"/>
      <c r="L110" s="746" t="s">
        <v>36</v>
      </c>
      <c r="M110" s="746" t="s">
        <v>412</v>
      </c>
      <c r="N110" s="747">
        <v>0</v>
      </c>
      <c r="O110" s="747">
        <v>0</v>
      </c>
      <c r="P110" s="747">
        <v>0</v>
      </c>
      <c r="Q110" s="747">
        <v>0</v>
      </c>
      <c r="R110" s="747">
        <v>0</v>
      </c>
      <c r="S110" s="747">
        <v>0</v>
      </c>
      <c r="T110" s="747">
        <v>0</v>
      </c>
      <c r="U110" s="747">
        <v>0</v>
      </c>
      <c r="V110" s="747">
        <v>0</v>
      </c>
      <c r="W110" s="747">
        <v>0</v>
      </c>
      <c r="X110" s="748">
        <v>0</v>
      </c>
      <c r="Y110" s="748">
        <v>0</v>
      </c>
      <c r="Z110" s="748">
        <v>218240</v>
      </c>
      <c r="AA110" s="748">
        <v>218240</v>
      </c>
      <c r="AB110" s="748">
        <v>218240</v>
      </c>
      <c r="AC110" s="748">
        <v>218240</v>
      </c>
      <c r="AD110" s="748">
        <v>218240</v>
      </c>
      <c r="AE110" s="748">
        <v>218240</v>
      </c>
      <c r="AF110" s="747">
        <v>0</v>
      </c>
      <c r="AG110" s="747">
        <v>0</v>
      </c>
      <c r="AH110" s="747">
        <v>0</v>
      </c>
      <c r="AI110" s="747">
        <v>0</v>
      </c>
      <c r="AJ110" s="747">
        <v>0</v>
      </c>
      <c r="AK110" s="747">
        <v>0</v>
      </c>
      <c r="AL110" s="747">
        <v>0</v>
      </c>
      <c r="AM110" s="747">
        <v>0</v>
      </c>
      <c r="AN110" s="747">
        <v>0</v>
      </c>
      <c r="AO110" s="747">
        <v>0</v>
      </c>
      <c r="AP110" s="747">
        <v>0</v>
      </c>
      <c r="AQ110" s="748">
        <v>21824</v>
      </c>
      <c r="AR110" s="748">
        <v>13094.4</v>
      </c>
      <c r="AS110" s="748">
        <v>183321.60000000001</v>
      </c>
      <c r="AT110" s="748">
        <v>0</v>
      </c>
      <c r="AU110" s="747">
        <v>0</v>
      </c>
      <c r="AV110" s="747">
        <v>0</v>
      </c>
      <c r="AW110" s="747">
        <v>0</v>
      </c>
      <c r="AX110" s="747">
        <v>0</v>
      </c>
      <c r="AY110" s="747">
        <v>0</v>
      </c>
      <c r="AZ110" s="749">
        <v>0.56000000000000005</v>
      </c>
      <c r="BA110" s="750" t="str">
        <f t="shared" si="20"/>
        <v/>
      </c>
      <c r="BB110" s="750" t="str">
        <f t="shared" si="21"/>
        <v/>
      </c>
      <c r="BC110" s="751">
        <f t="shared" si="23"/>
        <v>0</v>
      </c>
      <c r="BD110" s="751">
        <f t="shared" si="24"/>
        <v>0</v>
      </c>
      <c r="BE110" s="751">
        <f t="shared" si="25"/>
        <v>122214.40000000001</v>
      </c>
      <c r="BF110" s="751">
        <f t="shared" si="26"/>
        <v>96025.599999999991</v>
      </c>
      <c r="BG110" s="752">
        <f t="shared" si="22"/>
        <v>0</v>
      </c>
      <c r="BH110" s="763">
        <f t="shared" si="16"/>
        <v>0</v>
      </c>
      <c r="BI110" s="763">
        <f t="shared" si="17"/>
        <v>0</v>
      </c>
      <c r="BJ110" s="763">
        <f t="shared" si="18"/>
        <v>0</v>
      </c>
      <c r="BK110" s="763">
        <f t="shared" si="19"/>
        <v>0</v>
      </c>
    </row>
    <row r="111" spans="1:63">
      <c r="A111" s="669"/>
      <c r="B111" s="754">
        <v>2029</v>
      </c>
      <c r="C111" s="755" t="s">
        <v>13</v>
      </c>
      <c r="D111" s="755" t="s">
        <v>548</v>
      </c>
      <c r="E111" s="755" t="s">
        <v>549</v>
      </c>
      <c r="F111" s="755" t="s">
        <v>478</v>
      </c>
      <c r="G111" s="755" t="s">
        <v>50</v>
      </c>
      <c r="H111" s="755" t="s">
        <v>547</v>
      </c>
      <c r="I111" s="755" t="s">
        <v>542</v>
      </c>
      <c r="J111" s="755" t="s">
        <v>17</v>
      </c>
      <c r="K111" s="755"/>
      <c r="L111" s="755" t="s">
        <v>36</v>
      </c>
      <c r="M111" s="755" t="s">
        <v>412</v>
      </c>
      <c r="N111" s="756">
        <v>0</v>
      </c>
      <c r="O111" s="756">
        <v>0</v>
      </c>
      <c r="P111" s="756">
        <v>0</v>
      </c>
      <c r="Q111" s="756">
        <v>0</v>
      </c>
      <c r="R111" s="756">
        <v>0</v>
      </c>
      <c r="S111" s="756">
        <v>0</v>
      </c>
      <c r="T111" s="756">
        <v>0</v>
      </c>
      <c r="U111" s="756">
        <v>0</v>
      </c>
      <c r="V111" s="756">
        <v>0</v>
      </c>
      <c r="W111" s="756">
        <v>0</v>
      </c>
      <c r="X111" s="757">
        <v>0</v>
      </c>
      <c r="Y111" s="757">
        <v>0</v>
      </c>
      <c r="Z111" s="757">
        <v>3164.8525</v>
      </c>
      <c r="AA111" s="757">
        <v>3164.8525</v>
      </c>
      <c r="AB111" s="757">
        <v>3164.8525</v>
      </c>
      <c r="AC111" s="757">
        <v>3164.8525</v>
      </c>
      <c r="AD111" s="757">
        <v>3164.8525</v>
      </c>
      <c r="AE111" s="757">
        <v>3164.8525</v>
      </c>
      <c r="AF111" s="756">
        <v>0</v>
      </c>
      <c r="AG111" s="756">
        <v>0</v>
      </c>
      <c r="AH111" s="756">
        <v>0</v>
      </c>
      <c r="AI111" s="756">
        <v>0</v>
      </c>
      <c r="AJ111" s="756">
        <v>0</v>
      </c>
      <c r="AK111" s="756">
        <v>0</v>
      </c>
      <c r="AL111" s="756">
        <v>0</v>
      </c>
      <c r="AM111" s="756">
        <v>0</v>
      </c>
      <c r="AN111" s="756">
        <v>0</v>
      </c>
      <c r="AO111" s="756">
        <v>0</v>
      </c>
      <c r="AP111" s="756">
        <v>0</v>
      </c>
      <c r="AQ111" s="757">
        <v>3164.8525</v>
      </c>
      <c r="AR111" s="757">
        <v>0</v>
      </c>
      <c r="AS111" s="757">
        <v>0</v>
      </c>
      <c r="AT111" s="757">
        <v>0</v>
      </c>
      <c r="AU111" s="756">
        <v>0</v>
      </c>
      <c r="AV111" s="756">
        <v>0</v>
      </c>
      <c r="AW111" s="756">
        <v>0</v>
      </c>
      <c r="AX111" s="756">
        <v>0</v>
      </c>
      <c r="AY111" s="756">
        <v>0</v>
      </c>
      <c r="AZ111" s="758">
        <v>0.56000000000000005</v>
      </c>
      <c r="BA111" s="759" t="str">
        <f t="shared" si="20"/>
        <v/>
      </c>
      <c r="BB111" s="759" t="str">
        <f t="shared" si="21"/>
        <v/>
      </c>
      <c r="BC111" s="760">
        <f t="shared" si="23"/>
        <v>0</v>
      </c>
      <c r="BD111" s="760">
        <f t="shared" si="24"/>
        <v>0</v>
      </c>
      <c r="BE111" s="760">
        <f t="shared" si="25"/>
        <v>1772.3174000000001</v>
      </c>
      <c r="BF111" s="760">
        <f t="shared" si="26"/>
        <v>1392.5350999999998</v>
      </c>
      <c r="BG111" s="761">
        <f t="shared" si="22"/>
        <v>0</v>
      </c>
      <c r="BH111" s="762">
        <f t="shared" si="16"/>
        <v>0</v>
      </c>
      <c r="BI111" s="762">
        <f t="shared" si="17"/>
        <v>0</v>
      </c>
      <c r="BJ111" s="762">
        <f t="shared" si="18"/>
        <v>0</v>
      </c>
      <c r="BK111" s="762">
        <f t="shared" si="19"/>
        <v>0</v>
      </c>
    </row>
    <row r="112" spans="1:63">
      <c r="A112" s="669"/>
      <c r="B112" s="745">
        <v>2029</v>
      </c>
      <c r="C112" s="746" t="s">
        <v>13</v>
      </c>
      <c r="D112" s="746" t="s">
        <v>550</v>
      </c>
      <c r="E112" s="746" t="s">
        <v>551</v>
      </c>
      <c r="F112" s="746" t="s">
        <v>552</v>
      </c>
      <c r="G112" s="746" t="s">
        <v>18</v>
      </c>
      <c r="H112" s="746" t="s">
        <v>553</v>
      </c>
      <c r="I112" s="746" t="s">
        <v>46</v>
      </c>
      <c r="J112" s="746" t="s">
        <v>489</v>
      </c>
      <c r="K112" s="746"/>
      <c r="L112" s="746" t="s">
        <v>29</v>
      </c>
      <c r="M112" s="746" t="s">
        <v>412</v>
      </c>
      <c r="N112" s="747">
        <v>0</v>
      </c>
      <c r="O112" s="747">
        <v>0</v>
      </c>
      <c r="P112" s="747">
        <v>0</v>
      </c>
      <c r="Q112" s="747">
        <v>0</v>
      </c>
      <c r="R112" s="747">
        <v>0</v>
      </c>
      <c r="S112" s="747">
        <v>0</v>
      </c>
      <c r="T112" s="747">
        <v>0</v>
      </c>
      <c r="U112" s="747">
        <v>0</v>
      </c>
      <c r="V112" s="747">
        <v>0</v>
      </c>
      <c r="W112" s="747">
        <v>0</v>
      </c>
      <c r="X112" s="748">
        <v>0</v>
      </c>
      <c r="Y112" s="748">
        <v>0</v>
      </c>
      <c r="Z112" s="748">
        <v>684480</v>
      </c>
      <c r="AA112" s="748">
        <v>684480</v>
      </c>
      <c r="AB112" s="748">
        <v>684480</v>
      </c>
      <c r="AC112" s="748">
        <v>684480</v>
      </c>
      <c r="AD112" s="748">
        <v>684480</v>
      </c>
      <c r="AE112" s="748">
        <v>684480</v>
      </c>
      <c r="AF112" s="747">
        <v>0</v>
      </c>
      <c r="AG112" s="747">
        <v>0</v>
      </c>
      <c r="AH112" s="747">
        <v>0</v>
      </c>
      <c r="AI112" s="747">
        <v>0</v>
      </c>
      <c r="AJ112" s="747">
        <v>0</v>
      </c>
      <c r="AK112" s="747">
        <v>0</v>
      </c>
      <c r="AL112" s="747">
        <v>0</v>
      </c>
      <c r="AM112" s="747">
        <v>0</v>
      </c>
      <c r="AN112" s="747">
        <v>0</v>
      </c>
      <c r="AO112" s="747">
        <v>0</v>
      </c>
      <c r="AP112" s="747">
        <v>0</v>
      </c>
      <c r="AQ112" s="748">
        <v>34224</v>
      </c>
      <c r="AR112" s="748">
        <v>34224</v>
      </c>
      <c r="AS112" s="748">
        <v>174964</v>
      </c>
      <c r="AT112" s="748">
        <v>441068</v>
      </c>
      <c r="AU112" s="747">
        <v>0</v>
      </c>
      <c r="AV112" s="747">
        <v>0</v>
      </c>
      <c r="AW112" s="747">
        <v>0</v>
      </c>
      <c r="AX112" s="747">
        <v>0</v>
      </c>
      <c r="AY112" s="747">
        <v>0</v>
      </c>
      <c r="AZ112" s="749">
        <v>0.56000000000000005</v>
      </c>
      <c r="BA112" s="750" t="str">
        <f t="shared" si="20"/>
        <v/>
      </c>
      <c r="BB112" s="750" t="str">
        <f t="shared" si="21"/>
        <v/>
      </c>
      <c r="BC112" s="751">
        <f t="shared" si="23"/>
        <v>0</v>
      </c>
      <c r="BD112" s="751">
        <f t="shared" si="24"/>
        <v>0</v>
      </c>
      <c r="BE112" s="751">
        <f t="shared" si="25"/>
        <v>383308.80000000005</v>
      </c>
      <c r="BF112" s="751">
        <f t="shared" si="26"/>
        <v>301171.19999999995</v>
      </c>
      <c r="BG112" s="752">
        <f t="shared" si="22"/>
        <v>0</v>
      </c>
      <c r="BH112" s="763">
        <f t="shared" si="16"/>
        <v>0</v>
      </c>
      <c r="BI112" s="763">
        <f t="shared" si="17"/>
        <v>0</v>
      </c>
      <c r="BJ112" s="763">
        <f t="shared" si="18"/>
        <v>0</v>
      </c>
      <c r="BK112" s="763">
        <f t="shared" si="19"/>
        <v>0</v>
      </c>
    </row>
    <row r="113" spans="1:63">
      <c r="A113" s="669"/>
      <c r="B113" s="754">
        <v>2029</v>
      </c>
      <c r="C113" s="755" t="s">
        <v>13</v>
      </c>
      <c r="D113" s="755" t="s">
        <v>554</v>
      </c>
      <c r="E113" s="755" t="s">
        <v>555</v>
      </c>
      <c r="F113" s="755" t="s">
        <v>552</v>
      </c>
      <c r="G113" s="755" t="s">
        <v>18</v>
      </c>
      <c r="H113" s="755" t="s">
        <v>553</v>
      </c>
      <c r="I113" s="755" t="s">
        <v>46</v>
      </c>
      <c r="J113" s="755" t="s">
        <v>17</v>
      </c>
      <c r="K113" s="755"/>
      <c r="L113" s="755" t="s">
        <v>29</v>
      </c>
      <c r="M113" s="755" t="s">
        <v>412</v>
      </c>
      <c r="N113" s="756">
        <v>0</v>
      </c>
      <c r="O113" s="756">
        <v>0</v>
      </c>
      <c r="P113" s="756">
        <v>0</v>
      </c>
      <c r="Q113" s="756">
        <v>0</v>
      </c>
      <c r="R113" s="756">
        <v>0</v>
      </c>
      <c r="S113" s="756">
        <v>0</v>
      </c>
      <c r="T113" s="756">
        <v>0</v>
      </c>
      <c r="U113" s="756">
        <v>0</v>
      </c>
      <c r="V113" s="756">
        <v>0</v>
      </c>
      <c r="W113" s="756">
        <v>0</v>
      </c>
      <c r="X113" s="757">
        <v>0</v>
      </c>
      <c r="Y113" s="757">
        <v>0</v>
      </c>
      <c r="Z113" s="757">
        <v>311895.95140000002</v>
      </c>
      <c r="AA113" s="757">
        <v>311895.95140000002</v>
      </c>
      <c r="AB113" s="757">
        <v>311895.95140000002</v>
      </c>
      <c r="AC113" s="757">
        <v>311895.95140000002</v>
      </c>
      <c r="AD113" s="757">
        <v>311895.95140000002</v>
      </c>
      <c r="AE113" s="757">
        <v>311895.95140000002</v>
      </c>
      <c r="AF113" s="756">
        <v>0</v>
      </c>
      <c r="AG113" s="756">
        <v>0</v>
      </c>
      <c r="AH113" s="756">
        <v>0</v>
      </c>
      <c r="AI113" s="756">
        <v>0</v>
      </c>
      <c r="AJ113" s="756">
        <v>0</v>
      </c>
      <c r="AK113" s="756">
        <v>0</v>
      </c>
      <c r="AL113" s="756">
        <v>0</v>
      </c>
      <c r="AM113" s="756">
        <v>0</v>
      </c>
      <c r="AN113" s="756">
        <v>0</v>
      </c>
      <c r="AO113" s="756">
        <v>0</v>
      </c>
      <c r="AP113" s="756">
        <v>0</v>
      </c>
      <c r="AQ113" s="757">
        <v>254671.24650000001</v>
      </c>
      <c r="AR113" s="757">
        <v>750.59259999999995</v>
      </c>
      <c r="AS113" s="757">
        <v>56474.112300000001</v>
      </c>
      <c r="AT113" s="757">
        <v>0</v>
      </c>
      <c r="AU113" s="756">
        <v>0</v>
      </c>
      <c r="AV113" s="756">
        <v>0</v>
      </c>
      <c r="AW113" s="756">
        <v>0</v>
      </c>
      <c r="AX113" s="756">
        <v>0</v>
      </c>
      <c r="AY113" s="756">
        <v>0</v>
      </c>
      <c r="AZ113" s="758">
        <v>0.56000000000000005</v>
      </c>
      <c r="BA113" s="759" t="str">
        <f t="shared" si="20"/>
        <v/>
      </c>
      <c r="BB113" s="759" t="str">
        <f t="shared" si="21"/>
        <v/>
      </c>
      <c r="BC113" s="760">
        <f t="shared" si="23"/>
        <v>0</v>
      </c>
      <c r="BD113" s="760">
        <f t="shared" si="24"/>
        <v>0</v>
      </c>
      <c r="BE113" s="760">
        <f t="shared" si="25"/>
        <v>174661.73278400002</v>
      </c>
      <c r="BF113" s="760">
        <f t="shared" si="26"/>
        <v>137234.218616</v>
      </c>
      <c r="BG113" s="761">
        <f t="shared" si="22"/>
        <v>0</v>
      </c>
      <c r="BH113" s="762">
        <f t="shared" si="16"/>
        <v>0</v>
      </c>
      <c r="BI113" s="762">
        <f t="shared" si="17"/>
        <v>0</v>
      </c>
      <c r="BJ113" s="762">
        <f t="shared" si="18"/>
        <v>0</v>
      </c>
      <c r="BK113" s="762">
        <f t="shared" si="19"/>
        <v>0</v>
      </c>
    </row>
    <row r="114" spans="1:63">
      <c r="A114" s="669"/>
      <c r="B114" s="745">
        <v>2029</v>
      </c>
      <c r="C114" s="746" t="s">
        <v>13</v>
      </c>
      <c r="D114" s="746" t="s">
        <v>556</v>
      </c>
      <c r="E114" s="746" t="s">
        <v>557</v>
      </c>
      <c r="F114" s="746" t="s">
        <v>478</v>
      </c>
      <c r="G114" s="746" t="s">
        <v>50</v>
      </c>
      <c r="H114" s="746" t="s">
        <v>558</v>
      </c>
      <c r="I114" s="746" t="s">
        <v>515</v>
      </c>
      <c r="J114" s="746" t="s">
        <v>489</v>
      </c>
      <c r="K114" s="746"/>
      <c r="L114" s="746" t="s">
        <v>29</v>
      </c>
      <c r="M114" s="746" t="s">
        <v>412</v>
      </c>
      <c r="N114" s="747">
        <v>0</v>
      </c>
      <c r="O114" s="747">
        <v>0</v>
      </c>
      <c r="P114" s="747">
        <v>0</v>
      </c>
      <c r="Q114" s="747">
        <v>0</v>
      </c>
      <c r="R114" s="747">
        <v>0</v>
      </c>
      <c r="S114" s="747">
        <v>0</v>
      </c>
      <c r="T114" s="747">
        <v>0</v>
      </c>
      <c r="U114" s="747">
        <v>0</v>
      </c>
      <c r="V114" s="747">
        <v>0</v>
      </c>
      <c r="W114" s="747">
        <v>0</v>
      </c>
      <c r="X114" s="748">
        <v>0</v>
      </c>
      <c r="Y114" s="748">
        <v>0</v>
      </c>
      <c r="Z114" s="748">
        <v>495000</v>
      </c>
      <c r="AA114" s="748">
        <v>495000</v>
      </c>
      <c r="AB114" s="748">
        <v>495000</v>
      </c>
      <c r="AC114" s="748">
        <v>495000</v>
      </c>
      <c r="AD114" s="748">
        <v>495000</v>
      </c>
      <c r="AE114" s="748">
        <v>495000</v>
      </c>
      <c r="AF114" s="747">
        <v>0</v>
      </c>
      <c r="AG114" s="747">
        <v>0</v>
      </c>
      <c r="AH114" s="747">
        <v>0</v>
      </c>
      <c r="AI114" s="747">
        <v>0</v>
      </c>
      <c r="AJ114" s="747">
        <v>0</v>
      </c>
      <c r="AK114" s="747">
        <v>0</v>
      </c>
      <c r="AL114" s="747">
        <v>0</v>
      </c>
      <c r="AM114" s="747">
        <v>0</v>
      </c>
      <c r="AN114" s="747">
        <v>0</v>
      </c>
      <c r="AO114" s="747">
        <v>0</v>
      </c>
      <c r="AP114" s="747">
        <v>0</v>
      </c>
      <c r="AQ114" s="748">
        <v>6600</v>
      </c>
      <c r="AR114" s="748">
        <v>1914</v>
      </c>
      <c r="AS114" s="748">
        <v>486486</v>
      </c>
      <c r="AT114" s="748">
        <v>0</v>
      </c>
      <c r="AU114" s="747">
        <v>0</v>
      </c>
      <c r="AV114" s="747">
        <v>0</v>
      </c>
      <c r="AW114" s="747">
        <v>0</v>
      </c>
      <c r="AX114" s="747">
        <v>0</v>
      </c>
      <c r="AY114" s="747">
        <v>0</v>
      </c>
      <c r="AZ114" s="749">
        <v>0.56000000000000005</v>
      </c>
      <c r="BA114" s="750" t="str">
        <f t="shared" si="20"/>
        <v/>
      </c>
      <c r="BB114" s="750" t="str">
        <f t="shared" si="21"/>
        <v/>
      </c>
      <c r="BC114" s="751">
        <f t="shared" si="23"/>
        <v>0</v>
      </c>
      <c r="BD114" s="751">
        <f t="shared" si="24"/>
        <v>0</v>
      </c>
      <c r="BE114" s="751">
        <f t="shared" si="25"/>
        <v>277200</v>
      </c>
      <c r="BF114" s="751">
        <f t="shared" si="26"/>
        <v>217799.99999999997</v>
      </c>
      <c r="BG114" s="752">
        <f t="shared" si="22"/>
        <v>0</v>
      </c>
      <c r="BH114" s="763">
        <f t="shared" si="16"/>
        <v>0</v>
      </c>
      <c r="BI114" s="763">
        <f t="shared" si="17"/>
        <v>0</v>
      </c>
      <c r="BJ114" s="763">
        <f t="shared" si="18"/>
        <v>0</v>
      </c>
      <c r="BK114" s="763">
        <f t="shared" si="19"/>
        <v>0</v>
      </c>
    </row>
    <row r="115" spans="1:63">
      <c r="A115" s="669"/>
      <c r="B115" s="754">
        <v>2029</v>
      </c>
      <c r="C115" s="755" t="s">
        <v>13</v>
      </c>
      <c r="D115" s="755" t="s">
        <v>559</v>
      </c>
      <c r="E115" s="755" t="s">
        <v>560</v>
      </c>
      <c r="F115" s="755" t="s">
        <v>478</v>
      </c>
      <c r="G115" s="755" t="s">
        <v>50</v>
      </c>
      <c r="H115" s="755" t="s">
        <v>558</v>
      </c>
      <c r="I115" s="755" t="s">
        <v>515</v>
      </c>
      <c r="J115" s="755" t="s">
        <v>17</v>
      </c>
      <c r="K115" s="755"/>
      <c r="L115" s="755" t="s">
        <v>29</v>
      </c>
      <c r="M115" s="755" t="s">
        <v>412</v>
      </c>
      <c r="N115" s="756">
        <v>0</v>
      </c>
      <c r="O115" s="756">
        <v>0</v>
      </c>
      <c r="P115" s="756">
        <v>0</v>
      </c>
      <c r="Q115" s="756">
        <v>0</v>
      </c>
      <c r="R115" s="756">
        <v>0</v>
      </c>
      <c r="S115" s="756">
        <v>0</v>
      </c>
      <c r="T115" s="756">
        <v>0</v>
      </c>
      <c r="U115" s="756">
        <v>0</v>
      </c>
      <c r="V115" s="756">
        <v>0</v>
      </c>
      <c r="W115" s="756">
        <v>0</v>
      </c>
      <c r="X115" s="757">
        <v>0</v>
      </c>
      <c r="Y115" s="757">
        <v>0</v>
      </c>
      <c r="Z115" s="757">
        <v>12987.813599999999</v>
      </c>
      <c r="AA115" s="757">
        <v>12987.813599999999</v>
      </c>
      <c r="AB115" s="757">
        <v>12987.813599999999</v>
      </c>
      <c r="AC115" s="757">
        <v>12987.813599999999</v>
      </c>
      <c r="AD115" s="757">
        <v>12987.813599999999</v>
      </c>
      <c r="AE115" s="757">
        <v>12987.813599999999</v>
      </c>
      <c r="AF115" s="756">
        <v>0</v>
      </c>
      <c r="AG115" s="756">
        <v>0</v>
      </c>
      <c r="AH115" s="756">
        <v>0</v>
      </c>
      <c r="AI115" s="756">
        <v>0</v>
      </c>
      <c r="AJ115" s="756">
        <v>0</v>
      </c>
      <c r="AK115" s="756">
        <v>0</v>
      </c>
      <c r="AL115" s="756">
        <v>0</v>
      </c>
      <c r="AM115" s="756">
        <v>0</v>
      </c>
      <c r="AN115" s="756">
        <v>0</v>
      </c>
      <c r="AO115" s="756">
        <v>0</v>
      </c>
      <c r="AP115" s="756">
        <v>0</v>
      </c>
      <c r="AQ115" s="757">
        <v>6319.6373999999996</v>
      </c>
      <c r="AR115" s="757">
        <v>0</v>
      </c>
      <c r="AS115" s="757">
        <v>6668.1761999999999</v>
      </c>
      <c r="AT115" s="757">
        <v>0</v>
      </c>
      <c r="AU115" s="756">
        <v>0</v>
      </c>
      <c r="AV115" s="756">
        <v>0</v>
      </c>
      <c r="AW115" s="756">
        <v>0</v>
      </c>
      <c r="AX115" s="756">
        <v>0</v>
      </c>
      <c r="AY115" s="756">
        <v>0</v>
      </c>
      <c r="AZ115" s="758">
        <v>0.56000000000000005</v>
      </c>
      <c r="BA115" s="759" t="str">
        <f t="shared" si="20"/>
        <v/>
      </c>
      <c r="BB115" s="759" t="str">
        <f t="shared" si="21"/>
        <v/>
      </c>
      <c r="BC115" s="760">
        <f t="shared" si="23"/>
        <v>0</v>
      </c>
      <c r="BD115" s="760">
        <f t="shared" si="24"/>
        <v>0</v>
      </c>
      <c r="BE115" s="760">
        <f t="shared" si="25"/>
        <v>7273.1756160000004</v>
      </c>
      <c r="BF115" s="760">
        <f t="shared" si="26"/>
        <v>5714.6379839999991</v>
      </c>
      <c r="BG115" s="761">
        <f t="shared" si="22"/>
        <v>0</v>
      </c>
      <c r="BH115" s="762">
        <f t="shared" si="16"/>
        <v>0</v>
      </c>
      <c r="BI115" s="762">
        <f t="shared" si="17"/>
        <v>0</v>
      </c>
      <c r="BJ115" s="762">
        <f t="shared" si="18"/>
        <v>0</v>
      </c>
      <c r="BK115" s="762">
        <f t="shared" si="19"/>
        <v>0</v>
      </c>
    </row>
    <row r="116" spans="1:63">
      <c r="A116" s="669"/>
      <c r="B116" s="745">
        <v>2029</v>
      </c>
      <c r="C116" s="746" t="s">
        <v>13</v>
      </c>
      <c r="D116" s="746" t="s">
        <v>561</v>
      </c>
      <c r="E116" s="746" t="s">
        <v>562</v>
      </c>
      <c r="F116" s="746" t="s">
        <v>478</v>
      </c>
      <c r="G116" s="746" t="s">
        <v>39</v>
      </c>
      <c r="H116" s="746" t="s">
        <v>563</v>
      </c>
      <c r="I116" s="746" t="s">
        <v>51</v>
      </c>
      <c r="J116" s="746" t="s">
        <v>489</v>
      </c>
      <c r="K116" s="746"/>
      <c r="L116" s="746" t="s">
        <v>29</v>
      </c>
      <c r="M116" s="746" t="s">
        <v>412</v>
      </c>
      <c r="N116" s="747">
        <v>4331.5999999999804</v>
      </c>
      <c r="O116" s="747">
        <v>0.18636800000000001</v>
      </c>
      <c r="P116" s="747">
        <v>0</v>
      </c>
      <c r="Q116" s="747">
        <v>1732.6399999999981</v>
      </c>
      <c r="R116" s="747">
        <v>7.4547199999999994E-2</v>
      </c>
      <c r="S116" s="747">
        <v>0</v>
      </c>
      <c r="T116" s="747">
        <v>17326.39999999998</v>
      </c>
      <c r="U116" s="747">
        <v>0</v>
      </c>
      <c r="V116" s="747">
        <v>3.2914200584719899</v>
      </c>
      <c r="W116" s="747">
        <v>0</v>
      </c>
      <c r="X116" s="748">
        <v>2850.8985845752286</v>
      </c>
      <c r="Y116" s="748">
        <v>6442.7444614380602</v>
      </c>
      <c r="Z116" s="748">
        <v>64653.152100000007</v>
      </c>
      <c r="AA116" s="748">
        <v>47042.432715851697</v>
      </c>
      <c r="AB116" s="748">
        <v>62665.179986932781</v>
      </c>
      <c r="AC116" s="748">
        <v>47380.826686822344</v>
      </c>
      <c r="AD116" s="748">
        <v>47380.826686822344</v>
      </c>
      <c r="AE116" s="748">
        <v>68949.605014666668</v>
      </c>
      <c r="AF116" s="747">
        <v>1481.8945845752291</v>
      </c>
      <c r="AG116" s="747">
        <v>0</v>
      </c>
      <c r="AH116" s="747">
        <v>1369.0039999999999</v>
      </c>
      <c r="AI116" s="747">
        <v>1679.6603465093808</v>
      </c>
      <c r="AJ116" s="747">
        <v>0</v>
      </c>
      <c r="AK116" s="747">
        <v>0</v>
      </c>
      <c r="AL116" s="747">
        <v>1679.6603465093808</v>
      </c>
      <c r="AM116" s="747">
        <v>0</v>
      </c>
      <c r="AN116" s="747">
        <v>0</v>
      </c>
      <c r="AO116" s="747">
        <v>0.33158380673599996</v>
      </c>
      <c r="AP116" s="747">
        <v>0</v>
      </c>
      <c r="AQ116" s="748">
        <v>5592.3904000000002</v>
      </c>
      <c r="AR116" s="748">
        <v>4194.2928000000002</v>
      </c>
      <c r="AS116" s="748">
        <v>18175.268899999999</v>
      </c>
      <c r="AT116" s="748">
        <v>36691.199999999997</v>
      </c>
      <c r="AU116" s="747">
        <v>6284.4250277339997</v>
      </c>
      <c r="AV116" s="747">
        <v>0</v>
      </c>
      <c r="AW116" s="747">
        <v>0</v>
      </c>
      <c r="AX116" s="747">
        <v>0</v>
      </c>
      <c r="AY116" s="747">
        <v>0</v>
      </c>
      <c r="AZ116" s="749">
        <v>0.56000000000000005</v>
      </c>
      <c r="BA116" s="750">
        <f t="shared" si="20"/>
        <v>628.44250277340007</v>
      </c>
      <c r="BB116" s="750">
        <f t="shared" si="21"/>
        <v>0</v>
      </c>
      <c r="BC116" s="751">
        <f t="shared" si="23"/>
        <v>2248.5368245752293</v>
      </c>
      <c r="BD116" s="751">
        <f t="shared" si="24"/>
        <v>602.36175999999989</v>
      </c>
      <c r="BE116" s="751">
        <f t="shared" si="25"/>
        <v>41376.925820416363</v>
      </c>
      <c r="BF116" s="751">
        <f t="shared" si="26"/>
        <v>27572.679194250421</v>
      </c>
      <c r="BG116" s="752">
        <f t="shared" si="22"/>
        <v>9.9999999999999982</v>
      </c>
      <c r="BH116" s="763">
        <f t="shared" si="16"/>
        <v>224.85368245752298</v>
      </c>
      <c r="BI116" s="763">
        <f t="shared" si="17"/>
        <v>60.236176</v>
      </c>
      <c r="BJ116" s="763">
        <f t="shared" si="18"/>
        <v>4137.6925820416373</v>
      </c>
      <c r="BK116" s="763">
        <f t="shared" si="19"/>
        <v>2757.2679194250427</v>
      </c>
    </row>
    <row r="117" spans="1:63">
      <c r="A117" s="669"/>
      <c r="B117" s="754">
        <v>2029</v>
      </c>
      <c r="C117" s="755" t="s">
        <v>13</v>
      </c>
      <c r="D117" s="755" t="s">
        <v>564</v>
      </c>
      <c r="E117" s="755" t="s">
        <v>565</v>
      </c>
      <c r="F117" s="755" t="s">
        <v>478</v>
      </c>
      <c r="G117" s="755" t="s">
        <v>39</v>
      </c>
      <c r="H117" s="755" t="s">
        <v>563</v>
      </c>
      <c r="I117" s="755" t="s">
        <v>51</v>
      </c>
      <c r="J117" s="755" t="s">
        <v>17</v>
      </c>
      <c r="K117" s="755"/>
      <c r="L117" s="755" t="s">
        <v>29</v>
      </c>
      <c r="M117" s="755" t="s">
        <v>412</v>
      </c>
      <c r="N117" s="756">
        <v>0</v>
      </c>
      <c r="O117" s="756">
        <v>0</v>
      </c>
      <c r="P117" s="756">
        <v>0</v>
      </c>
      <c r="Q117" s="756">
        <v>0</v>
      </c>
      <c r="R117" s="756">
        <v>0</v>
      </c>
      <c r="S117" s="756">
        <v>0</v>
      </c>
      <c r="T117" s="756">
        <v>0</v>
      </c>
      <c r="U117" s="756">
        <v>0</v>
      </c>
      <c r="V117" s="756">
        <v>0</v>
      </c>
      <c r="W117" s="756">
        <v>0</v>
      </c>
      <c r="X117" s="757">
        <v>0</v>
      </c>
      <c r="Y117" s="757">
        <v>0</v>
      </c>
      <c r="Z117" s="757">
        <v>578.82719999999995</v>
      </c>
      <c r="AA117" s="757">
        <v>578.82719999999995</v>
      </c>
      <c r="AB117" s="757">
        <v>578.82719999999995</v>
      </c>
      <c r="AC117" s="757">
        <v>578.82719999999995</v>
      </c>
      <c r="AD117" s="757">
        <v>578.82719999999995</v>
      </c>
      <c r="AE117" s="757">
        <v>578.82719999999995</v>
      </c>
      <c r="AF117" s="756">
        <v>0</v>
      </c>
      <c r="AG117" s="756">
        <v>0</v>
      </c>
      <c r="AH117" s="756">
        <v>0</v>
      </c>
      <c r="AI117" s="756">
        <v>0</v>
      </c>
      <c r="AJ117" s="756">
        <v>0</v>
      </c>
      <c r="AK117" s="756">
        <v>0</v>
      </c>
      <c r="AL117" s="756">
        <v>0</v>
      </c>
      <c r="AM117" s="756">
        <v>0</v>
      </c>
      <c r="AN117" s="756">
        <v>0</v>
      </c>
      <c r="AO117" s="756">
        <v>0</v>
      </c>
      <c r="AP117" s="756">
        <v>0</v>
      </c>
      <c r="AQ117" s="757">
        <v>578.82719999999995</v>
      </c>
      <c r="AR117" s="757">
        <v>0</v>
      </c>
      <c r="AS117" s="757">
        <v>0</v>
      </c>
      <c r="AT117" s="757">
        <v>0</v>
      </c>
      <c r="AU117" s="756">
        <v>0</v>
      </c>
      <c r="AV117" s="756">
        <v>0</v>
      </c>
      <c r="AW117" s="756">
        <v>0</v>
      </c>
      <c r="AX117" s="756">
        <v>0</v>
      </c>
      <c r="AY117" s="756">
        <v>0</v>
      </c>
      <c r="AZ117" s="758">
        <v>0.56000000000000005</v>
      </c>
      <c r="BA117" s="759" t="str">
        <f t="shared" si="20"/>
        <v/>
      </c>
      <c r="BB117" s="759" t="str">
        <f t="shared" si="21"/>
        <v/>
      </c>
      <c r="BC117" s="760">
        <f t="shared" si="23"/>
        <v>0</v>
      </c>
      <c r="BD117" s="760">
        <f t="shared" si="24"/>
        <v>0</v>
      </c>
      <c r="BE117" s="760">
        <f t="shared" si="25"/>
        <v>324.14323200000001</v>
      </c>
      <c r="BF117" s="760">
        <f t="shared" si="26"/>
        <v>254.68396799999994</v>
      </c>
      <c r="BG117" s="761">
        <f t="shared" si="22"/>
        <v>0</v>
      </c>
      <c r="BH117" s="762">
        <f t="shared" si="16"/>
        <v>0</v>
      </c>
      <c r="BI117" s="762">
        <f t="shared" si="17"/>
        <v>0</v>
      </c>
      <c r="BJ117" s="762">
        <f t="shared" si="18"/>
        <v>0</v>
      </c>
      <c r="BK117" s="762">
        <f t="shared" si="19"/>
        <v>0</v>
      </c>
    </row>
    <row r="118" spans="1:63">
      <c r="A118" s="669"/>
      <c r="B118" s="745">
        <v>2029</v>
      </c>
      <c r="C118" s="746" t="s">
        <v>13</v>
      </c>
      <c r="D118" s="746" t="s">
        <v>566</v>
      </c>
      <c r="E118" s="746" t="s">
        <v>567</v>
      </c>
      <c r="F118" s="746" t="s">
        <v>478</v>
      </c>
      <c r="G118" s="746" t="s">
        <v>27</v>
      </c>
      <c r="H118" s="746" t="s">
        <v>568</v>
      </c>
      <c r="I118" s="746" t="s">
        <v>51</v>
      </c>
      <c r="J118" s="746" t="s">
        <v>489</v>
      </c>
      <c r="K118" s="746"/>
      <c r="L118" s="746" t="s">
        <v>29</v>
      </c>
      <c r="M118" s="746" t="s">
        <v>412</v>
      </c>
      <c r="N118" s="747">
        <v>270642.48847999983</v>
      </c>
      <c r="O118" s="747">
        <v>37.878485554000001</v>
      </c>
      <c r="P118" s="747">
        <v>641.4247839999997</v>
      </c>
      <c r="Q118" s="747">
        <v>160799.61515799965</v>
      </c>
      <c r="R118" s="747">
        <v>22.125716248999961</v>
      </c>
      <c r="S118" s="747">
        <v>384.8548704000001</v>
      </c>
      <c r="T118" s="747">
        <v>2057186.0913239955</v>
      </c>
      <c r="U118" s="747">
        <v>5407.135624799992</v>
      </c>
      <c r="V118" s="747">
        <v>316.37656109057906</v>
      </c>
      <c r="W118" s="747">
        <v>28.711890167687962</v>
      </c>
      <c r="X118" s="748">
        <v>194003.23647913348</v>
      </c>
      <c r="Y118" s="748">
        <v>329857.8104834563</v>
      </c>
      <c r="Z118" s="748">
        <v>413780.1739252999</v>
      </c>
      <c r="AA118" s="748">
        <v>345416.81670030399</v>
      </c>
      <c r="AB118" s="748">
        <v>403132.30905690941</v>
      </c>
      <c r="AC118" s="748">
        <v>348090.78187579336</v>
      </c>
      <c r="AD118" s="748">
        <v>348090.78187579365</v>
      </c>
      <c r="AE118" s="748">
        <v>875447.68069738045</v>
      </c>
      <c r="AF118" s="747">
        <v>174833.71160870334</v>
      </c>
      <c r="AG118" s="747">
        <v>9772.5053770941722</v>
      </c>
      <c r="AH118" s="747">
        <v>9515.2122422552602</v>
      </c>
      <c r="AI118" s="747">
        <v>206022.26904009932</v>
      </c>
      <c r="AJ118" s="747">
        <v>14971.561360395879</v>
      </c>
      <c r="AK118" s="747">
        <v>1623.8774278960457</v>
      </c>
      <c r="AL118" s="747">
        <v>206022.26904009932</v>
      </c>
      <c r="AM118" s="747">
        <v>14979.910036910964</v>
      </c>
      <c r="AN118" s="747">
        <v>1623.8774278960457</v>
      </c>
      <c r="AO118" s="747">
        <v>24.727475766200982</v>
      </c>
      <c r="AP118" s="747">
        <v>2.0435793618239959</v>
      </c>
      <c r="AQ118" s="748">
        <v>35791.298799999997</v>
      </c>
      <c r="AR118" s="748">
        <v>26843.474099999999</v>
      </c>
      <c r="AS118" s="748">
        <v>116321.7212</v>
      </c>
      <c r="AT118" s="748">
        <v>234823.67982529989</v>
      </c>
      <c r="AU118" s="747">
        <v>465607.58308790415</v>
      </c>
      <c r="AV118" s="747">
        <v>6707.7885525671145</v>
      </c>
      <c r="AW118" s="747">
        <v>0</v>
      </c>
      <c r="AX118" s="747">
        <v>0</v>
      </c>
      <c r="AY118" s="747">
        <v>1412.2266870807098</v>
      </c>
      <c r="AZ118" s="749">
        <v>0.56000000000000005</v>
      </c>
      <c r="BA118" s="750">
        <f t="shared" si="20"/>
        <v>36161.435419615169</v>
      </c>
      <c r="BB118" s="750">
        <f t="shared" si="21"/>
        <v>520.96072178080271</v>
      </c>
      <c r="BC118" s="751">
        <f t="shared" si="23"/>
        <v>181574.45715144702</v>
      </c>
      <c r="BD118" s="751">
        <f t="shared" si="24"/>
        <v>13959.198763686487</v>
      </c>
      <c r="BE118" s="751">
        <f t="shared" si="25"/>
        <v>691361.67615977349</v>
      </c>
      <c r="BF118" s="751">
        <f t="shared" si="26"/>
        <v>184086.00453760722</v>
      </c>
      <c r="BG118" s="752">
        <f t="shared" si="22"/>
        <v>12.875804781669233</v>
      </c>
      <c r="BH118" s="763">
        <f t="shared" si="16"/>
        <v>14101.988980909939</v>
      </c>
      <c r="BI118" s="763">
        <f t="shared" si="17"/>
        <v>1084.1418459186052</v>
      </c>
      <c r="BJ118" s="763">
        <f t="shared" si="18"/>
        <v>53694.637957235682</v>
      </c>
      <c r="BK118" s="763">
        <f t="shared" si="19"/>
        <v>14297.048429911199</v>
      </c>
    </row>
    <row r="119" spans="1:63">
      <c r="A119" s="669"/>
      <c r="B119" s="754">
        <v>2029</v>
      </c>
      <c r="C119" s="755" t="s">
        <v>13</v>
      </c>
      <c r="D119" s="755" t="s">
        <v>569</v>
      </c>
      <c r="E119" s="755" t="s">
        <v>570</v>
      </c>
      <c r="F119" s="755" t="s">
        <v>478</v>
      </c>
      <c r="G119" s="755" t="s">
        <v>27</v>
      </c>
      <c r="H119" s="755" t="s">
        <v>568</v>
      </c>
      <c r="I119" s="755" t="s">
        <v>51</v>
      </c>
      <c r="J119" s="755" t="s">
        <v>17</v>
      </c>
      <c r="K119" s="755"/>
      <c r="L119" s="755" t="s">
        <v>29</v>
      </c>
      <c r="M119" s="755" t="s">
        <v>412</v>
      </c>
      <c r="N119" s="756">
        <v>0</v>
      </c>
      <c r="O119" s="756">
        <v>0</v>
      </c>
      <c r="P119" s="756">
        <v>0</v>
      </c>
      <c r="Q119" s="756">
        <v>0</v>
      </c>
      <c r="R119" s="756">
        <v>0</v>
      </c>
      <c r="S119" s="756">
        <v>0</v>
      </c>
      <c r="T119" s="756">
        <v>0</v>
      </c>
      <c r="U119" s="756">
        <v>0</v>
      </c>
      <c r="V119" s="756">
        <v>0</v>
      </c>
      <c r="W119" s="756">
        <v>0</v>
      </c>
      <c r="X119" s="757">
        <v>0</v>
      </c>
      <c r="Y119" s="757">
        <v>0</v>
      </c>
      <c r="Z119" s="757">
        <v>2717.3272000000002</v>
      </c>
      <c r="AA119" s="757">
        <v>2717.3272000000002</v>
      </c>
      <c r="AB119" s="757">
        <v>2717.3272000000002</v>
      </c>
      <c r="AC119" s="757">
        <v>2717.3272000000002</v>
      </c>
      <c r="AD119" s="757">
        <v>2717.3272000000002</v>
      </c>
      <c r="AE119" s="757">
        <v>2717.3272000000002</v>
      </c>
      <c r="AF119" s="756">
        <v>0</v>
      </c>
      <c r="AG119" s="756">
        <v>0</v>
      </c>
      <c r="AH119" s="756">
        <v>0</v>
      </c>
      <c r="AI119" s="756">
        <v>0</v>
      </c>
      <c r="AJ119" s="756">
        <v>0</v>
      </c>
      <c r="AK119" s="756">
        <v>0</v>
      </c>
      <c r="AL119" s="756">
        <v>0</v>
      </c>
      <c r="AM119" s="756">
        <v>0</v>
      </c>
      <c r="AN119" s="756">
        <v>0</v>
      </c>
      <c r="AO119" s="756">
        <v>0</v>
      </c>
      <c r="AP119" s="756">
        <v>0</v>
      </c>
      <c r="AQ119" s="757">
        <v>2717.3272000000002</v>
      </c>
      <c r="AR119" s="757">
        <v>0</v>
      </c>
      <c r="AS119" s="757">
        <v>0</v>
      </c>
      <c r="AT119" s="757">
        <v>0</v>
      </c>
      <c r="AU119" s="756">
        <v>0</v>
      </c>
      <c r="AV119" s="756">
        <v>0</v>
      </c>
      <c r="AW119" s="756">
        <v>0</v>
      </c>
      <c r="AX119" s="756">
        <v>0</v>
      </c>
      <c r="AY119" s="756">
        <v>0</v>
      </c>
      <c r="AZ119" s="758">
        <v>0.56000000000000005</v>
      </c>
      <c r="BA119" s="759" t="str">
        <f t="shared" si="20"/>
        <v/>
      </c>
      <c r="BB119" s="759" t="str">
        <f t="shared" si="21"/>
        <v/>
      </c>
      <c r="BC119" s="760">
        <f t="shared" si="23"/>
        <v>0</v>
      </c>
      <c r="BD119" s="760">
        <f t="shared" si="24"/>
        <v>0</v>
      </c>
      <c r="BE119" s="760">
        <f t="shared" si="25"/>
        <v>1521.7032320000003</v>
      </c>
      <c r="BF119" s="760">
        <f t="shared" si="26"/>
        <v>1195.6239679999999</v>
      </c>
      <c r="BG119" s="761">
        <f t="shared" si="22"/>
        <v>0</v>
      </c>
      <c r="BH119" s="762">
        <f t="shared" si="16"/>
        <v>0</v>
      </c>
      <c r="BI119" s="762">
        <f t="shared" si="17"/>
        <v>0</v>
      </c>
      <c r="BJ119" s="762">
        <f t="shared" si="18"/>
        <v>0</v>
      </c>
      <c r="BK119" s="762">
        <f t="shared" si="19"/>
        <v>0</v>
      </c>
    </row>
    <row r="120" spans="1:63">
      <c r="A120" s="669"/>
      <c r="B120" s="745">
        <v>2029</v>
      </c>
      <c r="C120" s="746" t="s">
        <v>13</v>
      </c>
      <c r="D120" s="746" t="s">
        <v>571</v>
      </c>
      <c r="E120" s="746" t="s">
        <v>572</v>
      </c>
      <c r="F120" s="746" t="s">
        <v>478</v>
      </c>
      <c r="G120" s="746" t="s">
        <v>34</v>
      </c>
      <c r="H120" s="746" t="s">
        <v>573</v>
      </c>
      <c r="I120" s="746" t="s">
        <v>51</v>
      </c>
      <c r="J120" s="746" t="s">
        <v>489</v>
      </c>
      <c r="K120" s="746"/>
      <c r="L120" s="746" t="s">
        <v>29</v>
      </c>
      <c r="M120" s="746" t="s">
        <v>412</v>
      </c>
      <c r="N120" s="747">
        <v>2165.7999999999902</v>
      </c>
      <c r="O120" s="747">
        <v>9.3184000000000003E-2</v>
      </c>
      <c r="P120" s="747">
        <v>0</v>
      </c>
      <c r="Q120" s="747">
        <v>866.31999999999903</v>
      </c>
      <c r="R120" s="747">
        <v>3.7273599999999997E-2</v>
      </c>
      <c r="S120" s="747">
        <v>0</v>
      </c>
      <c r="T120" s="747">
        <v>8663.1999999999898</v>
      </c>
      <c r="U120" s="747">
        <v>0</v>
      </c>
      <c r="V120" s="747">
        <v>1.6476633642559999</v>
      </c>
      <c r="W120" s="747">
        <v>0</v>
      </c>
      <c r="X120" s="748">
        <v>1634.921680242639</v>
      </c>
      <c r="Y120" s="748">
        <v>3639.5159506065897</v>
      </c>
      <c r="Z120" s="748">
        <v>64653.152100000007</v>
      </c>
      <c r="AA120" s="748">
        <v>46157.242342260099</v>
      </c>
      <c r="AB120" s="748">
        <v>62640.0627597497</v>
      </c>
      <c r="AC120" s="748">
        <v>46499.841309398485</v>
      </c>
      <c r="AD120" s="748">
        <v>46499.841309398485</v>
      </c>
      <c r="AE120" s="748">
        <v>65782.275273616702</v>
      </c>
      <c r="AF120" s="747">
        <v>739.345180242639</v>
      </c>
      <c r="AG120" s="747">
        <v>0</v>
      </c>
      <c r="AH120" s="747">
        <v>895.5764999999999</v>
      </c>
      <c r="AI120" s="747">
        <v>840.36130948147695</v>
      </c>
      <c r="AJ120" s="747">
        <v>0</v>
      </c>
      <c r="AK120" s="747">
        <v>0</v>
      </c>
      <c r="AL120" s="747">
        <v>840.36130948147695</v>
      </c>
      <c r="AM120" s="747">
        <v>0</v>
      </c>
      <c r="AN120" s="747">
        <v>0</v>
      </c>
      <c r="AO120" s="747">
        <v>0.164355977968</v>
      </c>
      <c r="AP120" s="747">
        <v>0</v>
      </c>
      <c r="AQ120" s="748">
        <v>5592.3904000000002</v>
      </c>
      <c r="AR120" s="748">
        <v>4194.2928000000002</v>
      </c>
      <c r="AS120" s="748">
        <v>18175.268899999999</v>
      </c>
      <c r="AT120" s="748">
        <v>36691.199999999997</v>
      </c>
      <c r="AU120" s="747">
        <v>3142.2125138669999</v>
      </c>
      <c r="AV120" s="747">
        <v>0</v>
      </c>
      <c r="AW120" s="747">
        <v>0</v>
      </c>
      <c r="AX120" s="747">
        <v>0</v>
      </c>
      <c r="AY120" s="747">
        <v>0</v>
      </c>
      <c r="AZ120" s="749">
        <v>0.56000000000000005</v>
      </c>
      <c r="BA120" s="750">
        <f t="shared" si="20"/>
        <v>314.22125138670003</v>
      </c>
      <c r="BB120" s="750">
        <f t="shared" si="21"/>
        <v>0</v>
      </c>
      <c r="BC120" s="751">
        <f t="shared" si="23"/>
        <v>1240.868020242639</v>
      </c>
      <c r="BD120" s="751">
        <f t="shared" si="24"/>
        <v>394.05365999999992</v>
      </c>
      <c r="BE120" s="751">
        <f t="shared" si="25"/>
        <v>38220.647659326838</v>
      </c>
      <c r="BF120" s="751">
        <f t="shared" si="26"/>
        <v>27561.627614289864</v>
      </c>
      <c r="BG120" s="752">
        <f t="shared" si="22"/>
        <v>9.9999999999999982</v>
      </c>
      <c r="BH120" s="763">
        <f t="shared" si="16"/>
        <v>124.08680202426392</v>
      </c>
      <c r="BI120" s="763">
        <f t="shared" si="17"/>
        <v>39.405366000000001</v>
      </c>
      <c r="BJ120" s="763">
        <f t="shared" si="18"/>
        <v>3822.0647659326846</v>
      </c>
      <c r="BK120" s="763">
        <f t="shared" si="19"/>
        <v>2756.1627614289869</v>
      </c>
    </row>
    <row r="121" spans="1:63">
      <c r="A121" s="669"/>
      <c r="B121" s="754">
        <v>2029</v>
      </c>
      <c r="C121" s="755" t="s">
        <v>13</v>
      </c>
      <c r="D121" s="755" t="s">
        <v>574</v>
      </c>
      <c r="E121" s="755" t="s">
        <v>575</v>
      </c>
      <c r="F121" s="755" t="s">
        <v>478</v>
      </c>
      <c r="G121" s="755" t="s">
        <v>34</v>
      </c>
      <c r="H121" s="755" t="s">
        <v>573</v>
      </c>
      <c r="I121" s="755" t="s">
        <v>51</v>
      </c>
      <c r="J121" s="755" t="s">
        <v>17</v>
      </c>
      <c r="K121" s="755"/>
      <c r="L121" s="755" t="s">
        <v>29</v>
      </c>
      <c r="M121" s="755" t="s">
        <v>412</v>
      </c>
      <c r="N121" s="756">
        <v>0</v>
      </c>
      <c r="O121" s="756">
        <v>0</v>
      </c>
      <c r="P121" s="756">
        <v>0</v>
      </c>
      <c r="Q121" s="756">
        <v>0</v>
      </c>
      <c r="R121" s="756">
        <v>0</v>
      </c>
      <c r="S121" s="756">
        <v>0</v>
      </c>
      <c r="T121" s="756">
        <v>0</v>
      </c>
      <c r="U121" s="756">
        <v>0</v>
      </c>
      <c r="V121" s="756">
        <v>0</v>
      </c>
      <c r="W121" s="756">
        <v>0</v>
      </c>
      <c r="X121" s="757">
        <v>0</v>
      </c>
      <c r="Y121" s="757">
        <v>0</v>
      </c>
      <c r="Z121" s="757">
        <v>578.82719999999995</v>
      </c>
      <c r="AA121" s="757">
        <v>578.82719999999995</v>
      </c>
      <c r="AB121" s="757">
        <v>578.82719999999995</v>
      </c>
      <c r="AC121" s="757">
        <v>578.82719999999995</v>
      </c>
      <c r="AD121" s="757">
        <v>578.82719999999995</v>
      </c>
      <c r="AE121" s="757">
        <v>578.82719999999995</v>
      </c>
      <c r="AF121" s="756">
        <v>0</v>
      </c>
      <c r="AG121" s="756">
        <v>0</v>
      </c>
      <c r="AH121" s="756">
        <v>0</v>
      </c>
      <c r="AI121" s="756">
        <v>0</v>
      </c>
      <c r="AJ121" s="756">
        <v>0</v>
      </c>
      <c r="AK121" s="756">
        <v>0</v>
      </c>
      <c r="AL121" s="756">
        <v>0</v>
      </c>
      <c r="AM121" s="756">
        <v>0</v>
      </c>
      <c r="AN121" s="756">
        <v>0</v>
      </c>
      <c r="AO121" s="756">
        <v>0</v>
      </c>
      <c r="AP121" s="756">
        <v>0</v>
      </c>
      <c r="AQ121" s="757">
        <v>578.82719999999995</v>
      </c>
      <c r="AR121" s="757">
        <v>0</v>
      </c>
      <c r="AS121" s="757">
        <v>0</v>
      </c>
      <c r="AT121" s="757">
        <v>0</v>
      </c>
      <c r="AU121" s="756">
        <v>0</v>
      </c>
      <c r="AV121" s="756">
        <v>0</v>
      </c>
      <c r="AW121" s="756">
        <v>0</v>
      </c>
      <c r="AX121" s="756">
        <v>0</v>
      </c>
      <c r="AY121" s="756">
        <v>0</v>
      </c>
      <c r="AZ121" s="758">
        <v>0.56000000000000005</v>
      </c>
      <c r="BA121" s="759" t="str">
        <f t="shared" si="20"/>
        <v/>
      </c>
      <c r="BB121" s="759" t="str">
        <f t="shared" si="21"/>
        <v/>
      </c>
      <c r="BC121" s="760">
        <f t="shared" si="23"/>
        <v>0</v>
      </c>
      <c r="BD121" s="760">
        <f t="shared" si="24"/>
        <v>0</v>
      </c>
      <c r="BE121" s="760">
        <f t="shared" si="25"/>
        <v>324.14323200000001</v>
      </c>
      <c r="BF121" s="760">
        <f t="shared" si="26"/>
        <v>254.68396799999994</v>
      </c>
      <c r="BG121" s="761">
        <f t="shared" si="22"/>
        <v>0</v>
      </c>
      <c r="BH121" s="762">
        <f t="shared" si="16"/>
        <v>0</v>
      </c>
      <c r="BI121" s="762">
        <f t="shared" si="17"/>
        <v>0</v>
      </c>
      <c r="BJ121" s="762">
        <f t="shared" si="18"/>
        <v>0</v>
      </c>
      <c r="BK121" s="762">
        <f t="shared" si="19"/>
        <v>0</v>
      </c>
    </row>
    <row r="122" spans="1:63">
      <c r="A122" s="669"/>
      <c r="B122" s="745">
        <v>2029</v>
      </c>
      <c r="C122" s="746" t="s">
        <v>13</v>
      </c>
      <c r="D122" s="746" t="s">
        <v>576</v>
      </c>
      <c r="E122" s="746" t="s">
        <v>577</v>
      </c>
      <c r="F122" s="746" t="s">
        <v>478</v>
      </c>
      <c r="G122" s="746" t="s">
        <v>45</v>
      </c>
      <c r="H122" s="746" t="s">
        <v>578</v>
      </c>
      <c r="I122" s="746" t="s">
        <v>51</v>
      </c>
      <c r="J122" s="746" t="s">
        <v>489</v>
      </c>
      <c r="K122" s="746"/>
      <c r="L122" s="746" t="s">
        <v>29</v>
      </c>
      <c r="M122" s="746" t="s">
        <v>412</v>
      </c>
      <c r="N122" s="747">
        <v>27272.345099999977</v>
      </c>
      <c r="O122" s="747">
        <v>4.2032927299999994</v>
      </c>
      <c r="P122" s="747">
        <v>-16.984604000000221</v>
      </c>
      <c r="Q122" s="747">
        <v>16105.393303999997</v>
      </c>
      <c r="R122" s="747">
        <v>2.4333389989999987</v>
      </c>
      <c r="S122" s="747">
        <v>-10.190762399999937</v>
      </c>
      <c r="T122" s="747">
        <v>203472.72035999983</v>
      </c>
      <c r="U122" s="747">
        <v>-32.758252799999823</v>
      </c>
      <c r="V122" s="747">
        <v>31.515376420292835</v>
      </c>
      <c r="W122" s="747">
        <v>-0.17394632236800056</v>
      </c>
      <c r="X122" s="748">
        <v>39517.636343593207</v>
      </c>
      <c r="Y122" s="748">
        <v>74419.059480411815</v>
      </c>
      <c r="Z122" s="748">
        <v>271543.23946870008</v>
      </c>
      <c r="AA122" s="748">
        <v>205609.65573715547</v>
      </c>
      <c r="AB122" s="748">
        <v>263213.11774802802</v>
      </c>
      <c r="AC122" s="748">
        <v>207183.17312240039</v>
      </c>
      <c r="AD122" s="748">
        <v>207183.17312240039</v>
      </c>
      <c r="AE122" s="748">
        <v>322950.78776223405</v>
      </c>
      <c r="AF122" s="747">
        <v>15419.44783268904</v>
      </c>
      <c r="AG122" s="747">
        <v>-94.802619588755107</v>
      </c>
      <c r="AH122" s="747">
        <v>24146.228236449399</v>
      </c>
      <c r="AI122" s="747">
        <v>18064.07702523718</v>
      </c>
      <c r="AJ122" s="747">
        <v>-100.38673239824433</v>
      </c>
      <c r="AK122" s="747">
        <v>73.923116118858005</v>
      </c>
      <c r="AL122" s="747">
        <v>18064.07702523718</v>
      </c>
      <c r="AM122" s="747">
        <v>-100.29371555085255</v>
      </c>
      <c r="AN122" s="747">
        <v>73.923116118858005</v>
      </c>
      <c r="AO122" s="747">
        <v>2.5196157642976287</v>
      </c>
      <c r="AP122" s="747">
        <v>-5.4112948344000329E-2</v>
      </c>
      <c r="AQ122" s="748">
        <v>23488.039799999999</v>
      </c>
      <c r="AR122" s="748">
        <v>17616.029900000001</v>
      </c>
      <c r="AS122" s="748">
        <v>76336.129499999995</v>
      </c>
      <c r="AT122" s="748">
        <v>154103.04026870008</v>
      </c>
      <c r="AU122" s="747">
        <v>59813.311329666234</v>
      </c>
      <c r="AV122" s="747">
        <v>-75.641315460017381</v>
      </c>
      <c r="AW122" s="747">
        <v>0</v>
      </c>
      <c r="AX122" s="747">
        <v>0</v>
      </c>
      <c r="AY122" s="747">
        <v>63.958618043488535</v>
      </c>
      <c r="AZ122" s="749">
        <v>0.56000000000000005</v>
      </c>
      <c r="BA122" s="750">
        <f t="shared" si="20"/>
        <v>4668.627118959068</v>
      </c>
      <c r="BB122" s="750">
        <f t="shared" si="21"/>
        <v>-5.9040552816747969</v>
      </c>
      <c r="BC122" s="751">
        <f t="shared" si="23"/>
        <v>29005.294263144191</v>
      </c>
      <c r="BD122" s="751">
        <f t="shared" si="24"/>
        <v>10529.537804448979</v>
      </c>
      <c r="BE122" s="751">
        <f t="shared" si="25"/>
        <v>207212.65726856195</v>
      </c>
      <c r="BF122" s="751">
        <f t="shared" si="26"/>
        <v>115738.1304936723</v>
      </c>
      <c r="BG122" s="752">
        <f t="shared" si="22"/>
        <v>12.811755962854109</v>
      </c>
      <c r="BH122" s="763">
        <f t="shared" si="16"/>
        <v>2263.9593157441477</v>
      </c>
      <c r="BI122" s="763">
        <f t="shared" si="17"/>
        <v>821.86531143567663</v>
      </c>
      <c r="BJ122" s="763">
        <f t="shared" si="18"/>
        <v>16173.634423676662</v>
      </c>
      <c r="BK122" s="763">
        <f t="shared" si="19"/>
        <v>9033.7445412821471</v>
      </c>
    </row>
    <row r="123" spans="1:63">
      <c r="A123" s="669"/>
      <c r="B123" s="754">
        <v>2029</v>
      </c>
      <c r="C123" s="755" t="s">
        <v>13</v>
      </c>
      <c r="D123" s="755" t="s">
        <v>579</v>
      </c>
      <c r="E123" s="755" t="s">
        <v>580</v>
      </c>
      <c r="F123" s="755" t="s">
        <v>478</v>
      </c>
      <c r="G123" s="755" t="s">
        <v>45</v>
      </c>
      <c r="H123" s="755" t="s">
        <v>578</v>
      </c>
      <c r="I123" s="755" t="s">
        <v>51</v>
      </c>
      <c r="J123" s="755" t="s">
        <v>17</v>
      </c>
      <c r="K123" s="755"/>
      <c r="L123" s="755" t="s">
        <v>29</v>
      </c>
      <c r="M123" s="755" t="s">
        <v>412</v>
      </c>
      <c r="N123" s="756">
        <v>0</v>
      </c>
      <c r="O123" s="756">
        <v>0</v>
      </c>
      <c r="P123" s="756">
        <v>0</v>
      </c>
      <c r="Q123" s="756">
        <v>0</v>
      </c>
      <c r="R123" s="756">
        <v>0</v>
      </c>
      <c r="S123" s="756">
        <v>0</v>
      </c>
      <c r="T123" s="756">
        <v>0</v>
      </c>
      <c r="U123" s="756">
        <v>0</v>
      </c>
      <c r="V123" s="756">
        <v>0</v>
      </c>
      <c r="W123" s="756">
        <v>0</v>
      </c>
      <c r="X123" s="757">
        <v>0</v>
      </c>
      <c r="Y123" s="757">
        <v>0</v>
      </c>
      <c r="Z123" s="757">
        <v>1846.0871999999999</v>
      </c>
      <c r="AA123" s="757">
        <v>1846.0871999999999</v>
      </c>
      <c r="AB123" s="757">
        <v>1846.0871999999999</v>
      </c>
      <c r="AC123" s="757">
        <v>1846.0871999999999</v>
      </c>
      <c r="AD123" s="757">
        <v>1846.0871999999999</v>
      </c>
      <c r="AE123" s="757">
        <v>1846.0871999999999</v>
      </c>
      <c r="AF123" s="756">
        <v>0</v>
      </c>
      <c r="AG123" s="756">
        <v>0</v>
      </c>
      <c r="AH123" s="756">
        <v>0</v>
      </c>
      <c r="AI123" s="756">
        <v>0</v>
      </c>
      <c r="AJ123" s="756">
        <v>0</v>
      </c>
      <c r="AK123" s="756">
        <v>0</v>
      </c>
      <c r="AL123" s="756">
        <v>0</v>
      </c>
      <c r="AM123" s="756">
        <v>0</v>
      </c>
      <c r="AN123" s="756">
        <v>0</v>
      </c>
      <c r="AO123" s="756">
        <v>0</v>
      </c>
      <c r="AP123" s="756">
        <v>0</v>
      </c>
      <c r="AQ123" s="757">
        <v>1846.0871999999999</v>
      </c>
      <c r="AR123" s="757">
        <v>0</v>
      </c>
      <c r="AS123" s="757">
        <v>0</v>
      </c>
      <c r="AT123" s="757">
        <v>0</v>
      </c>
      <c r="AU123" s="756">
        <v>0</v>
      </c>
      <c r="AV123" s="756">
        <v>0</v>
      </c>
      <c r="AW123" s="756">
        <v>0</v>
      </c>
      <c r="AX123" s="756">
        <v>0</v>
      </c>
      <c r="AY123" s="756">
        <v>0</v>
      </c>
      <c r="AZ123" s="758">
        <v>0.56000000000000005</v>
      </c>
      <c r="BA123" s="759" t="str">
        <f t="shared" si="20"/>
        <v/>
      </c>
      <c r="BB123" s="759" t="str">
        <f t="shared" si="21"/>
        <v/>
      </c>
      <c r="BC123" s="760">
        <f t="shared" si="23"/>
        <v>0</v>
      </c>
      <c r="BD123" s="760">
        <f t="shared" si="24"/>
        <v>0</v>
      </c>
      <c r="BE123" s="760">
        <f t="shared" si="25"/>
        <v>1033.8088320000002</v>
      </c>
      <c r="BF123" s="760">
        <f t="shared" si="26"/>
        <v>812.27836799999989</v>
      </c>
      <c r="BG123" s="761">
        <f t="shared" si="22"/>
        <v>0</v>
      </c>
      <c r="BH123" s="762">
        <f t="shared" si="16"/>
        <v>0</v>
      </c>
      <c r="BI123" s="762">
        <f t="shared" si="17"/>
        <v>0</v>
      </c>
      <c r="BJ123" s="762">
        <f t="shared" si="18"/>
        <v>0</v>
      </c>
      <c r="BK123" s="762">
        <f t="shared" si="19"/>
        <v>0</v>
      </c>
    </row>
    <row r="124" spans="1:63">
      <c r="A124" s="669"/>
      <c r="B124" s="745">
        <v>2029</v>
      </c>
      <c r="C124" s="746" t="s">
        <v>13</v>
      </c>
      <c r="D124" s="746" t="s">
        <v>581</v>
      </c>
      <c r="E124" s="746" t="s">
        <v>582</v>
      </c>
      <c r="F124" s="746" t="s">
        <v>478</v>
      </c>
      <c r="G124" s="746" t="s">
        <v>18</v>
      </c>
      <c r="H124" s="746" t="s">
        <v>583</v>
      </c>
      <c r="I124" s="746" t="s">
        <v>51</v>
      </c>
      <c r="J124" s="746" t="s">
        <v>489</v>
      </c>
      <c r="K124" s="746"/>
      <c r="L124" s="746" t="s">
        <v>29</v>
      </c>
      <c r="M124" s="746" t="s">
        <v>412</v>
      </c>
      <c r="N124" s="747">
        <v>216776.60230894061</v>
      </c>
      <c r="O124" s="747">
        <v>71.703347760601972</v>
      </c>
      <c r="P124" s="747">
        <v>1972.8119611199979</v>
      </c>
      <c r="Q124" s="747">
        <v>117151.99764723457</v>
      </c>
      <c r="R124" s="747">
        <v>41.137502294031677</v>
      </c>
      <c r="S124" s="747">
        <v>623.64774981599942</v>
      </c>
      <c r="T124" s="747">
        <v>2007149.461872203</v>
      </c>
      <c r="U124" s="747">
        <v>6677.6875765599907</v>
      </c>
      <c r="V124" s="747">
        <v>452.39537865076278</v>
      </c>
      <c r="W124" s="747">
        <v>35.458521031533607</v>
      </c>
      <c r="X124" s="748">
        <v>395259.94942223513</v>
      </c>
      <c r="Y124" s="748">
        <v>768335.52807414241</v>
      </c>
      <c r="Z124" s="748">
        <v>478433.32561690232</v>
      </c>
      <c r="AA124" s="748">
        <v>999904.41936151159</v>
      </c>
      <c r="AB124" s="748">
        <v>464755.07797245367</v>
      </c>
      <c r="AC124" s="748">
        <v>1009501.625941492</v>
      </c>
      <c r="AD124" s="748">
        <v>1009501.6259414909</v>
      </c>
      <c r="AE124" s="748">
        <v>997735.45070840733</v>
      </c>
      <c r="AF124" s="747">
        <v>177213.75490010157</v>
      </c>
      <c r="AG124" s="747">
        <v>13074.421837080446</v>
      </c>
      <c r="AH124" s="747">
        <v>203205.84790049089</v>
      </c>
      <c r="AI124" s="747">
        <v>222147.16006342982</v>
      </c>
      <c r="AJ124" s="747">
        <v>18975.763632607977</v>
      </c>
      <c r="AK124" s="747">
        <v>2018.5635167185005</v>
      </c>
      <c r="AL124" s="747">
        <v>222147.16006342982</v>
      </c>
      <c r="AM124" s="747">
        <v>18989.649018663207</v>
      </c>
      <c r="AN124" s="747">
        <v>2018.5635167185005</v>
      </c>
      <c r="AO124" s="747">
        <v>24.714255322938293</v>
      </c>
      <c r="AP124" s="747">
        <v>3.311569551522954</v>
      </c>
      <c r="AQ124" s="748">
        <v>41383.689299999998</v>
      </c>
      <c r="AR124" s="748">
        <v>31037.766899999999</v>
      </c>
      <c r="AS124" s="748">
        <v>134496.9901</v>
      </c>
      <c r="AT124" s="748">
        <v>271514.87931690237</v>
      </c>
      <c r="AU124" s="747">
        <v>518449.27754932613</v>
      </c>
      <c r="AV124" s="747">
        <v>14531.095186627363</v>
      </c>
      <c r="AW124" s="747">
        <v>0</v>
      </c>
      <c r="AX124" s="747">
        <v>0</v>
      </c>
      <c r="AY124" s="747">
        <v>1765.9247845620075</v>
      </c>
      <c r="AZ124" s="749">
        <v>0.56000000000000005</v>
      </c>
      <c r="BA124" s="750">
        <f t="shared" si="20"/>
        <v>31873.415859171604</v>
      </c>
      <c r="BB124" s="750">
        <f t="shared" si="21"/>
        <v>893.34802810775511</v>
      </c>
      <c r="BC124" s="751">
        <f t="shared" si="23"/>
        <v>292774.95450893848</v>
      </c>
      <c r="BD124" s="751">
        <f t="shared" si="24"/>
        <v>102484.99491329642</v>
      </c>
      <c r="BE124" s="751">
        <f t="shared" si="25"/>
        <v>778712.12121390016</v>
      </c>
      <c r="BF124" s="751">
        <f t="shared" si="26"/>
        <v>219023.32949450694</v>
      </c>
      <c r="BG124" s="752">
        <f t="shared" si="22"/>
        <v>16.265883764702988</v>
      </c>
      <c r="BH124" s="763">
        <f t="shared" si="16"/>
        <v>17999.326611706208</v>
      </c>
      <c r="BI124" s="763">
        <f t="shared" si="17"/>
        <v>6300.610307795826</v>
      </c>
      <c r="BJ124" s="763">
        <f t="shared" si="18"/>
        <v>47873.950931809042</v>
      </c>
      <c r="BK124" s="763">
        <f t="shared" si="19"/>
        <v>13465.197013751455</v>
      </c>
    </row>
    <row r="125" spans="1:63">
      <c r="A125" s="669"/>
      <c r="B125" s="754">
        <v>2029</v>
      </c>
      <c r="C125" s="755" t="s">
        <v>13</v>
      </c>
      <c r="D125" s="755" t="s">
        <v>584</v>
      </c>
      <c r="E125" s="755" t="s">
        <v>585</v>
      </c>
      <c r="F125" s="755" t="s">
        <v>478</v>
      </c>
      <c r="G125" s="755" t="s">
        <v>18</v>
      </c>
      <c r="H125" s="755" t="s">
        <v>583</v>
      </c>
      <c r="I125" s="755" t="s">
        <v>51</v>
      </c>
      <c r="J125" s="755" t="s">
        <v>17</v>
      </c>
      <c r="K125" s="755"/>
      <c r="L125" s="755" t="s">
        <v>29</v>
      </c>
      <c r="M125" s="755" t="s">
        <v>412</v>
      </c>
      <c r="N125" s="756">
        <v>0</v>
      </c>
      <c r="O125" s="756">
        <v>0</v>
      </c>
      <c r="P125" s="756">
        <v>0</v>
      </c>
      <c r="Q125" s="756">
        <v>0</v>
      </c>
      <c r="R125" s="756">
        <v>0</v>
      </c>
      <c r="S125" s="756">
        <v>0</v>
      </c>
      <c r="T125" s="756">
        <v>0</v>
      </c>
      <c r="U125" s="756">
        <v>0</v>
      </c>
      <c r="V125" s="756">
        <v>0</v>
      </c>
      <c r="W125" s="756">
        <v>0</v>
      </c>
      <c r="X125" s="757">
        <v>0</v>
      </c>
      <c r="Y125" s="757">
        <v>0</v>
      </c>
      <c r="Z125" s="757">
        <v>3113.3472000000002</v>
      </c>
      <c r="AA125" s="757">
        <v>3113.3472000000002</v>
      </c>
      <c r="AB125" s="757">
        <v>3113.3472000000002</v>
      </c>
      <c r="AC125" s="757">
        <v>3113.3472000000002</v>
      </c>
      <c r="AD125" s="757">
        <v>3113.3472000000002</v>
      </c>
      <c r="AE125" s="757">
        <v>3113.3472000000002</v>
      </c>
      <c r="AF125" s="756">
        <v>0</v>
      </c>
      <c r="AG125" s="756">
        <v>0</v>
      </c>
      <c r="AH125" s="756">
        <v>0</v>
      </c>
      <c r="AI125" s="756">
        <v>0</v>
      </c>
      <c r="AJ125" s="756">
        <v>0</v>
      </c>
      <c r="AK125" s="756">
        <v>0</v>
      </c>
      <c r="AL125" s="756">
        <v>0</v>
      </c>
      <c r="AM125" s="756">
        <v>0</v>
      </c>
      <c r="AN125" s="756">
        <v>0</v>
      </c>
      <c r="AO125" s="756">
        <v>0</v>
      </c>
      <c r="AP125" s="756">
        <v>0</v>
      </c>
      <c r="AQ125" s="757">
        <v>3113.3472000000002</v>
      </c>
      <c r="AR125" s="757">
        <v>0</v>
      </c>
      <c r="AS125" s="757">
        <v>0</v>
      </c>
      <c r="AT125" s="757">
        <v>0</v>
      </c>
      <c r="AU125" s="756">
        <v>0</v>
      </c>
      <c r="AV125" s="756">
        <v>0</v>
      </c>
      <c r="AW125" s="756">
        <v>0</v>
      </c>
      <c r="AX125" s="756">
        <v>0</v>
      </c>
      <c r="AY125" s="756">
        <v>0</v>
      </c>
      <c r="AZ125" s="758">
        <v>0.56000000000000005</v>
      </c>
      <c r="BA125" s="759" t="str">
        <f t="shared" si="20"/>
        <v/>
      </c>
      <c r="BB125" s="759" t="str">
        <f t="shared" si="21"/>
        <v/>
      </c>
      <c r="BC125" s="760">
        <f t="shared" si="23"/>
        <v>0</v>
      </c>
      <c r="BD125" s="760">
        <f t="shared" si="24"/>
        <v>0</v>
      </c>
      <c r="BE125" s="760">
        <f t="shared" si="25"/>
        <v>1743.4744320000002</v>
      </c>
      <c r="BF125" s="760">
        <f t="shared" si="26"/>
        <v>1369.872768</v>
      </c>
      <c r="BG125" s="761">
        <f t="shared" si="22"/>
        <v>0</v>
      </c>
      <c r="BH125" s="762">
        <f t="shared" si="16"/>
        <v>0</v>
      </c>
      <c r="BI125" s="762">
        <f t="shared" si="17"/>
        <v>0</v>
      </c>
      <c r="BJ125" s="762">
        <f t="shared" si="18"/>
        <v>0</v>
      </c>
      <c r="BK125" s="762">
        <f t="shared" si="19"/>
        <v>0</v>
      </c>
    </row>
    <row r="126" spans="1:63">
      <c r="A126" s="669"/>
      <c r="B126" s="745">
        <v>2029</v>
      </c>
      <c r="C126" s="746" t="s">
        <v>13</v>
      </c>
      <c r="D126" s="746" t="s">
        <v>586</v>
      </c>
      <c r="E126" s="746" t="s">
        <v>587</v>
      </c>
      <c r="F126" s="746" t="s">
        <v>478</v>
      </c>
      <c r="G126" s="746" t="s">
        <v>39</v>
      </c>
      <c r="H126" s="746" t="s">
        <v>588</v>
      </c>
      <c r="I126" s="746" t="s">
        <v>51</v>
      </c>
      <c r="J126" s="746" t="s">
        <v>489</v>
      </c>
      <c r="K126" s="746"/>
      <c r="L126" s="746" t="s">
        <v>29</v>
      </c>
      <c r="M126" s="746" t="s">
        <v>412</v>
      </c>
      <c r="N126" s="747">
        <v>28580.904351999965</v>
      </c>
      <c r="O126" s="747">
        <v>4.7842336359999971</v>
      </c>
      <c r="P126" s="747">
        <v>0</v>
      </c>
      <c r="Q126" s="747">
        <v>15712.600175999987</v>
      </c>
      <c r="R126" s="747">
        <v>2.760703217999994</v>
      </c>
      <c r="S126" s="747">
        <v>0</v>
      </c>
      <c r="T126" s="747">
        <v>200212.98751999991</v>
      </c>
      <c r="U126" s="747">
        <v>0</v>
      </c>
      <c r="V126" s="747">
        <v>32.014711760977512</v>
      </c>
      <c r="W126" s="747">
        <v>0</v>
      </c>
      <c r="X126" s="748">
        <v>16003.741524559809</v>
      </c>
      <c r="Y126" s="748">
        <v>28944.711363790349</v>
      </c>
      <c r="Z126" s="748">
        <v>40327.35967012</v>
      </c>
      <c r="AA126" s="748">
        <v>34652.293199583575</v>
      </c>
      <c r="AB126" s="748">
        <v>39456.983834024366</v>
      </c>
      <c r="AC126" s="748">
        <v>34882.489552036262</v>
      </c>
      <c r="AD126" s="748">
        <v>34882.489552036262</v>
      </c>
      <c r="AE126" s="748">
        <v>86663.93346861859</v>
      </c>
      <c r="AF126" s="747">
        <v>16228.684270159805</v>
      </c>
      <c r="AG126" s="747">
        <v>0</v>
      </c>
      <c r="AH126" s="747">
        <v>0</v>
      </c>
      <c r="AI126" s="747">
        <v>18766.522078812697</v>
      </c>
      <c r="AJ126" s="747">
        <v>0</v>
      </c>
      <c r="AK126" s="747">
        <v>0</v>
      </c>
      <c r="AL126" s="747">
        <v>18766.522078812697</v>
      </c>
      <c r="AM126" s="747">
        <v>0</v>
      </c>
      <c r="AN126" s="747">
        <v>0</v>
      </c>
      <c r="AO126" s="747">
        <v>2.5785029102795831</v>
      </c>
      <c r="AP126" s="747">
        <v>0</v>
      </c>
      <c r="AQ126" s="748">
        <v>3565.7599</v>
      </c>
      <c r="AR126" s="748">
        <v>2674.3199</v>
      </c>
      <c r="AS126" s="748">
        <v>11588.7196</v>
      </c>
      <c r="AT126" s="748">
        <v>22498.560270119997</v>
      </c>
      <c r="AU126" s="747">
        <v>47206.949634594217</v>
      </c>
      <c r="AV126" s="747">
        <v>0</v>
      </c>
      <c r="AW126" s="747">
        <v>0</v>
      </c>
      <c r="AX126" s="747">
        <v>0</v>
      </c>
      <c r="AY126" s="747">
        <v>0</v>
      </c>
      <c r="AZ126" s="749">
        <v>0.56000000000000005</v>
      </c>
      <c r="BA126" s="750">
        <f t="shared" si="20"/>
        <v>3704.7742722626945</v>
      </c>
      <c r="BB126" s="750">
        <f t="shared" si="21"/>
        <v>0</v>
      </c>
      <c r="BC126" s="751">
        <f t="shared" si="23"/>
        <v>16228.684270159805</v>
      </c>
      <c r="BD126" s="751">
        <f t="shared" si="24"/>
        <v>0</v>
      </c>
      <c r="BE126" s="751">
        <f t="shared" si="25"/>
        <v>69302.860581647867</v>
      </c>
      <c r="BF126" s="751">
        <f t="shared" si="26"/>
        <v>17361.07288697072</v>
      </c>
      <c r="BG126" s="752">
        <f t="shared" si="22"/>
        <v>12.742193225651647</v>
      </c>
      <c r="BH126" s="763">
        <f t="shared" si="16"/>
        <v>1273.6178131006059</v>
      </c>
      <c r="BI126" s="763">
        <f t="shared" si="17"/>
        <v>0</v>
      </c>
      <c r="BJ126" s="763">
        <f t="shared" si="18"/>
        <v>5438.8486624211946</v>
      </c>
      <c r="BK126" s="763">
        <f t="shared" si="19"/>
        <v>1362.4870208388211</v>
      </c>
    </row>
    <row r="127" spans="1:63">
      <c r="A127" s="669"/>
      <c r="B127" s="754">
        <v>2029</v>
      </c>
      <c r="C127" s="755" t="s">
        <v>13</v>
      </c>
      <c r="D127" s="755" t="s">
        <v>589</v>
      </c>
      <c r="E127" s="755" t="s">
        <v>590</v>
      </c>
      <c r="F127" s="755" t="s">
        <v>478</v>
      </c>
      <c r="G127" s="755" t="s">
        <v>39</v>
      </c>
      <c r="H127" s="755" t="s">
        <v>588</v>
      </c>
      <c r="I127" s="755" t="s">
        <v>51</v>
      </c>
      <c r="J127" s="755" t="s">
        <v>17</v>
      </c>
      <c r="K127" s="755"/>
      <c r="L127" s="755" t="s">
        <v>29</v>
      </c>
      <c r="M127" s="755" t="s">
        <v>412</v>
      </c>
      <c r="N127" s="756">
        <v>0</v>
      </c>
      <c r="O127" s="756">
        <v>0</v>
      </c>
      <c r="P127" s="756">
        <v>0</v>
      </c>
      <c r="Q127" s="756">
        <v>0</v>
      </c>
      <c r="R127" s="756">
        <v>0</v>
      </c>
      <c r="S127" s="756">
        <v>0</v>
      </c>
      <c r="T127" s="756">
        <v>0</v>
      </c>
      <c r="U127" s="756">
        <v>0</v>
      </c>
      <c r="V127" s="756">
        <v>0</v>
      </c>
      <c r="W127" s="756">
        <v>0</v>
      </c>
      <c r="X127" s="757">
        <v>0</v>
      </c>
      <c r="Y127" s="757">
        <v>0</v>
      </c>
      <c r="Z127" s="757">
        <v>429.8272</v>
      </c>
      <c r="AA127" s="757">
        <v>429.8272</v>
      </c>
      <c r="AB127" s="757">
        <v>429.8272</v>
      </c>
      <c r="AC127" s="757">
        <v>429.8272</v>
      </c>
      <c r="AD127" s="757">
        <v>429.8272</v>
      </c>
      <c r="AE127" s="757">
        <v>429.8272</v>
      </c>
      <c r="AF127" s="756">
        <v>0</v>
      </c>
      <c r="AG127" s="756">
        <v>0</v>
      </c>
      <c r="AH127" s="756">
        <v>0</v>
      </c>
      <c r="AI127" s="756">
        <v>0</v>
      </c>
      <c r="AJ127" s="756">
        <v>0</v>
      </c>
      <c r="AK127" s="756">
        <v>0</v>
      </c>
      <c r="AL127" s="756">
        <v>0</v>
      </c>
      <c r="AM127" s="756">
        <v>0</v>
      </c>
      <c r="AN127" s="756">
        <v>0</v>
      </c>
      <c r="AO127" s="756">
        <v>0</v>
      </c>
      <c r="AP127" s="756">
        <v>0</v>
      </c>
      <c r="AQ127" s="757">
        <v>429.8272</v>
      </c>
      <c r="AR127" s="757">
        <v>0</v>
      </c>
      <c r="AS127" s="757">
        <v>0</v>
      </c>
      <c r="AT127" s="757">
        <v>0</v>
      </c>
      <c r="AU127" s="756">
        <v>0</v>
      </c>
      <c r="AV127" s="756">
        <v>0</v>
      </c>
      <c r="AW127" s="756">
        <v>0</v>
      </c>
      <c r="AX127" s="756">
        <v>0</v>
      </c>
      <c r="AY127" s="756">
        <v>0</v>
      </c>
      <c r="AZ127" s="758">
        <v>0.56000000000000005</v>
      </c>
      <c r="BA127" s="759" t="str">
        <f t="shared" si="20"/>
        <v/>
      </c>
      <c r="BB127" s="759" t="str">
        <f t="shared" si="21"/>
        <v/>
      </c>
      <c r="BC127" s="760">
        <f t="shared" si="23"/>
        <v>0</v>
      </c>
      <c r="BD127" s="760">
        <f t="shared" si="24"/>
        <v>0</v>
      </c>
      <c r="BE127" s="760">
        <f t="shared" si="25"/>
        <v>240.70323200000001</v>
      </c>
      <c r="BF127" s="760">
        <f t="shared" si="26"/>
        <v>189.12396799999999</v>
      </c>
      <c r="BG127" s="761">
        <f t="shared" si="22"/>
        <v>0</v>
      </c>
      <c r="BH127" s="762">
        <f t="shared" si="16"/>
        <v>0</v>
      </c>
      <c r="BI127" s="762">
        <f t="shared" si="17"/>
        <v>0</v>
      </c>
      <c r="BJ127" s="762">
        <f t="shared" si="18"/>
        <v>0</v>
      </c>
      <c r="BK127" s="762">
        <f t="shared" si="19"/>
        <v>0</v>
      </c>
    </row>
    <row r="128" spans="1:63">
      <c r="A128" s="669"/>
      <c r="B128" s="745">
        <v>2029</v>
      </c>
      <c r="C128" s="746" t="s">
        <v>13</v>
      </c>
      <c r="D128" s="746" t="s">
        <v>591</v>
      </c>
      <c r="E128" s="746" t="s">
        <v>592</v>
      </c>
      <c r="F128" s="746" t="s">
        <v>478</v>
      </c>
      <c r="G128" s="746" t="s">
        <v>27</v>
      </c>
      <c r="H128" s="746" t="s">
        <v>593</v>
      </c>
      <c r="I128" s="746" t="s">
        <v>51</v>
      </c>
      <c r="J128" s="746" t="s">
        <v>489</v>
      </c>
      <c r="K128" s="746"/>
      <c r="L128" s="746" t="s">
        <v>29</v>
      </c>
      <c r="M128" s="746" t="s">
        <v>412</v>
      </c>
      <c r="N128" s="747">
        <v>64609.398585549883</v>
      </c>
      <c r="O128" s="747">
        <v>16.012478395549984</v>
      </c>
      <c r="P128" s="747">
        <v>918.60809040000049</v>
      </c>
      <c r="Q128" s="747">
        <v>37430.494517552448</v>
      </c>
      <c r="R128" s="747">
        <v>9.2904138761524973</v>
      </c>
      <c r="S128" s="747">
        <v>509.49172692000019</v>
      </c>
      <c r="T128" s="747">
        <v>565384.14896372473</v>
      </c>
      <c r="U128" s="747">
        <v>6745.2788132399974</v>
      </c>
      <c r="V128" s="747">
        <v>96.702108945400227</v>
      </c>
      <c r="W128" s="747">
        <v>35.817430498304397</v>
      </c>
      <c r="X128" s="748">
        <v>63839.745524456252</v>
      </c>
      <c r="Y128" s="748">
        <v>112741.95037439383</v>
      </c>
      <c r="Z128" s="748">
        <v>258095.09928669996</v>
      </c>
      <c r="AA128" s="748">
        <v>233629.18117974146</v>
      </c>
      <c r="AB128" s="748">
        <v>250882.18815725631</v>
      </c>
      <c r="AC128" s="748">
        <v>235290.06630296927</v>
      </c>
      <c r="AD128" s="748">
        <v>235290.06630296932</v>
      </c>
      <c r="AE128" s="748">
        <v>438210.95589484624</v>
      </c>
      <c r="AF128" s="747">
        <v>46155.377821690017</v>
      </c>
      <c r="AG128" s="747">
        <v>9472.8612914011846</v>
      </c>
      <c r="AH128" s="747">
        <v>8096.2035010161244</v>
      </c>
      <c r="AI128" s="747">
        <v>55630.757458066451</v>
      </c>
      <c r="AJ128" s="747">
        <v>14316.003268007153</v>
      </c>
      <c r="AK128" s="747">
        <v>413.6930780266635</v>
      </c>
      <c r="AL128" s="747">
        <v>55630.757458066451</v>
      </c>
      <c r="AM128" s="747">
        <v>14325.594750833705</v>
      </c>
      <c r="AN128" s="747">
        <v>413.6930780266635</v>
      </c>
      <c r="AO128" s="747">
        <v>6.3650902516668486</v>
      </c>
      <c r="AP128" s="747">
        <v>2.7054010699452</v>
      </c>
      <c r="AQ128" s="748">
        <v>22820.8632</v>
      </c>
      <c r="AR128" s="748">
        <v>17115.647400000002</v>
      </c>
      <c r="AS128" s="748">
        <v>74167.805300000007</v>
      </c>
      <c r="AT128" s="748">
        <v>143990.78338669997</v>
      </c>
      <c r="AU128" s="747">
        <v>181140.38728816857</v>
      </c>
      <c r="AV128" s="747">
        <v>6188.3804494216656</v>
      </c>
      <c r="AW128" s="747">
        <v>0</v>
      </c>
      <c r="AX128" s="747">
        <v>0</v>
      </c>
      <c r="AY128" s="747">
        <v>358.99088474892795</v>
      </c>
      <c r="AZ128" s="749">
        <v>0.56000000000000005</v>
      </c>
      <c r="BA128" s="750">
        <f t="shared" si="20"/>
        <v>12429.881628804853</v>
      </c>
      <c r="BB128" s="750">
        <f t="shared" si="21"/>
        <v>424.64763166234917</v>
      </c>
      <c r="BC128" s="751">
        <f t="shared" si="23"/>
        <v>51048.242667007973</v>
      </c>
      <c r="BD128" s="751">
        <f t="shared" si="24"/>
        <v>13035.190831848278</v>
      </c>
      <c r="BE128" s="751">
        <f t="shared" si="25"/>
        <v>321634.41265623213</v>
      </c>
      <c r="BF128" s="751">
        <f t="shared" si="26"/>
        <v>116576.54323861442</v>
      </c>
      <c r="BG128" s="752">
        <f t="shared" si="22"/>
        <v>14.572977659609894</v>
      </c>
      <c r="BH128" s="763">
        <f t="shared" si="16"/>
        <v>3502.9383739804957</v>
      </c>
      <c r="BI128" s="763">
        <f t="shared" si="17"/>
        <v>894.47682802508461</v>
      </c>
      <c r="BJ128" s="763">
        <f t="shared" si="18"/>
        <v>22070.603562898898</v>
      </c>
      <c r="BK128" s="763">
        <f t="shared" si="19"/>
        <v>7999.5005798790935</v>
      </c>
    </row>
    <row r="129" spans="1:63">
      <c r="A129" s="669"/>
      <c r="B129" s="754">
        <v>2029</v>
      </c>
      <c r="C129" s="755" t="s">
        <v>13</v>
      </c>
      <c r="D129" s="755" t="s">
        <v>594</v>
      </c>
      <c r="E129" s="755" t="s">
        <v>595</v>
      </c>
      <c r="F129" s="755" t="s">
        <v>478</v>
      </c>
      <c r="G129" s="755" t="s">
        <v>27</v>
      </c>
      <c r="H129" s="755" t="s">
        <v>593</v>
      </c>
      <c r="I129" s="755" t="s">
        <v>51</v>
      </c>
      <c r="J129" s="755" t="s">
        <v>17</v>
      </c>
      <c r="K129" s="755"/>
      <c r="L129" s="755" t="s">
        <v>29</v>
      </c>
      <c r="M129" s="755" t="s">
        <v>412</v>
      </c>
      <c r="N129" s="756">
        <v>0</v>
      </c>
      <c r="O129" s="756">
        <v>0</v>
      </c>
      <c r="P129" s="756">
        <v>0</v>
      </c>
      <c r="Q129" s="756">
        <v>0</v>
      </c>
      <c r="R129" s="756">
        <v>0</v>
      </c>
      <c r="S129" s="756">
        <v>0</v>
      </c>
      <c r="T129" s="756">
        <v>0</v>
      </c>
      <c r="U129" s="756">
        <v>0</v>
      </c>
      <c r="V129" s="756">
        <v>0</v>
      </c>
      <c r="W129" s="756">
        <v>0</v>
      </c>
      <c r="X129" s="757">
        <v>0</v>
      </c>
      <c r="Y129" s="757">
        <v>0</v>
      </c>
      <c r="Z129" s="757">
        <v>1763.7172</v>
      </c>
      <c r="AA129" s="757">
        <v>1763.7172</v>
      </c>
      <c r="AB129" s="757">
        <v>1763.7172</v>
      </c>
      <c r="AC129" s="757">
        <v>1763.7172</v>
      </c>
      <c r="AD129" s="757">
        <v>1763.7172</v>
      </c>
      <c r="AE129" s="757">
        <v>1763.7172</v>
      </c>
      <c r="AF129" s="756">
        <v>0</v>
      </c>
      <c r="AG129" s="756">
        <v>0</v>
      </c>
      <c r="AH129" s="756">
        <v>0</v>
      </c>
      <c r="AI129" s="756">
        <v>0</v>
      </c>
      <c r="AJ129" s="756">
        <v>0</v>
      </c>
      <c r="AK129" s="756">
        <v>0</v>
      </c>
      <c r="AL129" s="756">
        <v>0</v>
      </c>
      <c r="AM129" s="756">
        <v>0</v>
      </c>
      <c r="AN129" s="756">
        <v>0</v>
      </c>
      <c r="AO129" s="756">
        <v>0</v>
      </c>
      <c r="AP129" s="756">
        <v>0</v>
      </c>
      <c r="AQ129" s="757">
        <v>1763.7172</v>
      </c>
      <c r="AR129" s="757">
        <v>0</v>
      </c>
      <c r="AS129" s="757">
        <v>0</v>
      </c>
      <c r="AT129" s="757">
        <v>0</v>
      </c>
      <c r="AU129" s="756">
        <v>0</v>
      </c>
      <c r="AV129" s="756">
        <v>0</v>
      </c>
      <c r="AW129" s="756">
        <v>0</v>
      </c>
      <c r="AX129" s="756">
        <v>0</v>
      </c>
      <c r="AY129" s="756">
        <v>0</v>
      </c>
      <c r="AZ129" s="758">
        <v>0.56000000000000005</v>
      </c>
      <c r="BA129" s="759" t="str">
        <f t="shared" si="20"/>
        <v/>
      </c>
      <c r="BB129" s="759" t="str">
        <f t="shared" si="21"/>
        <v/>
      </c>
      <c r="BC129" s="760">
        <f t="shared" si="23"/>
        <v>0</v>
      </c>
      <c r="BD129" s="760">
        <f t="shared" si="24"/>
        <v>0</v>
      </c>
      <c r="BE129" s="760">
        <f t="shared" si="25"/>
        <v>987.68163200000015</v>
      </c>
      <c r="BF129" s="760">
        <f t="shared" si="26"/>
        <v>776.0355679999999</v>
      </c>
      <c r="BG129" s="761">
        <f t="shared" si="22"/>
        <v>0</v>
      </c>
      <c r="BH129" s="762">
        <f t="shared" si="16"/>
        <v>0</v>
      </c>
      <c r="BI129" s="762">
        <f t="shared" si="17"/>
        <v>0</v>
      </c>
      <c r="BJ129" s="762">
        <f t="shared" si="18"/>
        <v>0</v>
      </c>
      <c r="BK129" s="762">
        <f t="shared" si="19"/>
        <v>0</v>
      </c>
    </row>
    <row r="130" spans="1:63">
      <c r="A130" s="669"/>
      <c r="B130" s="745">
        <v>2029</v>
      </c>
      <c r="C130" s="746" t="s">
        <v>13</v>
      </c>
      <c r="D130" s="746" t="s">
        <v>596</v>
      </c>
      <c r="E130" s="746" t="s">
        <v>597</v>
      </c>
      <c r="F130" s="746" t="s">
        <v>478</v>
      </c>
      <c r="G130" s="746" t="s">
        <v>34</v>
      </c>
      <c r="H130" s="746" t="s">
        <v>598</v>
      </c>
      <c r="I130" s="746" t="s">
        <v>51</v>
      </c>
      <c r="J130" s="746" t="s">
        <v>489</v>
      </c>
      <c r="K130" s="746"/>
      <c r="L130" s="746" t="s">
        <v>29</v>
      </c>
      <c r="M130" s="746" t="s">
        <v>412</v>
      </c>
      <c r="N130" s="747">
        <v>915.45999999999799</v>
      </c>
      <c r="O130" s="747">
        <v>0.19856199999999999</v>
      </c>
      <c r="P130" s="747">
        <v>1516.3829999999998</v>
      </c>
      <c r="Q130" s="747">
        <v>496.49599999999998</v>
      </c>
      <c r="R130" s="747">
        <v>0.10142859999999999</v>
      </c>
      <c r="S130" s="747">
        <v>909.82979999999998</v>
      </c>
      <c r="T130" s="747">
        <v>6982.2479999999996</v>
      </c>
      <c r="U130" s="747">
        <v>13647.447</v>
      </c>
      <c r="V130" s="747">
        <v>0.89005899518899789</v>
      </c>
      <c r="W130" s="747">
        <v>72.467943570000003</v>
      </c>
      <c r="X130" s="748">
        <v>19614.637936388663</v>
      </c>
      <c r="Y130" s="748">
        <v>32837.231254272418</v>
      </c>
      <c r="Z130" s="748">
        <v>40327.360560000001</v>
      </c>
      <c r="AA130" s="748">
        <v>30510.396343785585</v>
      </c>
      <c r="AB130" s="748">
        <v>39111.252107484121</v>
      </c>
      <c r="AC130" s="748">
        <v>30731.642687566091</v>
      </c>
      <c r="AD130" s="748">
        <v>30731.642687566116</v>
      </c>
      <c r="AE130" s="748">
        <v>52256.341547201162</v>
      </c>
      <c r="AF130" s="747">
        <v>686.52515026527294</v>
      </c>
      <c r="AG130" s="747">
        <v>18882.329010123391</v>
      </c>
      <c r="AH130" s="747">
        <v>45.783775999999797</v>
      </c>
      <c r="AI130" s="747">
        <v>814.27164499314995</v>
      </c>
      <c r="AJ130" s="747">
        <v>28971.177041024832</v>
      </c>
      <c r="AK130" s="747">
        <v>0</v>
      </c>
      <c r="AL130" s="747">
        <v>814.27164499314995</v>
      </c>
      <c r="AM130" s="747">
        <v>28988.84510843657</v>
      </c>
      <c r="AN130" s="747">
        <v>0</v>
      </c>
      <c r="AO130" s="747">
        <v>6.9045832801400003E-2</v>
      </c>
      <c r="AP130" s="747">
        <v>4.8311962380000004</v>
      </c>
      <c r="AQ130" s="748">
        <v>3565.7599</v>
      </c>
      <c r="AR130" s="748">
        <v>2674.3199</v>
      </c>
      <c r="AS130" s="748">
        <v>11588.7196</v>
      </c>
      <c r="AT130" s="748">
        <v>22498.561160000001</v>
      </c>
      <c r="AU130" s="747">
        <v>1418.3012797268079</v>
      </c>
      <c r="AV130" s="747">
        <v>11726.788159990199</v>
      </c>
      <c r="AW130" s="747">
        <v>0</v>
      </c>
      <c r="AX130" s="747">
        <v>0</v>
      </c>
      <c r="AY130" s="747">
        <v>0</v>
      </c>
      <c r="AZ130" s="749">
        <v>0.56000000000000005</v>
      </c>
      <c r="BA130" s="750">
        <f t="shared" si="20"/>
        <v>94.661529887205404</v>
      </c>
      <c r="BB130" s="750">
        <f t="shared" si="21"/>
        <v>782.67976187799866</v>
      </c>
      <c r="BC130" s="751">
        <f t="shared" si="23"/>
        <v>712.16406482527282</v>
      </c>
      <c r="BD130" s="751">
        <f t="shared" si="24"/>
        <v>18902.47387156339</v>
      </c>
      <c r="BE130" s="751">
        <f t="shared" si="25"/>
        <v>23320.602459917918</v>
      </c>
      <c r="BF130" s="751">
        <f t="shared" si="26"/>
        <v>28935.739087283211</v>
      </c>
      <c r="BG130" s="752">
        <f t="shared" si="22"/>
        <v>14.982868768514459</v>
      </c>
      <c r="BH130" s="763">
        <f t="shared" si="16"/>
        <v>47.531889641978317</v>
      </c>
      <c r="BI130" s="763">
        <f t="shared" si="17"/>
        <v>1261.6057821507275</v>
      </c>
      <c r="BJ130" s="763">
        <f t="shared" si="18"/>
        <v>1556.4844637046194</v>
      </c>
      <c r="BK130" s="763">
        <f t="shared" si="19"/>
        <v>1931.2549241631093</v>
      </c>
    </row>
    <row r="131" spans="1:63">
      <c r="A131" s="669"/>
      <c r="B131" s="754">
        <v>2029</v>
      </c>
      <c r="C131" s="755" t="s">
        <v>13</v>
      </c>
      <c r="D131" s="755" t="s">
        <v>599</v>
      </c>
      <c r="E131" s="755" t="s">
        <v>600</v>
      </c>
      <c r="F131" s="755" t="s">
        <v>478</v>
      </c>
      <c r="G131" s="755" t="s">
        <v>34</v>
      </c>
      <c r="H131" s="755" t="s">
        <v>598</v>
      </c>
      <c r="I131" s="755" t="s">
        <v>51</v>
      </c>
      <c r="J131" s="755" t="s">
        <v>17</v>
      </c>
      <c r="K131" s="755"/>
      <c r="L131" s="755" t="s">
        <v>29</v>
      </c>
      <c r="M131" s="755" t="s">
        <v>412</v>
      </c>
      <c r="N131" s="756">
        <v>0</v>
      </c>
      <c r="O131" s="756">
        <v>0</v>
      </c>
      <c r="P131" s="756">
        <v>0</v>
      </c>
      <c r="Q131" s="756">
        <v>0</v>
      </c>
      <c r="R131" s="756">
        <v>0</v>
      </c>
      <c r="S131" s="756">
        <v>0</v>
      </c>
      <c r="T131" s="756">
        <v>0</v>
      </c>
      <c r="U131" s="756">
        <v>0</v>
      </c>
      <c r="V131" s="756">
        <v>0</v>
      </c>
      <c r="W131" s="756">
        <v>0</v>
      </c>
      <c r="X131" s="757">
        <v>0</v>
      </c>
      <c r="Y131" s="757">
        <v>0</v>
      </c>
      <c r="Z131" s="757">
        <v>429.8272</v>
      </c>
      <c r="AA131" s="757">
        <v>429.8272</v>
      </c>
      <c r="AB131" s="757">
        <v>429.8272</v>
      </c>
      <c r="AC131" s="757">
        <v>429.8272</v>
      </c>
      <c r="AD131" s="757">
        <v>429.8272</v>
      </c>
      <c r="AE131" s="757">
        <v>429.8272</v>
      </c>
      <c r="AF131" s="756">
        <v>0</v>
      </c>
      <c r="AG131" s="756">
        <v>0</v>
      </c>
      <c r="AH131" s="756">
        <v>0</v>
      </c>
      <c r="AI131" s="756">
        <v>0</v>
      </c>
      <c r="AJ131" s="756">
        <v>0</v>
      </c>
      <c r="AK131" s="756">
        <v>0</v>
      </c>
      <c r="AL131" s="756">
        <v>0</v>
      </c>
      <c r="AM131" s="756">
        <v>0</v>
      </c>
      <c r="AN131" s="756">
        <v>0</v>
      </c>
      <c r="AO131" s="756">
        <v>0</v>
      </c>
      <c r="AP131" s="756">
        <v>0</v>
      </c>
      <c r="AQ131" s="757">
        <v>429.8272</v>
      </c>
      <c r="AR131" s="757">
        <v>0</v>
      </c>
      <c r="AS131" s="757">
        <v>0</v>
      </c>
      <c r="AT131" s="757">
        <v>0</v>
      </c>
      <c r="AU131" s="756">
        <v>0</v>
      </c>
      <c r="AV131" s="756">
        <v>0</v>
      </c>
      <c r="AW131" s="756">
        <v>0</v>
      </c>
      <c r="AX131" s="756">
        <v>0</v>
      </c>
      <c r="AY131" s="756">
        <v>0</v>
      </c>
      <c r="AZ131" s="758">
        <v>0.56000000000000005</v>
      </c>
      <c r="BA131" s="759" t="str">
        <f t="shared" si="20"/>
        <v/>
      </c>
      <c r="BB131" s="759" t="str">
        <f t="shared" si="21"/>
        <v/>
      </c>
      <c r="BC131" s="760">
        <f t="shared" si="23"/>
        <v>0</v>
      </c>
      <c r="BD131" s="760">
        <f t="shared" si="24"/>
        <v>0</v>
      </c>
      <c r="BE131" s="760">
        <f t="shared" si="25"/>
        <v>240.70323200000001</v>
      </c>
      <c r="BF131" s="760">
        <f t="shared" si="26"/>
        <v>189.12396799999999</v>
      </c>
      <c r="BG131" s="761">
        <f t="shared" si="22"/>
        <v>0</v>
      </c>
      <c r="BH131" s="762">
        <f t="shared" si="16"/>
        <v>0</v>
      </c>
      <c r="BI131" s="762">
        <f t="shared" si="17"/>
        <v>0</v>
      </c>
      <c r="BJ131" s="762">
        <f t="shared" si="18"/>
        <v>0</v>
      </c>
      <c r="BK131" s="762">
        <f t="shared" si="19"/>
        <v>0</v>
      </c>
    </row>
    <row r="132" spans="1:63">
      <c r="A132" s="669"/>
      <c r="B132" s="745">
        <v>2029</v>
      </c>
      <c r="C132" s="746" t="s">
        <v>13</v>
      </c>
      <c r="D132" s="746" t="s">
        <v>601</v>
      </c>
      <c r="E132" s="746" t="s">
        <v>602</v>
      </c>
      <c r="F132" s="746" t="s">
        <v>478</v>
      </c>
      <c r="G132" s="746" t="s">
        <v>45</v>
      </c>
      <c r="H132" s="746" t="s">
        <v>603</v>
      </c>
      <c r="I132" s="746" t="s">
        <v>51</v>
      </c>
      <c r="J132" s="746" t="s">
        <v>489</v>
      </c>
      <c r="K132" s="746"/>
      <c r="L132" s="746" t="s">
        <v>29</v>
      </c>
      <c r="M132" s="746" t="s">
        <v>412</v>
      </c>
      <c r="N132" s="747">
        <v>15199.056599999949</v>
      </c>
      <c r="O132" s="747">
        <v>6.4888277999999966</v>
      </c>
      <c r="P132" s="747">
        <v>67.2012</v>
      </c>
      <c r="Q132" s="747">
        <v>8193.4543599999943</v>
      </c>
      <c r="R132" s="747">
        <v>3.6692091799999957</v>
      </c>
      <c r="S132" s="747">
        <v>40.320720000000001</v>
      </c>
      <c r="T132" s="747">
        <v>121363.7661599999</v>
      </c>
      <c r="U132" s="747">
        <v>571.28544000000011</v>
      </c>
      <c r="V132" s="747">
        <v>17.299705955862844</v>
      </c>
      <c r="W132" s="747">
        <v>3.0335256864</v>
      </c>
      <c r="X132" s="748">
        <v>21900.901129597853</v>
      </c>
      <c r="Y132" s="748">
        <v>42013.999281506316</v>
      </c>
      <c r="Z132" s="748">
        <v>169374.90962399993</v>
      </c>
      <c r="AA132" s="748">
        <v>135592.31214552847</v>
      </c>
      <c r="AB132" s="748">
        <v>164243.21340512778</v>
      </c>
      <c r="AC132" s="748">
        <v>136630.90252047655</v>
      </c>
      <c r="AD132" s="748">
        <v>136630.90252047652</v>
      </c>
      <c r="AE132" s="748">
        <v>202904.53294519262</v>
      </c>
      <c r="AF132" s="747">
        <v>9753.8003861313264</v>
      </c>
      <c r="AG132" s="747">
        <v>794.53733614926853</v>
      </c>
      <c r="AH132" s="747">
        <v>11371.023528600002</v>
      </c>
      <c r="AI132" s="747">
        <v>11716.676323050931</v>
      </c>
      <c r="AJ132" s="747">
        <v>1212.9198096271675</v>
      </c>
      <c r="AK132" s="747">
        <v>22.717621463610637</v>
      </c>
      <c r="AL132" s="747">
        <v>11716.676323050931</v>
      </c>
      <c r="AM132" s="747">
        <v>1213.6137166471458</v>
      </c>
      <c r="AN132" s="747">
        <v>22.717621463610637</v>
      </c>
      <c r="AO132" s="747">
        <v>1.2607397385979737</v>
      </c>
      <c r="AP132" s="747">
        <v>0.21410302319999999</v>
      </c>
      <c r="AQ132" s="748">
        <v>14976.191500000001</v>
      </c>
      <c r="AR132" s="748">
        <v>11232.143599999999</v>
      </c>
      <c r="AS132" s="748">
        <v>48672.622300000003</v>
      </c>
      <c r="AT132" s="748">
        <v>94493.952223999935</v>
      </c>
      <c r="AU132" s="747">
        <v>38163.331860326798</v>
      </c>
      <c r="AV132" s="747">
        <v>497.98767973795418</v>
      </c>
      <c r="AW132" s="747">
        <v>0</v>
      </c>
      <c r="AX132" s="747">
        <v>0</v>
      </c>
      <c r="AY132" s="747">
        <v>19.030336317249301</v>
      </c>
      <c r="AZ132" s="749">
        <v>0.56000000000000005</v>
      </c>
      <c r="BA132" s="750">
        <f t="shared" si="20"/>
        <v>2590.6537290640713</v>
      </c>
      <c r="BB132" s="750">
        <f t="shared" si="21"/>
        <v>33.805057804249273</v>
      </c>
      <c r="BC132" s="751">
        <f t="shared" si="23"/>
        <v>16140.603898464578</v>
      </c>
      <c r="BD132" s="751">
        <f t="shared" si="24"/>
        <v>5797.7876887332686</v>
      </c>
      <c r="BE132" s="751">
        <f t="shared" si="25"/>
        <v>130139.53136719836</v>
      </c>
      <c r="BF132" s="751">
        <f t="shared" si="26"/>
        <v>72765.001577994175</v>
      </c>
      <c r="BG132" s="752">
        <f t="shared" si="22"/>
        <v>14.73115894732644</v>
      </c>
      <c r="BH132" s="763">
        <f t="shared" si="16"/>
        <v>1095.6778048609638</v>
      </c>
      <c r="BI132" s="763">
        <f t="shared" si="17"/>
        <v>393.57308610029696</v>
      </c>
      <c r="BJ132" s="763">
        <f t="shared" si="18"/>
        <v>8834.3036574741054</v>
      </c>
      <c r="BK132" s="763">
        <f t="shared" si="19"/>
        <v>4939.5300015549901</v>
      </c>
    </row>
    <row r="133" spans="1:63">
      <c r="A133" s="669"/>
      <c r="B133" s="754">
        <v>2029</v>
      </c>
      <c r="C133" s="755" t="s">
        <v>13</v>
      </c>
      <c r="D133" s="755" t="s">
        <v>604</v>
      </c>
      <c r="E133" s="755" t="s">
        <v>605</v>
      </c>
      <c r="F133" s="755" t="s">
        <v>478</v>
      </c>
      <c r="G133" s="755" t="s">
        <v>45</v>
      </c>
      <c r="H133" s="755" t="s">
        <v>603</v>
      </c>
      <c r="I133" s="755" t="s">
        <v>51</v>
      </c>
      <c r="J133" s="755" t="s">
        <v>17</v>
      </c>
      <c r="K133" s="755"/>
      <c r="L133" s="755" t="s">
        <v>29</v>
      </c>
      <c r="M133" s="755" t="s">
        <v>412</v>
      </c>
      <c r="N133" s="756">
        <v>0</v>
      </c>
      <c r="O133" s="756">
        <v>0</v>
      </c>
      <c r="P133" s="756">
        <v>0</v>
      </c>
      <c r="Q133" s="756">
        <v>0</v>
      </c>
      <c r="R133" s="756">
        <v>0</v>
      </c>
      <c r="S133" s="756">
        <v>0</v>
      </c>
      <c r="T133" s="756">
        <v>0</v>
      </c>
      <c r="U133" s="756">
        <v>0</v>
      </c>
      <c r="V133" s="756">
        <v>0</v>
      </c>
      <c r="W133" s="756">
        <v>0</v>
      </c>
      <c r="X133" s="757">
        <v>0</v>
      </c>
      <c r="Y133" s="757">
        <v>0</v>
      </c>
      <c r="Z133" s="757">
        <v>1220.2772</v>
      </c>
      <c r="AA133" s="757">
        <v>1220.2772</v>
      </c>
      <c r="AB133" s="757">
        <v>1220.2772</v>
      </c>
      <c r="AC133" s="757">
        <v>1220.2772</v>
      </c>
      <c r="AD133" s="757">
        <v>1220.2772</v>
      </c>
      <c r="AE133" s="757">
        <v>1220.2772</v>
      </c>
      <c r="AF133" s="756">
        <v>0</v>
      </c>
      <c r="AG133" s="756">
        <v>0</v>
      </c>
      <c r="AH133" s="756">
        <v>0</v>
      </c>
      <c r="AI133" s="756">
        <v>0</v>
      </c>
      <c r="AJ133" s="756">
        <v>0</v>
      </c>
      <c r="AK133" s="756">
        <v>0</v>
      </c>
      <c r="AL133" s="756">
        <v>0</v>
      </c>
      <c r="AM133" s="756">
        <v>0</v>
      </c>
      <c r="AN133" s="756">
        <v>0</v>
      </c>
      <c r="AO133" s="756">
        <v>0</v>
      </c>
      <c r="AP133" s="756">
        <v>0</v>
      </c>
      <c r="AQ133" s="757">
        <v>1220.2772</v>
      </c>
      <c r="AR133" s="757">
        <v>0</v>
      </c>
      <c r="AS133" s="757">
        <v>0</v>
      </c>
      <c r="AT133" s="757">
        <v>0</v>
      </c>
      <c r="AU133" s="756">
        <v>0</v>
      </c>
      <c r="AV133" s="756">
        <v>0</v>
      </c>
      <c r="AW133" s="756">
        <v>0</v>
      </c>
      <c r="AX133" s="756">
        <v>0</v>
      </c>
      <c r="AY133" s="756">
        <v>0</v>
      </c>
      <c r="AZ133" s="758">
        <v>0.56000000000000005</v>
      </c>
      <c r="BA133" s="759" t="str">
        <f t="shared" si="20"/>
        <v/>
      </c>
      <c r="BB133" s="759" t="str">
        <f t="shared" si="21"/>
        <v/>
      </c>
      <c r="BC133" s="760">
        <f t="shared" si="23"/>
        <v>0</v>
      </c>
      <c r="BD133" s="760">
        <f t="shared" si="24"/>
        <v>0</v>
      </c>
      <c r="BE133" s="760">
        <f t="shared" si="25"/>
        <v>683.35523200000011</v>
      </c>
      <c r="BF133" s="760">
        <f t="shared" si="26"/>
        <v>536.92196799999988</v>
      </c>
      <c r="BG133" s="761">
        <f t="shared" si="22"/>
        <v>0</v>
      </c>
      <c r="BH133" s="762">
        <f t="shared" si="16"/>
        <v>0</v>
      </c>
      <c r="BI133" s="762">
        <f t="shared" si="17"/>
        <v>0</v>
      </c>
      <c r="BJ133" s="762">
        <f t="shared" si="18"/>
        <v>0</v>
      </c>
      <c r="BK133" s="762">
        <f t="shared" si="19"/>
        <v>0</v>
      </c>
    </row>
    <row r="134" spans="1:63">
      <c r="A134" s="669"/>
      <c r="B134" s="745">
        <v>2029</v>
      </c>
      <c r="C134" s="746" t="s">
        <v>13</v>
      </c>
      <c r="D134" s="746" t="s">
        <v>606</v>
      </c>
      <c r="E134" s="746" t="s">
        <v>607</v>
      </c>
      <c r="F134" s="746" t="s">
        <v>478</v>
      </c>
      <c r="G134" s="746" t="s">
        <v>18</v>
      </c>
      <c r="H134" s="746" t="s">
        <v>608</v>
      </c>
      <c r="I134" s="746" t="s">
        <v>51</v>
      </c>
      <c r="J134" s="746" t="s">
        <v>489</v>
      </c>
      <c r="K134" s="746"/>
      <c r="L134" s="746" t="s">
        <v>29</v>
      </c>
      <c r="M134" s="746" t="s">
        <v>412</v>
      </c>
      <c r="N134" s="747">
        <v>54708.928365910011</v>
      </c>
      <c r="O134" s="747">
        <v>9.721784096569996</v>
      </c>
      <c r="P134" s="747">
        <v>1770.5057171999999</v>
      </c>
      <c r="Q134" s="747">
        <v>27883.963958350469</v>
      </c>
      <c r="R134" s="747">
        <v>5.0977897014134941</v>
      </c>
      <c r="S134" s="747">
        <v>563.1964740599999</v>
      </c>
      <c r="T134" s="747">
        <v>427500.18923475477</v>
      </c>
      <c r="U134" s="747">
        <v>6032.0396927999982</v>
      </c>
      <c r="V134" s="747">
        <v>91.247281270006908</v>
      </c>
      <c r="W134" s="747">
        <v>32.030130768767989</v>
      </c>
      <c r="X134" s="748">
        <v>50321.994600130667</v>
      </c>
      <c r="Y134" s="748">
        <v>105863.7874599366</v>
      </c>
      <c r="Z134" s="748">
        <v>298422.45867898001</v>
      </c>
      <c r="AA134" s="748">
        <v>1025049.3970367287</v>
      </c>
      <c r="AB134" s="748">
        <v>289559.97569949913</v>
      </c>
      <c r="AC134" s="748">
        <v>1034892.4551591056</v>
      </c>
      <c r="AD134" s="748">
        <v>1034892.4551591059</v>
      </c>
      <c r="AE134" s="748">
        <v>425987.88753479905</v>
      </c>
      <c r="AF134" s="747">
        <v>40537.057494140216</v>
      </c>
      <c r="AG134" s="747">
        <v>8845.2249855032333</v>
      </c>
      <c r="AH134" s="747">
        <v>386.59660434879777</v>
      </c>
      <c r="AI134" s="747">
        <v>49286.681410554826</v>
      </c>
      <c r="AJ134" s="747">
        <v>12777.913679701229</v>
      </c>
      <c r="AK134" s="747">
        <v>629.93758539566397</v>
      </c>
      <c r="AL134" s="747">
        <v>49286.681410554826</v>
      </c>
      <c r="AM134" s="747">
        <v>12786.343601165814</v>
      </c>
      <c r="AN134" s="747">
        <v>629.93758539566397</v>
      </c>
      <c r="AO134" s="747">
        <v>5.3561758299451174</v>
      </c>
      <c r="AP134" s="747">
        <v>2.9905732772586009</v>
      </c>
      <c r="AQ134" s="748">
        <v>26386.623100000001</v>
      </c>
      <c r="AR134" s="748">
        <v>19789.9673</v>
      </c>
      <c r="AS134" s="748">
        <v>85756.524900000004</v>
      </c>
      <c r="AT134" s="748">
        <v>166489.34337898003</v>
      </c>
      <c r="AU134" s="747">
        <v>127706.85199474258</v>
      </c>
      <c r="AV134" s="747">
        <v>8721.0598405571691</v>
      </c>
      <c r="AW134" s="747">
        <v>0</v>
      </c>
      <c r="AX134" s="747">
        <v>0</v>
      </c>
      <c r="AY134" s="747">
        <v>553.11551613841596</v>
      </c>
      <c r="AZ134" s="749">
        <v>0.56000000000000005</v>
      </c>
      <c r="BA134" s="750">
        <f t="shared" si="20"/>
        <v>9380.9736278864548</v>
      </c>
      <c r="BB134" s="750">
        <f t="shared" si="21"/>
        <v>640.62367127219204</v>
      </c>
      <c r="BC134" s="751">
        <f t="shared" si="23"/>
        <v>41306.667108713955</v>
      </c>
      <c r="BD134" s="751">
        <f t="shared" si="24"/>
        <v>9015.327491416705</v>
      </c>
      <c r="BE134" s="751">
        <f t="shared" si="25"/>
        <v>289860.4383864621</v>
      </c>
      <c r="BF134" s="751">
        <f t="shared" si="26"/>
        <v>136127.44914833677</v>
      </c>
      <c r="BG134" s="752">
        <f t="shared" si="22"/>
        <v>13.613389938024492</v>
      </c>
      <c r="BH134" s="763">
        <f t="shared" si="16"/>
        <v>3034.2675334185114</v>
      </c>
      <c r="BI134" s="763">
        <f t="shared" si="17"/>
        <v>662.23971637184775</v>
      </c>
      <c r="BJ134" s="763">
        <f t="shared" si="18"/>
        <v>21292.304099571338</v>
      </c>
      <c r="BK134" s="763">
        <f t="shared" si="19"/>
        <v>9999.5261847388847</v>
      </c>
    </row>
    <row r="135" spans="1:63">
      <c r="A135" s="669"/>
      <c r="B135" s="754">
        <v>2029</v>
      </c>
      <c r="C135" s="755" t="s">
        <v>13</v>
      </c>
      <c r="D135" s="755" t="s">
        <v>609</v>
      </c>
      <c r="E135" s="755" t="s">
        <v>610</v>
      </c>
      <c r="F135" s="755" t="s">
        <v>478</v>
      </c>
      <c r="G135" s="755" t="s">
        <v>18</v>
      </c>
      <c r="H135" s="755" t="s">
        <v>608</v>
      </c>
      <c r="I135" s="755" t="s">
        <v>51</v>
      </c>
      <c r="J135" s="755" t="s">
        <v>17</v>
      </c>
      <c r="K135" s="755"/>
      <c r="L135" s="755" t="s">
        <v>29</v>
      </c>
      <c r="M135" s="755" t="s">
        <v>412</v>
      </c>
      <c r="N135" s="756">
        <v>0</v>
      </c>
      <c r="O135" s="756">
        <v>0</v>
      </c>
      <c r="P135" s="756">
        <v>0</v>
      </c>
      <c r="Q135" s="756">
        <v>0</v>
      </c>
      <c r="R135" s="756">
        <v>0</v>
      </c>
      <c r="S135" s="756">
        <v>0</v>
      </c>
      <c r="T135" s="756">
        <v>0</v>
      </c>
      <c r="U135" s="756">
        <v>0</v>
      </c>
      <c r="V135" s="756">
        <v>0</v>
      </c>
      <c r="W135" s="756">
        <v>0</v>
      </c>
      <c r="X135" s="757">
        <v>0</v>
      </c>
      <c r="Y135" s="757">
        <v>0</v>
      </c>
      <c r="Z135" s="757">
        <v>2010.7272</v>
      </c>
      <c r="AA135" s="757">
        <v>2010.7272</v>
      </c>
      <c r="AB135" s="757">
        <v>2010.7272</v>
      </c>
      <c r="AC135" s="757">
        <v>2010.7272</v>
      </c>
      <c r="AD135" s="757">
        <v>2010.7272</v>
      </c>
      <c r="AE135" s="757">
        <v>2010.7272</v>
      </c>
      <c r="AF135" s="756">
        <v>0</v>
      </c>
      <c r="AG135" s="756">
        <v>0</v>
      </c>
      <c r="AH135" s="756">
        <v>0</v>
      </c>
      <c r="AI135" s="756">
        <v>0</v>
      </c>
      <c r="AJ135" s="756">
        <v>0</v>
      </c>
      <c r="AK135" s="756">
        <v>0</v>
      </c>
      <c r="AL135" s="756">
        <v>0</v>
      </c>
      <c r="AM135" s="756">
        <v>0</v>
      </c>
      <c r="AN135" s="756">
        <v>0</v>
      </c>
      <c r="AO135" s="756">
        <v>0</v>
      </c>
      <c r="AP135" s="756">
        <v>0</v>
      </c>
      <c r="AQ135" s="757">
        <v>2010.7272</v>
      </c>
      <c r="AR135" s="757">
        <v>0</v>
      </c>
      <c r="AS135" s="757">
        <v>0</v>
      </c>
      <c r="AT135" s="757">
        <v>0</v>
      </c>
      <c r="AU135" s="756">
        <v>0</v>
      </c>
      <c r="AV135" s="756">
        <v>0</v>
      </c>
      <c r="AW135" s="756">
        <v>0</v>
      </c>
      <c r="AX135" s="756">
        <v>0</v>
      </c>
      <c r="AY135" s="756">
        <v>0</v>
      </c>
      <c r="AZ135" s="758">
        <v>0.56000000000000005</v>
      </c>
      <c r="BA135" s="759" t="str">
        <f t="shared" si="20"/>
        <v/>
      </c>
      <c r="BB135" s="759" t="str">
        <f t="shared" si="21"/>
        <v/>
      </c>
      <c r="BC135" s="760">
        <f t="shared" si="23"/>
        <v>0</v>
      </c>
      <c r="BD135" s="760">
        <f t="shared" si="24"/>
        <v>0</v>
      </c>
      <c r="BE135" s="760">
        <f t="shared" si="25"/>
        <v>1126.0072320000002</v>
      </c>
      <c r="BF135" s="760">
        <f t="shared" si="26"/>
        <v>884.71996799999988</v>
      </c>
      <c r="BG135" s="761">
        <f t="shared" si="22"/>
        <v>0</v>
      </c>
      <c r="BH135" s="762">
        <f t="shared" si="16"/>
        <v>0</v>
      </c>
      <c r="BI135" s="762">
        <f t="shared" si="17"/>
        <v>0</v>
      </c>
      <c r="BJ135" s="762">
        <f t="shared" si="18"/>
        <v>0</v>
      </c>
      <c r="BK135" s="762">
        <f t="shared" si="19"/>
        <v>0</v>
      </c>
    </row>
    <row r="136" spans="1:63">
      <c r="A136" s="669"/>
      <c r="B136" s="745">
        <v>2029</v>
      </c>
      <c r="C136" s="746" t="s">
        <v>13</v>
      </c>
      <c r="D136" s="746" t="s">
        <v>611</v>
      </c>
      <c r="E136" s="746" t="s">
        <v>612</v>
      </c>
      <c r="F136" s="746" t="s">
        <v>613</v>
      </c>
      <c r="G136" s="746" t="s">
        <v>18</v>
      </c>
      <c r="H136" s="746" t="s">
        <v>614</v>
      </c>
      <c r="I136" s="746" t="s">
        <v>51</v>
      </c>
      <c r="J136" s="746" t="s">
        <v>489</v>
      </c>
      <c r="K136" s="746"/>
      <c r="L136" s="746" t="s">
        <v>29</v>
      </c>
      <c r="M136" s="746" t="s">
        <v>412</v>
      </c>
      <c r="N136" s="747">
        <v>-94684.420021932528</v>
      </c>
      <c r="O136" s="747">
        <v>0</v>
      </c>
      <c r="P136" s="747">
        <v>15041.636091655944</v>
      </c>
      <c r="Q136" s="747">
        <v>-92655.151719507587</v>
      </c>
      <c r="R136" s="747">
        <v>0</v>
      </c>
      <c r="S136" s="747">
        <v>14726.440984155941</v>
      </c>
      <c r="T136" s="747">
        <v>-1074993.6666586371</v>
      </c>
      <c r="U136" s="747">
        <v>184306.07509305939</v>
      </c>
      <c r="V136" s="747">
        <v>-232.00540966115193</v>
      </c>
      <c r="W136" s="747">
        <v>978.66525874414424</v>
      </c>
      <c r="X136" s="748">
        <v>533736.12898485258</v>
      </c>
      <c r="Y136" s="748">
        <v>555932.5707204988</v>
      </c>
      <c r="Z136" s="748">
        <v>934300.27592000016</v>
      </c>
      <c r="AA136" s="748">
        <v>1082904.2218980705</v>
      </c>
      <c r="AB136" s="748">
        <v>1038623.9783386026</v>
      </c>
      <c r="AC136" s="748">
        <v>1106222.3674644816</v>
      </c>
      <c r="AD136" s="748">
        <v>1106222.3674644821</v>
      </c>
      <c r="AE136" s="748">
        <v>1283858.3118269998</v>
      </c>
      <c r="AF136" s="747">
        <v>-36073.943249495722</v>
      </c>
      <c r="AG136" s="747">
        <v>347652.84207727091</v>
      </c>
      <c r="AH136" s="747">
        <v>348519.45505649975</v>
      </c>
      <c r="AI136" s="747">
        <v>-41777.508495002054</v>
      </c>
      <c r="AJ136" s="747">
        <v>520775.90749645833</v>
      </c>
      <c r="AK136" s="747">
        <v>0</v>
      </c>
      <c r="AL136" s="747">
        <v>-41777.508495002054</v>
      </c>
      <c r="AM136" s="747">
        <v>520920.29576529784</v>
      </c>
      <c r="AN136" s="747">
        <v>0</v>
      </c>
      <c r="AO136" s="747">
        <v>-18.441919281118171</v>
      </c>
      <c r="AP136" s="747">
        <v>78.197401625867926</v>
      </c>
      <c r="AQ136" s="748">
        <v>33813.962</v>
      </c>
      <c r="AR136" s="748">
        <v>20020</v>
      </c>
      <c r="AS136" s="748">
        <v>368281.91399999999</v>
      </c>
      <c r="AT136" s="748">
        <v>512184.39992000017</v>
      </c>
      <c r="AU136" s="747">
        <v>-132912.3349221441</v>
      </c>
      <c r="AV136" s="747">
        <v>378146.66841054102</v>
      </c>
      <c r="AW136" s="747">
        <v>193944.74543340778</v>
      </c>
      <c r="AX136" s="747">
        <v>0</v>
      </c>
      <c r="AY136" s="747">
        <v>0</v>
      </c>
      <c r="AZ136" s="749">
        <v>0.56000000000000005</v>
      </c>
      <c r="BA136" s="750">
        <f t="shared" si="20"/>
        <v>-25605.63948226373</v>
      </c>
      <c r="BB136" s="750">
        <f t="shared" si="21"/>
        <v>29623.611800627688</v>
      </c>
      <c r="BC136" s="751">
        <f t="shared" si="23"/>
        <v>353041.69701555197</v>
      </c>
      <c r="BD136" s="751">
        <f t="shared" si="24"/>
        <v>501001.40230213077</v>
      </c>
      <c r="BE136" s="751">
        <f t="shared" si="25"/>
        <v>448717.0929474734</v>
      </c>
      <c r="BF136" s="751">
        <f t="shared" si="26"/>
        <v>835141.21887952613</v>
      </c>
      <c r="BG136" s="752">
        <f t="shared" si="22"/>
        <v>12.76504266108863</v>
      </c>
      <c r="BH136" s="763">
        <f t="shared" si="16"/>
        <v>27656.91477802267</v>
      </c>
      <c r="BI136" s="763">
        <f t="shared" si="17"/>
        <v>39247.922283042673</v>
      </c>
      <c r="BJ136" s="763">
        <f t="shared" si="18"/>
        <v>35152.024545541615</v>
      </c>
      <c r="BK136" s="763">
        <f t="shared" si="19"/>
        <v>65424.083651930661</v>
      </c>
    </row>
    <row r="137" spans="1:63">
      <c r="A137" s="669"/>
      <c r="B137" s="754">
        <v>2029</v>
      </c>
      <c r="C137" s="755" t="s">
        <v>13</v>
      </c>
      <c r="D137" s="755" t="s">
        <v>615</v>
      </c>
      <c r="E137" s="755" t="s">
        <v>616</v>
      </c>
      <c r="F137" s="755" t="s">
        <v>613</v>
      </c>
      <c r="G137" s="755" t="s">
        <v>18</v>
      </c>
      <c r="H137" s="755" t="s">
        <v>614</v>
      </c>
      <c r="I137" s="755" t="s">
        <v>51</v>
      </c>
      <c r="J137" s="755" t="s">
        <v>17</v>
      </c>
      <c r="K137" s="755"/>
      <c r="L137" s="755" t="s">
        <v>29</v>
      </c>
      <c r="M137" s="755" t="s">
        <v>412</v>
      </c>
      <c r="N137" s="756">
        <v>0</v>
      </c>
      <c r="O137" s="756">
        <v>0</v>
      </c>
      <c r="P137" s="756">
        <v>0</v>
      </c>
      <c r="Q137" s="756">
        <v>0</v>
      </c>
      <c r="R137" s="756">
        <v>0</v>
      </c>
      <c r="S137" s="756">
        <v>0</v>
      </c>
      <c r="T137" s="756">
        <v>0</v>
      </c>
      <c r="U137" s="756">
        <v>0</v>
      </c>
      <c r="V137" s="756">
        <v>0</v>
      </c>
      <c r="W137" s="756">
        <v>0</v>
      </c>
      <c r="X137" s="757">
        <v>0</v>
      </c>
      <c r="Y137" s="757">
        <v>0</v>
      </c>
      <c r="Z137" s="757">
        <v>7550.9324999999999</v>
      </c>
      <c r="AA137" s="757">
        <v>7550.9324999999999</v>
      </c>
      <c r="AB137" s="757">
        <v>7550.9324999999999</v>
      </c>
      <c r="AC137" s="757">
        <v>7550.9324999999999</v>
      </c>
      <c r="AD137" s="757">
        <v>7550.9324999999999</v>
      </c>
      <c r="AE137" s="757">
        <v>7550.9324999999999</v>
      </c>
      <c r="AF137" s="756">
        <v>0</v>
      </c>
      <c r="AG137" s="756">
        <v>0</v>
      </c>
      <c r="AH137" s="756">
        <v>0</v>
      </c>
      <c r="AI137" s="756">
        <v>0</v>
      </c>
      <c r="AJ137" s="756">
        <v>0</v>
      </c>
      <c r="AK137" s="756">
        <v>0</v>
      </c>
      <c r="AL137" s="756">
        <v>0</v>
      </c>
      <c r="AM137" s="756">
        <v>0</v>
      </c>
      <c r="AN137" s="756">
        <v>0</v>
      </c>
      <c r="AO137" s="756">
        <v>0</v>
      </c>
      <c r="AP137" s="756">
        <v>0</v>
      </c>
      <c r="AQ137" s="757">
        <v>7550.9324999999999</v>
      </c>
      <c r="AR137" s="757">
        <v>0</v>
      </c>
      <c r="AS137" s="757">
        <v>0</v>
      </c>
      <c r="AT137" s="757">
        <v>0</v>
      </c>
      <c r="AU137" s="756">
        <v>0</v>
      </c>
      <c r="AV137" s="756">
        <v>0</v>
      </c>
      <c r="AW137" s="756">
        <v>0</v>
      </c>
      <c r="AX137" s="756">
        <v>0</v>
      </c>
      <c r="AY137" s="756">
        <v>0</v>
      </c>
      <c r="AZ137" s="758">
        <v>0.56000000000000005</v>
      </c>
      <c r="BA137" s="759" t="str">
        <f t="shared" si="20"/>
        <v/>
      </c>
      <c r="BB137" s="759" t="str">
        <f t="shared" si="21"/>
        <v/>
      </c>
      <c r="BC137" s="760">
        <f t="shared" si="23"/>
        <v>0</v>
      </c>
      <c r="BD137" s="760">
        <f t="shared" si="24"/>
        <v>0</v>
      </c>
      <c r="BE137" s="760">
        <f t="shared" si="25"/>
        <v>4228.5222000000003</v>
      </c>
      <c r="BF137" s="760">
        <f t="shared" si="26"/>
        <v>3322.4102999999996</v>
      </c>
      <c r="BG137" s="761">
        <f t="shared" si="22"/>
        <v>0</v>
      </c>
      <c r="BH137" s="762">
        <f t="shared" si="16"/>
        <v>0</v>
      </c>
      <c r="BI137" s="762">
        <f t="shared" si="17"/>
        <v>0</v>
      </c>
      <c r="BJ137" s="762">
        <f t="shared" si="18"/>
        <v>0</v>
      </c>
      <c r="BK137" s="762">
        <f t="shared" si="19"/>
        <v>0</v>
      </c>
    </row>
    <row r="138" spans="1:63">
      <c r="A138" s="669"/>
      <c r="B138" s="745">
        <v>2029</v>
      </c>
      <c r="C138" s="746" t="s">
        <v>13</v>
      </c>
      <c r="D138" s="746" t="s">
        <v>617</v>
      </c>
      <c r="E138" s="746" t="s">
        <v>618</v>
      </c>
      <c r="F138" s="746" t="s">
        <v>478</v>
      </c>
      <c r="G138" s="746" t="s">
        <v>27</v>
      </c>
      <c r="H138" s="746"/>
      <c r="I138" s="746" t="s">
        <v>46</v>
      </c>
      <c r="J138" s="746" t="s">
        <v>489</v>
      </c>
      <c r="K138" s="746"/>
      <c r="L138" s="746" t="s">
        <v>20</v>
      </c>
      <c r="M138" s="746" t="s">
        <v>412</v>
      </c>
      <c r="N138" s="747">
        <v>3158808.4547999999</v>
      </c>
      <c r="O138" s="747">
        <v>473.71861799999999</v>
      </c>
      <c r="P138" s="747">
        <v>7160.8126328999997</v>
      </c>
      <c r="Q138" s="747">
        <v>3000868.0320600001</v>
      </c>
      <c r="R138" s="747">
        <v>450.03268709999998</v>
      </c>
      <c r="S138" s="747">
        <v>6802.7720012549999</v>
      </c>
      <c r="T138" s="747">
        <v>33855312.998815797</v>
      </c>
      <c r="U138" s="747">
        <v>76747.785274638707</v>
      </c>
      <c r="V138" s="747">
        <v>4865.4546847277497</v>
      </c>
      <c r="W138" s="747">
        <v>407.53073980833199</v>
      </c>
      <c r="X138" s="748">
        <v>2421732.51569374</v>
      </c>
      <c r="Y138" s="748">
        <v>2549192.1217828798</v>
      </c>
      <c r="Z138" s="748">
        <v>1830891.1329000001</v>
      </c>
      <c r="AA138" s="748">
        <v>2183345.3131969501</v>
      </c>
      <c r="AB138" s="748">
        <v>1799056.9705543499</v>
      </c>
      <c r="AC138" s="748">
        <v>2197670.2206784599</v>
      </c>
      <c r="AD138" s="748">
        <v>2197670.2206784599</v>
      </c>
      <c r="AE138" s="748">
        <v>12859889.764330201</v>
      </c>
      <c r="AF138" s="747">
        <v>2273677.6584377801</v>
      </c>
      <c r="AG138" s="747">
        <v>148054.857255957</v>
      </c>
      <c r="AH138" s="747">
        <v>0</v>
      </c>
      <c r="AI138" s="747">
        <v>2588231.5327334502</v>
      </c>
      <c r="AJ138" s="747">
        <v>216111.96059629801</v>
      </c>
      <c r="AK138" s="747">
        <v>0</v>
      </c>
      <c r="AL138" s="747">
        <v>2588231.5327334502</v>
      </c>
      <c r="AM138" s="747">
        <v>216246.19754833399</v>
      </c>
      <c r="AN138" s="747">
        <v>0</v>
      </c>
      <c r="AO138" s="747">
        <v>424.53400084274102</v>
      </c>
      <c r="AP138" s="747">
        <v>36.122719326663997</v>
      </c>
      <c r="AQ138" s="748">
        <v>245712.55469999998</v>
      </c>
      <c r="AR138" s="748">
        <v>99720.592600000004</v>
      </c>
      <c r="AS138" s="748">
        <v>596461.20860000001</v>
      </c>
      <c r="AT138" s="748">
        <v>888996.777</v>
      </c>
      <c r="AU138" s="747">
        <v>10974337.480094301</v>
      </c>
      <c r="AV138" s="747">
        <v>86495.313681535205</v>
      </c>
      <c r="AW138" s="747">
        <v>0</v>
      </c>
      <c r="AX138" s="747">
        <v>0</v>
      </c>
      <c r="AY138" s="747">
        <v>0</v>
      </c>
      <c r="AZ138" s="749">
        <v>0.56000000000000005</v>
      </c>
      <c r="BA138" s="750">
        <f t="shared" si="20"/>
        <v>972743.58438821137</v>
      </c>
      <c r="BB138" s="750">
        <f t="shared" si="21"/>
        <v>7666.7736540790493</v>
      </c>
      <c r="BC138" s="751">
        <f t="shared" si="23"/>
        <v>2273677.6584377801</v>
      </c>
      <c r="BD138" s="751">
        <f t="shared" si="24"/>
        <v>148054.857255957</v>
      </c>
      <c r="BE138" s="751">
        <f t="shared" si="25"/>
        <v>11981809.383604737</v>
      </c>
      <c r="BF138" s="751">
        <f t="shared" si="26"/>
        <v>878080.38072544907</v>
      </c>
      <c r="BG138" s="752">
        <f t="shared" si="22"/>
        <v>11.281840000000003</v>
      </c>
      <c r="BH138" s="763">
        <f t="shared" ref="BH138:BH201" si="27">IF($BG138=0,0,BC138/$BG138)</f>
        <v>201534.29391285282</v>
      </c>
      <c r="BI138" s="763">
        <f t="shared" ref="BI138:BI201" si="28">IF($BG138=0,0,BD138/$BG138)</f>
        <v>13123.289929298498</v>
      </c>
      <c r="BJ138" s="763">
        <f t="shared" ref="BJ138:BJ201" si="29">IF($BG138=0,0,BE138/$BG138)</f>
        <v>1062043.9027325981</v>
      </c>
      <c r="BK138" s="763">
        <f t="shared" ref="BK138:BK201" si="30">IF($BG138=0,0,BF138/$BG138)</f>
        <v>77831.309496097165</v>
      </c>
    </row>
    <row r="139" spans="1:63">
      <c r="A139" s="669"/>
      <c r="B139" s="754">
        <v>2029</v>
      </c>
      <c r="C139" s="755" t="s">
        <v>13</v>
      </c>
      <c r="D139" s="755" t="s">
        <v>619</v>
      </c>
      <c r="E139" s="755" t="s">
        <v>620</v>
      </c>
      <c r="F139" s="755" t="s">
        <v>478</v>
      </c>
      <c r="G139" s="755" t="s">
        <v>27</v>
      </c>
      <c r="H139" s="755"/>
      <c r="I139" s="755" t="s">
        <v>46</v>
      </c>
      <c r="J139" s="755" t="s">
        <v>489</v>
      </c>
      <c r="K139" s="755"/>
      <c r="L139" s="755" t="s">
        <v>20</v>
      </c>
      <c r="M139" s="755" t="s">
        <v>412</v>
      </c>
      <c r="N139" s="756">
        <v>3607202.4450516701</v>
      </c>
      <c r="O139" s="756">
        <v>544.06585343404697</v>
      </c>
      <c r="P139" s="756">
        <v>4514.2931524896703</v>
      </c>
      <c r="Q139" s="756">
        <v>3367379.0333733899</v>
      </c>
      <c r="R139" s="756">
        <v>507.89385279482599</v>
      </c>
      <c r="S139" s="756">
        <v>4214.1621779636598</v>
      </c>
      <c r="T139" s="756">
        <v>50510685.5006008</v>
      </c>
      <c r="U139" s="756">
        <v>63212.432669454902</v>
      </c>
      <c r="V139" s="756">
        <v>4481.8919014395697</v>
      </c>
      <c r="W139" s="756">
        <v>335.65801747480498</v>
      </c>
      <c r="X139" s="757">
        <v>2595629.63319377</v>
      </c>
      <c r="Y139" s="757">
        <v>2780489.3558196998</v>
      </c>
      <c r="Z139" s="757">
        <v>1992133.5134999999</v>
      </c>
      <c r="AA139" s="757">
        <v>3281429.4343179902</v>
      </c>
      <c r="AB139" s="757">
        <v>1963743.10924009</v>
      </c>
      <c r="AC139" s="757">
        <v>3305536.1722165798</v>
      </c>
      <c r="AD139" s="757">
        <v>3305536.1722165798</v>
      </c>
      <c r="AE139" s="757">
        <v>17382629.012042802</v>
      </c>
      <c r="AF139" s="756">
        <v>2477329.8312820299</v>
      </c>
      <c r="AG139" s="756">
        <v>117794.87564483601</v>
      </c>
      <c r="AH139" s="756">
        <v>0</v>
      </c>
      <c r="AI139" s="756">
        <v>2891134.1862410801</v>
      </c>
      <c r="AJ139" s="756">
        <v>177647.20651505201</v>
      </c>
      <c r="AK139" s="756">
        <v>894.06283620686304</v>
      </c>
      <c r="AL139" s="756">
        <v>2891134.1862410801</v>
      </c>
      <c r="AM139" s="756">
        <v>177730.36324675599</v>
      </c>
      <c r="AN139" s="756">
        <v>894.06283620686304</v>
      </c>
      <c r="AO139" s="756">
        <v>348.40772478507103</v>
      </c>
      <c r="AP139" s="756">
        <v>22.377201164987</v>
      </c>
      <c r="AQ139" s="757">
        <v>180753.1317</v>
      </c>
      <c r="AR139" s="757">
        <v>111402.5926</v>
      </c>
      <c r="AS139" s="757">
        <v>899829.97230000002</v>
      </c>
      <c r="AT139" s="757">
        <v>800147.81689999998</v>
      </c>
      <c r="AU139" s="756">
        <v>15352061.615538999</v>
      </c>
      <c r="AV139" s="756">
        <v>66824.287263731007</v>
      </c>
      <c r="AW139" s="756">
        <v>0</v>
      </c>
      <c r="AX139" s="756">
        <v>0</v>
      </c>
      <c r="AY139" s="756">
        <v>767.08426899319602</v>
      </c>
      <c r="AZ139" s="758">
        <v>0.56000000000000005</v>
      </c>
      <c r="BA139" s="759">
        <f t="shared" ref="BA139:BA202" si="31">IFERROR(($AU139-$AW139)/$BG139,"")</f>
        <v>1023470.7743692674</v>
      </c>
      <c r="BB139" s="759">
        <f t="shared" ref="BB139:BB202" si="32">IFERROR(($AV139-$AX139)/$BG139,"")</f>
        <v>4454.9524842487372</v>
      </c>
      <c r="BC139" s="760">
        <f t="shared" si="23"/>
        <v>2478096.9155510231</v>
      </c>
      <c r="BD139" s="760">
        <f t="shared" si="24"/>
        <v>117794.87564483601</v>
      </c>
      <c r="BE139" s="760">
        <f t="shared" si="25"/>
        <v>16451757.75671345</v>
      </c>
      <c r="BF139" s="760">
        <f t="shared" si="26"/>
        <v>930871.2553293705</v>
      </c>
      <c r="BG139" s="761">
        <f t="shared" si="22"/>
        <v>14.999999999999989</v>
      </c>
      <c r="BH139" s="762">
        <f t="shared" si="27"/>
        <v>165206.46103673498</v>
      </c>
      <c r="BI139" s="762">
        <f t="shared" si="28"/>
        <v>7852.9917096557392</v>
      </c>
      <c r="BJ139" s="762">
        <f t="shared" si="29"/>
        <v>1096783.8504475642</v>
      </c>
      <c r="BK139" s="762">
        <f t="shared" si="30"/>
        <v>62058.083688624742</v>
      </c>
    </row>
    <row r="140" spans="1:63">
      <c r="A140" s="669"/>
      <c r="B140" s="745">
        <v>2029</v>
      </c>
      <c r="C140" s="746" t="s">
        <v>13</v>
      </c>
      <c r="D140" s="746" t="s">
        <v>621</v>
      </c>
      <c r="E140" s="746" t="s">
        <v>622</v>
      </c>
      <c r="F140" s="746" t="s">
        <v>478</v>
      </c>
      <c r="G140" s="746" t="s">
        <v>27</v>
      </c>
      <c r="H140" s="746"/>
      <c r="I140" s="746" t="s">
        <v>46</v>
      </c>
      <c r="J140" s="746" t="s">
        <v>489</v>
      </c>
      <c r="K140" s="746"/>
      <c r="L140" s="746" t="s">
        <v>20</v>
      </c>
      <c r="M140" s="746" t="s">
        <v>412</v>
      </c>
      <c r="N140" s="747">
        <v>3707276.3006928898</v>
      </c>
      <c r="O140" s="747">
        <v>446.771632045633</v>
      </c>
      <c r="P140" s="747">
        <v>575107.99117072695</v>
      </c>
      <c r="Q140" s="747">
        <v>2195096.4632941298</v>
      </c>
      <c r="R140" s="747">
        <v>264.53567251521599</v>
      </c>
      <c r="S140" s="747">
        <v>348571.34314620198</v>
      </c>
      <c r="T140" s="747">
        <v>25162566.366457701</v>
      </c>
      <c r="U140" s="747">
        <v>3995701.1921923701</v>
      </c>
      <c r="V140" s="747">
        <v>4203.9887649295997</v>
      </c>
      <c r="W140" s="747">
        <v>21217.1733305415</v>
      </c>
      <c r="X140" s="748">
        <v>9549357.7972442098</v>
      </c>
      <c r="Y140" s="748">
        <v>15827721.8454627</v>
      </c>
      <c r="Z140" s="748">
        <v>6162883.7760000005</v>
      </c>
      <c r="AA140" s="748">
        <v>6613437.4461095603</v>
      </c>
      <c r="AB140" s="748">
        <v>6106011.1415210497</v>
      </c>
      <c r="AC140" s="748">
        <v>6648139.4929009303</v>
      </c>
      <c r="AD140" s="748">
        <v>6648139.4929009303</v>
      </c>
      <c r="AE140" s="748">
        <v>18673776.865172699</v>
      </c>
      <c r="AF140" s="747">
        <v>1888279.1463337</v>
      </c>
      <c r="AG140" s="747">
        <v>7696738.2015801398</v>
      </c>
      <c r="AH140" s="747">
        <v>0</v>
      </c>
      <c r="AI140" s="747">
        <v>2155982.1273377701</v>
      </c>
      <c r="AJ140" s="747">
        <v>11251708.417162601</v>
      </c>
      <c r="AK140" s="747">
        <v>359.36969133433001</v>
      </c>
      <c r="AL140" s="747">
        <v>2155982.1273377701</v>
      </c>
      <c r="AM140" s="747">
        <v>11258586.665421201</v>
      </c>
      <c r="AN140" s="747">
        <v>359.36969133433001</v>
      </c>
      <c r="AO140" s="747">
        <v>354.99661208483502</v>
      </c>
      <c r="AP140" s="747">
        <v>1850.9138321063299</v>
      </c>
      <c r="AQ140" s="748">
        <v>403808.48230000003</v>
      </c>
      <c r="AR140" s="748">
        <v>94350.592600000004</v>
      </c>
      <c r="AS140" s="748">
        <v>3071892.7211000002</v>
      </c>
      <c r="AT140" s="748">
        <v>2592831.98</v>
      </c>
      <c r="AU140" s="747">
        <v>8096741.3129724599</v>
      </c>
      <c r="AV140" s="747">
        <v>4471024.4106791699</v>
      </c>
      <c r="AW140" s="747">
        <v>0</v>
      </c>
      <c r="AX140" s="747">
        <v>0</v>
      </c>
      <c r="AY140" s="747">
        <v>314.75909440497901</v>
      </c>
      <c r="AZ140" s="749">
        <v>0.56000000000000005</v>
      </c>
      <c r="BA140" s="750">
        <f t="shared" si="31"/>
        <v>706332.09512386285</v>
      </c>
      <c r="BB140" s="750">
        <f t="shared" si="32"/>
        <v>390036.91945612914</v>
      </c>
      <c r="BC140" s="751">
        <f t="shared" si="23"/>
        <v>1888593.905428105</v>
      </c>
      <c r="BD140" s="751">
        <f t="shared" si="24"/>
        <v>7696738.2015801398</v>
      </c>
      <c r="BE140" s="751">
        <f t="shared" si="25"/>
        <v>11516107.552224249</v>
      </c>
      <c r="BF140" s="751">
        <f t="shared" si="26"/>
        <v>7157669.3129484318</v>
      </c>
      <c r="BG140" s="752">
        <f t="shared" si="22"/>
        <v>11.463080000000014</v>
      </c>
      <c r="BH140" s="763">
        <f t="shared" si="27"/>
        <v>164754.49054077113</v>
      </c>
      <c r="BI140" s="763">
        <f t="shared" si="28"/>
        <v>671437.1880489476</v>
      </c>
      <c r="BJ140" s="763">
        <f t="shared" si="29"/>
        <v>1004625.9427853801</v>
      </c>
      <c r="BK140" s="763">
        <f t="shared" si="30"/>
        <v>624410.65690446401</v>
      </c>
    </row>
    <row r="141" spans="1:63">
      <c r="A141" s="669"/>
      <c r="B141" s="754">
        <v>2029</v>
      </c>
      <c r="C141" s="755" t="s">
        <v>13</v>
      </c>
      <c r="D141" s="755" t="s">
        <v>623</v>
      </c>
      <c r="E141" s="755" t="s">
        <v>624</v>
      </c>
      <c r="F141" s="755" t="s">
        <v>478</v>
      </c>
      <c r="G141" s="755" t="s">
        <v>27</v>
      </c>
      <c r="H141" s="755"/>
      <c r="I141" s="755" t="s">
        <v>46</v>
      </c>
      <c r="J141" s="755" t="s">
        <v>489</v>
      </c>
      <c r="K141" s="755"/>
      <c r="L141" s="755" t="s">
        <v>20</v>
      </c>
      <c r="M141" s="755" t="s">
        <v>412</v>
      </c>
      <c r="N141" s="756">
        <v>3674902.5378</v>
      </c>
      <c r="O141" s="756">
        <v>335.95837632000001</v>
      </c>
      <c r="P141" s="756">
        <v>80850.504807000005</v>
      </c>
      <c r="Q141" s="756">
        <v>3491157.4109100001</v>
      </c>
      <c r="R141" s="756">
        <v>319.16045750400002</v>
      </c>
      <c r="S141" s="756">
        <v>76807.979566649999</v>
      </c>
      <c r="T141" s="756">
        <v>27748982.900895402</v>
      </c>
      <c r="U141" s="756">
        <v>610497.62608433701</v>
      </c>
      <c r="V141" s="756">
        <v>3945.89664494004</v>
      </c>
      <c r="W141" s="756">
        <v>3241.7423945078299</v>
      </c>
      <c r="X141" s="757">
        <v>3199945.4317229199</v>
      </c>
      <c r="Y141" s="757">
        <v>3368363.6123399199</v>
      </c>
      <c r="Z141" s="757">
        <v>1696116.5144999998</v>
      </c>
      <c r="AA141" s="757">
        <v>2339767.9909443501</v>
      </c>
      <c r="AB141" s="757">
        <v>1664208.36904218</v>
      </c>
      <c r="AC141" s="757">
        <v>2357476.8180050598</v>
      </c>
      <c r="AD141" s="757">
        <v>2357476.8180050598</v>
      </c>
      <c r="AE141" s="757">
        <v>11735902.767625701</v>
      </c>
      <c r="AF141" s="756">
        <v>1979593.9717701599</v>
      </c>
      <c r="AG141" s="756">
        <v>1220351.45995276</v>
      </c>
      <c r="AH141" s="756">
        <v>0</v>
      </c>
      <c r="AI141" s="756">
        <v>2175486.6068271198</v>
      </c>
      <c r="AJ141" s="756">
        <v>1730610.4918944801</v>
      </c>
      <c r="AK141" s="756">
        <v>0</v>
      </c>
      <c r="AL141" s="756">
        <v>2175486.6068271198</v>
      </c>
      <c r="AM141" s="756">
        <v>1732126.1195044001</v>
      </c>
      <c r="AN141" s="756">
        <v>0</v>
      </c>
      <c r="AO141" s="756">
        <v>493.89543538440199</v>
      </c>
      <c r="AP141" s="756">
        <v>407.85037149891099</v>
      </c>
      <c r="AQ141" s="757">
        <v>228262.24719999998</v>
      </c>
      <c r="AR141" s="757">
        <v>92407.592600000004</v>
      </c>
      <c r="AS141" s="757">
        <v>484383.85470000003</v>
      </c>
      <c r="AT141" s="757">
        <v>891062.82</v>
      </c>
      <c r="AU141" s="756">
        <v>9356032.0241589099</v>
      </c>
      <c r="AV141" s="756">
        <v>715662.37442461203</v>
      </c>
      <c r="AW141" s="756">
        <v>0</v>
      </c>
      <c r="AX141" s="756">
        <v>0</v>
      </c>
      <c r="AY141" s="756">
        <v>0</v>
      </c>
      <c r="AZ141" s="758">
        <v>0.56000000000000005</v>
      </c>
      <c r="BA141" s="759">
        <f t="shared" si="31"/>
        <v>1177101.9015186925</v>
      </c>
      <c r="BB141" s="759">
        <f t="shared" si="32"/>
        <v>90038.975882655141</v>
      </c>
      <c r="BC141" s="760">
        <f t="shared" si="23"/>
        <v>1979593.9717701599</v>
      </c>
      <c r="BD141" s="760">
        <f t="shared" si="24"/>
        <v>1220351.45995276</v>
      </c>
      <c r="BE141" s="760">
        <f t="shared" si="25"/>
        <v>10287988.71082253</v>
      </c>
      <c r="BF141" s="760">
        <f t="shared" si="26"/>
        <v>1447914.0568031711</v>
      </c>
      <c r="BG141" s="761">
        <f t="shared" si="22"/>
        <v>7.9483619999999942</v>
      </c>
      <c r="BH141" s="762">
        <f t="shared" si="27"/>
        <v>249056.84614895011</v>
      </c>
      <c r="BI141" s="762">
        <f t="shared" si="28"/>
        <v>153534.96229194908</v>
      </c>
      <c r="BJ141" s="762">
        <f t="shared" si="29"/>
        <v>1294353.3159187436</v>
      </c>
      <c r="BK141" s="762">
        <f t="shared" si="30"/>
        <v>182165.08719698124</v>
      </c>
    </row>
    <row r="142" spans="1:63">
      <c r="A142" s="669"/>
      <c r="B142" s="745">
        <v>2029</v>
      </c>
      <c r="C142" s="746" t="s">
        <v>13</v>
      </c>
      <c r="D142" s="746" t="s">
        <v>625</v>
      </c>
      <c r="E142" s="746" t="s">
        <v>626</v>
      </c>
      <c r="F142" s="746" t="s">
        <v>478</v>
      </c>
      <c r="G142" s="746" t="s">
        <v>18</v>
      </c>
      <c r="H142" s="746"/>
      <c r="I142" s="746" t="s">
        <v>46</v>
      </c>
      <c r="J142" s="746" t="s">
        <v>17</v>
      </c>
      <c r="K142" s="746"/>
      <c r="L142" s="746" t="s">
        <v>29</v>
      </c>
      <c r="M142" s="746" t="s">
        <v>412</v>
      </c>
      <c r="N142" s="747">
        <v>0</v>
      </c>
      <c r="O142" s="747">
        <v>0</v>
      </c>
      <c r="P142" s="747">
        <v>0</v>
      </c>
      <c r="Q142" s="747">
        <v>0</v>
      </c>
      <c r="R142" s="747">
        <v>0</v>
      </c>
      <c r="S142" s="747">
        <v>0</v>
      </c>
      <c r="T142" s="747">
        <v>0</v>
      </c>
      <c r="U142" s="747">
        <v>0</v>
      </c>
      <c r="V142" s="747">
        <v>0</v>
      </c>
      <c r="W142" s="747">
        <v>0</v>
      </c>
      <c r="X142" s="748">
        <v>0</v>
      </c>
      <c r="Y142" s="748">
        <v>0</v>
      </c>
      <c r="Z142" s="748">
        <v>1054405.1684000001</v>
      </c>
      <c r="AA142" s="748">
        <v>1054405.1684000001</v>
      </c>
      <c r="AB142" s="748">
        <v>1054405.1684000001</v>
      </c>
      <c r="AC142" s="748">
        <v>1054405.1684000001</v>
      </c>
      <c r="AD142" s="748">
        <v>1054405.1684000001</v>
      </c>
      <c r="AE142" s="748">
        <v>1054405.1684000001</v>
      </c>
      <c r="AF142" s="747">
        <v>0</v>
      </c>
      <c r="AG142" s="747">
        <v>0</v>
      </c>
      <c r="AH142" s="747">
        <v>0</v>
      </c>
      <c r="AI142" s="747">
        <v>0</v>
      </c>
      <c r="AJ142" s="747">
        <v>0</v>
      </c>
      <c r="AK142" s="747">
        <v>0</v>
      </c>
      <c r="AL142" s="747">
        <v>0</v>
      </c>
      <c r="AM142" s="747">
        <v>0</v>
      </c>
      <c r="AN142" s="747">
        <v>0</v>
      </c>
      <c r="AO142" s="747">
        <v>0</v>
      </c>
      <c r="AP142" s="747">
        <v>0</v>
      </c>
      <c r="AQ142" s="748">
        <v>232480.95170000001</v>
      </c>
      <c r="AR142" s="748">
        <v>104308.9626</v>
      </c>
      <c r="AS142" s="748">
        <v>651615.25410000002</v>
      </c>
      <c r="AT142" s="748">
        <v>66000</v>
      </c>
      <c r="AU142" s="747">
        <v>0</v>
      </c>
      <c r="AV142" s="747">
        <v>0</v>
      </c>
      <c r="AW142" s="747">
        <v>0</v>
      </c>
      <c r="AX142" s="747">
        <v>0</v>
      </c>
      <c r="AY142" s="747">
        <v>0</v>
      </c>
      <c r="AZ142" s="749">
        <v>0.56000000000000005</v>
      </c>
      <c r="BA142" s="750" t="str">
        <f t="shared" si="31"/>
        <v/>
      </c>
      <c r="BB142" s="750" t="str">
        <f t="shared" si="32"/>
        <v/>
      </c>
      <c r="BC142" s="751">
        <f t="shared" si="23"/>
        <v>0</v>
      </c>
      <c r="BD142" s="751">
        <f t="shared" si="24"/>
        <v>0</v>
      </c>
      <c r="BE142" s="751">
        <f t="shared" si="25"/>
        <v>590466.89430400007</v>
      </c>
      <c r="BF142" s="751">
        <f t="shared" si="26"/>
        <v>463938.27409600001</v>
      </c>
      <c r="BG142" s="752">
        <f t="shared" si="22"/>
        <v>0</v>
      </c>
      <c r="BH142" s="763">
        <f t="shared" si="27"/>
        <v>0</v>
      </c>
      <c r="BI142" s="763">
        <f t="shared" si="28"/>
        <v>0</v>
      </c>
      <c r="BJ142" s="763">
        <f t="shared" si="29"/>
        <v>0</v>
      </c>
      <c r="BK142" s="763">
        <f t="shared" si="30"/>
        <v>0</v>
      </c>
    </row>
    <row r="143" spans="1:63">
      <c r="A143" s="669"/>
      <c r="B143" s="754">
        <v>2029</v>
      </c>
      <c r="C143" s="755" t="s">
        <v>13</v>
      </c>
      <c r="D143" s="755" t="s">
        <v>627</v>
      </c>
      <c r="E143" s="755" t="s">
        <v>628</v>
      </c>
      <c r="F143" s="755" t="s">
        <v>478</v>
      </c>
      <c r="G143" s="755" t="s">
        <v>54</v>
      </c>
      <c r="H143" s="755"/>
      <c r="I143" s="755" t="s">
        <v>46</v>
      </c>
      <c r="J143" s="755" t="s">
        <v>17</v>
      </c>
      <c r="K143" s="755"/>
      <c r="L143" s="755" t="s">
        <v>347</v>
      </c>
      <c r="M143" s="755" t="s">
        <v>412</v>
      </c>
      <c r="N143" s="756">
        <v>0</v>
      </c>
      <c r="O143" s="756">
        <v>0</v>
      </c>
      <c r="P143" s="756">
        <v>0</v>
      </c>
      <c r="Q143" s="756">
        <v>0</v>
      </c>
      <c r="R143" s="756">
        <v>0</v>
      </c>
      <c r="S143" s="756">
        <v>0</v>
      </c>
      <c r="T143" s="756">
        <v>0</v>
      </c>
      <c r="U143" s="756">
        <v>0</v>
      </c>
      <c r="V143" s="756">
        <v>0</v>
      </c>
      <c r="W143" s="756">
        <v>0</v>
      </c>
      <c r="X143" s="757">
        <v>0</v>
      </c>
      <c r="Y143" s="757">
        <v>0</v>
      </c>
      <c r="Z143" s="757">
        <v>198945.14910000001</v>
      </c>
      <c r="AA143" s="757">
        <v>198945.14910000001</v>
      </c>
      <c r="AB143" s="757">
        <v>198945.14910000001</v>
      </c>
      <c r="AC143" s="757">
        <v>198945.14910000001</v>
      </c>
      <c r="AD143" s="757">
        <v>198945.14910000001</v>
      </c>
      <c r="AE143" s="757">
        <v>198945.14910000001</v>
      </c>
      <c r="AF143" s="756">
        <v>0</v>
      </c>
      <c r="AG143" s="756">
        <v>0</v>
      </c>
      <c r="AH143" s="756">
        <v>0</v>
      </c>
      <c r="AI143" s="756">
        <v>0</v>
      </c>
      <c r="AJ143" s="756">
        <v>0</v>
      </c>
      <c r="AK143" s="756">
        <v>0</v>
      </c>
      <c r="AL143" s="756">
        <v>0</v>
      </c>
      <c r="AM143" s="756">
        <v>0</v>
      </c>
      <c r="AN143" s="756">
        <v>0</v>
      </c>
      <c r="AO143" s="756">
        <v>0</v>
      </c>
      <c r="AP143" s="756">
        <v>0</v>
      </c>
      <c r="AQ143" s="757">
        <v>198945.14910000001</v>
      </c>
      <c r="AR143" s="757">
        <v>0</v>
      </c>
      <c r="AS143" s="757">
        <v>0</v>
      </c>
      <c r="AT143" s="757">
        <v>0</v>
      </c>
      <c r="AU143" s="756">
        <v>0</v>
      </c>
      <c r="AV143" s="756">
        <v>0</v>
      </c>
      <c r="AW143" s="756">
        <v>0</v>
      </c>
      <c r="AX143" s="756">
        <v>0</v>
      </c>
      <c r="AY143" s="756">
        <v>0</v>
      </c>
      <c r="AZ143" s="758">
        <v>0.56000000000000005</v>
      </c>
      <c r="BA143" s="759" t="str">
        <f t="shared" si="31"/>
        <v/>
      </c>
      <c r="BB143" s="759" t="str">
        <f t="shared" si="32"/>
        <v/>
      </c>
      <c r="BC143" s="760">
        <f t="shared" si="23"/>
        <v>0</v>
      </c>
      <c r="BD143" s="760">
        <f t="shared" si="24"/>
        <v>0</v>
      </c>
      <c r="BE143" s="760">
        <f t="shared" si="25"/>
        <v>111409.28349600002</v>
      </c>
      <c r="BF143" s="760">
        <f t="shared" si="26"/>
        <v>87535.865603999991</v>
      </c>
      <c r="BG143" s="761">
        <f t="shared" si="22"/>
        <v>0</v>
      </c>
      <c r="BH143" s="762">
        <f t="shared" si="27"/>
        <v>0</v>
      </c>
      <c r="BI143" s="762">
        <f t="shared" si="28"/>
        <v>0</v>
      </c>
      <c r="BJ143" s="762">
        <f t="shared" si="29"/>
        <v>0</v>
      </c>
      <c r="BK143" s="762">
        <f t="shared" si="30"/>
        <v>0</v>
      </c>
    </row>
    <row r="144" spans="1:63">
      <c r="A144" s="669"/>
      <c r="B144" s="745">
        <v>2029</v>
      </c>
      <c r="C144" s="746" t="s">
        <v>13</v>
      </c>
      <c r="D144" s="746" t="s">
        <v>629</v>
      </c>
      <c r="E144" s="746" t="s">
        <v>630</v>
      </c>
      <c r="F144" s="746" t="s">
        <v>478</v>
      </c>
      <c r="G144" s="746" t="s">
        <v>54</v>
      </c>
      <c r="H144" s="746"/>
      <c r="I144" s="746" t="s">
        <v>46</v>
      </c>
      <c r="J144" s="746" t="s">
        <v>17</v>
      </c>
      <c r="K144" s="746"/>
      <c r="L144" s="746" t="s">
        <v>36</v>
      </c>
      <c r="M144" s="746" t="s">
        <v>412</v>
      </c>
      <c r="N144" s="747">
        <v>0</v>
      </c>
      <c r="O144" s="747">
        <v>0</v>
      </c>
      <c r="P144" s="747">
        <v>0</v>
      </c>
      <c r="Q144" s="747">
        <v>0</v>
      </c>
      <c r="R144" s="747">
        <v>0</v>
      </c>
      <c r="S144" s="747">
        <v>0</v>
      </c>
      <c r="T144" s="747">
        <v>0</v>
      </c>
      <c r="U144" s="747">
        <v>0</v>
      </c>
      <c r="V144" s="747">
        <v>0</v>
      </c>
      <c r="W144" s="747">
        <v>0</v>
      </c>
      <c r="X144" s="748">
        <v>0</v>
      </c>
      <c r="Y144" s="748">
        <v>0</v>
      </c>
      <c r="Z144" s="748">
        <v>9405.68</v>
      </c>
      <c r="AA144" s="748">
        <v>9405.68</v>
      </c>
      <c r="AB144" s="748">
        <v>9405.68</v>
      </c>
      <c r="AC144" s="748">
        <v>9405.68</v>
      </c>
      <c r="AD144" s="748">
        <v>9405.68</v>
      </c>
      <c r="AE144" s="748">
        <v>9405.68</v>
      </c>
      <c r="AF144" s="747">
        <v>0</v>
      </c>
      <c r="AG144" s="747">
        <v>0</v>
      </c>
      <c r="AH144" s="747">
        <v>0</v>
      </c>
      <c r="AI144" s="747">
        <v>0</v>
      </c>
      <c r="AJ144" s="747">
        <v>0</v>
      </c>
      <c r="AK144" s="747">
        <v>0</v>
      </c>
      <c r="AL144" s="747">
        <v>0</v>
      </c>
      <c r="AM144" s="747">
        <v>0</v>
      </c>
      <c r="AN144" s="747">
        <v>0</v>
      </c>
      <c r="AO144" s="747">
        <v>0</v>
      </c>
      <c r="AP144" s="747">
        <v>0</v>
      </c>
      <c r="AQ144" s="748">
        <v>9405.68</v>
      </c>
      <c r="AR144" s="748">
        <v>0</v>
      </c>
      <c r="AS144" s="748">
        <v>0</v>
      </c>
      <c r="AT144" s="748">
        <v>0</v>
      </c>
      <c r="AU144" s="747">
        <v>0</v>
      </c>
      <c r="AV144" s="747">
        <v>0</v>
      </c>
      <c r="AW144" s="747">
        <v>0</v>
      </c>
      <c r="AX144" s="747">
        <v>0</v>
      </c>
      <c r="AY144" s="747">
        <v>0</v>
      </c>
      <c r="AZ144" s="749">
        <v>0.56000000000000005</v>
      </c>
      <c r="BA144" s="750" t="str">
        <f t="shared" si="31"/>
        <v/>
      </c>
      <c r="BB144" s="750" t="str">
        <f t="shared" si="32"/>
        <v/>
      </c>
      <c r="BC144" s="751">
        <f t="shared" si="23"/>
        <v>0</v>
      </c>
      <c r="BD144" s="751">
        <f t="shared" si="24"/>
        <v>0</v>
      </c>
      <c r="BE144" s="751">
        <f t="shared" si="25"/>
        <v>5267.180800000001</v>
      </c>
      <c r="BF144" s="751">
        <f t="shared" si="26"/>
        <v>4138.4991999999993</v>
      </c>
      <c r="BG144" s="752">
        <f t="shared" si="22"/>
        <v>0</v>
      </c>
      <c r="BH144" s="763">
        <f t="shared" si="27"/>
        <v>0</v>
      </c>
      <c r="BI144" s="763">
        <f t="shared" si="28"/>
        <v>0</v>
      </c>
      <c r="BJ144" s="763">
        <f t="shared" si="29"/>
        <v>0</v>
      </c>
      <c r="BK144" s="763">
        <f t="shared" si="30"/>
        <v>0</v>
      </c>
    </row>
    <row r="145" spans="1:63">
      <c r="A145" s="669"/>
      <c r="B145" s="754">
        <v>2029</v>
      </c>
      <c r="C145" s="755" t="s">
        <v>13</v>
      </c>
      <c r="D145" s="755" t="s">
        <v>631</v>
      </c>
      <c r="E145" s="755" t="s">
        <v>632</v>
      </c>
      <c r="F145" s="755" t="s">
        <v>478</v>
      </c>
      <c r="G145" s="755" t="s">
        <v>54</v>
      </c>
      <c r="H145" s="755"/>
      <c r="I145" s="755" t="s">
        <v>46</v>
      </c>
      <c r="J145" s="755" t="s">
        <v>17</v>
      </c>
      <c r="K145" s="755"/>
      <c r="L145" s="755" t="s">
        <v>29</v>
      </c>
      <c r="M145" s="755" t="s">
        <v>412</v>
      </c>
      <c r="N145" s="756">
        <v>0</v>
      </c>
      <c r="O145" s="756">
        <v>0</v>
      </c>
      <c r="P145" s="756">
        <v>0</v>
      </c>
      <c r="Q145" s="756">
        <v>0</v>
      </c>
      <c r="R145" s="756">
        <v>0</v>
      </c>
      <c r="S145" s="756">
        <v>0</v>
      </c>
      <c r="T145" s="756">
        <v>0</v>
      </c>
      <c r="U145" s="756">
        <v>0</v>
      </c>
      <c r="V145" s="756">
        <v>0</v>
      </c>
      <c r="W145" s="756">
        <v>0</v>
      </c>
      <c r="X145" s="757">
        <v>0</v>
      </c>
      <c r="Y145" s="757">
        <v>0</v>
      </c>
      <c r="Z145" s="757">
        <v>352662.57679999998</v>
      </c>
      <c r="AA145" s="757">
        <v>352662.57679999998</v>
      </c>
      <c r="AB145" s="757">
        <v>352662.57679999998</v>
      </c>
      <c r="AC145" s="757">
        <v>352662.57679999998</v>
      </c>
      <c r="AD145" s="757">
        <v>352662.57679999998</v>
      </c>
      <c r="AE145" s="757">
        <v>352662.57679999998</v>
      </c>
      <c r="AF145" s="756">
        <v>0</v>
      </c>
      <c r="AG145" s="756">
        <v>0</v>
      </c>
      <c r="AH145" s="756">
        <v>0</v>
      </c>
      <c r="AI145" s="756">
        <v>0</v>
      </c>
      <c r="AJ145" s="756">
        <v>0</v>
      </c>
      <c r="AK145" s="756">
        <v>0</v>
      </c>
      <c r="AL145" s="756">
        <v>0</v>
      </c>
      <c r="AM145" s="756">
        <v>0</v>
      </c>
      <c r="AN145" s="756">
        <v>0</v>
      </c>
      <c r="AO145" s="756">
        <v>0</v>
      </c>
      <c r="AP145" s="756">
        <v>0</v>
      </c>
      <c r="AQ145" s="757">
        <v>352662.57679999998</v>
      </c>
      <c r="AR145" s="757">
        <v>0</v>
      </c>
      <c r="AS145" s="757">
        <v>0</v>
      </c>
      <c r="AT145" s="757">
        <v>0</v>
      </c>
      <c r="AU145" s="756">
        <v>0</v>
      </c>
      <c r="AV145" s="756">
        <v>0</v>
      </c>
      <c r="AW145" s="756">
        <v>0</v>
      </c>
      <c r="AX145" s="756">
        <v>0</v>
      </c>
      <c r="AY145" s="756">
        <v>0</v>
      </c>
      <c r="AZ145" s="758">
        <v>0.56000000000000005</v>
      </c>
      <c r="BA145" s="759" t="str">
        <f t="shared" si="31"/>
        <v/>
      </c>
      <c r="BB145" s="759" t="str">
        <f t="shared" si="32"/>
        <v/>
      </c>
      <c r="BC145" s="760">
        <f t="shared" si="23"/>
        <v>0</v>
      </c>
      <c r="BD145" s="760">
        <f t="shared" si="24"/>
        <v>0</v>
      </c>
      <c r="BE145" s="760">
        <f t="shared" si="25"/>
        <v>197491.04300800001</v>
      </c>
      <c r="BF145" s="760">
        <f t="shared" si="26"/>
        <v>155171.53379199997</v>
      </c>
      <c r="BG145" s="761">
        <f t="shared" ref="BG145:BG208" si="33">IFERROR(($U145*99976.1+$T145*3412.14)/($S145*99976.1+$Q145*3412.14),0)</f>
        <v>0</v>
      </c>
      <c r="BH145" s="762">
        <f t="shared" si="27"/>
        <v>0</v>
      </c>
      <c r="BI145" s="762">
        <f t="shared" si="28"/>
        <v>0</v>
      </c>
      <c r="BJ145" s="762">
        <f t="shared" si="29"/>
        <v>0</v>
      </c>
      <c r="BK145" s="762">
        <f t="shared" si="30"/>
        <v>0</v>
      </c>
    </row>
    <row r="146" spans="1:63">
      <c r="A146" s="669"/>
      <c r="B146" s="745">
        <v>2029</v>
      </c>
      <c r="C146" s="746" t="s">
        <v>13</v>
      </c>
      <c r="D146" s="746" t="s">
        <v>633</v>
      </c>
      <c r="E146" s="746" t="s">
        <v>634</v>
      </c>
      <c r="F146" s="746" t="s">
        <v>478</v>
      </c>
      <c r="G146" s="746" t="s">
        <v>54</v>
      </c>
      <c r="H146" s="746"/>
      <c r="I146" s="746" t="s">
        <v>46</v>
      </c>
      <c r="J146" s="746" t="s">
        <v>17</v>
      </c>
      <c r="K146" s="746"/>
      <c r="L146" s="746" t="s">
        <v>20</v>
      </c>
      <c r="M146" s="746" t="s">
        <v>412</v>
      </c>
      <c r="N146" s="747">
        <v>0</v>
      </c>
      <c r="O146" s="747">
        <v>0</v>
      </c>
      <c r="P146" s="747">
        <v>0</v>
      </c>
      <c r="Q146" s="747">
        <v>0</v>
      </c>
      <c r="R146" s="747">
        <v>0</v>
      </c>
      <c r="S146" s="747">
        <v>0</v>
      </c>
      <c r="T146" s="747">
        <v>0</v>
      </c>
      <c r="U146" s="747">
        <v>0</v>
      </c>
      <c r="V146" s="747">
        <v>0</v>
      </c>
      <c r="W146" s="747">
        <v>0</v>
      </c>
      <c r="X146" s="748">
        <v>0</v>
      </c>
      <c r="Y146" s="748">
        <v>0</v>
      </c>
      <c r="Z146" s="748">
        <v>2089823.9047000001</v>
      </c>
      <c r="AA146" s="748">
        <v>2089823.9047000001</v>
      </c>
      <c r="AB146" s="748">
        <v>2089823.9047000001</v>
      </c>
      <c r="AC146" s="748">
        <v>2089823.9047000001</v>
      </c>
      <c r="AD146" s="748">
        <v>2089823.9047000001</v>
      </c>
      <c r="AE146" s="748">
        <v>2089823.9047000001</v>
      </c>
      <c r="AF146" s="747">
        <v>0</v>
      </c>
      <c r="AG146" s="747">
        <v>0</v>
      </c>
      <c r="AH146" s="747">
        <v>0</v>
      </c>
      <c r="AI146" s="747">
        <v>0</v>
      </c>
      <c r="AJ146" s="747">
        <v>0</v>
      </c>
      <c r="AK146" s="747">
        <v>0</v>
      </c>
      <c r="AL146" s="747">
        <v>0</v>
      </c>
      <c r="AM146" s="747">
        <v>0</v>
      </c>
      <c r="AN146" s="747">
        <v>0</v>
      </c>
      <c r="AO146" s="747">
        <v>0</v>
      </c>
      <c r="AP146" s="747">
        <v>0</v>
      </c>
      <c r="AQ146" s="748">
        <v>2089823.9047000001</v>
      </c>
      <c r="AR146" s="748">
        <v>0</v>
      </c>
      <c r="AS146" s="748">
        <v>0</v>
      </c>
      <c r="AT146" s="748">
        <v>0</v>
      </c>
      <c r="AU146" s="747">
        <v>0</v>
      </c>
      <c r="AV146" s="747">
        <v>0</v>
      </c>
      <c r="AW146" s="747">
        <v>0</v>
      </c>
      <c r="AX146" s="747">
        <v>0</v>
      </c>
      <c r="AY146" s="747">
        <v>0</v>
      </c>
      <c r="AZ146" s="749">
        <v>0.56000000000000005</v>
      </c>
      <c r="BA146" s="750" t="str">
        <f t="shared" si="31"/>
        <v/>
      </c>
      <c r="BB146" s="750" t="str">
        <f t="shared" si="32"/>
        <v/>
      </c>
      <c r="BC146" s="751">
        <f t="shared" ref="BC146:BC209" si="34">$AF146+$AY146+$AW146+$AZ146*$AH146</f>
        <v>0</v>
      </c>
      <c r="BD146" s="751">
        <f t="shared" ref="BD146:BD209" si="35">$AG146+$AX146+(1-$AZ146)*$AH146</f>
        <v>0</v>
      </c>
      <c r="BE146" s="751">
        <f t="shared" ref="BE146:BE209" si="36">$AB146*$AZ146+$AU146</f>
        <v>1170301.3866320001</v>
      </c>
      <c r="BF146" s="751">
        <f t="shared" ref="BF146:BF209" si="37">$AB146*(1-$AZ146)+$AV146</f>
        <v>919522.51806799998</v>
      </c>
      <c r="BG146" s="752">
        <f t="shared" si="33"/>
        <v>0</v>
      </c>
      <c r="BH146" s="763">
        <f t="shared" si="27"/>
        <v>0</v>
      </c>
      <c r="BI146" s="763">
        <f t="shared" si="28"/>
        <v>0</v>
      </c>
      <c r="BJ146" s="763">
        <f t="shared" si="29"/>
        <v>0</v>
      </c>
      <c r="BK146" s="763">
        <f t="shared" si="30"/>
        <v>0</v>
      </c>
    </row>
    <row r="147" spans="1:63">
      <c r="A147" s="669"/>
      <c r="B147" s="754">
        <v>2029</v>
      </c>
      <c r="C147" s="755" t="s">
        <v>13</v>
      </c>
      <c r="D147" s="755" t="s">
        <v>635</v>
      </c>
      <c r="E147" s="755" t="s">
        <v>636</v>
      </c>
      <c r="F147" s="755" t="s">
        <v>478</v>
      </c>
      <c r="G147" s="755" t="s">
        <v>18</v>
      </c>
      <c r="H147" s="755" t="s">
        <v>637</v>
      </c>
      <c r="I147" s="755" t="s">
        <v>40</v>
      </c>
      <c r="J147" s="755" t="s">
        <v>33</v>
      </c>
      <c r="K147" s="755"/>
      <c r="L147" s="755" t="s">
        <v>29</v>
      </c>
      <c r="M147" s="755" t="s">
        <v>638</v>
      </c>
      <c r="N147" s="756">
        <v>0</v>
      </c>
      <c r="O147" s="756">
        <v>0</v>
      </c>
      <c r="P147" s="756">
        <v>0</v>
      </c>
      <c r="Q147" s="756">
        <v>0</v>
      </c>
      <c r="R147" s="756">
        <v>0</v>
      </c>
      <c r="S147" s="756">
        <v>0</v>
      </c>
      <c r="T147" s="756">
        <v>0</v>
      </c>
      <c r="U147" s="756">
        <v>0</v>
      </c>
      <c r="V147" s="756">
        <v>0</v>
      </c>
      <c r="W147" s="756">
        <v>0</v>
      </c>
      <c r="X147" s="757">
        <v>0</v>
      </c>
      <c r="Y147" s="757">
        <v>0</v>
      </c>
      <c r="Z147" s="757">
        <v>522742.13760000002</v>
      </c>
      <c r="AA147" s="757">
        <v>522742.13759999903</v>
      </c>
      <c r="AB147" s="757">
        <v>522742.13759999903</v>
      </c>
      <c r="AC147" s="757">
        <v>522742.13759999903</v>
      </c>
      <c r="AD147" s="757">
        <v>522742.13759999903</v>
      </c>
      <c r="AE147" s="757">
        <v>522742.13759999903</v>
      </c>
      <c r="AF147" s="756">
        <v>0</v>
      </c>
      <c r="AG147" s="756">
        <v>0</v>
      </c>
      <c r="AH147" s="756">
        <v>0</v>
      </c>
      <c r="AI147" s="756">
        <v>0</v>
      </c>
      <c r="AJ147" s="756">
        <v>0</v>
      </c>
      <c r="AK147" s="756">
        <v>0</v>
      </c>
      <c r="AL147" s="756">
        <v>0</v>
      </c>
      <c r="AM147" s="756">
        <v>0</v>
      </c>
      <c r="AN147" s="756">
        <v>0</v>
      </c>
      <c r="AO147" s="756">
        <v>0</v>
      </c>
      <c r="AP147" s="756">
        <v>0</v>
      </c>
      <c r="AQ147" s="757">
        <v>16363.8336</v>
      </c>
      <c r="AR147" s="757">
        <v>39680</v>
      </c>
      <c r="AS147" s="757">
        <v>107098.304</v>
      </c>
      <c r="AT147" s="757">
        <v>359600</v>
      </c>
      <c r="AU147" s="756">
        <v>0</v>
      </c>
      <c r="AV147" s="756">
        <v>0</v>
      </c>
      <c r="AW147" s="756">
        <v>0</v>
      </c>
      <c r="AX147" s="756">
        <v>0</v>
      </c>
      <c r="AY147" s="756">
        <v>0</v>
      </c>
      <c r="AZ147" s="758">
        <v>0.56000000000000005</v>
      </c>
      <c r="BA147" s="759" t="str">
        <f t="shared" si="31"/>
        <v/>
      </c>
      <c r="BB147" s="759" t="str">
        <f t="shared" si="32"/>
        <v/>
      </c>
      <c r="BC147" s="760">
        <f t="shared" si="34"/>
        <v>0</v>
      </c>
      <c r="BD147" s="760">
        <f t="shared" si="35"/>
        <v>0</v>
      </c>
      <c r="BE147" s="760">
        <f t="shared" si="36"/>
        <v>292735.5970559995</v>
      </c>
      <c r="BF147" s="760">
        <f t="shared" si="37"/>
        <v>230006.54054399955</v>
      </c>
      <c r="BG147" s="761">
        <f t="shared" si="33"/>
        <v>0</v>
      </c>
      <c r="BH147" s="762">
        <f t="shared" si="27"/>
        <v>0</v>
      </c>
      <c r="BI147" s="762">
        <f t="shared" si="28"/>
        <v>0</v>
      </c>
      <c r="BJ147" s="762">
        <f t="shared" si="29"/>
        <v>0</v>
      </c>
      <c r="BK147" s="762">
        <f t="shared" si="30"/>
        <v>0</v>
      </c>
    </row>
    <row r="148" spans="1:63">
      <c r="A148" s="669"/>
      <c r="B148" s="745">
        <v>2029</v>
      </c>
      <c r="C148" s="746" t="s">
        <v>13</v>
      </c>
      <c r="D148" s="746" t="s">
        <v>639</v>
      </c>
      <c r="E148" s="746" t="s">
        <v>640</v>
      </c>
      <c r="F148" s="746" t="s">
        <v>478</v>
      </c>
      <c r="G148" s="746" t="s">
        <v>18</v>
      </c>
      <c r="H148" s="746" t="s">
        <v>637</v>
      </c>
      <c r="I148" s="746" t="s">
        <v>40</v>
      </c>
      <c r="J148" s="746" t="s">
        <v>17</v>
      </c>
      <c r="K148" s="746"/>
      <c r="L148" s="746" t="s">
        <v>29</v>
      </c>
      <c r="M148" s="746" t="s">
        <v>638</v>
      </c>
      <c r="N148" s="747">
        <v>0</v>
      </c>
      <c r="O148" s="747">
        <v>0</v>
      </c>
      <c r="P148" s="747">
        <v>0</v>
      </c>
      <c r="Q148" s="747">
        <v>0</v>
      </c>
      <c r="R148" s="747">
        <v>0</v>
      </c>
      <c r="S148" s="747">
        <v>0</v>
      </c>
      <c r="T148" s="747">
        <v>0</v>
      </c>
      <c r="U148" s="747">
        <v>0</v>
      </c>
      <c r="V148" s="747">
        <v>0</v>
      </c>
      <c r="W148" s="747">
        <v>0</v>
      </c>
      <c r="X148" s="748">
        <v>0</v>
      </c>
      <c r="Y148" s="748">
        <v>0</v>
      </c>
      <c r="Z148" s="748">
        <v>5088.1225000000004</v>
      </c>
      <c r="AA148" s="748">
        <v>5088.1225000000004</v>
      </c>
      <c r="AB148" s="748">
        <v>5088.1225000000004</v>
      </c>
      <c r="AC148" s="748">
        <v>5088.1225000000004</v>
      </c>
      <c r="AD148" s="748">
        <v>5088.1225000000004</v>
      </c>
      <c r="AE148" s="748">
        <v>5088.1225000000004</v>
      </c>
      <c r="AF148" s="747">
        <v>0</v>
      </c>
      <c r="AG148" s="747">
        <v>0</v>
      </c>
      <c r="AH148" s="747">
        <v>0</v>
      </c>
      <c r="AI148" s="747">
        <v>0</v>
      </c>
      <c r="AJ148" s="747">
        <v>0</v>
      </c>
      <c r="AK148" s="747">
        <v>0</v>
      </c>
      <c r="AL148" s="747">
        <v>0</v>
      </c>
      <c r="AM148" s="747">
        <v>0</v>
      </c>
      <c r="AN148" s="747">
        <v>0</v>
      </c>
      <c r="AO148" s="747">
        <v>0</v>
      </c>
      <c r="AP148" s="747">
        <v>0</v>
      </c>
      <c r="AQ148" s="748">
        <v>5088.1225000000004</v>
      </c>
      <c r="AR148" s="748">
        <v>0</v>
      </c>
      <c r="AS148" s="748">
        <v>0</v>
      </c>
      <c r="AT148" s="748">
        <v>0</v>
      </c>
      <c r="AU148" s="747">
        <v>0</v>
      </c>
      <c r="AV148" s="747">
        <v>0</v>
      </c>
      <c r="AW148" s="747">
        <v>0</v>
      </c>
      <c r="AX148" s="747">
        <v>0</v>
      </c>
      <c r="AY148" s="747">
        <v>0</v>
      </c>
      <c r="AZ148" s="749">
        <v>0.56000000000000005</v>
      </c>
      <c r="BA148" s="750" t="str">
        <f t="shared" si="31"/>
        <v/>
      </c>
      <c r="BB148" s="750" t="str">
        <f t="shared" si="32"/>
        <v/>
      </c>
      <c r="BC148" s="751">
        <f t="shared" si="34"/>
        <v>0</v>
      </c>
      <c r="BD148" s="751">
        <f t="shared" si="35"/>
        <v>0</v>
      </c>
      <c r="BE148" s="751">
        <f t="shared" si="36"/>
        <v>2849.3486000000007</v>
      </c>
      <c r="BF148" s="751">
        <f t="shared" si="37"/>
        <v>2238.7738999999997</v>
      </c>
      <c r="BG148" s="752">
        <f t="shared" si="33"/>
        <v>0</v>
      </c>
      <c r="BH148" s="763">
        <f t="shared" si="27"/>
        <v>0</v>
      </c>
      <c r="BI148" s="763">
        <f t="shared" si="28"/>
        <v>0</v>
      </c>
      <c r="BJ148" s="763">
        <f t="shared" si="29"/>
        <v>0</v>
      </c>
      <c r="BK148" s="763">
        <f t="shared" si="30"/>
        <v>0</v>
      </c>
    </row>
    <row r="149" spans="1:63">
      <c r="A149" s="669"/>
      <c r="B149" s="754">
        <v>2029</v>
      </c>
      <c r="C149" s="755" t="s">
        <v>13</v>
      </c>
      <c r="D149" s="755" t="s">
        <v>641</v>
      </c>
      <c r="E149" s="755" t="s">
        <v>642</v>
      </c>
      <c r="F149" s="755" t="s">
        <v>478</v>
      </c>
      <c r="G149" s="755" t="s">
        <v>18</v>
      </c>
      <c r="H149" s="755"/>
      <c r="I149" s="755" t="s">
        <v>46</v>
      </c>
      <c r="J149" s="755" t="s">
        <v>489</v>
      </c>
      <c r="K149" s="755"/>
      <c r="L149" s="755" t="s">
        <v>20</v>
      </c>
      <c r="M149" s="755" t="s">
        <v>412</v>
      </c>
      <c r="N149" s="756">
        <v>51135.833030000002</v>
      </c>
      <c r="O149" s="756">
        <v>22.674026699999999</v>
      </c>
      <c r="P149" s="756">
        <v>11565.929459999999</v>
      </c>
      <c r="Q149" s="756">
        <v>48865.514542300698</v>
      </c>
      <c r="R149" s="756">
        <v>21.667349797378701</v>
      </c>
      <c r="S149" s="756">
        <v>11052.427637020801</v>
      </c>
      <c r="T149" s="756">
        <v>698307.74901529297</v>
      </c>
      <c r="U149" s="756">
        <v>157943.611904082</v>
      </c>
      <c r="V149" s="756">
        <v>194.686909711309</v>
      </c>
      <c r="W149" s="756">
        <v>838.680579210676</v>
      </c>
      <c r="X149" s="757">
        <v>311322.03783959599</v>
      </c>
      <c r="Y149" s="757">
        <v>325786.22970896901</v>
      </c>
      <c r="Z149" s="757">
        <v>325723.50930000003</v>
      </c>
      <c r="AA149" s="757">
        <v>434184.98577798699</v>
      </c>
      <c r="AB149" s="757">
        <v>375922.33162194898</v>
      </c>
      <c r="AC149" s="757">
        <v>436829.821088197</v>
      </c>
      <c r="AD149" s="757">
        <v>436829.821088197</v>
      </c>
      <c r="AE149" s="757">
        <v>757747.273699946</v>
      </c>
      <c r="AF149" s="756">
        <v>71831.563066510207</v>
      </c>
      <c r="AG149" s="756">
        <v>296038.16575337498</v>
      </c>
      <c r="AH149" s="756">
        <v>0</v>
      </c>
      <c r="AI149" s="756">
        <v>84585.683767219802</v>
      </c>
      <c r="AJ149" s="756">
        <v>443668.275987242</v>
      </c>
      <c r="AK149" s="756">
        <v>0</v>
      </c>
      <c r="AL149" s="756">
        <v>84585.683767219802</v>
      </c>
      <c r="AM149" s="756">
        <v>443886.37005217897</v>
      </c>
      <c r="AN149" s="756">
        <v>0</v>
      </c>
      <c r="AO149" s="756">
        <v>13.061214516496999</v>
      </c>
      <c r="AP149" s="756">
        <v>58.688390752580503</v>
      </c>
      <c r="AQ149" s="757">
        <v>45012.5985</v>
      </c>
      <c r="AR149" s="757">
        <v>17691.5926</v>
      </c>
      <c r="AS149" s="757">
        <v>85721.617899999997</v>
      </c>
      <c r="AT149" s="757">
        <v>177297.7003</v>
      </c>
      <c r="AU149" s="756">
        <v>213416.46033426601</v>
      </c>
      <c r="AV149" s="756">
        <v>168408.48174373101</v>
      </c>
      <c r="AW149" s="756">
        <v>0</v>
      </c>
      <c r="AX149" s="756">
        <v>0</v>
      </c>
      <c r="AY149" s="756">
        <v>0</v>
      </c>
      <c r="AZ149" s="758">
        <v>0.56000000000000005</v>
      </c>
      <c r="BA149" s="759">
        <f t="shared" si="31"/>
        <v>14934.253788156111</v>
      </c>
      <c r="BB149" s="759">
        <f t="shared" si="32"/>
        <v>11784.728331168551</v>
      </c>
      <c r="BC149" s="760">
        <f t="shared" si="34"/>
        <v>71831.563066510207</v>
      </c>
      <c r="BD149" s="760">
        <f t="shared" si="35"/>
        <v>296038.16575337498</v>
      </c>
      <c r="BE149" s="760">
        <f t="shared" si="36"/>
        <v>423932.9660425575</v>
      </c>
      <c r="BF149" s="760">
        <f t="shared" si="37"/>
        <v>333814.3076573885</v>
      </c>
      <c r="BG149" s="761">
        <f t="shared" si="33"/>
        <v>14.290399999999995</v>
      </c>
      <c r="BH149" s="762">
        <f t="shared" si="27"/>
        <v>5026.5607027452161</v>
      </c>
      <c r="BI149" s="762">
        <f t="shared" si="28"/>
        <v>20715.876795147447</v>
      </c>
      <c r="BJ149" s="762">
        <f t="shared" si="29"/>
        <v>29665.577313620168</v>
      </c>
      <c r="BK149" s="762">
        <f t="shared" si="30"/>
        <v>23359.33967260459</v>
      </c>
    </row>
    <row r="150" spans="1:63">
      <c r="A150" s="669"/>
      <c r="B150" s="745">
        <v>2029</v>
      </c>
      <c r="C150" s="746" t="s">
        <v>13</v>
      </c>
      <c r="D150" s="746" t="s">
        <v>643</v>
      </c>
      <c r="E150" s="746" t="s">
        <v>644</v>
      </c>
      <c r="F150" s="746" t="s">
        <v>478</v>
      </c>
      <c r="G150" s="746" t="s">
        <v>27</v>
      </c>
      <c r="H150" s="746"/>
      <c r="I150" s="746" t="s">
        <v>46</v>
      </c>
      <c r="J150" s="746" t="s">
        <v>489</v>
      </c>
      <c r="K150" s="746"/>
      <c r="L150" s="746" t="s">
        <v>20</v>
      </c>
      <c r="M150" s="746" t="s">
        <v>412</v>
      </c>
      <c r="N150" s="747">
        <v>3196523.3769</v>
      </c>
      <c r="O150" s="747">
        <v>472.45469400000002</v>
      </c>
      <c r="P150" s="747">
        <v>0</v>
      </c>
      <c r="Q150" s="747">
        <v>3036697.2080549998</v>
      </c>
      <c r="R150" s="747">
        <v>448.83195929999999</v>
      </c>
      <c r="S150" s="747">
        <v>0</v>
      </c>
      <c r="T150" s="747">
        <v>40238728.098439299</v>
      </c>
      <c r="U150" s="747">
        <v>0</v>
      </c>
      <c r="V150" s="747">
        <v>5716.5375900117597</v>
      </c>
      <c r="W150" s="747">
        <v>0</v>
      </c>
      <c r="X150" s="748">
        <v>2577284.5948139401</v>
      </c>
      <c r="Y150" s="748">
        <v>2712931.15243572</v>
      </c>
      <c r="Z150" s="748">
        <v>2065569.9378</v>
      </c>
      <c r="AA150" s="748">
        <v>2122165.5773158502</v>
      </c>
      <c r="AB150" s="748">
        <v>2024242.3491853899</v>
      </c>
      <c r="AC150" s="748">
        <v>2136135.7077995599</v>
      </c>
      <c r="AD150" s="748">
        <v>2136135.7077995599</v>
      </c>
      <c r="AE150" s="748">
        <v>14610518.429738199</v>
      </c>
      <c r="AF150" s="747">
        <v>2577284.5948139401</v>
      </c>
      <c r="AG150" s="747">
        <v>0</v>
      </c>
      <c r="AH150" s="747">
        <v>0</v>
      </c>
      <c r="AI150" s="747">
        <v>2988561.4388228599</v>
      </c>
      <c r="AJ150" s="747">
        <v>0</v>
      </c>
      <c r="AK150" s="747">
        <v>0</v>
      </c>
      <c r="AL150" s="747">
        <v>2988561.4388228599</v>
      </c>
      <c r="AM150" s="747">
        <v>0</v>
      </c>
      <c r="AN150" s="747">
        <v>0</v>
      </c>
      <c r="AO150" s="747">
        <v>429.60276870242399</v>
      </c>
      <c r="AP150" s="747">
        <v>0</v>
      </c>
      <c r="AQ150" s="748">
        <v>273106.71860000002</v>
      </c>
      <c r="AR150" s="748">
        <v>109007.5926</v>
      </c>
      <c r="AS150" s="748">
        <v>529346.63260000001</v>
      </c>
      <c r="AT150" s="748">
        <v>1154108.9939999999</v>
      </c>
      <c r="AU150" s="747">
        <v>12586276.0805528</v>
      </c>
      <c r="AV150" s="747">
        <v>0</v>
      </c>
      <c r="AW150" s="747">
        <v>0</v>
      </c>
      <c r="AX150" s="747">
        <v>0</v>
      </c>
      <c r="AY150" s="747">
        <v>0</v>
      </c>
      <c r="AZ150" s="749">
        <v>0.56000000000000005</v>
      </c>
      <c r="BA150" s="750">
        <f t="shared" si="31"/>
        <v>949848.84562259656</v>
      </c>
      <c r="BB150" s="750">
        <f t="shared" si="32"/>
        <v>0</v>
      </c>
      <c r="BC150" s="751">
        <f t="shared" si="34"/>
        <v>2577284.5948139401</v>
      </c>
      <c r="BD150" s="751">
        <f t="shared" si="35"/>
        <v>0</v>
      </c>
      <c r="BE150" s="751">
        <f t="shared" si="36"/>
        <v>13719851.796096617</v>
      </c>
      <c r="BF150" s="751">
        <f t="shared" si="37"/>
        <v>890666.6336415715</v>
      </c>
      <c r="BG150" s="752">
        <f t="shared" si="33"/>
        <v>13.250819999999983</v>
      </c>
      <c r="BH150" s="763">
        <f t="shared" si="27"/>
        <v>194500.00790999676</v>
      </c>
      <c r="BI150" s="763">
        <f t="shared" si="28"/>
        <v>0</v>
      </c>
      <c r="BJ150" s="763">
        <f t="shared" si="29"/>
        <v>1035396.4355486403</v>
      </c>
      <c r="BK150" s="763">
        <f t="shared" si="30"/>
        <v>67215.963513320123</v>
      </c>
    </row>
    <row r="151" spans="1:63">
      <c r="A151" s="669"/>
      <c r="B151" s="754">
        <v>2029</v>
      </c>
      <c r="C151" s="755" t="s">
        <v>13</v>
      </c>
      <c r="D151" s="755" t="s">
        <v>645</v>
      </c>
      <c r="E151" s="755" t="s">
        <v>646</v>
      </c>
      <c r="F151" s="755" t="s">
        <v>647</v>
      </c>
      <c r="G151" s="755" t="s">
        <v>27</v>
      </c>
      <c r="H151" s="755" t="s">
        <v>648</v>
      </c>
      <c r="I151" s="755" t="s">
        <v>40</v>
      </c>
      <c r="J151" s="755" t="s">
        <v>489</v>
      </c>
      <c r="K151" s="755"/>
      <c r="L151" s="755" t="s">
        <v>20</v>
      </c>
      <c r="M151" s="755" t="s">
        <v>638</v>
      </c>
      <c r="N151" s="756">
        <v>-81659.781840000054</v>
      </c>
      <c r="O151" s="756">
        <v>14.74979050999999</v>
      </c>
      <c r="P151" s="756">
        <v>27916.749151199972</v>
      </c>
      <c r="Q151" s="756">
        <v>-105353.36083999991</v>
      </c>
      <c r="R151" s="756">
        <v>7.3748952549999922</v>
      </c>
      <c r="S151" s="756">
        <v>27916.751946719982</v>
      </c>
      <c r="T151" s="756">
        <v>-2225535.1118000015</v>
      </c>
      <c r="U151" s="756">
        <v>558335.0599008</v>
      </c>
      <c r="V151" s="756">
        <v>-298.22266278304096</v>
      </c>
      <c r="W151" s="756">
        <v>2964.7591680732457</v>
      </c>
      <c r="X151" s="757">
        <v>813781.53257392126</v>
      </c>
      <c r="Y151" s="757">
        <v>841655.39772146789</v>
      </c>
      <c r="Z151" s="757">
        <v>858176.59330000007</v>
      </c>
      <c r="AA151" s="757">
        <v>955676.95049229695</v>
      </c>
      <c r="AB151" s="757">
        <v>1035742.8257571384</v>
      </c>
      <c r="AC151" s="757">
        <v>1007775.2960689575</v>
      </c>
      <c r="AD151" s="757">
        <v>1007775.2960689591</v>
      </c>
      <c r="AE151" s="757">
        <v>1759033.5692276703</v>
      </c>
      <c r="AF151" s="756">
        <v>42193.109121542009</v>
      </c>
      <c r="AG151" s="756">
        <v>961971.2446621235</v>
      </c>
      <c r="AH151" s="756">
        <v>0</v>
      </c>
      <c r="AI151" s="756">
        <v>52028.606765966586</v>
      </c>
      <c r="AJ151" s="756">
        <v>1569083.9944335315</v>
      </c>
      <c r="AK151" s="756">
        <v>0</v>
      </c>
      <c r="AL151" s="756">
        <v>52028.606765966586</v>
      </c>
      <c r="AM151" s="756">
        <v>1569357.7096749011</v>
      </c>
      <c r="AN151" s="756">
        <v>0</v>
      </c>
      <c r="AO151" s="756">
        <v>-15.059728768689315</v>
      </c>
      <c r="AP151" s="756">
        <v>148.23795283708316</v>
      </c>
      <c r="AQ151" s="757">
        <v>102981.1905</v>
      </c>
      <c r="AR151" s="757">
        <v>68654.127399999998</v>
      </c>
      <c r="AS151" s="757">
        <v>454804.65210000001</v>
      </c>
      <c r="AT151" s="757">
        <v>231736.62330000015</v>
      </c>
      <c r="AU151" s="756">
        <v>140463.41998616687</v>
      </c>
      <c r="AV151" s="756">
        <v>582827.3234843649</v>
      </c>
      <c r="AW151" s="756">
        <v>750797.25445581414</v>
      </c>
      <c r="AX151" s="756">
        <v>0</v>
      </c>
      <c r="AY151" s="756">
        <v>0</v>
      </c>
      <c r="AZ151" s="758">
        <v>0.56000000000000005</v>
      </c>
      <c r="BA151" s="759">
        <f t="shared" si="31"/>
        <v>-30772.478770974907</v>
      </c>
      <c r="BB151" s="759">
        <f t="shared" si="32"/>
        <v>29385.625417033432</v>
      </c>
      <c r="BC151" s="760">
        <f t="shared" si="34"/>
        <v>792990.3635773561</v>
      </c>
      <c r="BD151" s="760">
        <f t="shared" si="35"/>
        <v>961971.2446621235</v>
      </c>
      <c r="BE151" s="760">
        <f t="shared" si="36"/>
        <v>720479.40241016448</v>
      </c>
      <c r="BF151" s="760">
        <f t="shared" si="37"/>
        <v>1038554.1668175057</v>
      </c>
      <c r="BG151" s="761">
        <f t="shared" si="33"/>
        <v>19.833755967859304</v>
      </c>
      <c r="BH151" s="762">
        <f t="shared" si="27"/>
        <v>39981.855421756765</v>
      </c>
      <c r="BI151" s="762">
        <f t="shared" si="28"/>
        <v>48501.718293852282</v>
      </c>
      <c r="BJ151" s="762">
        <f t="shared" si="29"/>
        <v>36325.918478461914</v>
      </c>
      <c r="BK151" s="762">
        <f t="shared" si="30"/>
        <v>52362.959819637173</v>
      </c>
    </row>
    <row r="152" spans="1:63">
      <c r="A152" s="669"/>
      <c r="B152" s="745">
        <v>2029</v>
      </c>
      <c r="C152" s="746" t="s">
        <v>13</v>
      </c>
      <c r="D152" s="746" t="s">
        <v>649</v>
      </c>
      <c r="E152" s="746" t="s">
        <v>650</v>
      </c>
      <c r="F152" s="746" t="s">
        <v>647</v>
      </c>
      <c r="G152" s="746" t="s">
        <v>27</v>
      </c>
      <c r="H152" s="746" t="s">
        <v>648</v>
      </c>
      <c r="I152" s="746" t="s">
        <v>40</v>
      </c>
      <c r="J152" s="746" t="s">
        <v>17</v>
      </c>
      <c r="K152" s="746"/>
      <c r="L152" s="746" t="s">
        <v>20</v>
      </c>
      <c r="M152" s="746" t="s">
        <v>638</v>
      </c>
      <c r="N152" s="747">
        <v>0</v>
      </c>
      <c r="O152" s="747">
        <v>0</v>
      </c>
      <c r="P152" s="747">
        <v>0</v>
      </c>
      <c r="Q152" s="747">
        <v>0</v>
      </c>
      <c r="R152" s="747">
        <v>0</v>
      </c>
      <c r="S152" s="747">
        <v>0</v>
      </c>
      <c r="T152" s="747">
        <v>0</v>
      </c>
      <c r="U152" s="747">
        <v>0</v>
      </c>
      <c r="V152" s="747">
        <v>0</v>
      </c>
      <c r="W152" s="747">
        <v>0</v>
      </c>
      <c r="X152" s="748">
        <v>0</v>
      </c>
      <c r="Y152" s="748">
        <v>0</v>
      </c>
      <c r="Z152" s="748">
        <v>7084.6525000000001</v>
      </c>
      <c r="AA152" s="748">
        <v>7084.6525000000001</v>
      </c>
      <c r="AB152" s="748">
        <v>7084.6525000000001</v>
      </c>
      <c r="AC152" s="748">
        <v>7084.6525000000001</v>
      </c>
      <c r="AD152" s="748">
        <v>7084.6525000000001</v>
      </c>
      <c r="AE152" s="748">
        <v>7084.6525000000001</v>
      </c>
      <c r="AF152" s="747">
        <v>0</v>
      </c>
      <c r="AG152" s="747">
        <v>0</v>
      </c>
      <c r="AH152" s="747">
        <v>0</v>
      </c>
      <c r="AI152" s="747">
        <v>0</v>
      </c>
      <c r="AJ152" s="747">
        <v>0</v>
      </c>
      <c r="AK152" s="747">
        <v>0</v>
      </c>
      <c r="AL152" s="747">
        <v>0</v>
      </c>
      <c r="AM152" s="747">
        <v>0</v>
      </c>
      <c r="AN152" s="747">
        <v>0</v>
      </c>
      <c r="AO152" s="747">
        <v>0</v>
      </c>
      <c r="AP152" s="747">
        <v>0</v>
      </c>
      <c r="AQ152" s="748">
        <v>7084.6525000000001</v>
      </c>
      <c r="AR152" s="748">
        <v>0</v>
      </c>
      <c r="AS152" s="748">
        <v>0</v>
      </c>
      <c r="AT152" s="748">
        <v>0</v>
      </c>
      <c r="AU152" s="747">
        <v>0</v>
      </c>
      <c r="AV152" s="747">
        <v>0</v>
      </c>
      <c r="AW152" s="747">
        <v>0</v>
      </c>
      <c r="AX152" s="747">
        <v>0</v>
      </c>
      <c r="AY152" s="747">
        <v>0</v>
      </c>
      <c r="AZ152" s="749">
        <v>0.56000000000000005</v>
      </c>
      <c r="BA152" s="750" t="str">
        <f t="shared" si="31"/>
        <v/>
      </c>
      <c r="BB152" s="750" t="str">
        <f t="shared" si="32"/>
        <v/>
      </c>
      <c r="BC152" s="751">
        <f t="shared" si="34"/>
        <v>0</v>
      </c>
      <c r="BD152" s="751">
        <f t="shared" si="35"/>
        <v>0</v>
      </c>
      <c r="BE152" s="751">
        <f t="shared" si="36"/>
        <v>3967.4054000000006</v>
      </c>
      <c r="BF152" s="751">
        <f t="shared" si="37"/>
        <v>3117.2470999999996</v>
      </c>
      <c r="BG152" s="752">
        <f t="shared" si="33"/>
        <v>0</v>
      </c>
      <c r="BH152" s="763">
        <f t="shared" si="27"/>
        <v>0</v>
      </c>
      <c r="BI152" s="763">
        <f t="shared" si="28"/>
        <v>0</v>
      </c>
      <c r="BJ152" s="763">
        <f t="shared" si="29"/>
        <v>0</v>
      </c>
      <c r="BK152" s="763">
        <f t="shared" si="30"/>
        <v>0</v>
      </c>
    </row>
    <row r="153" spans="1:63">
      <c r="A153" s="669"/>
      <c r="B153" s="754">
        <v>2029</v>
      </c>
      <c r="C153" s="755" t="s">
        <v>13</v>
      </c>
      <c r="D153" s="755" t="s">
        <v>651</v>
      </c>
      <c r="E153" s="755" t="s">
        <v>652</v>
      </c>
      <c r="F153" s="755" t="s">
        <v>478</v>
      </c>
      <c r="G153" s="755" t="s">
        <v>50</v>
      </c>
      <c r="H153" s="755"/>
      <c r="I153" s="755" t="s">
        <v>46</v>
      </c>
      <c r="J153" s="755" t="s">
        <v>482</v>
      </c>
      <c r="K153" s="755"/>
      <c r="L153" s="755" t="s">
        <v>29</v>
      </c>
      <c r="M153" s="755" t="s">
        <v>638</v>
      </c>
      <c r="N153" s="756">
        <v>0</v>
      </c>
      <c r="O153" s="756">
        <v>0</v>
      </c>
      <c r="P153" s="756">
        <v>0</v>
      </c>
      <c r="Q153" s="756">
        <v>0</v>
      </c>
      <c r="R153" s="756">
        <v>0</v>
      </c>
      <c r="S153" s="756">
        <v>0</v>
      </c>
      <c r="T153" s="756">
        <v>0</v>
      </c>
      <c r="U153" s="756">
        <v>0</v>
      </c>
      <c r="V153" s="756">
        <v>0</v>
      </c>
      <c r="W153" s="756">
        <v>0</v>
      </c>
      <c r="X153" s="757">
        <v>0</v>
      </c>
      <c r="Y153" s="757">
        <v>0</v>
      </c>
      <c r="Z153" s="757">
        <v>129420.14939999999</v>
      </c>
      <c r="AA153" s="757">
        <v>129420.14939999999</v>
      </c>
      <c r="AB153" s="757">
        <v>129420.14939999999</v>
      </c>
      <c r="AC153" s="757">
        <v>129420.14939999999</v>
      </c>
      <c r="AD153" s="757">
        <v>129420.14939999999</v>
      </c>
      <c r="AE153" s="757">
        <v>129420.14939999999</v>
      </c>
      <c r="AF153" s="756">
        <v>0</v>
      </c>
      <c r="AG153" s="756">
        <v>0</v>
      </c>
      <c r="AH153" s="756">
        <v>0</v>
      </c>
      <c r="AI153" s="756">
        <v>0</v>
      </c>
      <c r="AJ153" s="756">
        <v>0</v>
      </c>
      <c r="AK153" s="756">
        <v>0</v>
      </c>
      <c r="AL153" s="756">
        <v>0</v>
      </c>
      <c r="AM153" s="756">
        <v>0</v>
      </c>
      <c r="AN153" s="756">
        <v>0</v>
      </c>
      <c r="AO153" s="756">
        <v>0</v>
      </c>
      <c r="AP153" s="756">
        <v>0</v>
      </c>
      <c r="AQ153" s="757">
        <v>129420.14939999999</v>
      </c>
      <c r="AR153" s="757">
        <v>0</v>
      </c>
      <c r="AS153" s="757">
        <v>0</v>
      </c>
      <c r="AT153" s="757">
        <v>0</v>
      </c>
      <c r="AU153" s="756">
        <v>0</v>
      </c>
      <c r="AV153" s="756">
        <v>0</v>
      </c>
      <c r="AW153" s="756">
        <v>0</v>
      </c>
      <c r="AX153" s="756">
        <v>0</v>
      </c>
      <c r="AY153" s="756">
        <v>0</v>
      </c>
      <c r="AZ153" s="758">
        <v>0.56000000000000005</v>
      </c>
      <c r="BA153" s="759" t="str">
        <f t="shared" si="31"/>
        <v/>
      </c>
      <c r="BB153" s="759" t="str">
        <f t="shared" si="32"/>
        <v/>
      </c>
      <c r="BC153" s="760">
        <f t="shared" si="34"/>
        <v>0</v>
      </c>
      <c r="BD153" s="760">
        <f t="shared" si="35"/>
        <v>0</v>
      </c>
      <c r="BE153" s="760">
        <f t="shared" si="36"/>
        <v>72475.283664000002</v>
      </c>
      <c r="BF153" s="760">
        <f t="shared" si="37"/>
        <v>56944.865735999992</v>
      </c>
      <c r="BG153" s="761">
        <f t="shared" si="33"/>
        <v>0</v>
      </c>
      <c r="BH153" s="762">
        <f t="shared" si="27"/>
        <v>0</v>
      </c>
      <c r="BI153" s="762">
        <f t="shared" si="28"/>
        <v>0</v>
      </c>
      <c r="BJ153" s="762">
        <f t="shared" si="29"/>
        <v>0</v>
      </c>
      <c r="BK153" s="762">
        <f t="shared" si="30"/>
        <v>0</v>
      </c>
    </row>
    <row r="154" spans="1:63">
      <c r="A154" s="669"/>
      <c r="B154" s="745">
        <v>2030</v>
      </c>
      <c r="C154" s="746" t="s">
        <v>13</v>
      </c>
      <c r="D154" s="746" t="s">
        <v>470</v>
      </c>
      <c r="E154" s="746" t="s">
        <v>471</v>
      </c>
      <c r="F154" s="746" t="s">
        <v>347</v>
      </c>
      <c r="G154" s="746" t="s">
        <v>50</v>
      </c>
      <c r="H154" s="746"/>
      <c r="I154" s="746" t="s">
        <v>347</v>
      </c>
      <c r="J154" s="746" t="s">
        <v>17</v>
      </c>
      <c r="K154" s="746"/>
      <c r="L154" s="746" t="s">
        <v>347</v>
      </c>
      <c r="M154" s="746" t="s">
        <v>412</v>
      </c>
      <c r="N154" s="747">
        <v>0</v>
      </c>
      <c r="O154" s="747">
        <v>0</v>
      </c>
      <c r="P154" s="747">
        <v>0</v>
      </c>
      <c r="Q154" s="747">
        <v>0</v>
      </c>
      <c r="R154" s="747">
        <v>0</v>
      </c>
      <c r="S154" s="747">
        <v>0</v>
      </c>
      <c r="T154" s="747">
        <v>0</v>
      </c>
      <c r="U154" s="747">
        <v>0</v>
      </c>
      <c r="V154" s="747">
        <v>0</v>
      </c>
      <c r="W154" s="747">
        <v>0</v>
      </c>
      <c r="X154" s="748">
        <v>0</v>
      </c>
      <c r="Y154" s="748">
        <v>0</v>
      </c>
      <c r="Z154" s="748">
        <v>1183526.1362000001</v>
      </c>
      <c r="AA154" s="748">
        <v>1183526.1362000001</v>
      </c>
      <c r="AB154" s="748">
        <v>1183526.1362000001</v>
      </c>
      <c r="AC154" s="748">
        <v>1183526.1362000001</v>
      </c>
      <c r="AD154" s="748">
        <v>1183526.1362000001</v>
      </c>
      <c r="AE154" s="748">
        <v>1183526.1362000001</v>
      </c>
      <c r="AF154" s="747">
        <v>0</v>
      </c>
      <c r="AG154" s="747">
        <v>0</v>
      </c>
      <c r="AH154" s="747">
        <v>0</v>
      </c>
      <c r="AI154" s="747">
        <v>0</v>
      </c>
      <c r="AJ154" s="747">
        <v>0</v>
      </c>
      <c r="AK154" s="747">
        <v>0</v>
      </c>
      <c r="AL154" s="747">
        <v>0</v>
      </c>
      <c r="AM154" s="747">
        <v>0</v>
      </c>
      <c r="AN154" s="747">
        <v>0</v>
      </c>
      <c r="AO154" s="747">
        <v>0</v>
      </c>
      <c r="AP154" s="747">
        <v>0</v>
      </c>
      <c r="AQ154" s="748">
        <v>35261.916100000002</v>
      </c>
      <c r="AR154" s="748">
        <v>0</v>
      </c>
      <c r="AS154" s="748">
        <v>1148264.2201</v>
      </c>
      <c r="AT154" s="748">
        <v>0</v>
      </c>
      <c r="AU154" s="747">
        <v>0</v>
      </c>
      <c r="AV154" s="747">
        <v>0</v>
      </c>
      <c r="AW154" s="747">
        <v>0</v>
      </c>
      <c r="AX154" s="747">
        <v>0</v>
      </c>
      <c r="AY154" s="747">
        <v>0</v>
      </c>
      <c r="AZ154" s="749">
        <v>0.56000000000000005</v>
      </c>
      <c r="BA154" s="750" t="str">
        <f t="shared" si="31"/>
        <v/>
      </c>
      <c r="BB154" s="750" t="str">
        <f t="shared" si="32"/>
        <v/>
      </c>
      <c r="BC154" s="751">
        <f t="shared" si="34"/>
        <v>0</v>
      </c>
      <c r="BD154" s="751">
        <f t="shared" si="35"/>
        <v>0</v>
      </c>
      <c r="BE154" s="751">
        <f t="shared" si="36"/>
        <v>662774.63627200015</v>
      </c>
      <c r="BF154" s="751">
        <f t="shared" si="37"/>
        <v>520751.49992799998</v>
      </c>
      <c r="BG154" s="752">
        <f t="shared" si="33"/>
        <v>0</v>
      </c>
      <c r="BH154" s="763">
        <f t="shared" si="27"/>
        <v>0</v>
      </c>
      <c r="BI154" s="763">
        <f t="shared" si="28"/>
        <v>0</v>
      </c>
      <c r="BJ154" s="763">
        <f t="shared" si="29"/>
        <v>0</v>
      </c>
      <c r="BK154" s="763">
        <f t="shared" si="30"/>
        <v>0</v>
      </c>
    </row>
    <row r="155" spans="1:63">
      <c r="A155" s="669"/>
      <c r="B155" s="754">
        <v>2030</v>
      </c>
      <c r="C155" s="755" t="s">
        <v>13</v>
      </c>
      <c r="D155" s="755" t="s">
        <v>472</v>
      </c>
      <c r="E155" s="755" t="s">
        <v>473</v>
      </c>
      <c r="F155" s="755" t="s">
        <v>347</v>
      </c>
      <c r="G155" s="755" t="s">
        <v>50</v>
      </c>
      <c r="H155" s="755"/>
      <c r="I155" s="755" t="s">
        <v>347</v>
      </c>
      <c r="J155" s="755" t="s">
        <v>17</v>
      </c>
      <c r="K155" s="755"/>
      <c r="L155" s="755" t="s">
        <v>347</v>
      </c>
      <c r="M155" s="755" t="s">
        <v>412</v>
      </c>
      <c r="N155" s="756">
        <v>0</v>
      </c>
      <c r="O155" s="756">
        <v>0</v>
      </c>
      <c r="P155" s="756">
        <v>0</v>
      </c>
      <c r="Q155" s="756">
        <v>0</v>
      </c>
      <c r="R155" s="756">
        <v>0</v>
      </c>
      <c r="S155" s="756">
        <v>0</v>
      </c>
      <c r="T155" s="756">
        <v>0</v>
      </c>
      <c r="U155" s="756">
        <v>0</v>
      </c>
      <c r="V155" s="756">
        <v>0</v>
      </c>
      <c r="W155" s="756">
        <v>0</v>
      </c>
      <c r="X155" s="757">
        <v>0</v>
      </c>
      <c r="Y155" s="757">
        <v>0</v>
      </c>
      <c r="Z155" s="757">
        <v>1108886.9911</v>
      </c>
      <c r="AA155" s="757">
        <v>1108886.9911</v>
      </c>
      <c r="AB155" s="757">
        <v>1108886.9911</v>
      </c>
      <c r="AC155" s="757">
        <v>1108886.9911</v>
      </c>
      <c r="AD155" s="757">
        <v>1108886.9911</v>
      </c>
      <c r="AE155" s="757">
        <v>1108886.9911</v>
      </c>
      <c r="AF155" s="756">
        <v>0</v>
      </c>
      <c r="AG155" s="756">
        <v>0</v>
      </c>
      <c r="AH155" s="756">
        <v>0</v>
      </c>
      <c r="AI155" s="756">
        <v>0</v>
      </c>
      <c r="AJ155" s="756">
        <v>0</v>
      </c>
      <c r="AK155" s="756">
        <v>0</v>
      </c>
      <c r="AL155" s="756">
        <v>0</v>
      </c>
      <c r="AM155" s="756">
        <v>0</v>
      </c>
      <c r="AN155" s="756">
        <v>0</v>
      </c>
      <c r="AO155" s="756">
        <v>0</v>
      </c>
      <c r="AP155" s="756">
        <v>0</v>
      </c>
      <c r="AQ155" s="757">
        <v>24149.9702</v>
      </c>
      <c r="AR155" s="757">
        <v>0</v>
      </c>
      <c r="AS155" s="757">
        <v>1084737.0208999999</v>
      </c>
      <c r="AT155" s="757">
        <v>0</v>
      </c>
      <c r="AU155" s="756">
        <v>0</v>
      </c>
      <c r="AV155" s="756">
        <v>0</v>
      </c>
      <c r="AW155" s="756">
        <v>0</v>
      </c>
      <c r="AX155" s="756">
        <v>0</v>
      </c>
      <c r="AY155" s="756">
        <v>0</v>
      </c>
      <c r="AZ155" s="758">
        <v>0.56000000000000005</v>
      </c>
      <c r="BA155" s="759" t="str">
        <f t="shared" si="31"/>
        <v/>
      </c>
      <c r="BB155" s="759" t="str">
        <f t="shared" si="32"/>
        <v/>
      </c>
      <c r="BC155" s="760">
        <f t="shared" si="34"/>
        <v>0</v>
      </c>
      <c r="BD155" s="760">
        <f t="shared" si="35"/>
        <v>0</v>
      </c>
      <c r="BE155" s="760">
        <f t="shared" si="36"/>
        <v>620976.71501600009</v>
      </c>
      <c r="BF155" s="760">
        <f t="shared" si="37"/>
        <v>487910.27608399995</v>
      </c>
      <c r="BG155" s="761">
        <f t="shared" si="33"/>
        <v>0</v>
      </c>
      <c r="BH155" s="762">
        <f t="shared" si="27"/>
        <v>0</v>
      </c>
      <c r="BI155" s="762">
        <f t="shared" si="28"/>
        <v>0</v>
      </c>
      <c r="BJ155" s="762">
        <f t="shared" si="29"/>
        <v>0</v>
      </c>
      <c r="BK155" s="762">
        <f t="shared" si="30"/>
        <v>0</v>
      </c>
    </row>
    <row r="156" spans="1:63">
      <c r="A156" s="669"/>
      <c r="B156" s="745">
        <v>2030</v>
      </c>
      <c r="C156" s="746" t="s">
        <v>13</v>
      </c>
      <c r="D156" s="746" t="s">
        <v>474</v>
      </c>
      <c r="E156" s="746" t="s">
        <v>475</v>
      </c>
      <c r="F156" s="746" t="s">
        <v>347</v>
      </c>
      <c r="G156" s="746" t="s">
        <v>50</v>
      </c>
      <c r="H156" s="746"/>
      <c r="I156" s="746" t="s">
        <v>347</v>
      </c>
      <c r="J156" s="746" t="s">
        <v>17</v>
      </c>
      <c r="K156" s="746"/>
      <c r="L156" s="746" t="s">
        <v>347</v>
      </c>
      <c r="M156" s="746" t="s">
        <v>412</v>
      </c>
      <c r="N156" s="747">
        <v>0</v>
      </c>
      <c r="O156" s="747">
        <v>0</v>
      </c>
      <c r="P156" s="747">
        <v>0</v>
      </c>
      <c r="Q156" s="747">
        <v>0</v>
      </c>
      <c r="R156" s="747">
        <v>0</v>
      </c>
      <c r="S156" s="747">
        <v>0</v>
      </c>
      <c r="T156" s="747">
        <v>0</v>
      </c>
      <c r="U156" s="747">
        <v>0</v>
      </c>
      <c r="V156" s="747">
        <v>0</v>
      </c>
      <c r="W156" s="747">
        <v>0</v>
      </c>
      <c r="X156" s="748">
        <v>0</v>
      </c>
      <c r="Y156" s="748">
        <v>0</v>
      </c>
      <c r="Z156" s="748">
        <v>820265.33100000001</v>
      </c>
      <c r="AA156" s="748">
        <v>820265.33100000001</v>
      </c>
      <c r="AB156" s="748">
        <v>820265.33100000001</v>
      </c>
      <c r="AC156" s="748">
        <v>820265.33100000001</v>
      </c>
      <c r="AD156" s="748">
        <v>820265.33100000001</v>
      </c>
      <c r="AE156" s="748">
        <v>820265.33100000001</v>
      </c>
      <c r="AF156" s="747">
        <v>0</v>
      </c>
      <c r="AG156" s="747">
        <v>0</v>
      </c>
      <c r="AH156" s="747">
        <v>0</v>
      </c>
      <c r="AI156" s="747">
        <v>0</v>
      </c>
      <c r="AJ156" s="747">
        <v>0</v>
      </c>
      <c r="AK156" s="747">
        <v>0</v>
      </c>
      <c r="AL156" s="747">
        <v>0</v>
      </c>
      <c r="AM156" s="747">
        <v>0</v>
      </c>
      <c r="AN156" s="747">
        <v>0</v>
      </c>
      <c r="AO156" s="747">
        <v>0</v>
      </c>
      <c r="AP156" s="747">
        <v>0</v>
      </c>
      <c r="AQ156" s="748">
        <v>20970.623200000002</v>
      </c>
      <c r="AR156" s="748">
        <v>0</v>
      </c>
      <c r="AS156" s="748">
        <v>799294.70779999997</v>
      </c>
      <c r="AT156" s="748">
        <v>0</v>
      </c>
      <c r="AU156" s="747">
        <v>0</v>
      </c>
      <c r="AV156" s="747">
        <v>0</v>
      </c>
      <c r="AW156" s="747">
        <v>0</v>
      </c>
      <c r="AX156" s="747">
        <v>0</v>
      </c>
      <c r="AY156" s="747">
        <v>0</v>
      </c>
      <c r="AZ156" s="749">
        <v>0.56000000000000005</v>
      </c>
      <c r="BA156" s="750" t="str">
        <f t="shared" si="31"/>
        <v/>
      </c>
      <c r="BB156" s="750" t="str">
        <f t="shared" si="32"/>
        <v/>
      </c>
      <c r="BC156" s="751">
        <f t="shared" si="34"/>
        <v>0</v>
      </c>
      <c r="BD156" s="751">
        <f t="shared" si="35"/>
        <v>0</v>
      </c>
      <c r="BE156" s="751">
        <f t="shared" si="36"/>
        <v>459348.58536000003</v>
      </c>
      <c r="BF156" s="751">
        <f t="shared" si="37"/>
        <v>360916.74563999998</v>
      </c>
      <c r="BG156" s="752">
        <f t="shared" si="33"/>
        <v>0</v>
      </c>
      <c r="BH156" s="763">
        <f t="shared" si="27"/>
        <v>0</v>
      </c>
      <c r="BI156" s="763">
        <f t="shared" si="28"/>
        <v>0</v>
      </c>
      <c r="BJ156" s="763">
        <f t="shared" si="29"/>
        <v>0</v>
      </c>
      <c r="BK156" s="763">
        <f t="shared" si="30"/>
        <v>0</v>
      </c>
    </row>
    <row r="157" spans="1:63">
      <c r="A157" s="669"/>
      <c r="B157" s="754">
        <v>2030</v>
      </c>
      <c r="C157" s="755" t="s">
        <v>13</v>
      </c>
      <c r="D157" s="755" t="s">
        <v>476</v>
      </c>
      <c r="E157" s="755" t="s">
        <v>477</v>
      </c>
      <c r="F157" s="755" t="s">
        <v>478</v>
      </c>
      <c r="G157" s="755" t="s">
        <v>27</v>
      </c>
      <c r="H157" s="755"/>
      <c r="I157" s="755" t="s">
        <v>35</v>
      </c>
      <c r="J157" s="755" t="s">
        <v>17</v>
      </c>
      <c r="K157" s="755"/>
      <c r="L157" s="755" t="s">
        <v>29</v>
      </c>
      <c r="M157" s="755" t="s">
        <v>412</v>
      </c>
      <c r="N157" s="756">
        <v>0</v>
      </c>
      <c r="O157" s="756">
        <v>0</v>
      </c>
      <c r="P157" s="756">
        <v>0</v>
      </c>
      <c r="Q157" s="756">
        <v>0</v>
      </c>
      <c r="R157" s="756">
        <v>0</v>
      </c>
      <c r="S157" s="756">
        <v>0</v>
      </c>
      <c r="T157" s="756">
        <v>0</v>
      </c>
      <c r="U157" s="756">
        <v>0</v>
      </c>
      <c r="V157" s="756">
        <v>0</v>
      </c>
      <c r="W157" s="756">
        <v>0</v>
      </c>
      <c r="X157" s="757">
        <v>0</v>
      </c>
      <c r="Y157" s="757">
        <v>0</v>
      </c>
      <c r="Z157" s="757">
        <v>115799.84099999999</v>
      </c>
      <c r="AA157" s="757">
        <v>115799.841</v>
      </c>
      <c r="AB157" s="757">
        <v>115799.841</v>
      </c>
      <c r="AC157" s="757">
        <v>115799.841</v>
      </c>
      <c r="AD157" s="757">
        <v>115799.841</v>
      </c>
      <c r="AE157" s="757">
        <v>115799.841</v>
      </c>
      <c r="AF157" s="756">
        <v>0</v>
      </c>
      <c r="AG157" s="756">
        <v>0</v>
      </c>
      <c r="AH157" s="756">
        <v>0</v>
      </c>
      <c r="AI157" s="756">
        <v>0</v>
      </c>
      <c r="AJ157" s="756">
        <v>0</v>
      </c>
      <c r="AK157" s="756">
        <v>0</v>
      </c>
      <c r="AL157" s="756">
        <v>0</v>
      </c>
      <c r="AM157" s="756">
        <v>0</v>
      </c>
      <c r="AN157" s="756">
        <v>0</v>
      </c>
      <c r="AO157" s="756">
        <v>0</v>
      </c>
      <c r="AP157" s="756">
        <v>0</v>
      </c>
      <c r="AQ157" s="757">
        <v>45845.427799999998</v>
      </c>
      <c r="AR157" s="757">
        <v>773.11030000000005</v>
      </c>
      <c r="AS157" s="757">
        <v>69181.302899999995</v>
      </c>
      <c r="AT157" s="757">
        <v>0</v>
      </c>
      <c r="AU157" s="756">
        <v>0</v>
      </c>
      <c r="AV157" s="756">
        <v>0</v>
      </c>
      <c r="AW157" s="756">
        <v>0</v>
      </c>
      <c r="AX157" s="756">
        <v>0</v>
      </c>
      <c r="AY157" s="756">
        <v>0</v>
      </c>
      <c r="AZ157" s="758">
        <v>0.56000000000000005</v>
      </c>
      <c r="BA157" s="759" t="str">
        <f t="shared" si="31"/>
        <v/>
      </c>
      <c r="BB157" s="759" t="str">
        <f t="shared" si="32"/>
        <v/>
      </c>
      <c r="BC157" s="760">
        <f t="shared" si="34"/>
        <v>0</v>
      </c>
      <c r="BD157" s="760">
        <f t="shared" si="35"/>
        <v>0</v>
      </c>
      <c r="BE157" s="760">
        <f t="shared" si="36"/>
        <v>64847.910960000008</v>
      </c>
      <c r="BF157" s="760">
        <f t="shared" si="37"/>
        <v>50951.930039999992</v>
      </c>
      <c r="BG157" s="761">
        <f t="shared" si="33"/>
        <v>0</v>
      </c>
      <c r="BH157" s="762">
        <f t="shared" si="27"/>
        <v>0</v>
      </c>
      <c r="BI157" s="762">
        <f t="shared" si="28"/>
        <v>0</v>
      </c>
      <c r="BJ157" s="762">
        <f t="shared" si="29"/>
        <v>0</v>
      </c>
      <c r="BK157" s="762">
        <f t="shared" si="30"/>
        <v>0</v>
      </c>
    </row>
    <row r="158" spans="1:63">
      <c r="A158" s="669"/>
      <c r="B158" s="745">
        <v>2030</v>
      </c>
      <c r="C158" s="746" t="s">
        <v>13</v>
      </c>
      <c r="D158" s="746" t="s">
        <v>479</v>
      </c>
      <c r="E158" s="746" t="s">
        <v>480</v>
      </c>
      <c r="F158" s="746" t="s">
        <v>478</v>
      </c>
      <c r="G158" s="746" t="s">
        <v>50</v>
      </c>
      <c r="H158" s="746"/>
      <c r="I158" s="746" t="s">
        <v>481</v>
      </c>
      <c r="J158" s="746" t="s">
        <v>482</v>
      </c>
      <c r="K158" s="746"/>
      <c r="L158" s="746" t="s">
        <v>29</v>
      </c>
      <c r="M158" s="746" t="s">
        <v>412</v>
      </c>
      <c r="N158" s="747">
        <v>0</v>
      </c>
      <c r="O158" s="747">
        <v>0</v>
      </c>
      <c r="P158" s="747">
        <v>0</v>
      </c>
      <c r="Q158" s="747">
        <v>0</v>
      </c>
      <c r="R158" s="747">
        <v>0</v>
      </c>
      <c r="S158" s="747">
        <v>0</v>
      </c>
      <c r="T158" s="747">
        <v>0</v>
      </c>
      <c r="U158" s="747">
        <v>0</v>
      </c>
      <c r="V158" s="747">
        <v>0</v>
      </c>
      <c r="W158" s="747">
        <v>0</v>
      </c>
      <c r="X158" s="748">
        <v>0</v>
      </c>
      <c r="Y158" s="748">
        <v>0</v>
      </c>
      <c r="Z158" s="748">
        <v>159023.57999999999</v>
      </c>
      <c r="AA158" s="748">
        <v>159023.57999999999</v>
      </c>
      <c r="AB158" s="748">
        <v>159023.57999999999</v>
      </c>
      <c r="AC158" s="748">
        <v>159023.57999999999</v>
      </c>
      <c r="AD158" s="748">
        <v>159023.57999999999</v>
      </c>
      <c r="AE158" s="748">
        <v>159023.57999999999</v>
      </c>
      <c r="AF158" s="747">
        <v>0</v>
      </c>
      <c r="AG158" s="747">
        <v>0</v>
      </c>
      <c r="AH158" s="747">
        <v>0</v>
      </c>
      <c r="AI158" s="747">
        <v>0</v>
      </c>
      <c r="AJ158" s="747">
        <v>0</v>
      </c>
      <c r="AK158" s="747">
        <v>0</v>
      </c>
      <c r="AL158" s="747">
        <v>0</v>
      </c>
      <c r="AM158" s="747">
        <v>0</v>
      </c>
      <c r="AN158" s="747">
        <v>0</v>
      </c>
      <c r="AO158" s="747">
        <v>0</v>
      </c>
      <c r="AP158" s="747">
        <v>0</v>
      </c>
      <c r="AQ158" s="748">
        <v>159023.57999999999</v>
      </c>
      <c r="AR158" s="748">
        <v>0</v>
      </c>
      <c r="AS158" s="748">
        <v>0</v>
      </c>
      <c r="AT158" s="748">
        <v>0</v>
      </c>
      <c r="AU158" s="747">
        <v>0</v>
      </c>
      <c r="AV158" s="747">
        <v>0</v>
      </c>
      <c r="AW158" s="747">
        <v>0</v>
      </c>
      <c r="AX158" s="747">
        <v>0</v>
      </c>
      <c r="AY158" s="747">
        <v>0</v>
      </c>
      <c r="AZ158" s="749">
        <v>0.56000000000000005</v>
      </c>
      <c r="BA158" s="750" t="str">
        <f t="shared" si="31"/>
        <v/>
      </c>
      <c r="BB158" s="750" t="str">
        <f t="shared" si="32"/>
        <v/>
      </c>
      <c r="BC158" s="751">
        <f t="shared" si="34"/>
        <v>0</v>
      </c>
      <c r="BD158" s="751">
        <f t="shared" si="35"/>
        <v>0</v>
      </c>
      <c r="BE158" s="751">
        <f t="shared" si="36"/>
        <v>89053.204800000007</v>
      </c>
      <c r="BF158" s="751">
        <f t="shared" si="37"/>
        <v>69970.37519999998</v>
      </c>
      <c r="BG158" s="752">
        <f t="shared" si="33"/>
        <v>0</v>
      </c>
      <c r="BH158" s="763">
        <f t="shared" si="27"/>
        <v>0</v>
      </c>
      <c r="BI158" s="763">
        <f t="shared" si="28"/>
        <v>0</v>
      </c>
      <c r="BJ158" s="763">
        <f t="shared" si="29"/>
        <v>0</v>
      </c>
      <c r="BK158" s="763">
        <f t="shared" si="30"/>
        <v>0</v>
      </c>
    </row>
    <row r="159" spans="1:63">
      <c r="A159" s="669"/>
      <c r="B159" s="754">
        <v>2030</v>
      </c>
      <c r="C159" s="755" t="s">
        <v>13</v>
      </c>
      <c r="D159" s="755" t="s">
        <v>483</v>
      </c>
      <c r="E159" s="755" t="s">
        <v>484</v>
      </c>
      <c r="F159" s="755" t="s">
        <v>478</v>
      </c>
      <c r="G159" s="755" t="s">
        <v>50</v>
      </c>
      <c r="H159" s="755"/>
      <c r="I159" s="755" t="s">
        <v>485</v>
      </c>
      <c r="J159" s="755" t="s">
        <v>482</v>
      </c>
      <c r="K159" s="755"/>
      <c r="L159" s="755" t="s">
        <v>486</v>
      </c>
      <c r="M159" s="755" t="s">
        <v>412</v>
      </c>
      <c r="N159" s="756">
        <v>0</v>
      </c>
      <c r="O159" s="756">
        <v>0</v>
      </c>
      <c r="P159" s="756">
        <v>0</v>
      </c>
      <c r="Q159" s="756">
        <v>0</v>
      </c>
      <c r="R159" s="756">
        <v>0</v>
      </c>
      <c r="S159" s="756">
        <v>0</v>
      </c>
      <c r="T159" s="756">
        <v>0</v>
      </c>
      <c r="U159" s="756">
        <v>0</v>
      </c>
      <c r="V159" s="756">
        <v>0</v>
      </c>
      <c r="W159" s="756">
        <v>0</v>
      </c>
      <c r="X159" s="757">
        <v>0</v>
      </c>
      <c r="Y159" s="757">
        <v>0</v>
      </c>
      <c r="Z159" s="757">
        <v>2751062.3849999998</v>
      </c>
      <c r="AA159" s="757">
        <v>2751062.3849999998</v>
      </c>
      <c r="AB159" s="757">
        <v>2751062.3849999998</v>
      </c>
      <c r="AC159" s="757">
        <v>2751062.3849999998</v>
      </c>
      <c r="AD159" s="757">
        <v>2751062.3849999998</v>
      </c>
      <c r="AE159" s="757">
        <v>2751062.3849999998</v>
      </c>
      <c r="AF159" s="756">
        <v>0</v>
      </c>
      <c r="AG159" s="756">
        <v>0</v>
      </c>
      <c r="AH159" s="756">
        <v>0</v>
      </c>
      <c r="AI159" s="756">
        <v>0</v>
      </c>
      <c r="AJ159" s="756">
        <v>0</v>
      </c>
      <c r="AK159" s="756">
        <v>0</v>
      </c>
      <c r="AL159" s="756">
        <v>0</v>
      </c>
      <c r="AM159" s="756">
        <v>0</v>
      </c>
      <c r="AN159" s="756">
        <v>0</v>
      </c>
      <c r="AO159" s="756">
        <v>0</v>
      </c>
      <c r="AP159" s="756">
        <v>0</v>
      </c>
      <c r="AQ159" s="757">
        <v>2751062.3849999998</v>
      </c>
      <c r="AR159" s="757">
        <v>0</v>
      </c>
      <c r="AS159" s="757">
        <v>0</v>
      </c>
      <c r="AT159" s="757">
        <v>0</v>
      </c>
      <c r="AU159" s="756">
        <v>0</v>
      </c>
      <c r="AV159" s="756">
        <v>0</v>
      </c>
      <c r="AW159" s="756">
        <v>0</v>
      </c>
      <c r="AX159" s="756">
        <v>0</v>
      </c>
      <c r="AY159" s="756">
        <v>0</v>
      </c>
      <c r="AZ159" s="758">
        <v>0.56000000000000005</v>
      </c>
      <c r="BA159" s="759" t="str">
        <f t="shared" si="31"/>
        <v/>
      </c>
      <c r="BB159" s="759" t="str">
        <f t="shared" si="32"/>
        <v/>
      </c>
      <c r="BC159" s="760">
        <f t="shared" si="34"/>
        <v>0</v>
      </c>
      <c r="BD159" s="760">
        <f t="shared" si="35"/>
        <v>0</v>
      </c>
      <c r="BE159" s="760">
        <f t="shared" si="36"/>
        <v>1540594.9356</v>
      </c>
      <c r="BF159" s="760">
        <f t="shared" si="37"/>
        <v>1210467.4493999998</v>
      </c>
      <c r="BG159" s="761">
        <f t="shared" si="33"/>
        <v>0</v>
      </c>
      <c r="BH159" s="762">
        <f t="shared" si="27"/>
        <v>0</v>
      </c>
      <c r="BI159" s="762">
        <f t="shared" si="28"/>
        <v>0</v>
      </c>
      <c r="BJ159" s="762">
        <f t="shared" si="29"/>
        <v>0</v>
      </c>
      <c r="BK159" s="762">
        <f t="shared" si="30"/>
        <v>0</v>
      </c>
    </row>
    <row r="160" spans="1:63">
      <c r="A160" s="669"/>
      <c r="B160" s="745">
        <v>2030</v>
      </c>
      <c r="C160" s="746" t="s">
        <v>13</v>
      </c>
      <c r="D160" s="746" t="s">
        <v>487</v>
      </c>
      <c r="E160" s="746" t="s">
        <v>488</v>
      </c>
      <c r="F160" s="746" t="s">
        <v>478</v>
      </c>
      <c r="G160" s="746" t="s">
        <v>18</v>
      </c>
      <c r="H160" s="746"/>
      <c r="I160" s="746" t="s">
        <v>46</v>
      </c>
      <c r="J160" s="746" t="s">
        <v>489</v>
      </c>
      <c r="K160" s="746"/>
      <c r="L160" s="746" t="s">
        <v>20</v>
      </c>
      <c r="M160" s="746" t="s">
        <v>412</v>
      </c>
      <c r="N160" s="747">
        <v>2335436.6104630101</v>
      </c>
      <c r="O160" s="747">
        <v>2223.4790929667702</v>
      </c>
      <c r="P160" s="747">
        <v>30855.4278284149</v>
      </c>
      <c r="Q160" s="747">
        <v>2077667.23191271</v>
      </c>
      <c r="R160" s="747">
        <v>1978.0668126908399</v>
      </c>
      <c r="S160" s="747">
        <v>27449.8186071665</v>
      </c>
      <c r="T160" s="747">
        <v>17666539.521323901</v>
      </c>
      <c r="U160" s="747">
        <v>233407.59185494599</v>
      </c>
      <c r="V160" s="747">
        <v>4817.2669939486004</v>
      </c>
      <c r="W160" s="747">
        <v>1239.39431274976</v>
      </c>
      <c r="X160" s="748">
        <v>5558574.0407582102</v>
      </c>
      <c r="Y160" s="748">
        <v>6248208.1429397101</v>
      </c>
      <c r="Z160" s="748">
        <v>5493186.5539999995</v>
      </c>
      <c r="AA160" s="748">
        <v>5333239.9808183098</v>
      </c>
      <c r="AB160" s="748">
        <v>5326674.3025439596</v>
      </c>
      <c r="AC160" s="748">
        <v>5385050.0016120104</v>
      </c>
      <c r="AD160" s="748">
        <v>5385050.0016120104</v>
      </c>
      <c r="AE160" s="748">
        <v>11924490.942697</v>
      </c>
      <c r="AF160" s="747">
        <v>2067797.45990664</v>
      </c>
      <c r="AG160" s="747">
        <v>498436.982061163</v>
      </c>
      <c r="AH160" s="747">
        <v>2985095.6289333198</v>
      </c>
      <c r="AI160" s="747">
        <v>2289967.5748473001</v>
      </c>
      <c r="AJ160" s="747">
        <v>696674.88444831094</v>
      </c>
      <c r="AK160" s="747">
        <v>8024.6861407035103</v>
      </c>
      <c r="AL160" s="747">
        <v>2289967.5748473001</v>
      </c>
      <c r="AM160" s="747">
        <v>696674.88444831094</v>
      </c>
      <c r="AN160" s="747">
        <v>8024.6861407035103</v>
      </c>
      <c r="AO160" s="747">
        <v>543.86911325340202</v>
      </c>
      <c r="AP160" s="747">
        <v>145.75853680405399</v>
      </c>
      <c r="AQ160" s="748">
        <v>302683.82400000002</v>
      </c>
      <c r="AR160" s="748">
        <v>150773.1103</v>
      </c>
      <c r="AS160" s="748">
        <v>389729.62070000003</v>
      </c>
      <c r="AT160" s="748">
        <v>4649999.9989999998</v>
      </c>
      <c r="AU160" s="747">
        <v>6106921.1633888297</v>
      </c>
      <c r="AV160" s="747">
        <v>490895.47676419199</v>
      </c>
      <c r="AW160" s="747">
        <v>0</v>
      </c>
      <c r="AX160" s="747">
        <v>0</v>
      </c>
      <c r="AY160" s="747">
        <v>7243.9698570872597</v>
      </c>
      <c r="AZ160" s="749">
        <v>0.56000000000000005</v>
      </c>
      <c r="BA160" s="750">
        <f t="shared" si="31"/>
        <v>718202.33802620787</v>
      </c>
      <c r="BB160" s="750">
        <f t="shared" si="32"/>
        <v>57731.591698310076</v>
      </c>
      <c r="BC160" s="751">
        <f t="shared" si="34"/>
        <v>3746694.9819663865</v>
      </c>
      <c r="BD160" s="751">
        <f t="shared" si="35"/>
        <v>1811879.0587918237</v>
      </c>
      <c r="BE160" s="751">
        <f t="shared" si="36"/>
        <v>9089858.7728134468</v>
      </c>
      <c r="BF160" s="751">
        <f t="shared" si="37"/>
        <v>2834632.1698835338</v>
      </c>
      <c r="BG160" s="752">
        <f t="shared" si="33"/>
        <v>8.5030650000000172</v>
      </c>
      <c r="BH160" s="763">
        <f t="shared" si="27"/>
        <v>440628.75939045264</v>
      </c>
      <c r="BI160" s="763">
        <f t="shared" si="28"/>
        <v>213085.40612024252</v>
      </c>
      <c r="BJ160" s="763">
        <f t="shared" si="29"/>
        <v>1069009.6774296595</v>
      </c>
      <c r="BK160" s="763">
        <f t="shared" si="30"/>
        <v>333365.92980102211</v>
      </c>
    </row>
    <row r="161" spans="1:63">
      <c r="A161" s="669"/>
      <c r="B161" s="754">
        <v>2030</v>
      </c>
      <c r="C161" s="755" t="s">
        <v>13</v>
      </c>
      <c r="D161" s="755" t="s">
        <v>490</v>
      </c>
      <c r="E161" s="755" t="s">
        <v>491</v>
      </c>
      <c r="F161" s="755" t="s">
        <v>478</v>
      </c>
      <c r="G161" s="755" t="s">
        <v>18</v>
      </c>
      <c r="H161" s="755"/>
      <c r="I161" s="755" t="s">
        <v>46</v>
      </c>
      <c r="J161" s="755" t="s">
        <v>489</v>
      </c>
      <c r="K161" s="755"/>
      <c r="L161" s="755" t="s">
        <v>20</v>
      </c>
      <c r="M161" s="755" t="s">
        <v>412</v>
      </c>
      <c r="N161" s="756">
        <v>3089784.6452400102</v>
      </c>
      <c r="O161" s="756">
        <v>4621.0226507935904</v>
      </c>
      <c r="P161" s="756">
        <v>508358.904578374</v>
      </c>
      <c r="Q161" s="756">
        <v>2564570.0741466</v>
      </c>
      <c r="R161" s="756">
        <v>3835.52181231656</v>
      </c>
      <c r="S161" s="756">
        <v>421945.92287074198</v>
      </c>
      <c r="T161" s="756">
        <v>22924112.299959701</v>
      </c>
      <c r="U161" s="756">
        <v>3771679.2447629999</v>
      </c>
      <c r="V161" s="756">
        <v>5378.7398614840704</v>
      </c>
      <c r="W161" s="756">
        <v>20027.616789691499</v>
      </c>
      <c r="X161" s="757">
        <v>12812151.4456199</v>
      </c>
      <c r="Y161" s="757">
        <v>15436033.2003558</v>
      </c>
      <c r="Z161" s="757">
        <v>10985772.3335</v>
      </c>
      <c r="AA161" s="757">
        <v>10681562.8579187</v>
      </c>
      <c r="AB161" s="757">
        <v>10652747.830552099</v>
      </c>
      <c r="AC161" s="757">
        <v>10785363.8709298</v>
      </c>
      <c r="AD161" s="757">
        <v>10785363.8709298</v>
      </c>
      <c r="AE161" s="757">
        <v>26192411.4854098</v>
      </c>
      <c r="AF161" s="756">
        <v>2673954.65321921</v>
      </c>
      <c r="AG161" s="756">
        <v>8033588.3667524001</v>
      </c>
      <c r="AH161" s="756">
        <v>2103930.5040428601</v>
      </c>
      <c r="AI161" s="756">
        <v>2968402.6661934899</v>
      </c>
      <c r="AJ161" s="756">
        <v>11270839.4070157</v>
      </c>
      <c r="AK161" s="756">
        <v>753.25091052047298</v>
      </c>
      <c r="AL161" s="756">
        <v>2968402.6661934899</v>
      </c>
      <c r="AM161" s="756">
        <v>11270839.4070157</v>
      </c>
      <c r="AN161" s="756">
        <v>753.25091052047298</v>
      </c>
      <c r="AO161" s="756">
        <v>563.85559735328604</v>
      </c>
      <c r="AP161" s="756">
        <v>2240.5328504436402</v>
      </c>
      <c r="AQ161" s="757">
        <v>603900.74190000002</v>
      </c>
      <c r="AR161" s="757">
        <v>300773.1103</v>
      </c>
      <c r="AS161" s="757">
        <v>781098.48230000003</v>
      </c>
      <c r="AT161" s="757">
        <v>9299999.9989999998</v>
      </c>
      <c r="AU161" s="756">
        <v>7779415.19918699</v>
      </c>
      <c r="AV161" s="756">
        <v>7760248.4556706799</v>
      </c>
      <c r="AW161" s="756">
        <v>0</v>
      </c>
      <c r="AX161" s="756">
        <v>0</v>
      </c>
      <c r="AY161" s="756">
        <v>677.92160543839304</v>
      </c>
      <c r="AZ161" s="758">
        <v>0.56000000000000005</v>
      </c>
      <c r="BA161" s="759">
        <f t="shared" si="31"/>
        <v>870300.02091863833</v>
      </c>
      <c r="BB161" s="759">
        <f t="shared" si="32"/>
        <v>868155.79582509527</v>
      </c>
      <c r="BC161" s="760">
        <f t="shared" si="34"/>
        <v>3852833.6570886504</v>
      </c>
      <c r="BD161" s="760">
        <f t="shared" si="35"/>
        <v>8959317.7885312587</v>
      </c>
      <c r="BE161" s="760">
        <f t="shared" si="36"/>
        <v>13744953.984296165</v>
      </c>
      <c r="BF161" s="760">
        <f t="shared" si="37"/>
        <v>12447457.501113603</v>
      </c>
      <c r="BG161" s="761">
        <f t="shared" si="33"/>
        <v>8.9387740000000111</v>
      </c>
      <c r="BH161" s="762">
        <f t="shared" si="27"/>
        <v>431024.84267849772</v>
      </c>
      <c r="BI161" s="762">
        <f t="shared" si="28"/>
        <v>1002298.2781006934</v>
      </c>
      <c r="BJ161" s="762">
        <f t="shared" si="29"/>
        <v>1537677.760316588</v>
      </c>
      <c r="BK161" s="762">
        <f t="shared" si="30"/>
        <v>1392524.01963777</v>
      </c>
    </row>
    <row r="162" spans="1:63">
      <c r="A162" s="669"/>
      <c r="B162" s="745">
        <v>2030</v>
      </c>
      <c r="C162" s="746" t="s">
        <v>13</v>
      </c>
      <c r="D162" s="746" t="s">
        <v>492</v>
      </c>
      <c r="E162" s="746" t="s">
        <v>493</v>
      </c>
      <c r="F162" s="746" t="s">
        <v>478</v>
      </c>
      <c r="G162" s="746" t="s">
        <v>34</v>
      </c>
      <c r="H162" s="746"/>
      <c r="I162" s="746" t="s">
        <v>46</v>
      </c>
      <c r="J162" s="746" t="s">
        <v>489</v>
      </c>
      <c r="K162" s="746"/>
      <c r="L162" s="746" t="s">
        <v>20</v>
      </c>
      <c r="M162" s="746" t="s">
        <v>412</v>
      </c>
      <c r="N162" s="747">
        <v>18000000</v>
      </c>
      <c r="O162" s="747">
        <v>2316.42</v>
      </c>
      <c r="P162" s="747">
        <v>173250</v>
      </c>
      <c r="Q162" s="747">
        <v>18000000</v>
      </c>
      <c r="R162" s="747">
        <v>2316.42</v>
      </c>
      <c r="S162" s="747">
        <v>173250</v>
      </c>
      <c r="T162" s="747">
        <v>90000000</v>
      </c>
      <c r="U162" s="747">
        <v>866250</v>
      </c>
      <c r="V162" s="747">
        <v>18996.179152500001</v>
      </c>
      <c r="W162" s="747">
        <v>4599.7875000000004</v>
      </c>
      <c r="X162" s="748">
        <v>9690327.2633387502</v>
      </c>
      <c r="Y162" s="748">
        <v>9690327.2633387502</v>
      </c>
      <c r="Z162" s="748">
        <v>9331065.4805000015</v>
      </c>
      <c r="AA162" s="748">
        <v>8964106.3513358627</v>
      </c>
      <c r="AB162" s="748">
        <v>9237805.4411105532</v>
      </c>
      <c r="AC162" s="748">
        <v>8988147.9795273393</v>
      </c>
      <c r="AD162" s="748">
        <v>8988147.9795273375</v>
      </c>
      <c r="AE162" s="748">
        <v>43030364.721346207</v>
      </c>
      <c r="AF162" s="747">
        <v>7819713.179507779</v>
      </c>
      <c r="AG162" s="747">
        <v>1870614.0838309661</v>
      </c>
      <c r="AH162" s="747">
        <v>0</v>
      </c>
      <c r="AI162" s="747">
        <v>10671774.360244121</v>
      </c>
      <c r="AJ162" s="747">
        <v>2581776.3692564559</v>
      </c>
      <c r="AK162" s="747">
        <v>0</v>
      </c>
      <c r="AL162" s="747">
        <v>10588270.378891768</v>
      </c>
      <c r="AM162" s="747">
        <v>2581776.3692564559</v>
      </c>
      <c r="AN162" s="747">
        <v>0</v>
      </c>
      <c r="AO162" s="747">
        <v>3614.9412375000002</v>
      </c>
      <c r="AP162" s="747">
        <v>919.95749999999998</v>
      </c>
      <c r="AQ162" s="748">
        <v>827423.86379999993</v>
      </c>
      <c r="AR162" s="748">
        <v>408017.00030000001</v>
      </c>
      <c r="AS162" s="748">
        <v>6343582.6164000006</v>
      </c>
      <c r="AT162" s="748">
        <v>1752042</v>
      </c>
      <c r="AU162" s="747">
        <v>32648514.946073011</v>
      </c>
      <c r="AV162" s="747">
        <v>1144044.3341626197</v>
      </c>
      <c r="AW162" s="747">
        <v>0</v>
      </c>
      <c r="AX162" s="747">
        <v>0</v>
      </c>
      <c r="AY162" s="747">
        <v>0</v>
      </c>
      <c r="AZ162" s="749">
        <v>0.56000000000000005</v>
      </c>
      <c r="BA162" s="750">
        <f t="shared" si="31"/>
        <v>6529702.9892146019</v>
      </c>
      <c r="BB162" s="750">
        <f t="shared" si="32"/>
        <v>228808.86683252393</v>
      </c>
      <c r="BC162" s="751">
        <f t="shared" si="34"/>
        <v>7819713.179507779</v>
      </c>
      <c r="BD162" s="751">
        <f t="shared" si="35"/>
        <v>1870614.0838309661</v>
      </c>
      <c r="BE162" s="751">
        <f t="shared" si="36"/>
        <v>37821685.993094921</v>
      </c>
      <c r="BF162" s="751">
        <f t="shared" si="37"/>
        <v>5208678.7282512626</v>
      </c>
      <c r="BG162" s="752">
        <f t="shared" si="33"/>
        <v>5</v>
      </c>
      <c r="BH162" s="763">
        <f t="shared" si="27"/>
        <v>1563942.6359015559</v>
      </c>
      <c r="BI162" s="763">
        <f t="shared" si="28"/>
        <v>374122.81676619325</v>
      </c>
      <c r="BJ162" s="763">
        <f t="shared" si="29"/>
        <v>7564337.1986189838</v>
      </c>
      <c r="BK162" s="763">
        <f t="shared" si="30"/>
        <v>1041735.7456502526</v>
      </c>
    </row>
    <row r="163" spans="1:63">
      <c r="A163" s="669"/>
      <c r="B163" s="754">
        <v>2030</v>
      </c>
      <c r="C163" s="755" t="s">
        <v>13</v>
      </c>
      <c r="D163" s="755" t="s">
        <v>494</v>
      </c>
      <c r="E163" s="755" t="s">
        <v>495</v>
      </c>
      <c r="F163" s="755" t="s">
        <v>496</v>
      </c>
      <c r="G163" s="755" t="s">
        <v>18</v>
      </c>
      <c r="H163" s="755"/>
      <c r="I163" s="755" t="s">
        <v>46</v>
      </c>
      <c r="J163" s="755" t="s">
        <v>489</v>
      </c>
      <c r="K163" s="755"/>
      <c r="L163" s="755" t="s">
        <v>20</v>
      </c>
      <c r="M163" s="755" t="s">
        <v>412</v>
      </c>
      <c r="N163" s="756">
        <v>64700951.579999998</v>
      </c>
      <c r="O163" s="756">
        <v>5500</v>
      </c>
      <c r="P163" s="756">
        <v>531249.89179999998</v>
      </c>
      <c r="Q163" s="756">
        <v>64700951.579999998</v>
      </c>
      <c r="R163" s="756">
        <v>5500</v>
      </c>
      <c r="S163" s="756">
        <v>531249.89179999998</v>
      </c>
      <c r="T163" s="756">
        <v>64700951.579999998</v>
      </c>
      <c r="U163" s="756">
        <v>531249.89179999998</v>
      </c>
      <c r="V163" s="756">
        <v>11113.161610236381</v>
      </c>
      <c r="W163" s="756">
        <v>2820.9369254580001</v>
      </c>
      <c r="X163" s="757">
        <v>9179088.3709854446</v>
      </c>
      <c r="Y163" s="757">
        <v>9179088.3709854446</v>
      </c>
      <c r="Z163" s="757">
        <v>3703147.1911999998</v>
      </c>
      <c r="AA163" s="757">
        <v>3703147.1912000063</v>
      </c>
      <c r="AB163" s="757">
        <v>3703147.1912000063</v>
      </c>
      <c r="AC163" s="757">
        <v>3703147.1912000063</v>
      </c>
      <c r="AD163" s="757">
        <v>3703147.1912000063</v>
      </c>
      <c r="AE163" s="757">
        <v>31591373.265692316</v>
      </c>
      <c r="AF163" s="756">
        <v>7949296.5025560902</v>
      </c>
      <c r="AG163" s="756">
        <v>1229791.8684293539</v>
      </c>
      <c r="AH163" s="756">
        <v>0</v>
      </c>
      <c r="AI163" s="756">
        <v>8180450.0324683599</v>
      </c>
      <c r="AJ163" s="756">
        <v>1614812.1221420539</v>
      </c>
      <c r="AK163" s="756">
        <v>0</v>
      </c>
      <c r="AL163" s="756">
        <v>8180450.0324683599</v>
      </c>
      <c r="AM163" s="756">
        <v>1614812.1221420539</v>
      </c>
      <c r="AN163" s="756">
        <v>0</v>
      </c>
      <c r="AO163" s="756">
        <v>11113.161610236381</v>
      </c>
      <c r="AP163" s="756">
        <v>2820.9369254580001</v>
      </c>
      <c r="AQ163" s="757">
        <v>453782.1704</v>
      </c>
      <c r="AR163" s="757">
        <v>18554.648000000001</v>
      </c>
      <c r="AS163" s="757">
        <v>3230810.3728</v>
      </c>
      <c r="AT163" s="757">
        <v>0</v>
      </c>
      <c r="AU163" s="756">
        <v>26566210.718748</v>
      </c>
      <c r="AV163" s="756">
        <v>1322015.3557442999</v>
      </c>
      <c r="AW163" s="756">
        <v>0</v>
      </c>
      <c r="AX163" s="756">
        <v>0</v>
      </c>
      <c r="AY163" s="756">
        <v>0</v>
      </c>
      <c r="AZ163" s="758">
        <v>0.56000000000000005</v>
      </c>
      <c r="BA163" s="759">
        <f t="shared" si="31"/>
        <v>26566210.718748</v>
      </c>
      <c r="BB163" s="759">
        <f t="shared" si="32"/>
        <v>1322015.3557442999</v>
      </c>
      <c r="BC163" s="760">
        <f t="shared" si="34"/>
        <v>7949296.5025560902</v>
      </c>
      <c r="BD163" s="760">
        <f t="shared" si="35"/>
        <v>1229791.8684293539</v>
      </c>
      <c r="BE163" s="760">
        <f t="shared" si="36"/>
        <v>28639973.145820003</v>
      </c>
      <c r="BF163" s="760">
        <f t="shared" si="37"/>
        <v>2951400.1198723027</v>
      </c>
      <c r="BG163" s="761">
        <f t="shared" si="33"/>
        <v>1</v>
      </c>
      <c r="BH163" s="762">
        <f t="shared" si="27"/>
        <v>7949296.5025560902</v>
      </c>
      <c r="BI163" s="762">
        <f t="shared" si="28"/>
        <v>1229791.8684293539</v>
      </c>
      <c r="BJ163" s="762">
        <f t="shared" si="29"/>
        <v>28639973.145820003</v>
      </c>
      <c r="BK163" s="762">
        <f t="shared" si="30"/>
        <v>2951400.1198723027</v>
      </c>
    </row>
    <row r="164" spans="1:63">
      <c r="A164" s="669"/>
      <c r="B164" s="745">
        <v>2030</v>
      </c>
      <c r="C164" s="746" t="s">
        <v>13</v>
      </c>
      <c r="D164" s="746" t="s">
        <v>497</v>
      </c>
      <c r="E164" s="746" t="s">
        <v>498</v>
      </c>
      <c r="F164" s="746" t="s">
        <v>347</v>
      </c>
      <c r="G164" s="746" t="s">
        <v>50</v>
      </c>
      <c r="H164" s="746" t="s">
        <v>499</v>
      </c>
      <c r="I164" s="746" t="s">
        <v>347</v>
      </c>
      <c r="J164" s="746" t="s">
        <v>489</v>
      </c>
      <c r="K164" s="746"/>
      <c r="L164" s="746" t="s">
        <v>347</v>
      </c>
      <c r="M164" s="746" t="s">
        <v>412</v>
      </c>
      <c r="N164" s="747">
        <v>210034814.15272683</v>
      </c>
      <c r="O164" s="747">
        <v>61846.535857863339</v>
      </c>
      <c r="P164" s="747">
        <v>213352.25534139259</v>
      </c>
      <c r="Q164" s="747">
        <v>23844687.781132497</v>
      </c>
      <c r="R164" s="747">
        <v>9579.5635311843598</v>
      </c>
      <c r="S164" s="747">
        <v>30724.850640214594</v>
      </c>
      <c r="T164" s="747">
        <v>353436955.77642</v>
      </c>
      <c r="U164" s="747">
        <v>879567.02834441245</v>
      </c>
      <c r="V164" s="747">
        <v>66706.869612216673</v>
      </c>
      <c r="W164" s="747">
        <v>4670.5009205088309</v>
      </c>
      <c r="X164" s="748">
        <v>24847194.674228147</v>
      </c>
      <c r="Y164" s="748">
        <v>238040789.29202896</v>
      </c>
      <c r="Z164" s="748">
        <v>423899.28909999999</v>
      </c>
      <c r="AA164" s="748">
        <v>14554016.759542475</v>
      </c>
      <c r="AB164" s="748">
        <v>423899.2890999993</v>
      </c>
      <c r="AC164" s="748">
        <v>14689737.725221451</v>
      </c>
      <c r="AD164" s="748">
        <v>14689737.725221435</v>
      </c>
      <c r="AE164" s="748">
        <v>58874339.972463444</v>
      </c>
      <c r="AF164" s="747">
        <v>21796916.370791394</v>
      </c>
      <c r="AG164" s="747">
        <v>3050278.3034367529</v>
      </c>
      <c r="AH164" s="747">
        <v>0</v>
      </c>
      <c r="AI164" s="747">
        <v>30506882.283272121</v>
      </c>
      <c r="AJ164" s="747">
        <v>4989838.4542628564</v>
      </c>
      <c r="AK164" s="747">
        <v>0</v>
      </c>
      <c r="AL164" s="747">
        <v>30555335.015511367</v>
      </c>
      <c r="AM164" s="747">
        <v>4989838.4542628564</v>
      </c>
      <c r="AN164" s="747">
        <v>0</v>
      </c>
      <c r="AO164" s="747">
        <v>4343.3592654624808</v>
      </c>
      <c r="AP164" s="747">
        <v>163.14895689953977</v>
      </c>
      <c r="AQ164" s="748">
        <v>0</v>
      </c>
      <c r="AR164" s="748">
        <v>0</v>
      </c>
      <c r="AS164" s="748">
        <v>423899.28909999999</v>
      </c>
      <c r="AT164" s="748">
        <v>0</v>
      </c>
      <c r="AU164" s="747">
        <v>56560304.182872534</v>
      </c>
      <c r="AV164" s="747">
        <v>1890136.5004909637</v>
      </c>
      <c r="AW164" s="747">
        <v>0</v>
      </c>
      <c r="AX164" s="747">
        <v>0</v>
      </c>
      <c r="AY164" s="747">
        <v>0</v>
      </c>
      <c r="AZ164" s="749">
        <v>0.56000000000000005</v>
      </c>
      <c r="BA164" s="750">
        <f t="shared" si="31"/>
        <v>3690795.9873621454</v>
      </c>
      <c r="BB164" s="750">
        <f t="shared" si="32"/>
        <v>123339.29798226344</v>
      </c>
      <c r="BC164" s="751">
        <f t="shared" si="34"/>
        <v>21796916.370791394</v>
      </c>
      <c r="BD164" s="751">
        <f t="shared" si="35"/>
        <v>3050278.3034367529</v>
      </c>
      <c r="BE164" s="751">
        <f t="shared" si="36"/>
        <v>56797687.784768537</v>
      </c>
      <c r="BF164" s="751">
        <f t="shared" si="37"/>
        <v>2076652.1876949633</v>
      </c>
      <c r="BG164" s="752">
        <f t="shared" si="33"/>
        <v>15.324689952125162</v>
      </c>
      <c r="BH164" s="763">
        <f t="shared" si="27"/>
        <v>1422339.7953815497</v>
      </c>
      <c r="BI164" s="763">
        <f t="shared" si="28"/>
        <v>199043.39421978017</v>
      </c>
      <c r="BJ164" s="763">
        <f t="shared" si="29"/>
        <v>3706286.2584630679</v>
      </c>
      <c r="BK164" s="763">
        <f t="shared" si="30"/>
        <v>135510.22527584527</v>
      </c>
    </row>
    <row r="165" spans="1:63">
      <c r="A165" s="669"/>
      <c r="B165" s="754">
        <v>2030</v>
      </c>
      <c r="C165" s="755" t="s">
        <v>13</v>
      </c>
      <c r="D165" s="755" t="s">
        <v>500</v>
      </c>
      <c r="E165" s="755" t="s">
        <v>501</v>
      </c>
      <c r="F165" s="755" t="s">
        <v>347</v>
      </c>
      <c r="G165" s="755" t="s">
        <v>50</v>
      </c>
      <c r="H165" s="755" t="s">
        <v>499</v>
      </c>
      <c r="I165" s="755" t="s">
        <v>347</v>
      </c>
      <c r="J165" s="755" t="s">
        <v>17</v>
      </c>
      <c r="K165" s="755"/>
      <c r="L165" s="755" t="s">
        <v>347</v>
      </c>
      <c r="M165" s="755" t="s">
        <v>412</v>
      </c>
      <c r="N165" s="756">
        <v>0</v>
      </c>
      <c r="O165" s="756">
        <v>0</v>
      </c>
      <c r="P165" s="756">
        <v>0</v>
      </c>
      <c r="Q165" s="756">
        <v>0</v>
      </c>
      <c r="R165" s="756">
        <v>0</v>
      </c>
      <c r="S165" s="756">
        <v>0</v>
      </c>
      <c r="T165" s="756">
        <v>0</v>
      </c>
      <c r="U165" s="756">
        <v>0</v>
      </c>
      <c r="V165" s="756">
        <v>0</v>
      </c>
      <c r="W165" s="756">
        <v>0</v>
      </c>
      <c r="X165" s="757">
        <v>0</v>
      </c>
      <c r="Y165" s="757">
        <v>0</v>
      </c>
      <c r="Z165" s="757">
        <v>63484.8482</v>
      </c>
      <c r="AA165" s="757">
        <v>63484.8482</v>
      </c>
      <c r="AB165" s="757">
        <v>63484.8482</v>
      </c>
      <c r="AC165" s="757">
        <v>63484.8482</v>
      </c>
      <c r="AD165" s="757">
        <v>63484.8482</v>
      </c>
      <c r="AE165" s="757">
        <v>63484.8482</v>
      </c>
      <c r="AF165" s="756">
        <v>0</v>
      </c>
      <c r="AG165" s="756">
        <v>0</v>
      </c>
      <c r="AH165" s="756">
        <v>0</v>
      </c>
      <c r="AI165" s="756">
        <v>0</v>
      </c>
      <c r="AJ165" s="756">
        <v>0</v>
      </c>
      <c r="AK165" s="756">
        <v>0</v>
      </c>
      <c r="AL165" s="756">
        <v>0</v>
      </c>
      <c r="AM165" s="756">
        <v>0</v>
      </c>
      <c r="AN165" s="756">
        <v>0</v>
      </c>
      <c r="AO165" s="756">
        <v>0</v>
      </c>
      <c r="AP165" s="756">
        <v>0</v>
      </c>
      <c r="AQ165" s="757">
        <v>14672.967699999999</v>
      </c>
      <c r="AR165" s="757">
        <v>0</v>
      </c>
      <c r="AS165" s="757">
        <v>48811.880499999999</v>
      </c>
      <c r="AT165" s="757">
        <v>0</v>
      </c>
      <c r="AU165" s="756">
        <v>0</v>
      </c>
      <c r="AV165" s="756">
        <v>0</v>
      </c>
      <c r="AW165" s="756">
        <v>0</v>
      </c>
      <c r="AX165" s="756">
        <v>0</v>
      </c>
      <c r="AY165" s="756">
        <v>0</v>
      </c>
      <c r="AZ165" s="758">
        <v>0.56000000000000005</v>
      </c>
      <c r="BA165" s="759" t="str">
        <f t="shared" si="31"/>
        <v/>
      </c>
      <c r="BB165" s="759" t="str">
        <f t="shared" si="32"/>
        <v/>
      </c>
      <c r="BC165" s="760">
        <f t="shared" si="34"/>
        <v>0</v>
      </c>
      <c r="BD165" s="760">
        <f t="shared" si="35"/>
        <v>0</v>
      </c>
      <c r="BE165" s="760">
        <f t="shared" si="36"/>
        <v>35551.514992000004</v>
      </c>
      <c r="BF165" s="760">
        <f t="shared" si="37"/>
        <v>27933.333207999996</v>
      </c>
      <c r="BG165" s="761">
        <f t="shared" si="33"/>
        <v>0</v>
      </c>
      <c r="BH165" s="762">
        <f t="shared" si="27"/>
        <v>0</v>
      </c>
      <c r="BI165" s="762">
        <f t="shared" si="28"/>
        <v>0</v>
      </c>
      <c r="BJ165" s="762">
        <f t="shared" si="29"/>
        <v>0</v>
      </c>
      <c r="BK165" s="762">
        <f t="shared" si="30"/>
        <v>0</v>
      </c>
    </row>
    <row r="166" spans="1:63">
      <c r="A166" s="669"/>
      <c r="B166" s="745">
        <v>2030</v>
      </c>
      <c r="C166" s="746" t="s">
        <v>13</v>
      </c>
      <c r="D166" s="746" t="s">
        <v>502</v>
      </c>
      <c r="E166" s="746" t="s">
        <v>503</v>
      </c>
      <c r="F166" s="746" t="s">
        <v>347</v>
      </c>
      <c r="G166" s="746" t="s">
        <v>50</v>
      </c>
      <c r="H166" s="746" t="s">
        <v>504</v>
      </c>
      <c r="I166" s="746" t="s">
        <v>347</v>
      </c>
      <c r="J166" s="746" t="s">
        <v>489</v>
      </c>
      <c r="K166" s="746"/>
      <c r="L166" s="746" t="s">
        <v>347</v>
      </c>
      <c r="M166" s="746" t="s">
        <v>412</v>
      </c>
      <c r="N166" s="747">
        <v>82145793.85012193</v>
      </c>
      <c r="O166" s="747">
        <v>8350.1474004313895</v>
      </c>
      <c r="P166" s="747">
        <v>29359.667746674586</v>
      </c>
      <c r="Q166" s="747">
        <v>13913783.375455735</v>
      </c>
      <c r="R166" s="747">
        <v>1582.8377031505731</v>
      </c>
      <c r="S166" s="747">
        <v>41367.335390077802</v>
      </c>
      <c r="T166" s="747">
        <v>182921800.68970713</v>
      </c>
      <c r="U166" s="747">
        <v>495243.85915734706</v>
      </c>
      <c r="V166" s="747">
        <v>37444.797639554839</v>
      </c>
      <c r="W166" s="747">
        <v>2629.7448921255004</v>
      </c>
      <c r="X166" s="748">
        <v>14276423.070180621</v>
      </c>
      <c r="Y166" s="748">
        <v>77207076.129823014</v>
      </c>
      <c r="Z166" s="748">
        <v>333070.63510000001</v>
      </c>
      <c r="AA166" s="748">
        <v>2123331.8698733123</v>
      </c>
      <c r="AB166" s="748">
        <v>333070.63509999932</v>
      </c>
      <c r="AC166" s="748">
        <v>2140501.7826334252</v>
      </c>
      <c r="AD166" s="748">
        <v>2140501.7826334229</v>
      </c>
      <c r="AE166" s="748">
        <v>38661020.789966308</v>
      </c>
      <c r="AF166" s="747">
        <v>12388975.0902921</v>
      </c>
      <c r="AG166" s="747">
        <v>1887447.9798885249</v>
      </c>
      <c r="AH166" s="747">
        <v>0</v>
      </c>
      <c r="AI166" s="747">
        <v>17147662.005212411</v>
      </c>
      <c r="AJ166" s="747">
        <v>2771604.3211849136</v>
      </c>
      <c r="AK166" s="747">
        <v>0</v>
      </c>
      <c r="AL166" s="747">
        <v>17167621.429670878</v>
      </c>
      <c r="AM166" s="747">
        <v>2771604.3211849136</v>
      </c>
      <c r="AN166" s="747">
        <v>0</v>
      </c>
      <c r="AO166" s="747">
        <v>2661.7889083615864</v>
      </c>
      <c r="AP166" s="747">
        <v>219.66055092131285</v>
      </c>
      <c r="AQ166" s="748">
        <v>0</v>
      </c>
      <c r="AR166" s="748">
        <v>0</v>
      </c>
      <c r="AS166" s="748">
        <v>333070.63510000001</v>
      </c>
      <c r="AT166" s="748">
        <v>0</v>
      </c>
      <c r="AU166" s="747">
        <v>36429864.061799981</v>
      </c>
      <c r="AV166" s="747">
        <v>1898086.093066283</v>
      </c>
      <c r="AW166" s="747">
        <v>0</v>
      </c>
      <c r="AX166" s="747">
        <v>0</v>
      </c>
      <c r="AY166" s="747">
        <v>0</v>
      </c>
      <c r="AZ166" s="749">
        <v>0.56000000000000005</v>
      </c>
      <c r="BA166" s="750">
        <f t="shared" si="31"/>
        <v>2790992.8230951526</v>
      </c>
      <c r="BB166" s="750">
        <f t="shared" si="32"/>
        <v>145417.63467406595</v>
      </c>
      <c r="BC166" s="751">
        <f t="shared" si="34"/>
        <v>12388975.0902921</v>
      </c>
      <c r="BD166" s="751">
        <f t="shared" si="35"/>
        <v>1887447.9798885249</v>
      </c>
      <c r="BE166" s="751">
        <f t="shared" si="36"/>
        <v>36616383.617455982</v>
      </c>
      <c r="BF166" s="751">
        <f t="shared" si="37"/>
        <v>2044637.1725102826</v>
      </c>
      <c r="BG166" s="752">
        <f t="shared" si="33"/>
        <v>13.052654152438853</v>
      </c>
      <c r="BH166" s="763">
        <f t="shared" si="27"/>
        <v>949153.70817338733</v>
      </c>
      <c r="BI166" s="763">
        <f t="shared" si="28"/>
        <v>144602.61934817757</v>
      </c>
      <c r="BJ166" s="763">
        <f t="shared" si="29"/>
        <v>2805282.6030493048</v>
      </c>
      <c r="BK166" s="763">
        <f t="shared" si="30"/>
        <v>156645.3189237568</v>
      </c>
    </row>
    <row r="167" spans="1:63">
      <c r="A167" s="669"/>
      <c r="B167" s="754">
        <v>2030</v>
      </c>
      <c r="C167" s="755" t="s">
        <v>13</v>
      </c>
      <c r="D167" s="755" t="s">
        <v>505</v>
      </c>
      <c r="E167" s="755" t="s">
        <v>506</v>
      </c>
      <c r="F167" s="755" t="s">
        <v>347</v>
      </c>
      <c r="G167" s="755" t="s">
        <v>50</v>
      </c>
      <c r="H167" s="755" t="s">
        <v>504</v>
      </c>
      <c r="I167" s="755" t="s">
        <v>347</v>
      </c>
      <c r="J167" s="755" t="s">
        <v>17</v>
      </c>
      <c r="K167" s="755"/>
      <c r="L167" s="755" t="s">
        <v>347</v>
      </c>
      <c r="M167" s="755" t="s">
        <v>412</v>
      </c>
      <c r="N167" s="756">
        <v>0</v>
      </c>
      <c r="O167" s="756">
        <v>0</v>
      </c>
      <c r="P167" s="756">
        <v>0</v>
      </c>
      <c r="Q167" s="756">
        <v>0</v>
      </c>
      <c r="R167" s="756">
        <v>0</v>
      </c>
      <c r="S167" s="756">
        <v>0</v>
      </c>
      <c r="T167" s="756">
        <v>0</v>
      </c>
      <c r="U167" s="756">
        <v>0</v>
      </c>
      <c r="V167" s="756">
        <v>0</v>
      </c>
      <c r="W167" s="756">
        <v>0</v>
      </c>
      <c r="X167" s="757">
        <v>0</v>
      </c>
      <c r="Y167" s="757">
        <v>0</v>
      </c>
      <c r="Z167" s="757">
        <v>65064.948199999999</v>
      </c>
      <c r="AA167" s="757">
        <v>65064.948199999999</v>
      </c>
      <c r="AB167" s="757">
        <v>65064.948199999999</v>
      </c>
      <c r="AC167" s="757">
        <v>65064.948199999999</v>
      </c>
      <c r="AD167" s="757">
        <v>65064.948199999999</v>
      </c>
      <c r="AE167" s="757">
        <v>65064.948199999999</v>
      </c>
      <c r="AF167" s="756">
        <v>0</v>
      </c>
      <c r="AG167" s="756">
        <v>0</v>
      </c>
      <c r="AH167" s="756">
        <v>0</v>
      </c>
      <c r="AI167" s="756">
        <v>0</v>
      </c>
      <c r="AJ167" s="756">
        <v>0</v>
      </c>
      <c r="AK167" s="756">
        <v>0</v>
      </c>
      <c r="AL167" s="756">
        <v>0</v>
      </c>
      <c r="AM167" s="756">
        <v>0</v>
      </c>
      <c r="AN167" s="756">
        <v>0</v>
      </c>
      <c r="AO167" s="756">
        <v>0</v>
      </c>
      <c r="AP167" s="756">
        <v>0</v>
      </c>
      <c r="AQ167" s="757">
        <v>14238.6</v>
      </c>
      <c r="AR167" s="757">
        <v>0</v>
      </c>
      <c r="AS167" s="757">
        <v>50826.3482</v>
      </c>
      <c r="AT167" s="757">
        <v>0</v>
      </c>
      <c r="AU167" s="756">
        <v>0</v>
      </c>
      <c r="AV167" s="756">
        <v>0</v>
      </c>
      <c r="AW167" s="756">
        <v>0</v>
      </c>
      <c r="AX167" s="756">
        <v>0</v>
      </c>
      <c r="AY167" s="756">
        <v>0</v>
      </c>
      <c r="AZ167" s="758">
        <v>0.56000000000000005</v>
      </c>
      <c r="BA167" s="759" t="str">
        <f t="shared" si="31"/>
        <v/>
      </c>
      <c r="BB167" s="759" t="str">
        <f t="shared" si="32"/>
        <v/>
      </c>
      <c r="BC167" s="760">
        <f t="shared" si="34"/>
        <v>0</v>
      </c>
      <c r="BD167" s="760">
        <f t="shared" si="35"/>
        <v>0</v>
      </c>
      <c r="BE167" s="760">
        <f t="shared" si="36"/>
        <v>36436.370992000004</v>
      </c>
      <c r="BF167" s="760">
        <f t="shared" si="37"/>
        <v>28628.577207999995</v>
      </c>
      <c r="BG167" s="761">
        <f t="shared" si="33"/>
        <v>0</v>
      </c>
      <c r="BH167" s="762">
        <f t="shared" si="27"/>
        <v>0</v>
      </c>
      <c r="BI167" s="762">
        <f t="shared" si="28"/>
        <v>0</v>
      </c>
      <c r="BJ167" s="762">
        <f t="shared" si="29"/>
        <v>0</v>
      </c>
      <c r="BK167" s="762">
        <f t="shared" si="30"/>
        <v>0</v>
      </c>
    </row>
    <row r="168" spans="1:63">
      <c r="A168" s="669"/>
      <c r="B168" s="745">
        <v>2030</v>
      </c>
      <c r="C168" s="746" t="s">
        <v>13</v>
      </c>
      <c r="D168" s="746" t="s">
        <v>507</v>
      </c>
      <c r="E168" s="746" t="s">
        <v>508</v>
      </c>
      <c r="F168" s="746" t="s">
        <v>347</v>
      </c>
      <c r="G168" s="746" t="s">
        <v>50</v>
      </c>
      <c r="H168" s="746" t="s">
        <v>509</v>
      </c>
      <c r="I168" s="746" t="s">
        <v>347</v>
      </c>
      <c r="J168" s="746" t="s">
        <v>489</v>
      </c>
      <c r="K168" s="746"/>
      <c r="L168" s="746" t="s">
        <v>347</v>
      </c>
      <c r="M168" s="746" t="s">
        <v>412</v>
      </c>
      <c r="N168" s="747">
        <v>204965966.81150955</v>
      </c>
      <c r="O168" s="747">
        <v>39006.050899485846</v>
      </c>
      <c r="P168" s="747">
        <v>3215057.9454070409</v>
      </c>
      <c r="Q168" s="747">
        <v>69303463.559986189</v>
      </c>
      <c r="R168" s="747">
        <v>13462.263945042667</v>
      </c>
      <c r="S168" s="747">
        <v>1462358.1095014145</v>
      </c>
      <c r="T168" s="747">
        <v>1046970546.657648</v>
      </c>
      <c r="U168" s="747">
        <v>22733507.791516453</v>
      </c>
      <c r="V168" s="747">
        <v>168761.90289352246</v>
      </c>
      <c r="W168" s="747">
        <v>120714.92637295242</v>
      </c>
      <c r="X168" s="748">
        <v>138753752.98984447</v>
      </c>
      <c r="Y168" s="748">
        <v>347107860.53245723</v>
      </c>
      <c r="Z168" s="748">
        <v>699685.34719999996</v>
      </c>
      <c r="AA168" s="748">
        <v>79079982.635237232</v>
      </c>
      <c r="AB168" s="748">
        <v>699685.34719999938</v>
      </c>
      <c r="AC168" s="748">
        <v>79832406.13973631</v>
      </c>
      <c r="AD168" s="748">
        <v>79832406.139736444</v>
      </c>
      <c r="AE168" s="748">
        <v>236977936.66278476</v>
      </c>
      <c r="AF168" s="747">
        <v>57617952.370002978</v>
      </c>
      <c r="AG168" s="747">
        <v>81135800.619841501</v>
      </c>
      <c r="AH168" s="747">
        <v>0</v>
      </c>
      <c r="AI168" s="747">
        <v>80262316.047105387</v>
      </c>
      <c r="AJ168" s="747">
        <v>125158512.07787971</v>
      </c>
      <c r="AK168" s="747">
        <v>0</v>
      </c>
      <c r="AL168" s="747">
        <v>80395959.878117114</v>
      </c>
      <c r="AM168" s="747">
        <v>125158512.07787971</v>
      </c>
      <c r="AN168" s="747">
        <v>0</v>
      </c>
      <c r="AO168" s="747">
        <v>10933.830389421961</v>
      </c>
      <c r="AP168" s="747">
        <v>7765.1215614525127</v>
      </c>
      <c r="AQ168" s="748">
        <v>0</v>
      </c>
      <c r="AR168" s="748">
        <v>0</v>
      </c>
      <c r="AS168" s="748">
        <v>699685.34719999996</v>
      </c>
      <c r="AT168" s="748">
        <v>0</v>
      </c>
      <c r="AU168" s="747">
        <v>177351779.21591803</v>
      </c>
      <c r="AV168" s="747">
        <v>58926472.099666469</v>
      </c>
      <c r="AW168" s="747">
        <v>0</v>
      </c>
      <c r="AX168" s="747">
        <v>0</v>
      </c>
      <c r="AY168" s="747">
        <v>0</v>
      </c>
      <c r="AZ168" s="749">
        <v>0.56000000000000005</v>
      </c>
      <c r="BA168" s="750">
        <f t="shared" si="31"/>
        <v>11610844.421644306</v>
      </c>
      <c r="BB168" s="750">
        <f t="shared" si="32"/>
        <v>3857791.0122493026</v>
      </c>
      <c r="BC168" s="751">
        <f t="shared" si="34"/>
        <v>57617952.370002978</v>
      </c>
      <c r="BD168" s="751">
        <f t="shared" si="35"/>
        <v>81135800.619841501</v>
      </c>
      <c r="BE168" s="751">
        <f t="shared" si="36"/>
        <v>177743603.01035005</v>
      </c>
      <c r="BF168" s="751">
        <f t="shared" si="37"/>
        <v>59234333.652434468</v>
      </c>
      <c r="BG168" s="752">
        <f t="shared" si="33"/>
        <v>15.274666749070246</v>
      </c>
      <c r="BH168" s="763">
        <f t="shared" si="27"/>
        <v>3772125.0038734972</v>
      </c>
      <c r="BI168" s="763">
        <f t="shared" si="28"/>
        <v>5311788.5943259718</v>
      </c>
      <c r="BJ168" s="763">
        <f t="shared" si="29"/>
        <v>11636496.29352268</v>
      </c>
      <c r="BK168" s="763">
        <f t="shared" si="30"/>
        <v>3877946.0544394534</v>
      </c>
    </row>
    <row r="169" spans="1:63">
      <c r="A169" s="669"/>
      <c r="B169" s="754">
        <v>2030</v>
      </c>
      <c r="C169" s="755" t="s">
        <v>13</v>
      </c>
      <c r="D169" s="755" t="s">
        <v>510</v>
      </c>
      <c r="E169" s="755" t="s">
        <v>511</v>
      </c>
      <c r="F169" s="755" t="s">
        <v>347</v>
      </c>
      <c r="G169" s="755" t="s">
        <v>50</v>
      </c>
      <c r="H169" s="755" t="s">
        <v>509</v>
      </c>
      <c r="I169" s="755" t="s">
        <v>347</v>
      </c>
      <c r="J169" s="755" t="s">
        <v>17</v>
      </c>
      <c r="K169" s="755"/>
      <c r="L169" s="755" t="s">
        <v>347</v>
      </c>
      <c r="M169" s="755" t="s">
        <v>412</v>
      </c>
      <c r="N169" s="756">
        <v>0</v>
      </c>
      <c r="O169" s="756">
        <v>0</v>
      </c>
      <c r="P169" s="756">
        <v>0</v>
      </c>
      <c r="Q169" s="756">
        <v>0</v>
      </c>
      <c r="R169" s="756">
        <v>0</v>
      </c>
      <c r="S169" s="756">
        <v>0</v>
      </c>
      <c r="T169" s="756">
        <v>0</v>
      </c>
      <c r="U169" s="756">
        <v>0</v>
      </c>
      <c r="V169" s="756">
        <v>0</v>
      </c>
      <c r="W169" s="756">
        <v>0</v>
      </c>
      <c r="X169" s="757">
        <v>0</v>
      </c>
      <c r="Y169" s="757">
        <v>0</v>
      </c>
      <c r="Z169" s="757">
        <v>81581.790600000008</v>
      </c>
      <c r="AA169" s="757">
        <v>81581.790599999993</v>
      </c>
      <c r="AB169" s="757">
        <v>81581.790599999993</v>
      </c>
      <c r="AC169" s="757">
        <v>81581.790599999993</v>
      </c>
      <c r="AD169" s="757">
        <v>81581.790599999993</v>
      </c>
      <c r="AE169" s="757">
        <v>81581.790599999993</v>
      </c>
      <c r="AF169" s="756">
        <v>0</v>
      </c>
      <c r="AG169" s="756">
        <v>0</v>
      </c>
      <c r="AH169" s="756">
        <v>0</v>
      </c>
      <c r="AI169" s="756">
        <v>0</v>
      </c>
      <c r="AJ169" s="756">
        <v>0</v>
      </c>
      <c r="AK169" s="756">
        <v>0</v>
      </c>
      <c r="AL169" s="756">
        <v>0</v>
      </c>
      <c r="AM169" s="756">
        <v>0</v>
      </c>
      <c r="AN169" s="756">
        <v>0</v>
      </c>
      <c r="AO169" s="756">
        <v>0</v>
      </c>
      <c r="AP169" s="756">
        <v>0</v>
      </c>
      <c r="AQ169" s="757">
        <v>17273.9496</v>
      </c>
      <c r="AR169" s="757">
        <v>0</v>
      </c>
      <c r="AS169" s="757">
        <v>64307.841</v>
      </c>
      <c r="AT169" s="757">
        <v>0</v>
      </c>
      <c r="AU169" s="756">
        <v>0</v>
      </c>
      <c r="AV169" s="756">
        <v>0</v>
      </c>
      <c r="AW169" s="756">
        <v>0</v>
      </c>
      <c r="AX169" s="756">
        <v>0</v>
      </c>
      <c r="AY169" s="756">
        <v>0</v>
      </c>
      <c r="AZ169" s="758">
        <v>0.56000000000000005</v>
      </c>
      <c r="BA169" s="759" t="str">
        <f t="shared" si="31"/>
        <v/>
      </c>
      <c r="BB169" s="759" t="str">
        <f t="shared" si="32"/>
        <v/>
      </c>
      <c r="BC169" s="760">
        <f t="shared" si="34"/>
        <v>0</v>
      </c>
      <c r="BD169" s="760">
        <f t="shared" si="35"/>
        <v>0</v>
      </c>
      <c r="BE169" s="760">
        <f t="shared" si="36"/>
        <v>45685.802735999998</v>
      </c>
      <c r="BF169" s="760">
        <f t="shared" si="37"/>
        <v>35895.987863999995</v>
      </c>
      <c r="BG169" s="761">
        <f t="shared" si="33"/>
        <v>0</v>
      </c>
      <c r="BH169" s="762">
        <f t="shared" si="27"/>
        <v>0</v>
      </c>
      <c r="BI169" s="762">
        <f t="shared" si="28"/>
        <v>0</v>
      </c>
      <c r="BJ169" s="762">
        <f t="shared" si="29"/>
        <v>0</v>
      </c>
      <c r="BK169" s="762">
        <f t="shared" si="30"/>
        <v>0</v>
      </c>
    </row>
    <row r="170" spans="1:63">
      <c r="A170" s="669"/>
      <c r="B170" s="745">
        <v>2030</v>
      </c>
      <c r="C170" s="746" t="s">
        <v>13</v>
      </c>
      <c r="D170" s="746" t="s">
        <v>512</v>
      </c>
      <c r="E170" s="746" t="s">
        <v>513</v>
      </c>
      <c r="F170" s="746" t="s">
        <v>478</v>
      </c>
      <c r="G170" s="746" t="s">
        <v>50</v>
      </c>
      <c r="H170" s="746" t="s">
        <v>514</v>
      </c>
      <c r="I170" s="746" t="s">
        <v>515</v>
      </c>
      <c r="J170" s="746" t="s">
        <v>489</v>
      </c>
      <c r="K170" s="746"/>
      <c r="L170" s="746" t="s">
        <v>29</v>
      </c>
      <c r="M170" s="746" t="s">
        <v>412</v>
      </c>
      <c r="N170" s="747">
        <v>0</v>
      </c>
      <c r="O170" s="747">
        <v>0</v>
      </c>
      <c r="P170" s="747">
        <v>0</v>
      </c>
      <c r="Q170" s="747">
        <v>0</v>
      </c>
      <c r="R170" s="747">
        <v>0</v>
      </c>
      <c r="S170" s="747">
        <v>0</v>
      </c>
      <c r="T170" s="747">
        <v>0</v>
      </c>
      <c r="U170" s="747">
        <v>0</v>
      </c>
      <c r="V170" s="747">
        <v>0</v>
      </c>
      <c r="W170" s="747">
        <v>0</v>
      </c>
      <c r="X170" s="748">
        <v>0</v>
      </c>
      <c r="Y170" s="748">
        <v>0</v>
      </c>
      <c r="Z170" s="748">
        <v>1547000</v>
      </c>
      <c r="AA170" s="748">
        <v>1547000</v>
      </c>
      <c r="AB170" s="748">
        <v>1547000</v>
      </c>
      <c r="AC170" s="748">
        <v>1547000</v>
      </c>
      <c r="AD170" s="748">
        <v>1547000</v>
      </c>
      <c r="AE170" s="748">
        <v>1547000</v>
      </c>
      <c r="AF170" s="747">
        <v>0</v>
      </c>
      <c r="AG170" s="747">
        <v>0</v>
      </c>
      <c r="AH170" s="747">
        <v>0</v>
      </c>
      <c r="AI170" s="747">
        <v>0</v>
      </c>
      <c r="AJ170" s="747">
        <v>0</v>
      </c>
      <c r="AK170" s="747">
        <v>0</v>
      </c>
      <c r="AL170" s="747">
        <v>0</v>
      </c>
      <c r="AM170" s="747">
        <v>0</v>
      </c>
      <c r="AN170" s="747">
        <v>0</v>
      </c>
      <c r="AO170" s="747">
        <v>0</v>
      </c>
      <c r="AP170" s="747">
        <v>0</v>
      </c>
      <c r="AQ170" s="748">
        <v>0</v>
      </c>
      <c r="AR170" s="748">
        <v>0</v>
      </c>
      <c r="AS170" s="748">
        <v>1547000</v>
      </c>
      <c r="AT170" s="748">
        <v>0</v>
      </c>
      <c r="AU170" s="747">
        <v>0</v>
      </c>
      <c r="AV170" s="747">
        <v>0</v>
      </c>
      <c r="AW170" s="747">
        <v>0</v>
      </c>
      <c r="AX170" s="747">
        <v>0</v>
      </c>
      <c r="AY170" s="747">
        <v>0</v>
      </c>
      <c r="AZ170" s="749">
        <v>0.56000000000000005</v>
      </c>
      <c r="BA170" s="750" t="str">
        <f t="shared" si="31"/>
        <v/>
      </c>
      <c r="BB170" s="750" t="str">
        <f t="shared" si="32"/>
        <v/>
      </c>
      <c r="BC170" s="751">
        <f t="shared" si="34"/>
        <v>0</v>
      </c>
      <c r="BD170" s="751">
        <f t="shared" si="35"/>
        <v>0</v>
      </c>
      <c r="BE170" s="751">
        <f t="shared" si="36"/>
        <v>866320.00000000012</v>
      </c>
      <c r="BF170" s="751">
        <f t="shared" si="37"/>
        <v>680679.99999999988</v>
      </c>
      <c r="BG170" s="752">
        <f t="shared" si="33"/>
        <v>0</v>
      </c>
      <c r="BH170" s="763">
        <f t="shared" si="27"/>
        <v>0</v>
      </c>
      <c r="BI170" s="763">
        <f t="shared" si="28"/>
        <v>0</v>
      </c>
      <c r="BJ170" s="763">
        <f t="shared" si="29"/>
        <v>0</v>
      </c>
      <c r="BK170" s="763">
        <f t="shared" si="30"/>
        <v>0</v>
      </c>
    </row>
    <row r="171" spans="1:63">
      <c r="A171" s="669"/>
      <c r="B171" s="754">
        <v>2030</v>
      </c>
      <c r="C171" s="755" t="s">
        <v>13</v>
      </c>
      <c r="D171" s="755" t="s">
        <v>516</v>
      </c>
      <c r="E171" s="755" t="s">
        <v>517</v>
      </c>
      <c r="F171" s="755" t="s">
        <v>478</v>
      </c>
      <c r="G171" s="755" t="s">
        <v>50</v>
      </c>
      <c r="H171" s="755" t="s">
        <v>514</v>
      </c>
      <c r="I171" s="755" t="s">
        <v>515</v>
      </c>
      <c r="J171" s="755" t="s">
        <v>17</v>
      </c>
      <c r="K171" s="755"/>
      <c r="L171" s="755" t="s">
        <v>29</v>
      </c>
      <c r="M171" s="755" t="s">
        <v>412</v>
      </c>
      <c r="N171" s="756">
        <v>0</v>
      </c>
      <c r="O171" s="756">
        <v>0</v>
      </c>
      <c r="P171" s="756">
        <v>0</v>
      </c>
      <c r="Q171" s="756">
        <v>0</v>
      </c>
      <c r="R171" s="756">
        <v>0</v>
      </c>
      <c r="S171" s="756">
        <v>0</v>
      </c>
      <c r="T171" s="756">
        <v>0</v>
      </c>
      <c r="U171" s="756">
        <v>0</v>
      </c>
      <c r="V171" s="756">
        <v>0</v>
      </c>
      <c r="W171" s="756">
        <v>0</v>
      </c>
      <c r="X171" s="757">
        <v>0</v>
      </c>
      <c r="Y171" s="757">
        <v>0</v>
      </c>
      <c r="Z171" s="757">
        <v>103983.24589999999</v>
      </c>
      <c r="AA171" s="757">
        <v>103983.24589999999</v>
      </c>
      <c r="AB171" s="757">
        <v>103983.24589999999</v>
      </c>
      <c r="AC171" s="757">
        <v>103983.24589999999</v>
      </c>
      <c r="AD171" s="757">
        <v>103983.24589999999</v>
      </c>
      <c r="AE171" s="757">
        <v>103983.24589999999</v>
      </c>
      <c r="AF171" s="756">
        <v>0</v>
      </c>
      <c r="AG171" s="756">
        <v>0</v>
      </c>
      <c r="AH171" s="756">
        <v>0</v>
      </c>
      <c r="AI171" s="756">
        <v>0</v>
      </c>
      <c r="AJ171" s="756">
        <v>0</v>
      </c>
      <c r="AK171" s="756">
        <v>0</v>
      </c>
      <c r="AL171" s="756">
        <v>0</v>
      </c>
      <c r="AM171" s="756">
        <v>0</v>
      </c>
      <c r="AN171" s="756">
        <v>0</v>
      </c>
      <c r="AO171" s="756">
        <v>0</v>
      </c>
      <c r="AP171" s="756">
        <v>0</v>
      </c>
      <c r="AQ171" s="757">
        <v>24645.537100000001</v>
      </c>
      <c r="AR171" s="757">
        <v>0</v>
      </c>
      <c r="AS171" s="757">
        <v>79337.708799999993</v>
      </c>
      <c r="AT171" s="757">
        <v>0</v>
      </c>
      <c r="AU171" s="756">
        <v>0</v>
      </c>
      <c r="AV171" s="756">
        <v>0</v>
      </c>
      <c r="AW171" s="756">
        <v>0</v>
      </c>
      <c r="AX171" s="756">
        <v>0</v>
      </c>
      <c r="AY171" s="756">
        <v>0</v>
      </c>
      <c r="AZ171" s="758">
        <v>0.56000000000000005</v>
      </c>
      <c r="BA171" s="759" t="str">
        <f t="shared" si="31"/>
        <v/>
      </c>
      <c r="BB171" s="759" t="str">
        <f t="shared" si="32"/>
        <v/>
      </c>
      <c r="BC171" s="760">
        <f t="shared" si="34"/>
        <v>0</v>
      </c>
      <c r="BD171" s="760">
        <f t="shared" si="35"/>
        <v>0</v>
      </c>
      <c r="BE171" s="760">
        <f t="shared" si="36"/>
        <v>58230.617704000004</v>
      </c>
      <c r="BF171" s="760">
        <f t="shared" si="37"/>
        <v>45752.628195999991</v>
      </c>
      <c r="BG171" s="761">
        <f t="shared" si="33"/>
        <v>0</v>
      </c>
      <c r="BH171" s="762">
        <f t="shared" si="27"/>
        <v>0</v>
      </c>
      <c r="BI171" s="762">
        <f t="shared" si="28"/>
        <v>0</v>
      </c>
      <c r="BJ171" s="762">
        <f t="shared" si="29"/>
        <v>0</v>
      </c>
      <c r="BK171" s="762">
        <f t="shared" si="30"/>
        <v>0</v>
      </c>
    </row>
    <row r="172" spans="1:63">
      <c r="A172" s="669"/>
      <c r="B172" s="745">
        <v>2030</v>
      </c>
      <c r="C172" s="746" t="s">
        <v>13</v>
      </c>
      <c r="D172" s="746" t="s">
        <v>518</v>
      </c>
      <c r="E172" s="746" t="s">
        <v>519</v>
      </c>
      <c r="F172" s="746" t="s">
        <v>478</v>
      </c>
      <c r="G172" s="746" t="s">
        <v>45</v>
      </c>
      <c r="H172" s="746" t="s">
        <v>520</v>
      </c>
      <c r="I172" s="746" t="s">
        <v>521</v>
      </c>
      <c r="J172" s="746" t="s">
        <v>489</v>
      </c>
      <c r="K172" s="746"/>
      <c r="L172" s="746" t="s">
        <v>20</v>
      </c>
      <c r="M172" s="746" t="s">
        <v>412</v>
      </c>
      <c r="N172" s="747">
        <v>583353.67999099102</v>
      </c>
      <c r="O172" s="747">
        <v>130.49400000054595</v>
      </c>
      <c r="P172" s="747">
        <v>11524.747080792031</v>
      </c>
      <c r="Q172" s="747">
        <v>317273.13799514057</v>
      </c>
      <c r="R172" s="747">
        <v>70.027230000300264</v>
      </c>
      <c r="S172" s="747">
        <v>8647.1477404395773</v>
      </c>
      <c r="T172" s="747">
        <v>1687955.3599817138</v>
      </c>
      <c r="U172" s="747">
        <v>137365.66536879129</v>
      </c>
      <c r="V172" s="747">
        <v>242.32098078445586</v>
      </c>
      <c r="W172" s="747">
        <v>729.41168310828152</v>
      </c>
      <c r="X172" s="748">
        <v>392627.83194939158</v>
      </c>
      <c r="Y172" s="748">
        <v>633999.67929564952</v>
      </c>
      <c r="Z172" s="748">
        <v>230942.55994899999</v>
      </c>
      <c r="AA172" s="748">
        <v>696820.33723384165</v>
      </c>
      <c r="AB172" s="748">
        <v>250786.27429909501</v>
      </c>
      <c r="AC172" s="748">
        <v>689338.55574891483</v>
      </c>
      <c r="AD172" s="748">
        <v>689345.28668039595</v>
      </c>
      <c r="AE172" s="748">
        <v>915268.83433618967</v>
      </c>
      <c r="AF172" s="747">
        <v>226464.54333057802</v>
      </c>
      <c r="AG172" s="747">
        <v>192211.46064721179</v>
      </c>
      <c r="AH172" s="747">
        <v>0</v>
      </c>
      <c r="AI172" s="747">
        <v>256275.03288651226</v>
      </c>
      <c r="AJ172" s="747">
        <v>301203.47123815521</v>
      </c>
      <c r="AK172" s="747">
        <v>0</v>
      </c>
      <c r="AL172" s="747">
        <v>255987.41508645006</v>
      </c>
      <c r="AM172" s="747">
        <v>301203.47123815521</v>
      </c>
      <c r="AN172" s="747">
        <v>0</v>
      </c>
      <c r="AO172" s="747">
        <v>40.165303930402601</v>
      </c>
      <c r="AP172" s="747">
        <v>45.916354501734148</v>
      </c>
      <c r="AQ172" s="748">
        <v>9523.2000000000007</v>
      </c>
      <c r="AR172" s="748">
        <v>496</v>
      </c>
      <c r="AS172" s="748">
        <v>60207.756600000001</v>
      </c>
      <c r="AT172" s="748">
        <v>160715.60334899998</v>
      </c>
      <c r="AU172" s="747">
        <v>543833.20435701287</v>
      </c>
      <c r="AV172" s="747">
        <v>120649.35568008138</v>
      </c>
      <c r="AW172" s="747">
        <v>97133.262122636006</v>
      </c>
      <c r="AX172" s="747">
        <v>0</v>
      </c>
      <c r="AY172" s="747">
        <v>0</v>
      </c>
      <c r="AZ172" s="749">
        <v>0.56000000000000005</v>
      </c>
      <c r="BA172" s="750">
        <f t="shared" si="31"/>
        <v>44619.719053061279</v>
      </c>
      <c r="BB172" s="750">
        <f t="shared" si="32"/>
        <v>12051.356728301378</v>
      </c>
      <c r="BC172" s="751">
        <f t="shared" si="34"/>
        <v>323597.80545321404</v>
      </c>
      <c r="BD172" s="751">
        <f t="shared" si="35"/>
        <v>192211.46064721179</v>
      </c>
      <c r="BE172" s="751">
        <f t="shared" si="36"/>
        <v>684273.51796450606</v>
      </c>
      <c r="BF172" s="751">
        <f t="shared" si="37"/>
        <v>230995.31637168318</v>
      </c>
      <c r="BG172" s="752">
        <f t="shared" si="33"/>
        <v>10.011267478021683</v>
      </c>
      <c r="BH172" s="763">
        <f t="shared" si="27"/>
        <v>32323.360270178287</v>
      </c>
      <c r="BI172" s="763">
        <f t="shared" si="28"/>
        <v>19199.513055583098</v>
      </c>
      <c r="BJ172" s="763">
        <f t="shared" si="29"/>
        <v>68350.338203102801</v>
      </c>
      <c r="BK172" s="763">
        <f t="shared" si="30"/>
        <v>23073.533583914385</v>
      </c>
    </row>
    <row r="173" spans="1:63">
      <c r="A173" s="669"/>
      <c r="B173" s="754">
        <v>2030</v>
      </c>
      <c r="C173" s="755" t="s">
        <v>13</v>
      </c>
      <c r="D173" s="755" t="s">
        <v>522</v>
      </c>
      <c r="E173" s="755" t="s">
        <v>523</v>
      </c>
      <c r="F173" s="755" t="s">
        <v>478</v>
      </c>
      <c r="G173" s="755" t="s">
        <v>45</v>
      </c>
      <c r="H173" s="755" t="s">
        <v>520</v>
      </c>
      <c r="I173" s="755" t="s">
        <v>521</v>
      </c>
      <c r="J173" s="755" t="s">
        <v>17</v>
      </c>
      <c r="K173" s="755"/>
      <c r="L173" s="755" t="s">
        <v>20</v>
      </c>
      <c r="M173" s="755" t="s">
        <v>412</v>
      </c>
      <c r="N173" s="756">
        <v>0</v>
      </c>
      <c r="O173" s="756">
        <v>0</v>
      </c>
      <c r="P173" s="756">
        <v>0</v>
      </c>
      <c r="Q173" s="756">
        <v>0</v>
      </c>
      <c r="R173" s="756">
        <v>0</v>
      </c>
      <c r="S173" s="756">
        <v>0</v>
      </c>
      <c r="T173" s="756">
        <v>0</v>
      </c>
      <c r="U173" s="756">
        <v>0</v>
      </c>
      <c r="V173" s="756">
        <v>0</v>
      </c>
      <c r="W173" s="756">
        <v>0</v>
      </c>
      <c r="X173" s="757">
        <v>0</v>
      </c>
      <c r="Y173" s="757">
        <v>0</v>
      </c>
      <c r="Z173" s="757">
        <v>3291.1947</v>
      </c>
      <c r="AA173" s="757">
        <v>3291.1947</v>
      </c>
      <c r="AB173" s="757">
        <v>3291.1947</v>
      </c>
      <c r="AC173" s="757">
        <v>3291.1947</v>
      </c>
      <c r="AD173" s="757">
        <v>3291.1947</v>
      </c>
      <c r="AE173" s="757">
        <v>3291.1947</v>
      </c>
      <c r="AF173" s="756">
        <v>0</v>
      </c>
      <c r="AG173" s="756">
        <v>0</v>
      </c>
      <c r="AH173" s="756">
        <v>0</v>
      </c>
      <c r="AI173" s="756">
        <v>0</v>
      </c>
      <c r="AJ173" s="756">
        <v>0</v>
      </c>
      <c r="AK173" s="756">
        <v>0</v>
      </c>
      <c r="AL173" s="756">
        <v>0</v>
      </c>
      <c r="AM173" s="756">
        <v>0</v>
      </c>
      <c r="AN173" s="756">
        <v>0</v>
      </c>
      <c r="AO173" s="756">
        <v>0</v>
      </c>
      <c r="AP173" s="756">
        <v>0</v>
      </c>
      <c r="AQ173" s="757">
        <v>3291.1947</v>
      </c>
      <c r="AR173" s="757">
        <v>0</v>
      </c>
      <c r="AS173" s="757">
        <v>0</v>
      </c>
      <c r="AT173" s="757">
        <v>0</v>
      </c>
      <c r="AU173" s="756">
        <v>0</v>
      </c>
      <c r="AV173" s="756">
        <v>0</v>
      </c>
      <c r="AW173" s="756">
        <v>0</v>
      </c>
      <c r="AX173" s="756">
        <v>0</v>
      </c>
      <c r="AY173" s="756">
        <v>0</v>
      </c>
      <c r="AZ173" s="758">
        <v>0.56000000000000005</v>
      </c>
      <c r="BA173" s="759" t="str">
        <f t="shared" si="31"/>
        <v/>
      </c>
      <c r="BB173" s="759" t="str">
        <f t="shared" si="32"/>
        <v/>
      </c>
      <c r="BC173" s="760">
        <f t="shared" si="34"/>
        <v>0</v>
      </c>
      <c r="BD173" s="760">
        <f t="shared" si="35"/>
        <v>0</v>
      </c>
      <c r="BE173" s="760">
        <f t="shared" si="36"/>
        <v>1843.0690320000001</v>
      </c>
      <c r="BF173" s="760">
        <f t="shared" si="37"/>
        <v>1448.1256679999999</v>
      </c>
      <c r="BG173" s="761">
        <f t="shared" si="33"/>
        <v>0</v>
      </c>
      <c r="BH173" s="762">
        <f t="shared" si="27"/>
        <v>0</v>
      </c>
      <c r="BI173" s="762">
        <f t="shared" si="28"/>
        <v>0</v>
      </c>
      <c r="BJ173" s="762">
        <f t="shared" si="29"/>
        <v>0</v>
      </c>
      <c r="BK173" s="762">
        <f t="shared" si="30"/>
        <v>0</v>
      </c>
    </row>
    <row r="174" spans="1:63">
      <c r="A174" s="669"/>
      <c r="B174" s="745">
        <v>2030</v>
      </c>
      <c r="C174" s="746" t="s">
        <v>13</v>
      </c>
      <c r="D174" s="746" t="s">
        <v>524</v>
      </c>
      <c r="E174" s="746" t="s">
        <v>525</v>
      </c>
      <c r="F174" s="746" t="s">
        <v>478</v>
      </c>
      <c r="G174" s="746" t="s">
        <v>45</v>
      </c>
      <c r="H174" s="746" t="s">
        <v>526</v>
      </c>
      <c r="I174" s="746" t="s">
        <v>521</v>
      </c>
      <c r="J174" s="746" t="s">
        <v>489</v>
      </c>
      <c r="K174" s="746"/>
      <c r="L174" s="746" t="s">
        <v>20</v>
      </c>
      <c r="M174" s="746" t="s">
        <v>412</v>
      </c>
      <c r="N174" s="747">
        <v>1725786.56713628</v>
      </c>
      <c r="O174" s="747">
        <v>1432.4028333936301</v>
      </c>
      <c r="P174" s="747">
        <v>0</v>
      </c>
      <c r="Q174" s="747">
        <v>1035471.9402817599</v>
      </c>
      <c r="R174" s="747">
        <v>859.44170003618001</v>
      </c>
      <c r="S174" s="747">
        <v>0</v>
      </c>
      <c r="T174" s="747">
        <v>8283775.5222541802</v>
      </c>
      <c r="U174" s="747">
        <v>0</v>
      </c>
      <c r="V174" s="747">
        <v>1312.34626465774</v>
      </c>
      <c r="W174" s="747">
        <v>0</v>
      </c>
      <c r="X174" s="748">
        <v>947724.24510118295</v>
      </c>
      <c r="Y174" s="748">
        <v>1579540.4085019601</v>
      </c>
      <c r="Z174" s="748">
        <v>522456.612196</v>
      </c>
      <c r="AA174" s="748">
        <v>768521.24606421601</v>
      </c>
      <c r="AB174" s="748">
        <v>512062.79547817301</v>
      </c>
      <c r="AC174" s="748">
        <v>777001.70826037601</v>
      </c>
      <c r="AD174" s="748">
        <v>777001.70826037601</v>
      </c>
      <c r="AE174" s="748">
        <v>2486144.76491566</v>
      </c>
      <c r="AF174" s="747">
        <v>947724.24510118295</v>
      </c>
      <c r="AG174" s="747">
        <v>0</v>
      </c>
      <c r="AH174" s="747">
        <v>0</v>
      </c>
      <c r="AI174" s="747">
        <v>1064153.2913802301</v>
      </c>
      <c r="AJ174" s="747">
        <v>0</v>
      </c>
      <c r="AK174" s="747">
        <v>0</v>
      </c>
      <c r="AL174" s="747">
        <v>1064153.2913802301</v>
      </c>
      <c r="AM174" s="747">
        <v>0</v>
      </c>
      <c r="AN174" s="747">
        <v>0</v>
      </c>
      <c r="AO174" s="747">
        <v>154.65757126451501</v>
      </c>
      <c r="AP174" s="747">
        <v>0</v>
      </c>
      <c r="AQ174" s="748">
        <v>0</v>
      </c>
      <c r="AR174" s="748">
        <v>0</v>
      </c>
      <c r="AS174" s="748">
        <v>334326.9117</v>
      </c>
      <c r="AT174" s="748">
        <v>188129.700496</v>
      </c>
      <c r="AU174" s="747">
        <v>1974081.96943749</v>
      </c>
      <c r="AV174" s="747">
        <v>0</v>
      </c>
      <c r="AW174" s="747">
        <v>0</v>
      </c>
      <c r="AX174" s="747">
        <v>0</v>
      </c>
      <c r="AY174" s="747">
        <v>0</v>
      </c>
      <c r="AZ174" s="749">
        <v>0.56000000000000005</v>
      </c>
      <c r="BA174" s="750">
        <f t="shared" si="31"/>
        <v>246760.24617968328</v>
      </c>
      <c r="BB174" s="750">
        <f t="shared" si="32"/>
        <v>0</v>
      </c>
      <c r="BC174" s="751">
        <f t="shared" si="34"/>
        <v>947724.24510118295</v>
      </c>
      <c r="BD174" s="751">
        <f t="shared" si="35"/>
        <v>0</v>
      </c>
      <c r="BE174" s="751">
        <f t="shared" si="36"/>
        <v>2260837.134905267</v>
      </c>
      <c r="BF174" s="751">
        <f t="shared" si="37"/>
        <v>225307.6300103961</v>
      </c>
      <c r="BG174" s="752">
        <f t="shared" si="33"/>
        <v>8.0000000000000959</v>
      </c>
      <c r="BH174" s="763">
        <f t="shared" si="27"/>
        <v>118465.53063764644</v>
      </c>
      <c r="BI174" s="763">
        <f t="shared" si="28"/>
        <v>0</v>
      </c>
      <c r="BJ174" s="763">
        <f t="shared" si="29"/>
        <v>282604.641863155</v>
      </c>
      <c r="BK174" s="763">
        <f t="shared" si="30"/>
        <v>28163.453751299174</v>
      </c>
    </row>
    <row r="175" spans="1:63">
      <c r="A175" s="669"/>
      <c r="B175" s="754">
        <v>2030</v>
      </c>
      <c r="C175" s="755" t="s">
        <v>13</v>
      </c>
      <c r="D175" s="755" t="s">
        <v>527</v>
      </c>
      <c r="E175" s="755" t="s">
        <v>528</v>
      </c>
      <c r="F175" s="755" t="s">
        <v>478</v>
      </c>
      <c r="G175" s="755" t="s">
        <v>45</v>
      </c>
      <c r="H175" s="755" t="s">
        <v>526</v>
      </c>
      <c r="I175" s="755" t="s">
        <v>521</v>
      </c>
      <c r="J175" s="755" t="s">
        <v>17</v>
      </c>
      <c r="K175" s="755"/>
      <c r="L175" s="755" t="s">
        <v>20</v>
      </c>
      <c r="M175" s="755" t="s">
        <v>412</v>
      </c>
      <c r="N175" s="756">
        <v>0</v>
      </c>
      <c r="O175" s="756">
        <v>0</v>
      </c>
      <c r="P175" s="756">
        <v>0</v>
      </c>
      <c r="Q175" s="756">
        <v>0</v>
      </c>
      <c r="R175" s="756">
        <v>0</v>
      </c>
      <c r="S175" s="756">
        <v>0</v>
      </c>
      <c r="T175" s="756">
        <v>0</v>
      </c>
      <c r="U175" s="756">
        <v>0</v>
      </c>
      <c r="V175" s="756">
        <v>0</v>
      </c>
      <c r="W175" s="756">
        <v>0</v>
      </c>
      <c r="X175" s="757">
        <v>0</v>
      </c>
      <c r="Y175" s="757">
        <v>0</v>
      </c>
      <c r="Z175" s="757">
        <v>5068.8347000000003</v>
      </c>
      <c r="AA175" s="757">
        <v>5068.8347000000003</v>
      </c>
      <c r="AB175" s="757">
        <v>5068.8347000000003</v>
      </c>
      <c r="AC175" s="757">
        <v>5068.8347000000003</v>
      </c>
      <c r="AD175" s="757">
        <v>5068.8347000000003</v>
      </c>
      <c r="AE175" s="757">
        <v>5068.8347000000003</v>
      </c>
      <c r="AF175" s="756">
        <v>0</v>
      </c>
      <c r="AG175" s="756">
        <v>0</v>
      </c>
      <c r="AH175" s="756">
        <v>0</v>
      </c>
      <c r="AI175" s="756">
        <v>0</v>
      </c>
      <c r="AJ175" s="756">
        <v>0</v>
      </c>
      <c r="AK175" s="756">
        <v>0</v>
      </c>
      <c r="AL175" s="756">
        <v>0</v>
      </c>
      <c r="AM175" s="756">
        <v>0</v>
      </c>
      <c r="AN175" s="756">
        <v>0</v>
      </c>
      <c r="AO175" s="756">
        <v>0</v>
      </c>
      <c r="AP175" s="756">
        <v>0</v>
      </c>
      <c r="AQ175" s="757">
        <v>5068.8347000000003</v>
      </c>
      <c r="AR175" s="757">
        <v>0</v>
      </c>
      <c r="AS175" s="757">
        <v>0</v>
      </c>
      <c r="AT175" s="757">
        <v>0</v>
      </c>
      <c r="AU175" s="756">
        <v>0</v>
      </c>
      <c r="AV175" s="756">
        <v>0</v>
      </c>
      <c r="AW175" s="756">
        <v>0</v>
      </c>
      <c r="AX175" s="756">
        <v>0</v>
      </c>
      <c r="AY175" s="756">
        <v>0</v>
      </c>
      <c r="AZ175" s="758">
        <v>0.56000000000000005</v>
      </c>
      <c r="BA175" s="759" t="str">
        <f t="shared" si="31"/>
        <v/>
      </c>
      <c r="BB175" s="759" t="str">
        <f t="shared" si="32"/>
        <v/>
      </c>
      <c r="BC175" s="760">
        <f t="shared" si="34"/>
        <v>0</v>
      </c>
      <c r="BD175" s="760">
        <f t="shared" si="35"/>
        <v>0</v>
      </c>
      <c r="BE175" s="760">
        <f t="shared" si="36"/>
        <v>2838.5474320000003</v>
      </c>
      <c r="BF175" s="760">
        <f t="shared" si="37"/>
        <v>2230.287268</v>
      </c>
      <c r="BG175" s="761">
        <f t="shared" si="33"/>
        <v>0</v>
      </c>
      <c r="BH175" s="762">
        <f t="shared" si="27"/>
        <v>0</v>
      </c>
      <c r="BI175" s="762">
        <f t="shared" si="28"/>
        <v>0</v>
      </c>
      <c r="BJ175" s="762">
        <f t="shared" si="29"/>
        <v>0</v>
      </c>
      <c r="BK175" s="762">
        <f t="shared" si="30"/>
        <v>0</v>
      </c>
    </row>
    <row r="176" spans="1:63">
      <c r="A176" s="669"/>
      <c r="B176" s="745">
        <v>2030</v>
      </c>
      <c r="C176" s="746" t="s">
        <v>13</v>
      </c>
      <c r="D176" s="746" t="s">
        <v>529</v>
      </c>
      <c r="E176" s="746" t="s">
        <v>530</v>
      </c>
      <c r="F176" s="746" t="s">
        <v>478</v>
      </c>
      <c r="G176" s="746" t="s">
        <v>27</v>
      </c>
      <c r="H176" s="746" t="s">
        <v>531</v>
      </c>
      <c r="I176" s="746" t="s">
        <v>46</v>
      </c>
      <c r="J176" s="746" t="s">
        <v>489</v>
      </c>
      <c r="K176" s="746"/>
      <c r="L176" s="746" t="s">
        <v>20</v>
      </c>
      <c r="M176" s="746" t="s">
        <v>412</v>
      </c>
      <c r="N176" s="747">
        <v>-526101.37282944983</v>
      </c>
      <c r="O176" s="747">
        <v>-2.2652899424609982</v>
      </c>
      <c r="P176" s="747">
        <v>940584.8320688745</v>
      </c>
      <c r="Q176" s="747">
        <v>-520731.14178689878</v>
      </c>
      <c r="R176" s="747">
        <v>-1.4474483183296512</v>
      </c>
      <c r="S176" s="747">
        <v>573622.42326910736</v>
      </c>
      <c r="T176" s="747">
        <v>-8894952.6766490564</v>
      </c>
      <c r="U176" s="747">
        <v>10475710.522140376</v>
      </c>
      <c r="V176" s="747">
        <v>-1376.7773126365087</v>
      </c>
      <c r="W176" s="747">
        <v>55626.022872565358</v>
      </c>
      <c r="X176" s="748">
        <v>16051603.945387021</v>
      </c>
      <c r="Y176" s="748">
        <v>27098256.040687036</v>
      </c>
      <c r="Z176" s="748">
        <v>2427599.9999266234</v>
      </c>
      <c r="AA176" s="748">
        <v>3892166.1843001246</v>
      </c>
      <c r="AB176" s="748">
        <v>3275955.704618657</v>
      </c>
      <c r="AC176" s="748">
        <v>4138542.4059258909</v>
      </c>
      <c r="AD176" s="748">
        <v>4138542.4059258909</v>
      </c>
      <c r="AE176" s="748">
        <v>14635621.677014669</v>
      </c>
      <c r="AF176" s="747">
        <v>-20958.81457966525</v>
      </c>
      <c r="AG176" s="747">
        <v>16986845.406523958</v>
      </c>
      <c r="AH176" s="747">
        <v>0</v>
      </c>
      <c r="AI176" s="747">
        <v>-26277.553307717448</v>
      </c>
      <c r="AJ176" s="747">
        <v>26668273.984646954</v>
      </c>
      <c r="AK176" s="747">
        <v>0</v>
      </c>
      <c r="AL176" s="747">
        <v>-26277.553307717448</v>
      </c>
      <c r="AM176" s="747">
        <v>26668273.984646954</v>
      </c>
      <c r="AN176" s="747">
        <v>0</v>
      </c>
      <c r="AO176" s="747">
        <v>-79.141472822715428</v>
      </c>
      <c r="AP176" s="747">
        <v>3045.9350675589594</v>
      </c>
      <c r="AQ176" s="748">
        <v>284760.36629999999</v>
      </c>
      <c r="AR176" s="748">
        <v>207222.9277</v>
      </c>
      <c r="AS176" s="748">
        <v>702690.96600000001</v>
      </c>
      <c r="AT176" s="748">
        <v>1232925.7399266236</v>
      </c>
      <c r="AU176" s="747">
        <v>-59205.496745349097</v>
      </c>
      <c r="AV176" s="747">
        <v>11418871.469141347</v>
      </c>
      <c r="AW176" s="747">
        <v>2162060.2575280322</v>
      </c>
      <c r="AX176" s="747">
        <v>0</v>
      </c>
      <c r="AY176" s="747">
        <v>0</v>
      </c>
      <c r="AZ176" s="749">
        <v>0.56000000000000005</v>
      </c>
      <c r="BA176" s="750">
        <f t="shared" si="31"/>
        <v>-121379.77246397492</v>
      </c>
      <c r="BB176" s="750">
        <f t="shared" si="32"/>
        <v>623977.57587234117</v>
      </c>
      <c r="BC176" s="751">
        <f t="shared" si="34"/>
        <v>2141101.442948367</v>
      </c>
      <c r="BD176" s="751">
        <f t="shared" si="35"/>
        <v>16986845.406523958</v>
      </c>
      <c r="BE176" s="751">
        <f t="shared" si="36"/>
        <v>1775329.697841099</v>
      </c>
      <c r="BF176" s="751">
        <f t="shared" si="37"/>
        <v>12860291.979173556</v>
      </c>
      <c r="BG176" s="752">
        <f t="shared" si="33"/>
        <v>18.300131143619048</v>
      </c>
      <c r="BH176" s="763">
        <f t="shared" si="27"/>
        <v>116999.24039587735</v>
      </c>
      <c r="BI176" s="763">
        <f t="shared" si="28"/>
        <v>928236.2663530414</v>
      </c>
      <c r="BJ176" s="763">
        <f t="shared" si="29"/>
        <v>97011.856576783437</v>
      </c>
      <c r="BK176" s="763">
        <f t="shared" si="30"/>
        <v>702743.15950231464</v>
      </c>
    </row>
    <row r="177" spans="1:63">
      <c r="A177" s="669"/>
      <c r="B177" s="754">
        <v>2030</v>
      </c>
      <c r="C177" s="755" t="s">
        <v>13</v>
      </c>
      <c r="D177" s="755" t="s">
        <v>532</v>
      </c>
      <c r="E177" s="755" t="s">
        <v>533</v>
      </c>
      <c r="F177" s="755" t="s">
        <v>478</v>
      </c>
      <c r="G177" s="755" t="s">
        <v>27</v>
      </c>
      <c r="H177" s="755" t="s">
        <v>531</v>
      </c>
      <c r="I177" s="755" t="s">
        <v>46</v>
      </c>
      <c r="J177" s="755" t="s">
        <v>17</v>
      </c>
      <c r="K177" s="755"/>
      <c r="L177" s="755" t="s">
        <v>20</v>
      </c>
      <c r="M177" s="755" t="s">
        <v>412</v>
      </c>
      <c r="N177" s="756">
        <v>0</v>
      </c>
      <c r="O177" s="756">
        <v>0</v>
      </c>
      <c r="P177" s="756">
        <v>0</v>
      </c>
      <c r="Q177" s="756">
        <v>0</v>
      </c>
      <c r="R177" s="756">
        <v>0</v>
      </c>
      <c r="S177" s="756">
        <v>0</v>
      </c>
      <c r="T177" s="756">
        <v>0</v>
      </c>
      <c r="U177" s="756">
        <v>0</v>
      </c>
      <c r="V177" s="756">
        <v>0</v>
      </c>
      <c r="W177" s="756">
        <v>0</v>
      </c>
      <c r="X177" s="757">
        <v>0</v>
      </c>
      <c r="Y177" s="757">
        <v>0</v>
      </c>
      <c r="Z177" s="757">
        <v>16686.314699999999</v>
      </c>
      <c r="AA177" s="757">
        <v>16686.314699999999</v>
      </c>
      <c r="AB177" s="757">
        <v>16686.314699999999</v>
      </c>
      <c r="AC177" s="757">
        <v>16686.314699999999</v>
      </c>
      <c r="AD177" s="757">
        <v>16686.314699999999</v>
      </c>
      <c r="AE177" s="757">
        <v>16686.314699999999</v>
      </c>
      <c r="AF177" s="756">
        <v>0</v>
      </c>
      <c r="AG177" s="756">
        <v>0</v>
      </c>
      <c r="AH177" s="756">
        <v>0</v>
      </c>
      <c r="AI177" s="756">
        <v>0</v>
      </c>
      <c r="AJ177" s="756">
        <v>0</v>
      </c>
      <c r="AK177" s="756">
        <v>0</v>
      </c>
      <c r="AL177" s="756">
        <v>0</v>
      </c>
      <c r="AM177" s="756">
        <v>0</v>
      </c>
      <c r="AN177" s="756">
        <v>0</v>
      </c>
      <c r="AO177" s="756">
        <v>0</v>
      </c>
      <c r="AP177" s="756">
        <v>0</v>
      </c>
      <c r="AQ177" s="757">
        <v>16686.314699999999</v>
      </c>
      <c r="AR177" s="757">
        <v>0</v>
      </c>
      <c r="AS177" s="757">
        <v>0</v>
      </c>
      <c r="AT177" s="757">
        <v>0</v>
      </c>
      <c r="AU177" s="756">
        <v>0</v>
      </c>
      <c r="AV177" s="756">
        <v>0</v>
      </c>
      <c r="AW177" s="756">
        <v>0</v>
      </c>
      <c r="AX177" s="756">
        <v>0</v>
      </c>
      <c r="AY177" s="756">
        <v>0</v>
      </c>
      <c r="AZ177" s="758">
        <v>0.56000000000000005</v>
      </c>
      <c r="BA177" s="759" t="str">
        <f t="shared" si="31"/>
        <v/>
      </c>
      <c r="BB177" s="759" t="str">
        <f t="shared" si="32"/>
        <v/>
      </c>
      <c r="BC177" s="760">
        <f t="shared" si="34"/>
        <v>0</v>
      </c>
      <c r="BD177" s="760">
        <f t="shared" si="35"/>
        <v>0</v>
      </c>
      <c r="BE177" s="760">
        <f t="shared" si="36"/>
        <v>9344.3362319999997</v>
      </c>
      <c r="BF177" s="760">
        <f t="shared" si="37"/>
        <v>7341.9784679999984</v>
      </c>
      <c r="BG177" s="761">
        <f t="shared" si="33"/>
        <v>0</v>
      </c>
      <c r="BH177" s="762">
        <f t="shared" si="27"/>
        <v>0</v>
      </c>
      <c r="BI177" s="762">
        <f t="shared" si="28"/>
        <v>0</v>
      </c>
      <c r="BJ177" s="762">
        <f t="shared" si="29"/>
        <v>0</v>
      </c>
      <c r="BK177" s="762">
        <f t="shared" si="30"/>
        <v>0</v>
      </c>
    </row>
    <row r="178" spans="1:63">
      <c r="A178" s="669"/>
      <c r="B178" s="745">
        <v>2030</v>
      </c>
      <c r="C178" s="746" t="s">
        <v>13</v>
      </c>
      <c r="D178" s="746" t="s">
        <v>534</v>
      </c>
      <c r="E178" s="746" t="s">
        <v>535</v>
      </c>
      <c r="F178" s="746" t="s">
        <v>478</v>
      </c>
      <c r="G178" s="746" t="s">
        <v>27</v>
      </c>
      <c r="H178" s="746" t="s">
        <v>536</v>
      </c>
      <c r="I178" s="746" t="s">
        <v>46</v>
      </c>
      <c r="J178" s="746" t="s">
        <v>489</v>
      </c>
      <c r="K178" s="746"/>
      <c r="L178" s="746" t="s">
        <v>20</v>
      </c>
      <c r="M178" s="746" t="s">
        <v>412</v>
      </c>
      <c r="N178" s="747">
        <v>2005653.0508559984</v>
      </c>
      <c r="O178" s="747">
        <v>237.39989942923759</v>
      </c>
      <c r="P178" s="747">
        <v>258257.85743999999</v>
      </c>
      <c r="Q178" s="747">
        <v>1199957.1265135992</v>
      </c>
      <c r="R178" s="747">
        <v>142.43993965754274</v>
      </c>
      <c r="S178" s="747">
        <v>155457.58166399991</v>
      </c>
      <c r="T178" s="747">
        <v>14445914.191363188</v>
      </c>
      <c r="U178" s="747">
        <v>1831236.9007679999</v>
      </c>
      <c r="V178" s="747">
        <v>1976.4046458534847</v>
      </c>
      <c r="W178" s="747">
        <v>9723.8679430780867</v>
      </c>
      <c r="X178" s="748">
        <v>4705376.5214637537</v>
      </c>
      <c r="Y178" s="748">
        <v>7832243.8876120066</v>
      </c>
      <c r="Z178" s="748">
        <v>2196400</v>
      </c>
      <c r="AA178" s="748">
        <v>3192628.9230120853</v>
      </c>
      <c r="AB178" s="748">
        <v>2157723.1029312662</v>
      </c>
      <c r="AC178" s="748">
        <v>3230203.07253796</v>
      </c>
      <c r="AD178" s="748">
        <v>3230203.07253796</v>
      </c>
      <c r="AE178" s="748">
        <v>8982187.9210548196</v>
      </c>
      <c r="AF178" s="747">
        <v>1513273.9398678823</v>
      </c>
      <c r="AG178" s="747">
        <v>3181235.4067077776</v>
      </c>
      <c r="AH178" s="747">
        <v>0</v>
      </c>
      <c r="AI178" s="747">
        <v>1776538.9860535301</v>
      </c>
      <c r="AJ178" s="747">
        <v>4707040.8926935466</v>
      </c>
      <c r="AK178" s="747">
        <v>25308.330819593852</v>
      </c>
      <c r="AL178" s="747">
        <v>1776538.9860535301</v>
      </c>
      <c r="AM178" s="747">
        <v>4707040.8926935466</v>
      </c>
      <c r="AN178" s="747">
        <v>25308.330819593852</v>
      </c>
      <c r="AO178" s="747">
        <v>155.21098081541425</v>
      </c>
      <c r="AP178" s="747">
        <v>825.47975863583997</v>
      </c>
      <c r="AQ178" s="748">
        <v>205286.0239</v>
      </c>
      <c r="AR178" s="748">
        <v>160655.91450000001</v>
      </c>
      <c r="AS178" s="748">
        <v>916786.29559999995</v>
      </c>
      <c r="AT178" s="748">
        <v>913671.76600000029</v>
      </c>
      <c r="AU178" s="747">
        <v>4749500.71831886</v>
      </c>
      <c r="AV178" s="747">
        <v>2074964.0998046929</v>
      </c>
      <c r="AW178" s="747">
        <v>34031.688065985785</v>
      </c>
      <c r="AX178" s="747">
        <v>0</v>
      </c>
      <c r="AY178" s="747">
        <v>22070.778451711019</v>
      </c>
      <c r="AZ178" s="749">
        <v>0.56000000000000005</v>
      </c>
      <c r="BA178" s="750">
        <f t="shared" si="31"/>
        <v>398479.06356875767</v>
      </c>
      <c r="BB178" s="750">
        <f t="shared" si="32"/>
        <v>175344.11659249605</v>
      </c>
      <c r="BC178" s="751">
        <f t="shared" si="34"/>
        <v>1569376.4063855789</v>
      </c>
      <c r="BD178" s="751">
        <f t="shared" si="35"/>
        <v>3181235.4067077776</v>
      </c>
      <c r="BE178" s="751">
        <f t="shared" si="36"/>
        <v>5957825.6559603689</v>
      </c>
      <c r="BF178" s="751">
        <f t="shared" si="37"/>
        <v>3024362.2650944497</v>
      </c>
      <c r="BG178" s="752">
        <f t="shared" si="33"/>
        <v>11.833668218403696</v>
      </c>
      <c r="BH178" s="763">
        <f t="shared" si="27"/>
        <v>132619.60513181263</v>
      </c>
      <c r="BI178" s="763">
        <f t="shared" si="28"/>
        <v>268829.18702759698</v>
      </c>
      <c r="BJ178" s="763">
        <f t="shared" si="29"/>
        <v>503463.9763429205</v>
      </c>
      <c r="BK178" s="763">
        <f t="shared" si="30"/>
        <v>255572.67698201712</v>
      </c>
    </row>
    <row r="179" spans="1:63">
      <c r="A179" s="669"/>
      <c r="B179" s="754">
        <v>2030</v>
      </c>
      <c r="C179" s="755" t="s">
        <v>13</v>
      </c>
      <c r="D179" s="755" t="s">
        <v>537</v>
      </c>
      <c r="E179" s="755" t="s">
        <v>538</v>
      </c>
      <c r="F179" s="755" t="s">
        <v>478</v>
      </c>
      <c r="G179" s="755" t="s">
        <v>27</v>
      </c>
      <c r="H179" s="755" t="s">
        <v>536</v>
      </c>
      <c r="I179" s="755" t="s">
        <v>46</v>
      </c>
      <c r="J179" s="755" t="s">
        <v>17</v>
      </c>
      <c r="K179" s="755"/>
      <c r="L179" s="755" t="s">
        <v>20</v>
      </c>
      <c r="M179" s="755" t="s">
        <v>412</v>
      </c>
      <c r="N179" s="756">
        <v>0</v>
      </c>
      <c r="O179" s="756">
        <v>0</v>
      </c>
      <c r="P179" s="756">
        <v>0</v>
      </c>
      <c r="Q179" s="756">
        <v>0</v>
      </c>
      <c r="R179" s="756">
        <v>0</v>
      </c>
      <c r="S179" s="756">
        <v>0</v>
      </c>
      <c r="T179" s="756">
        <v>0</v>
      </c>
      <c r="U179" s="756">
        <v>0</v>
      </c>
      <c r="V179" s="756">
        <v>0</v>
      </c>
      <c r="W179" s="756">
        <v>0</v>
      </c>
      <c r="X179" s="757">
        <v>0</v>
      </c>
      <c r="Y179" s="757">
        <v>0</v>
      </c>
      <c r="Z179" s="757">
        <v>15276.4647</v>
      </c>
      <c r="AA179" s="757">
        <v>15276.4647</v>
      </c>
      <c r="AB179" s="757">
        <v>15276.4647</v>
      </c>
      <c r="AC179" s="757">
        <v>15276.4647</v>
      </c>
      <c r="AD179" s="757">
        <v>15276.4647</v>
      </c>
      <c r="AE179" s="757">
        <v>15276.4647</v>
      </c>
      <c r="AF179" s="756">
        <v>0</v>
      </c>
      <c r="AG179" s="756">
        <v>0</v>
      </c>
      <c r="AH179" s="756">
        <v>0</v>
      </c>
      <c r="AI179" s="756">
        <v>0</v>
      </c>
      <c r="AJ179" s="756">
        <v>0</v>
      </c>
      <c r="AK179" s="756">
        <v>0</v>
      </c>
      <c r="AL179" s="756">
        <v>0</v>
      </c>
      <c r="AM179" s="756">
        <v>0</v>
      </c>
      <c r="AN179" s="756">
        <v>0</v>
      </c>
      <c r="AO179" s="756">
        <v>0</v>
      </c>
      <c r="AP179" s="756">
        <v>0</v>
      </c>
      <c r="AQ179" s="757">
        <v>15276.4647</v>
      </c>
      <c r="AR179" s="757">
        <v>0</v>
      </c>
      <c r="AS179" s="757">
        <v>0</v>
      </c>
      <c r="AT179" s="757">
        <v>0</v>
      </c>
      <c r="AU179" s="756">
        <v>0</v>
      </c>
      <c r="AV179" s="756">
        <v>0</v>
      </c>
      <c r="AW179" s="756">
        <v>0</v>
      </c>
      <c r="AX179" s="756">
        <v>0</v>
      </c>
      <c r="AY179" s="756">
        <v>0</v>
      </c>
      <c r="AZ179" s="758">
        <v>0.56000000000000005</v>
      </c>
      <c r="BA179" s="759" t="str">
        <f t="shared" si="31"/>
        <v/>
      </c>
      <c r="BB179" s="759" t="str">
        <f t="shared" si="32"/>
        <v/>
      </c>
      <c r="BC179" s="760">
        <f t="shared" si="34"/>
        <v>0</v>
      </c>
      <c r="BD179" s="760">
        <f t="shared" si="35"/>
        <v>0</v>
      </c>
      <c r="BE179" s="760">
        <f t="shared" si="36"/>
        <v>8554.8202320000019</v>
      </c>
      <c r="BF179" s="760">
        <f t="shared" si="37"/>
        <v>6721.6444679999995</v>
      </c>
      <c r="BG179" s="761">
        <f t="shared" si="33"/>
        <v>0</v>
      </c>
      <c r="BH179" s="762">
        <f t="shared" si="27"/>
        <v>0</v>
      </c>
      <c r="BI179" s="762">
        <f t="shared" si="28"/>
        <v>0</v>
      </c>
      <c r="BJ179" s="762">
        <f t="shared" si="29"/>
        <v>0</v>
      </c>
      <c r="BK179" s="762">
        <f t="shared" si="30"/>
        <v>0</v>
      </c>
    </row>
    <row r="180" spans="1:63">
      <c r="A180" s="669"/>
      <c r="B180" s="745">
        <v>2030</v>
      </c>
      <c r="C180" s="746" t="s">
        <v>13</v>
      </c>
      <c r="D180" s="746" t="s">
        <v>539</v>
      </c>
      <c r="E180" s="746" t="s">
        <v>540</v>
      </c>
      <c r="F180" s="746" t="s">
        <v>478</v>
      </c>
      <c r="G180" s="746" t="s">
        <v>50</v>
      </c>
      <c r="H180" s="746" t="s">
        <v>541</v>
      </c>
      <c r="I180" s="746" t="s">
        <v>542</v>
      </c>
      <c r="J180" s="746" t="s">
        <v>489</v>
      </c>
      <c r="K180" s="746"/>
      <c r="L180" s="746" t="s">
        <v>29</v>
      </c>
      <c r="M180" s="746" t="s">
        <v>412</v>
      </c>
      <c r="N180" s="747">
        <v>0</v>
      </c>
      <c r="O180" s="747">
        <v>0</v>
      </c>
      <c r="P180" s="747">
        <v>0</v>
      </c>
      <c r="Q180" s="747">
        <v>0</v>
      </c>
      <c r="R180" s="747">
        <v>0</v>
      </c>
      <c r="S180" s="747">
        <v>0</v>
      </c>
      <c r="T180" s="747">
        <v>0</v>
      </c>
      <c r="U180" s="747">
        <v>0</v>
      </c>
      <c r="V180" s="747">
        <v>0</v>
      </c>
      <c r="W180" s="747">
        <v>0</v>
      </c>
      <c r="X180" s="748">
        <v>0</v>
      </c>
      <c r="Y180" s="748">
        <v>0</v>
      </c>
      <c r="Z180" s="748">
        <v>109120</v>
      </c>
      <c r="AA180" s="748">
        <v>109120</v>
      </c>
      <c r="AB180" s="748">
        <v>109120</v>
      </c>
      <c r="AC180" s="748">
        <v>109120</v>
      </c>
      <c r="AD180" s="748">
        <v>109120</v>
      </c>
      <c r="AE180" s="748">
        <v>109120</v>
      </c>
      <c r="AF180" s="747">
        <v>0</v>
      </c>
      <c r="AG180" s="747">
        <v>0</v>
      </c>
      <c r="AH180" s="747">
        <v>0</v>
      </c>
      <c r="AI180" s="747">
        <v>0</v>
      </c>
      <c r="AJ180" s="747">
        <v>0</v>
      </c>
      <c r="AK180" s="747">
        <v>0</v>
      </c>
      <c r="AL180" s="747">
        <v>0</v>
      </c>
      <c r="AM180" s="747">
        <v>0</v>
      </c>
      <c r="AN180" s="747">
        <v>0</v>
      </c>
      <c r="AO180" s="747">
        <v>0</v>
      </c>
      <c r="AP180" s="747">
        <v>0</v>
      </c>
      <c r="AQ180" s="748">
        <v>1091.2</v>
      </c>
      <c r="AR180" s="748">
        <v>7638.4</v>
      </c>
      <c r="AS180" s="748">
        <v>100390.39999999999</v>
      </c>
      <c r="AT180" s="748">
        <v>0</v>
      </c>
      <c r="AU180" s="747">
        <v>0</v>
      </c>
      <c r="AV180" s="747">
        <v>0</v>
      </c>
      <c r="AW180" s="747">
        <v>0</v>
      </c>
      <c r="AX180" s="747">
        <v>0</v>
      </c>
      <c r="AY180" s="747">
        <v>0</v>
      </c>
      <c r="AZ180" s="749">
        <v>0.56000000000000005</v>
      </c>
      <c r="BA180" s="750" t="str">
        <f t="shared" si="31"/>
        <v/>
      </c>
      <c r="BB180" s="750" t="str">
        <f t="shared" si="32"/>
        <v/>
      </c>
      <c r="BC180" s="751">
        <f t="shared" si="34"/>
        <v>0</v>
      </c>
      <c r="BD180" s="751">
        <f t="shared" si="35"/>
        <v>0</v>
      </c>
      <c r="BE180" s="751">
        <f t="shared" si="36"/>
        <v>61107.200000000004</v>
      </c>
      <c r="BF180" s="751">
        <f t="shared" si="37"/>
        <v>48012.799999999996</v>
      </c>
      <c r="BG180" s="752">
        <f t="shared" si="33"/>
        <v>0</v>
      </c>
      <c r="BH180" s="763">
        <f t="shared" si="27"/>
        <v>0</v>
      </c>
      <c r="BI180" s="763">
        <f t="shared" si="28"/>
        <v>0</v>
      </c>
      <c r="BJ180" s="763">
        <f t="shared" si="29"/>
        <v>0</v>
      </c>
      <c r="BK180" s="763">
        <f t="shared" si="30"/>
        <v>0</v>
      </c>
    </row>
    <row r="181" spans="1:63">
      <c r="A181" s="669"/>
      <c r="B181" s="754">
        <v>2030</v>
      </c>
      <c r="C181" s="755" t="s">
        <v>13</v>
      </c>
      <c r="D181" s="755" t="s">
        <v>543</v>
      </c>
      <c r="E181" s="755" t="s">
        <v>544</v>
      </c>
      <c r="F181" s="755" t="s">
        <v>478</v>
      </c>
      <c r="G181" s="755" t="s">
        <v>50</v>
      </c>
      <c r="H181" s="755" t="s">
        <v>541</v>
      </c>
      <c r="I181" s="755" t="s">
        <v>542</v>
      </c>
      <c r="J181" s="755" t="s">
        <v>17</v>
      </c>
      <c r="K181" s="755"/>
      <c r="L181" s="755" t="s">
        <v>29</v>
      </c>
      <c r="M181" s="755" t="s">
        <v>412</v>
      </c>
      <c r="N181" s="756">
        <v>0</v>
      </c>
      <c r="O181" s="756">
        <v>0</v>
      </c>
      <c r="P181" s="756">
        <v>0</v>
      </c>
      <c r="Q181" s="756">
        <v>0</v>
      </c>
      <c r="R181" s="756">
        <v>0</v>
      </c>
      <c r="S181" s="756">
        <v>0</v>
      </c>
      <c r="T181" s="756">
        <v>0</v>
      </c>
      <c r="U181" s="756">
        <v>0</v>
      </c>
      <c r="V181" s="756">
        <v>0</v>
      </c>
      <c r="W181" s="756">
        <v>0</v>
      </c>
      <c r="X181" s="757">
        <v>0</v>
      </c>
      <c r="Y181" s="757">
        <v>0</v>
      </c>
      <c r="Z181" s="757">
        <v>2548.3247000000001</v>
      </c>
      <c r="AA181" s="757">
        <v>2548.3247000000001</v>
      </c>
      <c r="AB181" s="757">
        <v>2548.3247000000001</v>
      </c>
      <c r="AC181" s="757">
        <v>2548.3247000000001</v>
      </c>
      <c r="AD181" s="757">
        <v>2548.3247000000001</v>
      </c>
      <c r="AE181" s="757">
        <v>2548.3247000000001</v>
      </c>
      <c r="AF181" s="756">
        <v>0</v>
      </c>
      <c r="AG181" s="756">
        <v>0</v>
      </c>
      <c r="AH181" s="756">
        <v>0</v>
      </c>
      <c r="AI181" s="756">
        <v>0</v>
      </c>
      <c r="AJ181" s="756">
        <v>0</v>
      </c>
      <c r="AK181" s="756">
        <v>0</v>
      </c>
      <c r="AL181" s="756">
        <v>0</v>
      </c>
      <c r="AM181" s="756">
        <v>0</v>
      </c>
      <c r="AN181" s="756">
        <v>0</v>
      </c>
      <c r="AO181" s="756">
        <v>0</v>
      </c>
      <c r="AP181" s="756">
        <v>0</v>
      </c>
      <c r="AQ181" s="757">
        <v>2548.3247000000001</v>
      </c>
      <c r="AR181" s="757">
        <v>0</v>
      </c>
      <c r="AS181" s="757">
        <v>0</v>
      </c>
      <c r="AT181" s="757">
        <v>0</v>
      </c>
      <c r="AU181" s="756">
        <v>0</v>
      </c>
      <c r="AV181" s="756">
        <v>0</v>
      </c>
      <c r="AW181" s="756">
        <v>0</v>
      </c>
      <c r="AX181" s="756">
        <v>0</v>
      </c>
      <c r="AY181" s="756">
        <v>0</v>
      </c>
      <c r="AZ181" s="758">
        <v>0.56000000000000005</v>
      </c>
      <c r="BA181" s="759" t="str">
        <f t="shared" si="31"/>
        <v/>
      </c>
      <c r="BB181" s="759" t="str">
        <f t="shared" si="32"/>
        <v/>
      </c>
      <c r="BC181" s="760">
        <f t="shared" si="34"/>
        <v>0</v>
      </c>
      <c r="BD181" s="760">
        <f t="shared" si="35"/>
        <v>0</v>
      </c>
      <c r="BE181" s="760">
        <f t="shared" si="36"/>
        <v>1427.0618320000001</v>
      </c>
      <c r="BF181" s="760">
        <f t="shared" si="37"/>
        <v>1121.262868</v>
      </c>
      <c r="BG181" s="761">
        <f t="shared" si="33"/>
        <v>0</v>
      </c>
      <c r="BH181" s="762">
        <f t="shared" si="27"/>
        <v>0</v>
      </c>
      <c r="BI181" s="762">
        <f t="shared" si="28"/>
        <v>0</v>
      </c>
      <c r="BJ181" s="762">
        <f t="shared" si="29"/>
        <v>0</v>
      </c>
      <c r="BK181" s="762">
        <f t="shared" si="30"/>
        <v>0</v>
      </c>
    </row>
    <row r="182" spans="1:63">
      <c r="A182" s="669"/>
      <c r="B182" s="745">
        <v>2030</v>
      </c>
      <c r="C182" s="746" t="s">
        <v>13</v>
      </c>
      <c r="D182" s="746" t="s">
        <v>545</v>
      </c>
      <c r="E182" s="746" t="s">
        <v>546</v>
      </c>
      <c r="F182" s="746" t="s">
        <v>478</v>
      </c>
      <c r="G182" s="746" t="s">
        <v>50</v>
      </c>
      <c r="H182" s="746" t="s">
        <v>547</v>
      </c>
      <c r="I182" s="746" t="s">
        <v>542</v>
      </c>
      <c r="J182" s="746" t="s">
        <v>489</v>
      </c>
      <c r="K182" s="746"/>
      <c r="L182" s="746" t="s">
        <v>36</v>
      </c>
      <c r="M182" s="746" t="s">
        <v>412</v>
      </c>
      <c r="N182" s="747">
        <v>0</v>
      </c>
      <c r="O182" s="747">
        <v>0</v>
      </c>
      <c r="P182" s="747">
        <v>0</v>
      </c>
      <c r="Q182" s="747">
        <v>0</v>
      </c>
      <c r="R182" s="747">
        <v>0</v>
      </c>
      <c r="S182" s="747">
        <v>0</v>
      </c>
      <c r="T182" s="747">
        <v>0</v>
      </c>
      <c r="U182" s="747">
        <v>0</v>
      </c>
      <c r="V182" s="747">
        <v>0</v>
      </c>
      <c r="W182" s="747">
        <v>0</v>
      </c>
      <c r="X182" s="748">
        <v>0</v>
      </c>
      <c r="Y182" s="748">
        <v>0</v>
      </c>
      <c r="Z182" s="748">
        <v>218240</v>
      </c>
      <c r="AA182" s="748">
        <v>218240</v>
      </c>
      <c r="AB182" s="748">
        <v>218240</v>
      </c>
      <c r="AC182" s="748">
        <v>218240</v>
      </c>
      <c r="AD182" s="748">
        <v>218240</v>
      </c>
      <c r="AE182" s="748">
        <v>218240</v>
      </c>
      <c r="AF182" s="747">
        <v>0</v>
      </c>
      <c r="AG182" s="747">
        <v>0</v>
      </c>
      <c r="AH182" s="747">
        <v>0</v>
      </c>
      <c r="AI182" s="747">
        <v>0</v>
      </c>
      <c r="AJ182" s="747">
        <v>0</v>
      </c>
      <c r="AK182" s="747">
        <v>0</v>
      </c>
      <c r="AL182" s="747">
        <v>0</v>
      </c>
      <c r="AM182" s="747">
        <v>0</v>
      </c>
      <c r="AN182" s="747">
        <v>0</v>
      </c>
      <c r="AO182" s="747">
        <v>0</v>
      </c>
      <c r="AP182" s="747">
        <v>0</v>
      </c>
      <c r="AQ182" s="748">
        <v>21824</v>
      </c>
      <c r="AR182" s="748">
        <v>13094.4</v>
      </c>
      <c r="AS182" s="748">
        <v>183321.60000000001</v>
      </c>
      <c r="AT182" s="748">
        <v>0</v>
      </c>
      <c r="AU182" s="747">
        <v>0</v>
      </c>
      <c r="AV182" s="747">
        <v>0</v>
      </c>
      <c r="AW182" s="747">
        <v>0</v>
      </c>
      <c r="AX182" s="747">
        <v>0</v>
      </c>
      <c r="AY182" s="747">
        <v>0</v>
      </c>
      <c r="AZ182" s="749">
        <v>0.56000000000000005</v>
      </c>
      <c r="BA182" s="750" t="str">
        <f t="shared" si="31"/>
        <v/>
      </c>
      <c r="BB182" s="750" t="str">
        <f t="shared" si="32"/>
        <v/>
      </c>
      <c r="BC182" s="751">
        <f t="shared" si="34"/>
        <v>0</v>
      </c>
      <c r="BD182" s="751">
        <f t="shared" si="35"/>
        <v>0</v>
      </c>
      <c r="BE182" s="751">
        <f t="shared" si="36"/>
        <v>122214.40000000001</v>
      </c>
      <c r="BF182" s="751">
        <f t="shared" si="37"/>
        <v>96025.599999999991</v>
      </c>
      <c r="BG182" s="752">
        <f t="shared" si="33"/>
        <v>0</v>
      </c>
      <c r="BH182" s="763">
        <f t="shared" si="27"/>
        <v>0</v>
      </c>
      <c r="BI182" s="763">
        <f t="shared" si="28"/>
        <v>0</v>
      </c>
      <c r="BJ182" s="763">
        <f t="shared" si="29"/>
        <v>0</v>
      </c>
      <c r="BK182" s="763">
        <f t="shared" si="30"/>
        <v>0</v>
      </c>
    </row>
    <row r="183" spans="1:63">
      <c r="A183" s="669"/>
      <c r="B183" s="754">
        <v>2030</v>
      </c>
      <c r="C183" s="755" t="s">
        <v>13</v>
      </c>
      <c r="D183" s="755" t="s">
        <v>548</v>
      </c>
      <c r="E183" s="755" t="s">
        <v>549</v>
      </c>
      <c r="F183" s="755" t="s">
        <v>478</v>
      </c>
      <c r="G183" s="755" t="s">
        <v>50</v>
      </c>
      <c r="H183" s="755" t="s">
        <v>547</v>
      </c>
      <c r="I183" s="755" t="s">
        <v>542</v>
      </c>
      <c r="J183" s="755" t="s">
        <v>17</v>
      </c>
      <c r="K183" s="755"/>
      <c r="L183" s="755" t="s">
        <v>36</v>
      </c>
      <c r="M183" s="755" t="s">
        <v>412</v>
      </c>
      <c r="N183" s="756">
        <v>0</v>
      </c>
      <c r="O183" s="756">
        <v>0</v>
      </c>
      <c r="P183" s="756">
        <v>0</v>
      </c>
      <c r="Q183" s="756">
        <v>0</v>
      </c>
      <c r="R183" s="756">
        <v>0</v>
      </c>
      <c r="S183" s="756">
        <v>0</v>
      </c>
      <c r="T183" s="756">
        <v>0</v>
      </c>
      <c r="U183" s="756">
        <v>0</v>
      </c>
      <c r="V183" s="756">
        <v>0</v>
      </c>
      <c r="W183" s="756">
        <v>0</v>
      </c>
      <c r="X183" s="757">
        <v>0</v>
      </c>
      <c r="Y183" s="757">
        <v>0</v>
      </c>
      <c r="Z183" s="757">
        <v>3213.7347</v>
      </c>
      <c r="AA183" s="757">
        <v>3213.7347</v>
      </c>
      <c r="AB183" s="757">
        <v>3213.7347</v>
      </c>
      <c r="AC183" s="757">
        <v>3213.7347</v>
      </c>
      <c r="AD183" s="757">
        <v>3213.7347</v>
      </c>
      <c r="AE183" s="757">
        <v>3213.7347</v>
      </c>
      <c r="AF183" s="756">
        <v>0</v>
      </c>
      <c r="AG183" s="756">
        <v>0</v>
      </c>
      <c r="AH183" s="756">
        <v>0</v>
      </c>
      <c r="AI183" s="756">
        <v>0</v>
      </c>
      <c r="AJ183" s="756">
        <v>0</v>
      </c>
      <c r="AK183" s="756">
        <v>0</v>
      </c>
      <c r="AL183" s="756">
        <v>0</v>
      </c>
      <c r="AM183" s="756">
        <v>0</v>
      </c>
      <c r="AN183" s="756">
        <v>0</v>
      </c>
      <c r="AO183" s="756">
        <v>0</v>
      </c>
      <c r="AP183" s="756">
        <v>0</v>
      </c>
      <c r="AQ183" s="757">
        <v>3213.7347</v>
      </c>
      <c r="AR183" s="757">
        <v>0</v>
      </c>
      <c r="AS183" s="757">
        <v>0</v>
      </c>
      <c r="AT183" s="757">
        <v>0</v>
      </c>
      <c r="AU183" s="756">
        <v>0</v>
      </c>
      <c r="AV183" s="756">
        <v>0</v>
      </c>
      <c r="AW183" s="756">
        <v>0</v>
      </c>
      <c r="AX183" s="756">
        <v>0</v>
      </c>
      <c r="AY183" s="756">
        <v>0</v>
      </c>
      <c r="AZ183" s="758">
        <v>0.56000000000000005</v>
      </c>
      <c r="BA183" s="759" t="str">
        <f t="shared" si="31"/>
        <v/>
      </c>
      <c r="BB183" s="759" t="str">
        <f t="shared" si="32"/>
        <v/>
      </c>
      <c r="BC183" s="760">
        <f t="shared" si="34"/>
        <v>0</v>
      </c>
      <c r="BD183" s="760">
        <f t="shared" si="35"/>
        <v>0</v>
      </c>
      <c r="BE183" s="760">
        <f t="shared" si="36"/>
        <v>1799.6914320000001</v>
      </c>
      <c r="BF183" s="760">
        <f t="shared" si="37"/>
        <v>1414.0432679999999</v>
      </c>
      <c r="BG183" s="761">
        <f t="shared" si="33"/>
        <v>0</v>
      </c>
      <c r="BH183" s="762">
        <f t="shared" si="27"/>
        <v>0</v>
      </c>
      <c r="BI183" s="762">
        <f t="shared" si="28"/>
        <v>0</v>
      </c>
      <c r="BJ183" s="762">
        <f t="shared" si="29"/>
        <v>0</v>
      </c>
      <c r="BK183" s="762">
        <f t="shared" si="30"/>
        <v>0</v>
      </c>
    </row>
    <row r="184" spans="1:63">
      <c r="A184" s="669"/>
      <c r="B184" s="745">
        <v>2030</v>
      </c>
      <c r="C184" s="746" t="s">
        <v>13</v>
      </c>
      <c r="D184" s="746" t="s">
        <v>550</v>
      </c>
      <c r="E184" s="746" t="s">
        <v>551</v>
      </c>
      <c r="F184" s="746" t="s">
        <v>552</v>
      </c>
      <c r="G184" s="746" t="s">
        <v>18</v>
      </c>
      <c r="H184" s="746" t="s">
        <v>553</v>
      </c>
      <c r="I184" s="746" t="s">
        <v>46</v>
      </c>
      <c r="J184" s="746" t="s">
        <v>489</v>
      </c>
      <c r="K184" s="746"/>
      <c r="L184" s="746" t="s">
        <v>29</v>
      </c>
      <c r="M184" s="746" t="s">
        <v>412</v>
      </c>
      <c r="N184" s="747">
        <v>0</v>
      </c>
      <c r="O184" s="747">
        <v>0</v>
      </c>
      <c r="P184" s="747">
        <v>0</v>
      </c>
      <c r="Q184" s="747">
        <v>0</v>
      </c>
      <c r="R184" s="747">
        <v>0</v>
      </c>
      <c r="S184" s="747">
        <v>0</v>
      </c>
      <c r="T184" s="747">
        <v>0</v>
      </c>
      <c r="U184" s="747">
        <v>0</v>
      </c>
      <c r="V184" s="747">
        <v>0</v>
      </c>
      <c r="W184" s="747">
        <v>0</v>
      </c>
      <c r="X184" s="748">
        <v>0</v>
      </c>
      <c r="Y184" s="748">
        <v>0</v>
      </c>
      <c r="Z184" s="748">
        <v>684480</v>
      </c>
      <c r="AA184" s="748">
        <v>684480</v>
      </c>
      <c r="AB184" s="748">
        <v>684480</v>
      </c>
      <c r="AC184" s="748">
        <v>684480</v>
      </c>
      <c r="AD184" s="748">
        <v>684480</v>
      </c>
      <c r="AE184" s="748">
        <v>684480</v>
      </c>
      <c r="AF184" s="747">
        <v>0</v>
      </c>
      <c r="AG184" s="747">
        <v>0</v>
      </c>
      <c r="AH184" s="747">
        <v>0</v>
      </c>
      <c r="AI184" s="747">
        <v>0</v>
      </c>
      <c r="AJ184" s="747">
        <v>0</v>
      </c>
      <c r="AK184" s="747">
        <v>0</v>
      </c>
      <c r="AL184" s="747">
        <v>0</v>
      </c>
      <c r="AM184" s="747">
        <v>0</v>
      </c>
      <c r="AN184" s="747">
        <v>0</v>
      </c>
      <c r="AO184" s="747">
        <v>0</v>
      </c>
      <c r="AP184" s="747">
        <v>0</v>
      </c>
      <c r="AQ184" s="748">
        <v>34224</v>
      </c>
      <c r="AR184" s="748">
        <v>34224</v>
      </c>
      <c r="AS184" s="748">
        <v>174964</v>
      </c>
      <c r="AT184" s="748">
        <v>441068</v>
      </c>
      <c r="AU184" s="747">
        <v>0</v>
      </c>
      <c r="AV184" s="747">
        <v>0</v>
      </c>
      <c r="AW184" s="747">
        <v>0</v>
      </c>
      <c r="AX184" s="747">
        <v>0</v>
      </c>
      <c r="AY184" s="747">
        <v>0</v>
      </c>
      <c r="AZ184" s="749">
        <v>0.56000000000000005</v>
      </c>
      <c r="BA184" s="750" t="str">
        <f t="shared" si="31"/>
        <v/>
      </c>
      <c r="BB184" s="750" t="str">
        <f t="shared" si="32"/>
        <v/>
      </c>
      <c r="BC184" s="751">
        <f t="shared" si="34"/>
        <v>0</v>
      </c>
      <c r="BD184" s="751">
        <f t="shared" si="35"/>
        <v>0</v>
      </c>
      <c r="BE184" s="751">
        <f t="shared" si="36"/>
        <v>383308.80000000005</v>
      </c>
      <c r="BF184" s="751">
        <f t="shared" si="37"/>
        <v>301171.19999999995</v>
      </c>
      <c r="BG184" s="752">
        <f t="shared" si="33"/>
        <v>0</v>
      </c>
      <c r="BH184" s="763">
        <f t="shared" si="27"/>
        <v>0</v>
      </c>
      <c r="BI184" s="763">
        <f t="shared" si="28"/>
        <v>0</v>
      </c>
      <c r="BJ184" s="763">
        <f t="shared" si="29"/>
        <v>0</v>
      </c>
      <c r="BK184" s="763">
        <f t="shared" si="30"/>
        <v>0</v>
      </c>
    </row>
    <row r="185" spans="1:63">
      <c r="A185" s="669"/>
      <c r="B185" s="754">
        <v>2030</v>
      </c>
      <c r="C185" s="755" t="s">
        <v>13</v>
      </c>
      <c r="D185" s="755" t="s">
        <v>554</v>
      </c>
      <c r="E185" s="755" t="s">
        <v>555</v>
      </c>
      <c r="F185" s="755" t="s">
        <v>552</v>
      </c>
      <c r="G185" s="755" t="s">
        <v>18</v>
      </c>
      <c r="H185" s="755" t="s">
        <v>553</v>
      </c>
      <c r="I185" s="755" t="s">
        <v>46</v>
      </c>
      <c r="J185" s="755" t="s">
        <v>17</v>
      </c>
      <c r="K185" s="755"/>
      <c r="L185" s="755" t="s">
        <v>29</v>
      </c>
      <c r="M185" s="755" t="s">
        <v>412</v>
      </c>
      <c r="N185" s="756">
        <v>0</v>
      </c>
      <c r="O185" s="756">
        <v>0</v>
      </c>
      <c r="P185" s="756">
        <v>0</v>
      </c>
      <c r="Q185" s="756">
        <v>0</v>
      </c>
      <c r="R185" s="756">
        <v>0</v>
      </c>
      <c r="S185" s="756">
        <v>0</v>
      </c>
      <c r="T185" s="756">
        <v>0</v>
      </c>
      <c r="U185" s="756">
        <v>0</v>
      </c>
      <c r="V185" s="756">
        <v>0</v>
      </c>
      <c r="W185" s="756">
        <v>0</v>
      </c>
      <c r="X185" s="757">
        <v>0</v>
      </c>
      <c r="Y185" s="757">
        <v>0</v>
      </c>
      <c r="Z185" s="757">
        <v>319573.75040000002</v>
      </c>
      <c r="AA185" s="757">
        <v>319573.75040000002</v>
      </c>
      <c r="AB185" s="757">
        <v>319573.75040000002</v>
      </c>
      <c r="AC185" s="757">
        <v>319573.75040000002</v>
      </c>
      <c r="AD185" s="757">
        <v>319573.75040000002</v>
      </c>
      <c r="AE185" s="757">
        <v>319573.75040000002</v>
      </c>
      <c r="AF185" s="756">
        <v>0</v>
      </c>
      <c r="AG185" s="756">
        <v>0</v>
      </c>
      <c r="AH185" s="756">
        <v>0</v>
      </c>
      <c r="AI185" s="756">
        <v>0</v>
      </c>
      <c r="AJ185" s="756">
        <v>0</v>
      </c>
      <c r="AK185" s="756">
        <v>0</v>
      </c>
      <c r="AL185" s="756">
        <v>0</v>
      </c>
      <c r="AM185" s="756">
        <v>0</v>
      </c>
      <c r="AN185" s="756">
        <v>0</v>
      </c>
      <c r="AO185" s="756">
        <v>0</v>
      </c>
      <c r="AP185" s="756">
        <v>0</v>
      </c>
      <c r="AQ185" s="757">
        <v>260854.87330000001</v>
      </c>
      <c r="AR185" s="757">
        <v>773.11030000000005</v>
      </c>
      <c r="AS185" s="757">
        <v>57945.766799999998</v>
      </c>
      <c r="AT185" s="757">
        <v>0</v>
      </c>
      <c r="AU185" s="756">
        <v>0</v>
      </c>
      <c r="AV185" s="756">
        <v>0</v>
      </c>
      <c r="AW185" s="756">
        <v>0</v>
      </c>
      <c r="AX185" s="756">
        <v>0</v>
      </c>
      <c r="AY185" s="756">
        <v>0</v>
      </c>
      <c r="AZ185" s="758">
        <v>0.56000000000000005</v>
      </c>
      <c r="BA185" s="759" t="str">
        <f t="shared" si="31"/>
        <v/>
      </c>
      <c r="BB185" s="759" t="str">
        <f t="shared" si="32"/>
        <v/>
      </c>
      <c r="BC185" s="760">
        <f t="shared" si="34"/>
        <v>0</v>
      </c>
      <c r="BD185" s="760">
        <f t="shared" si="35"/>
        <v>0</v>
      </c>
      <c r="BE185" s="760">
        <f t="shared" si="36"/>
        <v>178961.30022400004</v>
      </c>
      <c r="BF185" s="760">
        <f t="shared" si="37"/>
        <v>140612.45017599998</v>
      </c>
      <c r="BG185" s="761">
        <f t="shared" si="33"/>
        <v>0</v>
      </c>
      <c r="BH185" s="762">
        <f t="shared" si="27"/>
        <v>0</v>
      </c>
      <c r="BI185" s="762">
        <f t="shared" si="28"/>
        <v>0</v>
      </c>
      <c r="BJ185" s="762">
        <f t="shared" si="29"/>
        <v>0</v>
      </c>
      <c r="BK185" s="762">
        <f t="shared" si="30"/>
        <v>0</v>
      </c>
    </row>
    <row r="186" spans="1:63">
      <c r="A186" s="669"/>
      <c r="B186" s="745">
        <v>2030</v>
      </c>
      <c r="C186" s="746" t="s">
        <v>13</v>
      </c>
      <c r="D186" s="746" t="s">
        <v>556</v>
      </c>
      <c r="E186" s="746" t="s">
        <v>557</v>
      </c>
      <c r="F186" s="746" t="s">
        <v>478</v>
      </c>
      <c r="G186" s="746" t="s">
        <v>50</v>
      </c>
      <c r="H186" s="746" t="s">
        <v>558</v>
      </c>
      <c r="I186" s="746" t="s">
        <v>515</v>
      </c>
      <c r="J186" s="746" t="s">
        <v>489</v>
      </c>
      <c r="K186" s="746"/>
      <c r="L186" s="746" t="s">
        <v>29</v>
      </c>
      <c r="M186" s="746" t="s">
        <v>412</v>
      </c>
      <c r="N186" s="747">
        <v>0</v>
      </c>
      <c r="O186" s="747">
        <v>0</v>
      </c>
      <c r="P186" s="747">
        <v>0</v>
      </c>
      <c r="Q186" s="747">
        <v>0</v>
      </c>
      <c r="R186" s="747">
        <v>0</v>
      </c>
      <c r="S186" s="747">
        <v>0</v>
      </c>
      <c r="T186" s="747">
        <v>0</v>
      </c>
      <c r="U186" s="747">
        <v>0</v>
      </c>
      <c r="V186" s="747">
        <v>0</v>
      </c>
      <c r="W186" s="747">
        <v>0</v>
      </c>
      <c r="X186" s="748">
        <v>0</v>
      </c>
      <c r="Y186" s="748">
        <v>0</v>
      </c>
      <c r="Z186" s="748">
        <v>495000</v>
      </c>
      <c r="AA186" s="748">
        <v>495000</v>
      </c>
      <c r="AB186" s="748">
        <v>495000</v>
      </c>
      <c r="AC186" s="748">
        <v>495000</v>
      </c>
      <c r="AD186" s="748">
        <v>495000</v>
      </c>
      <c r="AE186" s="748">
        <v>495000</v>
      </c>
      <c r="AF186" s="747">
        <v>0</v>
      </c>
      <c r="AG186" s="747">
        <v>0</v>
      </c>
      <c r="AH186" s="747">
        <v>0</v>
      </c>
      <c r="AI186" s="747">
        <v>0</v>
      </c>
      <c r="AJ186" s="747">
        <v>0</v>
      </c>
      <c r="AK186" s="747">
        <v>0</v>
      </c>
      <c r="AL186" s="747">
        <v>0</v>
      </c>
      <c r="AM186" s="747">
        <v>0</v>
      </c>
      <c r="AN186" s="747">
        <v>0</v>
      </c>
      <c r="AO186" s="747">
        <v>0</v>
      </c>
      <c r="AP186" s="747">
        <v>0</v>
      </c>
      <c r="AQ186" s="748">
        <v>6600</v>
      </c>
      <c r="AR186" s="748">
        <v>1914</v>
      </c>
      <c r="AS186" s="748">
        <v>486486</v>
      </c>
      <c r="AT186" s="748">
        <v>0</v>
      </c>
      <c r="AU186" s="747">
        <v>0</v>
      </c>
      <c r="AV186" s="747">
        <v>0</v>
      </c>
      <c r="AW186" s="747">
        <v>0</v>
      </c>
      <c r="AX186" s="747">
        <v>0</v>
      </c>
      <c r="AY186" s="747">
        <v>0</v>
      </c>
      <c r="AZ186" s="749">
        <v>0.56000000000000005</v>
      </c>
      <c r="BA186" s="750" t="str">
        <f t="shared" si="31"/>
        <v/>
      </c>
      <c r="BB186" s="750" t="str">
        <f t="shared" si="32"/>
        <v/>
      </c>
      <c r="BC186" s="751">
        <f t="shared" si="34"/>
        <v>0</v>
      </c>
      <c r="BD186" s="751">
        <f t="shared" si="35"/>
        <v>0</v>
      </c>
      <c r="BE186" s="751">
        <f t="shared" si="36"/>
        <v>277200</v>
      </c>
      <c r="BF186" s="751">
        <f t="shared" si="37"/>
        <v>217799.99999999997</v>
      </c>
      <c r="BG186" s="752">
        <f t="shared" si="33"/>
        <v>0</v>
      </c>
      <c r="BH186" s="763">
        <f t="shared" si="27"/>
        <v>0</v>
      </c>
      <c r="BI186" s="763">
        <f t="shared" si="28"/>
        <v>0</v>
      </c>
      <c r="BJ186" s="763">
        <f t="shared" si="29"/>
        <v>0</v>
      </c>
      <c r="BK186" s="763">
        <f t="shared" si="30"/>
        <v>0</v>
      </c>
    </row>
    <row r="187" spans="1:63">
      <c r="A187" s="669"/>
      <c r="B187" s="754">
        <v>2030</v>
      </c>
      <c r="C187" s="755" t="s">
        <v>13</v>
      </c>
      <c r="D187" s="755" t="s">
        <v>559</v>
      </c>
      <c r="E187" s="755" t="s">
        <v>560</v>
      </c>
      <c r="F187" s="755" t="s">
        <v>478</v>
      </c>
      <c r="G187" s="755" t="s">
        <v>50</v>
      </c>
      <c r="H187" s="755" t="s">
        <v>558</v>
      </c>
      <c r="I187" s="755" t="s">
        <v>515</v>
      </c>
      <c r="J187" s="755" t="s">
        <v>17</v>
      </c>
      <c r="K187" s="755"/>
      <c r="L187" s="755" t="s">
        <v>29</v>
      </c>
      <c r="M187" s="755" t="s">
        <v>412</v>
      </c>
      <c r="N187" s="756">
        <v>0</v>
      </c>
      <c r="O187" s="756">
        <v>0</v>
      </c>
      <c r="P187" s="756">
        <v>0</v>
      </c>
      <c r="Q187" s="756">
        <v>0</v>
      </c>
      <c r="R187" s="756">
        <v>0</v>
      </c>
      <c r="S187" s="756">
        <v>0</v>
      </c>
      <c r="T187" s="756">
        <v>0</v>
      </c>
      <c r="U187" s="756">
        <v>0</v>
      </c>
      <c r="V187" s="756">
        <v>0</v>
      </c>
      <c r="W187" s="756">
        <v>0</v>
      </c>
      <c r="X187" s="757">
        <v>0</v>
      </c>
      <c r="Y187" s="757">
        <v>0</v>
      </c>
      <c r="Z187" s="757">
        <v>13272.9576</v>
      </c>
      <c r="AA187" s="757">
        <v>13272.9576</v>
      </c>
      <c r="AB187" s="757">
        <v>13272.9576</v>
      </c>
      <c r="AC187" s="757">
        <v>13272.9576</v>
      </c>
      <c r="AD187" s="757">
        <v>13272.9576</v>
      </c>
      <c r="AE187" s="757">
        <v>13272.9576</v>
      </c>
      <c r="AF187" s="756">
        <v>0</v>
      </c>
      <c r="AG187" s="756">
        <v>0</v>
      </c>
      <c r="AH187" s="756">
        <v>0</v>
      </c>
      <c r="AI187" s="756">
        <v>0</v>
      </c>
      <c r="AJ187" s="756">
        <v>0</v>
      </c>
      <c r="AK187" s="756">
        <v>0</v>
      </c>
      <c r="AL187" s="756">
        <v>0</v>
      </c>
      <c r="AM187" s="756">
        <v>0</v>
      </c>
      <c r="AN187" s="756">
        <v>0</v>
      </c>
      <c r="AO187" s="756">
        <v>0</v>
      </c>
      <c r="AP187" s="756">
        <v>0</v>
      </c>
      <c r="AQ187" s="757">
        <v>6404.7359999999999</v>
      </c>
      <c r="AR187" s="757">
        <v>0</v>
      </c>
      <c r="AS187" s="757">
        <v>6868.2215999999999</v>
      </c>
      <c r="AT187" s="757">
        <v>0</v>
      </c>
      <c r="AU187" s="756">
        <v>0</v>
      </c>
      <c r="AV187" s="756">
        <v>0</v>
      </c>
      <c r="AW187" s="756">
        <v>0</v>
      </c>
      <c r="AX187" s="756">
        <v>0</v>
      </c>
      <c r="AY187" s="756">
        <v>0</v>
      </c>
      <c r="AZ187" s="758">
        <v>0.56000000000000005</v>
      </c>
      <c r="BA187" s="759" t="str">
        <f t="shared" si="31"/>
        <v/>
      </c>
      <c r="BB187" s="759" t="str">
        <f t="shared" si="32"/>
        <v/>
      </c>
      <c r="BC187" s="760">
        <f t="shared" si="34"/>
        <v>0</v>
      </c>
      <c r="BD187" s="760">
        <f t="shared" si="35"/>
        <v>0</v>
      </c>
      <c r="BE187" s="760">
        <f t="shared" si="36"/>
        <v>7432.8562560000009</v>
      </c>
      <c r="BF187" s="760">
        <f t="shared" si="37"/>
        <v>5840.1013439999988</v>
      </c>
      <c r="BG187" s="761">
        <f t="shared" si="33"/>
        <v>0</v>
      </c>
      <c r="BH187" s="762">
        <f t="shared" si="27"/>
        <v>0</v>
      </c>
      <c r="BI187" s="762">
        <f t="shared" si="28"/>
        <v>0</v>
      </c>
      <c r="BJ187" s="762">
        <f t="shared" si="29"/>
        <v>0</v>
      </c>
      <c r="BK187" s="762">
        <f t="shared" si="30"/>
        <v>0</v>
      </c>
    </row>
    <row r="188" spans="1:63">
      <c r="A188" s="669"/>
      <c r="B188" s="745">
        <v>2030</v>
      </c>
      <c r="C188" s="746" t="s">
        <v>13</v>
      </c>
      <c r="D188" s="746" t="s">
        <v>561</v>
      </c>
      <c r="E188" s="746" t="s">
        <v>562</v>
      </c>
      <c r="F188" s="746" t="s">
        <v>478</v>
      </c>
      <c r="G188" s="746" t="s">
        <v>39</v>
      </c>
      <c r="H188" s="746" t="s">
        <v>563</v>
      </c>
      <c r="I188" s="746" t="s">
        <v>51</v>
      </c>
      <c r="J188" s="746" t="s">
        <v>489</v>
      </c>
      <c r="K188" s="746"/>
      <c r="L188" s="746" t="s">
        <v>29</v>
      </c>
      <c r="M188" s="746" t="s">
        <v>412</v>
      </c>
      <c r="N188" s="747">
        <v>4331.5999999999804</v>
      </c>
      <c r="O188" s="747">
        <v>0.18636800000000001</v>
      </c>
      <c r="P188" s="747">
        <v>0</v>
      </c>
      <c r="Q188" s="747">
        <v>1732.6399999999981</v>
      </c>
      <c r="R188" s="747">
        <v>7.4547199999999994E-2</v>
      </c>
      <c r="S188" s="747">
        <v>0</v>
      </c>
      <c r="T188" s="747">
        <v>17326.39999999998</v>
      </c>
      <c r="U188" s="747">
        <v>0</v>
      </c>
      <c r="V188" s="747">
        <v>3.30891339833599</v>
      </c>
      <c r="W188" s="747">
        <v>0</v>
      </c>
      <c r="X188" s="748">
        <v>2923.141756843766</v>
      </c>
      <c r="Y188" s="748">
        <v>6623.3523921094093</v>
      </c>
      <c r="Z188" s="748">
        <v>13367.098456000002</v>
      </c>
      <c r="AA188" s="748">
        <v>11103.696184910001</v>
      </c>
      <c r="AB188" s="748">
        <v>12988.080881264381</v>
      </c>
      <c r="AC188" s="748">
        <v>11172.72730563677</v>
      </c>
      <c r="AD188" s="748">
        <v>11172.72730563677</v>
      </c>
      <c r="AE188" s="748">
        <v>19461.038660143709</v>
      </c>
      <c r="AF188" s="747">
        <v>1554.1377568437661</v>
      </c>
      <c r="AG188" s="747">
        <v>0</v>
      </c>
      <c r="AH188" s="747">
        <v>1369.0039999999999</v>
      </c>
      <c r="AI188" s="747">
        <v>1759.1415754915488</v>
      </c>
      <c r="AJ188" s="747">
        <v>0</v>
      </c>
      <c r="AK188" s="747">
        <v>0</v>
      </c>
      <c r="AL188" s="747">
        <v>1759.1415754915488</v>
      </c>
      <c r="AM188" s="747">
        <v>0</v>
      </c>
      <c r="AN188" s="747">
        <v>0</v>
      </c>
      <c r="AO188" s="747">
        <v>0.30977922539199898</v>
      </c>
      <c r="AP188" s="747">
        <v>0</v>
      </c>
      <c r="AQ188" s="748">
        <v>1152.3155999999999</v>
      </c>
      <c r="AR188" s="748">
        <v>864.23670000000004</v>
      </c>
      <c r="AS188" s="748">
        <v>3745.0259000000001</v>
      </c>
      <c r="AT188" s="748">
        <v>7605.5202560000007</v>
      </c>
      <c r="AU188" s="747">
        <v>6472.9577788793204</v>
      </c>
      <c r="AV188" s="747">
        <v>0</v>
      </c>
      <c r="AW188" s="747">
        <v>0</v>
      </c>
      <c r="AX188" s="747">
        <v>0</v>
      </c>
      <c r="AY188" s="747">
        <v>0</v>
      </c>
      <c r="AZ188" s="749">
        <v>0.56000000000000005</v>
      </c>
      <c r="BA188" s="750">
        <f t="shared" si="31"/>
        <v>647.2957778879321</v>
      </c>
      <c r="BB188" s="750">
        <f t="shared" si="32"/>
        <v>0</v>
      </c>
      <c r="BC188" s="751">
        <f t="shared" si="34"/>
        <v>2320.7799968437662</v>
      </c>
      <c r="BD188" s="751">
        <f t="shared" si="35"/>
        <v>602.36175999999989</v>
      </c>
      <c r="BE188" s="751">
        <f t="shared" si="36"/>
        <v>13746.283072387374</v>
      </c>
      <c r="BF188" s="751">
        <f t="shared" si="37"/>
        <v>5714.7555877563273</v>
      </c>
      <c r="BG188" s="752">
        <f t="shared" si="33"/>
        <v>9.9999999999999982</v>
      </c>
      <c r="BH188" s="763">
        <f t="shared" si="27"/>
        <v>232.07799968437666</v>
      </c>
      <c r="BI188" s="763">
        <f t="shared" si="28"/>
        <v>60.236176</v>
      </c>
      <c r="BJ188" s="763">
        <f t="shared" si="29"/>
        <v>1374.6283072387375</v>
      </c>
      <c r="BK188" s="763">
        <f t="shared" si="30"/>
        <v>571.47555877563286</v>
      </c>
    </row>
    <row r="189" spans="1:63">
      <c r="A189" s="669"/>
      <c r="B189" s="754">
        <v>2030</v>
      </c>
      <c r="C189" s="755" t="s">
        <v>13</v>
      </c>
      <c r="D189" s="755" t="s">
        <v>564</v>
      </c>
      <c r="E189" s="755" t="s">
        <v>565</v>
      </c>
      <c r="F189" s="755" t="s">
        <v>478</v>
      </c>
      <c r="G189" s="755" t="s">
        <v>39</v>
      </c>
      <c r="H189" s="755" t="s">
        <v>563</v>
      </c>
      <c r="I189" s="755" t="s">
        <v>51</v>
      </c>
      <c r="J189" s="755" t="s">
        <v>17</v>
      </c>
      <c r="K189" s="755"/>
      <c r="L189" s="755" t="s">
        <v>29</v>
      </c>
      <c r="M189" s="755" t="s">
        <v>412</v>
      </c>
      <c r="N189" s="756">
        <v>0</v>
      </c>
      <c r="O189" s="756">
        <v>0</v>
      </c>
      <c r="P189" s="756">
        <v>0</v>
      </c>
      <c r="Q189" s="756">
        <v>0</v>
      </c>
      <c r="R189" s="756">
        <v>0</v>
      </c>
      <c r="S189" s="756">
        <v>0</v>
      </c>
      <c r="T189" s="756">
        <v>0</v>
      </c>
      <c r="U189" s="756">
        <v>0</v>
      </c>
      <c r="V189" s="756">
        <v>0</v>
      </c>
      <c r="W189" s="756">
        <v>0</v>
      </c>
      <c r="X189" s="757">
        <v>0</v>
      </c>
      <c r="Y189" s="757">
        <v>0</v>
      </c>
      <c r="Z189" s="757">
        <v>269.80149999999998</v>
      </c>
      <c r="AA189" s="757">
        <v>269.80149999999998</v>
      </c>
      <c r="AB189" s="757">
        <v>269.80149999999998</v>
      </c>
      <c r="AC189" s="757">
        <v>269.80149999999998</v>
      </c>
      <c r="AD189" s="757">
        <v>269.80149999999998</v>
      </c>
      <c r="AE189" s="757">
        <v>269.80149999999998</v>
      </c>
      <c r="AF189" s="756">
        <v>0</v>
      </c>
      <c r="AG189" s="756">
        <v>0</v>
      </c>
      <c r="AH189" s="756">
        <v>0</v>
      </c>
      <c r="AI189" s="756">
        <v>0</v>
      </c>
      <c r="AJ189" s="756">
        <v>0</v>
      </c>
      <c r="AK189" s="756">
        <v>0</v>
      </c>
      <c r="AL189" s="756">
        <v>0</v>
      </c>
      <c r="AM189" s="756">
        <v>0</v>
      </c>
      <c r="AN189" s="756">
        <v>0</v>
      </c>
      <c r="AO189" s="756">
        <v>0</v>
      </c>
      <c r="AP189" s="756">
        <v>0</v>
      </c>
      <c r="AQ189" s="757">
        <v>269.80149999999998</v>
      </c>
      <c r="AR189" s="757">
        <v>0</v>
      </c>
      <c r="AS189" s="757">
        <v>0</v>
      </c>
      <c r="AT189" s="757">
        <v>0</v>
      </c>
      <c r="AU189" s="756">
        <v>0</v>
      </c>
      <c r="AV189" s="756">
        <v>0</v>
      </c>
      <c r="AW189" s="756">
        <v>0</v>
      </c>
      <c r="AX189" s="756">
        <v>0</v>
      </c>
      <c r="AY189" s="756">
        <v>0</v>
      </c>
      <c r="AZ189" s="758">
        <v>0.56000000000000005</v>
      </c>
      <c r="BA189" s="759" t="str">
        <f t="shared" si="31"/>
        <v/>
      </c>
      <c r="BB189" s="759" t="str">
        <f t="shared" si="32"/>
        <v/>
      </c>
      <c r="BC189" s="760">
        <f t="shared" si="34"/>
        <v>0</v>
      </c>
      <c r="BD189" s="760">
        <f t="shared" si="35"/>
        <v>0</v>
      </c>
      <c r="BE189" s="760">
        <f t="shared" si="36"/>
        <v>151.08884</v>
      </c>
      <c r="BF189" s="760">
        <f t="shared" si="37"/>
        <v>118.71265999999997</v>
      </c>
      <c r="BG189" s="761">
        <f t="shared" si="33"/>
        <v>0</v>
      </c>
      <c r="BH189" s="762">
        <f t="shared" si="27"/>
        <v>0</v>
      </c>
      <c r="BI189" s="762">
        <f t="shared" si="28"/>
        <v>0</v>
      </c>
      <c r="BJ189" s="762">
        <f t="shared" si="29"/>
        <v>0</v>
      </c>
      <c r="BK189" s="762">
        <f t="shared" si="30"/>
        <v>0</v>
      </c>
    </row>
    <row r="190" spans="1:63">
      <c r="A190" s="669"/>
      <c r="B190" s="745">
        <v>2030</v>
      </c>
      <c r="C190" s="746" t="s">
        <v>13</v>
      </c>
      <c r="D190" s="746" t="s">
        <v>566</v>
      </c>
      <c r="E190" s="746" t="s">
        <v>567</v>
      </c>
      <c r="F190" s="746" t="s">
        <v>478</v>
      </c>
      <c r="G190" s="746" t="s">
        <v>27</v>
      </c>
      <c r="H190" s="746" t="s">
        <v>568</v>
      </c>
      <c r="I190" s="746" t="s">
        <v>51</v>
      </c>
      <c r="J190" s="746" t="s">
        <v>489</v>
      </c>
      <c r="K190" s="746"/>
      <c r="L190" s="746" t="s">
        <v>29</v>
      </c>
      <c r="M190" s="746" t="s">
        <v>412</v>
      </c>
      <c r="N190" s="747">
        <v>270642.48847999994</v>
      </c>
      <c r="O190" s="747">
        <v>37.878485554000029</v>
      </c>
      <c r="P190" s="747">
        <v>641.42478399999902</v>
      </c>
      <c r="Q190" s="747">
        <v>160799.61515799948</v>
      </c>
      <c r="R190" s="747">
        <v>22.125716248999975</v>
      </c>
      <c r="S190" s="747">
        <v>384.8548704000001</v>
      </c>
      <c r="T190" s="747">
        <v>2057186.091323992</v>
      </c>
      <c r="U190" s="747">
        <v>5407.1356247999938</v>
      </c>
      <c r="V190" s="747">
        <v>314.63759491575928</v>
      </c>
      <c r="W190" s="747">
        <v>28.711890167687969</v>
      </c>
      <c r="X190" s="748">
        <v>204289.1513022235</v>
      </c>
      <c r="Y190" s="748">
        <v>347170.56010489754</v>
      </c>
      <c r="Z190" s="748">
        <v>334177.46234729991</v>
      </c>
      <c r="AA190" s="748">
        <v>291328.93366310687</v>
      </c>
      <c r="AB190" s="748">
        <v>326922.0984449751</v>
      </c>
      <c r="AC190" s="748">
        <v>292941.0933327871</v>
      </c>
      <c r="AD190" s="748">
        <v>292941.0933327871</v>
      </c>
      <c r="AE190" s="748">
        <v>812112.75147533917</v>
      </c>
      <c r="AF190" s="747">
        <v>184422.03353033416</v>
      </c>
      <c r="AG190" s="747">
        <v>10391.211845573351</v>
      </c>
      <c r="AH190" s="747">
        <v>9515.2122422552602</v>
      </c>
      <c r="AI190" s="747">
        <v>215492.81508193511</v>
      </c>
      <c r="AJ190" s="747">
        <v>15716.641468930018</v>
      </c>
      <c r="AK190" s="747">
        <v>1698.4193111963391</v>
      </c>
      <c r="AL190" s="747">
        <v>215492.81508193511</v>
      </c>
      <c r="AM190" s="747">
        <v>15716.641468930018</v>
      </c>
      <c r="AN190" s="747">
        <v>1698.4193111963391</v>
      </c>
      <c r="AO190" s="747">
        <v>23.416597549940104</v>
      </c>
      <c r="AP190" s="747">
        <v>2.0435793618239964</v>
      </c>
      <c r="AQ190" s="748">
        <v>28807.891199999998</v>
      </c>
      <c r="AR190" s="748">
        <v>21605.918399999999</v>
      </c>
      <c r="AS190" s="748">
        <v>93625.646500000003</v>
      </c>
      <c r="AT190" s="748">
        <v>190138.0062472999</v>
      </c>
      <c r="AU190" s="747">
        <v>478410.427892518</v>
      </c>
      <c r="AV190" s="747">
        <v>6780.2251378466526</v>
      </c>
      <c r="AW190" s="747">
        <v>0</v>
      </c>
      <c r="AX190" s="747">
        <v>0</v>
      </c>
      <c r="AY190" s="747">
        <v>1491.1131200604618</v>
      </c>
      <c r="AZ190" s="749">
        <v>0.56000000000000005</v>
      </c>
      <c r="BA190" s="750">
        <f t="shared" si="31"/>
        <v>37155.768979474742</v>
      </c>
      <c r="BB190" s="750">
        <f t="shared" si="32"/>
        <v>526.58651267370806</v>
      </c>
      <c r="BC190" s="751">
        <f t="shared" si="34"/>
        <v>191241.66550605759</v>
      </c>
      <c r="BD190" s="751">
        <f t="shared" si="35"/>
        <v>14577.905232165664</v>
      </c>
      <c r="BE190" s="751">
        <f t="shared" si="36"/>
        <v>661486.80302170408</v>
      </c>
      <c r="BF190" s="751">
        <f t="shared" si="37"/>
        <v>150625.94845363568</v>
      </c>
      <c r="BG190" s="752">
        <f t="shared" si="33"/>
        <v>12.875804781669226</v>
      </c>
      <c r="BH190" s="763">
        <f t="shared" si="27"/>
        <v>14852.79318449444</v>
      </c>
      <c r="BI190" s="763">
        <f t="shared" si="28"/>
        <v>1132.1937136636034</v>
      </c>
      <c r="BJ190" s="763">
        <f t="shared" si="29"/>
        <v>51374.404492636975</v>
      </c>
      <c r="BK190" s="763">
        <f t="shared" si="30"/>
        <v>11698.371558729741</v>
      </c>
    </row>
    <row r="191" spans="1:63">
      <c r="A191" s="669"/>
      <c r="B191" s="754">
        <v>2030</v>
      </c>
      <c r="C191" s="755" t="s">
        <v>13</v>
      </c>
      <c r="D191" s="755" t="s">
        <v>569</v>
      </c>
      <c r="E191" s="755" t="s">
        <v>570</v>
      </c>
      <c r="F191" s="755" t="s">
        <v>478</v>
      </c>
      <c r="G191" s="755" t="s">
        <v>27</v>
      </c>
      <c r="H191" s="755" t="s">
        <v>568</v>
      </c>
      <c r="I191" s="755" t="s">
        <v>51</v>
      </c>
      <c r="J191" s="755" t="s">
        <v>17</v>
      </c>
      <c r="K191" s="755"/>
      <c r="L191" s="755" t="s">
        <v>29</v>
      </c>
      <c r="M191" s="755" t="s">
        <v>412</v>
      </c>
      <c r="N191" s="756">
        <v>0</v>
      </c>
      <c r="O191" s="756">
        <v>0</v>
      </c>
      <c r="P191" s="756">
        <v>0</v>
      </c>
      <c r="Q191" s="756">
        <v>0</v>
      </c>
      <c r="R191" s="756">
        <v>0</v>
      </c>
      <c r="S191" s="756">
        <v>0</v>
      </c>
      <c r="T191" s="756">
        <v>0</v>
      </c>
      <c r="U191" s="756">
        <v>0</v>
      </c>
      <c r="V191" s="756">
        <v>0</v>
      </c>
      <c r="W191" s="756">
        <v>0</v>
      </c>
      <c r="X191" s="757">
        <v>0</v>
      </c>
      <c r="Y191" s="757">
        <v>0</v>
      </c>
      <c r="Z191" s="757">
        <v>2226.0915</v>
      </c>
      <c r="AA191" s="757">
        <v>2226.0915</v>
      </c>
      <c r="AB191" s="757">
        <v>2226.0915</v>
      </c>
      <c r="AC191" s="757">
        <v>2226.0915</v>
      </c>
      <c r="AD191" s="757">
        <v>2226.0915</v>
      </c>
      <c r="AE191" s="757">
        <v>2226.0915</v>
      </c>
      <c r="AF191" s="756">
        <v>0</v>
      </c>
      <c r="AG191" s="756">
        <v>0</v>
      </c>
      <c r="AH191" s="756">
        <v>0</v>
      </c>
      <c r="AI191" s="756">
        <v>0</v>
      </c>
      <c r="AJ191" s="756">
        <v>0</v>
      </c>
      <c r="AK191" s="756">
        <v>0</v>
      </c>
      <c r="AL191" s="756">
        <v>0</v>
      </c>
      <c r="AM191" s="756">
        <v>0</v>
      </c>
      <c r="AN191" s="756">
        <v>0</v>
      </c>
      <c r="AO191" s="756">
        <v>0</v>
      </c>
      <c r="AP191" s="756">
        <v>0</v>
      </c>
      <c r="AQ191" s="757">
        <v>2226.0915</v>
      </c>
      <c r="AR191" s="757">
        <v>0</v>
      </c>
      <c r="AS191" s="757">
        <v>0</v>
      </c>
      <c r="AT191" s="757">
        <v>0</v>
      </c>
      <c r="AU191" s="756">
        <v>0</v>
      </c>
      <c r="AV191" s="756">
        <v>0</v>
      </c>
      <c r="AW191" s="756">
        <v>0</v>
      </c>
      <c r="AX191" s="756">
        <v>0</v>
      </c>
      <c r="AY191" s="756">
        <v>0</v>
      </c>
      <c r="AZ191" s="758">
        <v>0.56000000000000005</v>
      </c>
      <c r="BA191" s="759" t="str">
        <f t="shared" si="31"/>
        <v/>
      </c>
      <c r="BB191" s="759" t="str">
        <f t="shared" si="32"/>
        <v/>
      </c>
      <c r="BC191" s="760">
        <f t="shared" si="34"/>
        <v>0</v>
      </c>
      <c r="BD191" s="760">
        <f t="shared" si="35"/>
        <v>0</v>
      </c>
      <c r="BE191" s="760">
        <f t="shared" si="36"/>
        <v>1246.6112400000002</v>
      </c>
      <c r="BF191" s="760">
        <f t="shared" si="37"/>
        <v>979.48025999999993</v>
      </c>
      <c r="BG191" s="761">
        <f t="shared" si="33"/>
        <v>0</v>
      </c>
      <c r="BH191" s="762">
        <f t="shared" si="27"/>
        <v>0</v>
      </c>
      <c r="BI191" s="762">
        <f t="shared" si="28"/>
        <v>0</v>
      </c>
      <c r="BJ191" s="762">
        <f t="shared" si="29"/>
        <v>0</v>
      </c>
      <c r="BK191" s="762">
        <f t="shared" si="30"/>
        <v>0</v>
      </c>
    </row>
    <row r="192" spans="1:63">
      <c r="A192" s="669"/>
      <c r="B192" s="745">
        <v>2030</v>
      </c>
      <c r="C192" s="746" t="s">
        <v>13</v>
      </c>
      <c r="D192" s="746" t="s">
        <v>571</v>
      </c>
      <c r="E192" s="746" t="s">
        <v>572</v>
      </c>
      <c r="F192" s="746" t="s">
        <v>478</v>
      </c>
      <c r="G192" s="746" t="s">
        <v>34</v>
      </c>
      <c r="H192" s="746" t="s">
        <v>573</v>
      </c>
      <c r="I192" s="746" t="s">
        <v>51</v>
      </c>
      <c r="J192" s="746" t="s">
        <v>489</v>
      </c>
      <c r="K192" s="746"/>
      <c r="L192" s="746" t="s">
        <v>29</v>
      </c>
      <c r="M192" s="746" t="s">
        <v>412</v>
      </c>
      <c r="N192" s="747">
        <v>2165.7999999999902</v>
      </c>
      <c r="O192" s="747">
        <v>9.3184000000000003E-2</v>
      </c>
      <c r="P192" s="747">
        <v>0</v>
      </c>
      <c r="Q192" s="747">
        <v>866.31999999999903</v>
      </c>
      <c r="R192" s="747">
        <v>3.7273599999999997E-2</v>
      </c>
      <c r="S192" s="747">
        <v>0</v>
      </c>
      <c r="T192" s="747">
        <v>8663.1999999999898</v>
      </c>
      <c r="U192" s="747">
        <v>0</v>
      </c>
      <c r="V192" s="747">
        <v>1.6512974900239901</v>
      </c>
      <c r="W192" s="747">
        <v>0</v>
      </c>
      <c r="X192" s="748">
        <v>1675.6045944631799</v>
      </c>
      <c r="Y192" s="748">
        <v>3741.2232361579499</v>
      </c>
      <c r="Z192" s="748">
        <v>13367.098456</v>
      </c>
      <c r="AA192" s="748">
        <v>10239.168580708647</v>
      </c>
      <c r="AB192" s="748">
        <v>12971.495397632338</v>
      </c>
      <c r="AC192" s="748">
        <v>10305.398404416741</v>
      </c>
      <c r="AD192" s="748">
        <v>10305.398404416741</v>
      </c>
      <c r="AE192" s="748">
        <v>16207.974287072007</v>
      </c>
      <c r="AF192" s="747">
        <v>780.02809446317997</v>
      </c>
      <c r="AG192" s="747">
        <v>0</v>
      </c>
      <c r="AH192" s="747">
        <v>895.5764999999999</v>
      </c>
      <c r="AI192" s="747">
        <v>880.32213707633696</v>
      </c>
      <c r="AJ192" s="747">
        <v>0</v>
      </c>
      <c r="AK192" s="747">
        <v>0</v>
      </c>
      <c r="AL192" s="747">
        <v>880.32213707633696</v>
      </c>
      <c r="AM192" s="747">
        <v>0</v>
      </c>
      <c r="AN192" s="747">
        <v>0</v>
      </c>
      <c r="AO192" s="747">
        <v>0.15411313007999999</v>
      </c>
      <c r="AP192" s="747">
        <v>0</v>
      </c>
      <c r="AQ192" s="748">
        <v>1152.3155999999999</v>
      </c>
      <c r="AR192" s="748">
        <v>864.23670000000004</v>
      </c>
      <c r="AS192" s="748">
        <v>3745.0259000000001</v>
      </c>
      <c r="AT192" s="748">
        <v>7605.5202559999998</v>
      </c>
      <c r="AU192" s="747">
        <v>3236.4788894396602</v>
      </c>
      <c r="AV192" s="747">
        <v>0</v>
      </c>
      <c r="AW192" s="747">
        <v>0</v>
      </c>
      <c r="AX192" s="747">
        <v>0</v>
      </c>
      <c r="AY192" s="747">
        <v>0</v>
      </c>
      <c r="AZ192" s="749">
        <v>0.56000000000000005</v>
      </c>
      <c r="BA192" s="750">
        <f t="shared" si="31"/>
        <v>323.64788894396605</v>
      </c>
      <c r="BB192" s="750">
        <f t="shared" si="32"/>
        <v>0</v>
      </c>
      <c r="BC192" s="751">
        <f t="shared" si="34"/>
        <v>1281.5509344631801</v>
      </c>
      <c r="BD192" s="751">
        <f t="shared" si="35"/>
        <v>394.05365999999992</v>
      </c>
      <c r="BE192" s="751">
        <f t="shared" si="36"/>
        <v>10500.51631211377</v>
      </c>
      <c r="BF192" s="751">
        <f t="shared" si="37"/>
        <v>5707.4579749582281</v>
      </c>
      <c r="BG192" s="752">
        <f t="shared" si="33"/>
        <v>9.9999999999999982</v>
      </c>
      <c r="BH192" s="763">
        <f t="shared" si="27"/>
        <v>128.15509344631803</v>
      </c>
      <c r="BI192" s="763">
        <f t="shared" si="28"/>
        <v>39.405366000000001</v>
      </c>
      <c r="BJ192" s="763">
        <f t="shared" si="29"/>
        <v>1050.0516312113773</v>
      </c>
      <c r="BK192" s="763">
        <f t="shared" si="30"/>
        <v>570.7457974958229</v>
      </c>
    </row>
    <row r="193" spans="1:63">
      <c r="A193" s="669"/>
      <c r="B193" s="754">
        <v>2030</v>
      </c>
      <c r="C193" s="755" t="s">
        <v>13</v>
      </c>
      <c r="D193" s="755" t="s">
        <v>574</v>
      </c>
      <c r="E193" s="755" t="s">
        <v>575</v>
      </c>
      <c r="F193" s="755" t="s">
        <v>478</v>
      </c>
      <c r="G193" s="755" t="s">
        <v>34</v>
      </c>
      <c r="H193" s="755" t="s">
        <v>573</v>
      </c>
      <c r="I193" s="755" t="s">
        <v>51</v>
      </c>
      <c r="J193" s="755" t="s">
        <v>17</v>
      </c>
      <c r="K193" s="755"/>
      <c r="L193" s="755" t="s">
        <v>29</v>
      </c>
      <c r="M193" s="755" t="s">
        <v>412</v>
      </c>
      <c r="N193" s="756">
        <v>0</v>
      </c>
      <c r="O193" s="756">
        <v>0</v>
      </c>
      <c r="P193" s="756">
        <v>0</v>
      </c>
      <c r="Q193" s="756">
        <v>0</v>
      </c>
      <c r="R193" s="756">
        <v>0</v>
      </c>
      <c r="S193" s="756">
        <v>0</v>
      </c>
      <c r="T193" s="756">
        <v>0</v>
      </c>
      <c r="U193" s="756">
        <v>0</v>
      </c>
      <c r="V193" s="756">
        <v>0</v>
      </c>
      <c r="W193" s="756">
        <v>0</v>
      </c>
      <c r="X193" s="757">
        <v>0</v>
      </c>
      <c r="Y193" s="757">
        <v>0</v>
      </c>
      <c r="Z193" s="757">
        <v>269.80149999999998</v>
      </c>
      <c r="AA193" s="757">
        <v>269.80149999999998</v>
      </c>
      <c r="AB193" s="757">
        <v>269.80149999999998</v>
      </c>
      <c r="AC193" s="757">
        <v>269.80149999999998</v>
      </c>
      <c r="AD193" s="757">
        <v>269.80149999999998</v>
      </c>
      <c r="AE193" s="757">
        <v>269.80149999999998</v>
      </c>
      <c r="AF193" s="756">
        <v>0</v>
      </c>
      <c r="AG193" s="756">
        <v>0</v>
      </c>
      <c r="AH193" s="756">
        <v>0</v>
      </c>
      <c r="AI193" s="756">
        <v>0</v>
      </c>
      <c r="AJ193" s="756">
        <v>0</v>
      </c>
      <c r="AK193" s="756">
        <v>0</v>
      </c>
      <c r="AL193" s="756">
        <v>0</v>
      </c>
      <c r="AM193" s="756">
        <v>0</v>
      </c>
      <c r="AN193" s="756">
        <v>0</v>
      </c>
      <c r="AO193" s="756">
        <v>0</v>
      </c>
      <c r="AP193" s="756">
        <v>0</v>
      </c>
      <c r="AQ193" s="757">
        <v>269.80149999999998</v>
      </c>
      <c r="AR193" s="757">
        <v>0</v>
      </c>
      <c r="AS193" s="757">
        <v>0</v>
      </c>
      <c r="AT193" s="757">
        <v>0</v>
      </c>
      <c r="AU193" s="756">
        <v>0</v>
      </c>
      <c r="AV193" s="756">
        <v>0</v>
      </c>
      <c r="AW193" s="756">
        <v>0</v>
      </c>
      <c r="AX193" s="756">
        <v>0</v>
      </c>
      <c r="AY193" s="756">
        <v>0</v>
      </c>
      <c r="AZ193" s="758">
        <v>0.56000000000000005</v>
      </c>
      <c r="BA193" s="759" t="str">
        <f t="shared" si="31"/>
        <v/>
      </c>
      <c r="BB193" s="759" t="str">
        <f t="shared" si="32"/>
        <v/>
      </c>
      <c r="BC193" s="760">
        <f t="shared" si="34"/>
        <v>0</v>
      </c>
      <c r="BD193" s="760">
        <f t="shared" si="35"/>
        <v>0</v>
      </c>
      <c r="BE193" s="760">
        <f t="shared" si="36"/>
        <v>151.08884</v>
      </c>
      <c r="BF193" s="760">
        <f t="shared" si="37"/>
        <v>118.71265999999997</v>
      </c>
      <c r="BG193" s="761">
        <f t="shared" si="33"/>
        <v>0</v>
      </c>
      <c r="BH193" s="762">
        <f t="shared" si="27"/>
        <v>0</v>
      </c>
      <c r="BI193" s="762">
        <f t="shared" si="28"/>
        <v>0</v>
      </c>
      <c r="BJ193" s="762">
        <f t="shared" si="29"/>
        <v>0</v>
      </c>
      <c r="BK193" s="762">
        <f t="shared" si="30"/>
        <v>0</v>
      </c>
    </row>
    <row r="194" spans="1:63">
      <c r="A194" s="669"/>
      <c r="B194" s="745">
        <v>2030</v>
      </c>
      <c r="C194" s="746" t="s">
        <v>13</v>
      </c>
      <c r="D194" s="746" t="s">
        <v>576</v>
      </c>
      <c r="E194" s="746" t="s">
        <v>577</v>
      </c>
      <c r="F194" s="746" t="s">
        <v>478</v>
      </c>
      <c r="G194" s="746" t="s">
        <v>45</v>
      </c>
      <c r="H194" s="746" t="s">
        <v>578</v>
      </c>
      <c r="I194" s="746" t="s">
        <v>51</v>
      </c>
      <c r="J194" s="746" t="s">
        <v>489</v>
      </c>
      <c r="K194" s="746"/>
      <c r="L194" s="746" t="s">
        <v>29</v>
      </c>
      <c r="M194" s="746" t="s">
        <v>412</v>
      </c>
      <c r="N194" s="747">
        <v>28332.607939999984</v>
      </c>
      <c r="O194" s="747">
        <v>4.4382392599999942</v>
      </c>
      <c r="P194" s="747">
        <v>-16.984604000000218</v>
      </c>
      <c r="Q194" s="747">
        <v>16676.058307999989</v>
      </c>
      <c r="R194" s="747">
        <v>2.5573522519999976</v>
      </c>
      <c r="S194" s="747">
        <v>-10.190762399999945</v>
      </c>
      <c r="T194" s="747">
        <v>211427.98949999988</v>
      </c>
      <c r="U194" s="747">
        <v>-32.758252799999738</v>
      </c>
      <c r="V194" s="747">
        <v>32.624982505191795</v>
      </c>
      <c r="W194" s="747">
        <v>-0.17394632236800059</v>
      </c>
      <c r="X194" s="748">
        <v>45624.102424173165</v>
      </c>
      <c r="Y194" s="748">
        <v>86422.206773750222</v>
      </c>
      <c r="Z194" s="748">
        <v>253974.87192420007</v>
      </c>
      <c r="AA194" s="748">
        <v>193389.64816113043</v>
      </c>
      <c r="AB194" s="748">
        <v>246081.56235757793</v>
      </c>
      <c r="AC194" s="748">
        <v>194953.08989240992</v>
      </c>
      <c r="AD194" s="748">
        <v>194953.08989240992</v>
      </c>
      <c r="AE194" s="748">
        <v>310160.98885111173</v>
      </c>
      <c r="AF194" s="747">
        <v>16470.940046016658</v>
      </c>
      <c r="AG194" s="747">
        <v>-96.957125130272644</v>
      </c>
      <c r="AH194" s="747">
        <v>29197.051458075399</v>
      </c>
      <c r="AI194" s="747">
        <v>19361.599165281146</v>
      </c>
      <c r="AJ194" s="747">
        <v>-104.32659556721771</v>
      </c>
      <c r="AK194" s="747">
        <v>81.087444471428569</v>
      </c>
      <c r="AL194" s="747">
        <v>19361.599165281146</v>
      </c>
      <c r="AM194" s="747">
        <v>-104.32659556721771</v>
      </c>
      <c r="AN194" s="747">
        <v>81.087444471428569</v>
      </c>
      <c r="AO194" s="747">
        <v>2.4238273267298998</v>
      </c>
      <c r="AP194" s="747">
        <v>-5.4112948344000281E-2</v>
      </c>
      <c r="AQ194" s="748">
        <v>21893.997299999999</v>
      </c>
      <c r="AR194" s="748">
        <v>16420.498</v>
      </c>
      <c r="AS194" s="748">
        <v>71155.491299999994</v>
      </c>
      <c r="AT194" s="748">
        <v>144504.88532420009</v>
      </c>
      <c r="AU194" s="747">
        <v>64159.138319099147</v>
      </c>
      <c r="AV194" s="747">
        <v>-79.711825565627521</v>
      </c>
      <c r="AW194" s="747">
        <v>0</v>
      </c>
      <c r="AX194" s="747">
        <v>0</v>
      </c>
      <c r="AY194" s="747">
        <v>70.263769211369521</v>
      </c>
      <c r="AZ194" s="749">
        <v>0.56000000000000005</v>
      </c>
      <c r="BA194" s="750">
        <f t="shared" si="31"/>
        <v>4992.5089685051908</v>
      </c>
      <c r="BB194" s="750">
        <f t="shared" si="32"/>
        <v>-6.2027329926569452</v>
      </c>
      <c r="BC194" s="751">
        <f t="shared" si="34"/>
        <v>32891.552631750252</v>
      </c>
      <c r="BD194" s="751">
        <f t="shared" si="35"/>
        <v>12749.745516422901</v>
      </c>
      <c r="BE194" s="751">
        <f t="shared" si="36"/>
        <v>201964.81323934279</v>
      </c>
      <c r="BF194" s="751">
        <f t="shared" si="37"/>
        <v>108196.17561176865</v>
      </c>
      <c r="BG194" s="752">
        <f t="shared" si="33"/>
        <v>12.851081234674089</v>
      </c>
      <c r="BH194" s="763">
        <f t="shared" si="27"/>
        <v>2559.438543039013</v>
      </c>
      <c r="BI194" s="763">
        <f t="shared" si="28"/>
        <v>992.11461538521996</v>
      </c>
      <c r="BJ194" s="763">
        <f t="shared" si="29"/>
        <v>15715.783718992634</v>
      </c>
      <c r="BK194" s="763">
        <f t="shared" si="30"/>
        <v>8419.2274281046175</v>
      </c>
    </row>
    <row r="195" spans="1:63">
      <c r="A195" s="669"/>
      <c r="B195" s="754">
        <v>2030</v>
      </c>
      <c r="C195" s="755" t="s">
        <v>13</v>
      </c>
      <c r="D195" s="755" t="s">
        <v>579</v>
      </c>
      <c r="E195" s="755" t="s">
        <v>580</v>
      </c>
      <c r="F195" s="755" t="s">
        <v>478</v>
      </c>
      <c r="G195" s="755" t="s">
        <v>45</v>
      </c>
      <c r="H195" s="755" t="s">
        <v>578</v>
      </c>
      <c r="I195" s="755" t="s">
        <v>51</v>
      </c>
      <c r="J195" s="755" t="s">
        <v>17</v>
      </c>
      <c r="K195" s="755"/>
      <c r="L195" s="755" t="s">
        <v>29</v>
      </c>
      <c r="M195" s="755" t="s">
        <v>412</v>
      </c>
      <c r="N195" s="756">
        <v>0</v>
      </c>
      <c r="O195" s="756">
        <v>0</v>
      </c>
      <c r="P195" s="756">
        <v>0</v>
      </c>
      <c r="Q195" s="756">
        <v>0</v>
      </c>
      <c r="R195" s="756">
        <v>0</v>
      </c>
      <c r="S195" s="756">
        <v>0</v>
      </c>
      <c r="T195" s="756">
        <v>0</v>
      </c>
      <c r="U195" s="756">
        <v>0</v>
      </c>
      <c r="V195" s="756">
        <v>0</v>
      </c>
      <c r="W195" s="756">
        <v>0</v>
      </c>
      <c r="X195" s="757">
        <v>0</v>
      </c>
      <c r="Y195" s="757">
        <v>0</v>
      </c>
      <c r="Z195" s="757">
        <v>1737.0215000000001</v>
      </c>
      <c r="AA195" s="757">
        <v>1737.0215000000001</v>
      </c>
      <c r="AB195" s="757">
        <v>1737.0215000000001</v>
      </c>
      <c r="AC195" s="757">
        <v>1737.0215000000001</v>
      </c>
      <c r="AD195" s="757">
        <v>1737.0215000000001</v>
      </c>
      <c r="AE195" s="757">
        <v>1737.0215000000001</v>
      </c>
      <c r="AF195" s="756">
        <v>0</v>
      </c>
      <c r="AG195" s="756">
        <v>0</v>
      </c>
      <c r="AH195" s="756">
        <v>0</v>
      </c>
      <c r="AI195" s="756">
        <v>0</v>
      </c>
      <c r="AJ195" s="756">
        <v>0</v>
      </c>
      <c r="AK195" s="756">
        <v>0</v>
      </c>
      <c r="AL195" s="756">
        <v>0</v>
      </c>
      <c r="AM195" s="756">
        <v>0</v>
      </c>
      <c r="AN195" s="756">
        <v>0</v>
      </c>
      <c r="AO195" s="756">
        <v>0</v>
      </c>
      <c r="AP195" s="756">
        <v>0</v>
      </c>
      <c r="AQ195" s="757">
        <v>1737.0215000000001</v>
      </c>
      <c r="AR195" s="757">
        <v>0</v>
      </c>
      <c r="AS195" s="757">
        <v>0</v>
      </c>
      <c r="AT195" s="757">
        <v>0</v>
      </c>
      <c r="AU195" s="756">
        <v>0</v>
      </c>
      <c r="AV195" s="756">
        <v>0</v>
      </c>
      <c r="AW195" s="756">
        <v>0</v>
      </c>
      <c r="AX195" s="756">
        <v>0</v>
      </c>
      <c r="AY195" s="756">
        <v>0</v>
      </c>
      <c r="AZ195" s="758">
        <v>0.56000000000000005</v>
      </c>
      <c r="BA195" s="759" t="str">
        <f t="shared" si="31"/>
        <v/>
      </c>
      <c r="BB195" s="759" t="str">
        <f t="shared" si="32"/>
        <v/>
      </c>
      <c r="BC195" s="760">
        <f t="shared" si="34"/>
        <v>0</v>
      </c>
      <c r="BD195" s="760">
        <f t="shared" si="35"/>
        <v>0</v>
      </c>
      <c r="BE195" s="760">
        <f t="shared" si="36"/>
        <v>972.7320400000001</v>
      </c>
      <c r="BF195" s="760">
        <f t="shared" si="37"/>
        <v>764.28945999999996</v>
      </c>
      <c r="BG195" s="761">
        <f t="shared" si="33"/>
        <v>0</v>
      </c>
      <c r="BH195" s="762">
        <f t="shared" si="27"/>
        <v>0</v>
      </c>
      <c r="BI195" s="762">
        <f t="shared" si="28"/>
        <v>0</v>
      </c>
      <c r="BJ195" s="762">
        <f t="shared" si="29"/>
        <v>0</v>
      </c>
      <c r="BK195" s="762">
        <f t="shared" si="30"/>
        <v>0</v>
      </c>
    </row>
    <row r="196" spans="1:63">
      <c r="A196" s="669"/>
      <c r="B196" s="745">
        <v>2030</v>
      </c>
      <c r="C196" s="746" t="s">
        <v>13</v>
      </c>
      <c r="D196" s="746" t="s">
        <v>581</v>
      </c>
      <c r="E196" s="746" t="s">
        <v>582</v>
      </c>
      <c r="F196" s="746" t="s">
        <v>478</v>
      </c>
      <c r="G196" s="746" t="s">
        <v>18</v>
      </c>
      <c r="H196" s="746" t="s">
        <v>583</v>
      </c>
      <c r="I196" s="746" t="s">
        <v>51</v>
      </c>
      <c r="J196" s="746" t="s">
        <v>489</v>
      </c>
      <c r="K196" s="746"/>
      <c r="L196" s="746" t="s">
        <v>29</v>
      </c>
      <c r="M196" s="746" t="s">
        <v>412</v>
      </c>
      <c r="N196" s="747">
        <v>235094.17942800137</v>
      </c>
      <c r="O196" s="747">
        <v>79.097994349943988</v>
      </c>
      <c r="P196" s="747">
        <v>2113.4373551199983</v>
      </c>
      <c r="Q196" s="747">
        <v>126986.60508043507</v>
      </c>
      <c r="R196" s="747">
        <v>45.418399409670364</v>
      </c>
      <c r="S196" s="747">
        <v>670.62319651599876</v>
      </c>
      <c r="T196" s="747">
        <v>2174558.6283341143</v>
      </c>
      <c r="U196" s="747">
        <v>7178.8173966599898</v>
      </c>
      <c r="V196" s="747">
        <v>486.88006424032579</v>
      </c>
      <c r="W196" s="747">
        <v>38.119520376264568</v>
      </c>
      <c r="X196" s="748">
        <v>451089.78874633543</v>
      </c>
      <c r="Y196" s="748">
        <v>877539.58870904136</v>
      </c>
      <c r="Z196" s="748">
        <v>775291.7126081459</v>
      </c>
      <c r="AA196" s="748">
        <v>1305711.8821207013</v>
      </c>
      <c r="AB196" s="748">
        <v>752079.48298028612</v>
      </c>
      <c r="AC196" s="748">
        <v>1317295.7364508258</v>
      </c>
      <c r="AD196" s="748">
        <v>1317295.7364508258</v>
      </c>
      <c r="AE196" s="748">
        <v>1345421.838010405</v>
      </c>
      <c r="AF196" s="747">
        <v>199001.97899528188</v>
      </c>
      <c r="AG196" s="747">
        <v>14779.427361840233</v>
      </c>
      <c r="AH196" s="747">
        <v>235299.18773953326</v>
      </c>
      <c r="AI196" s="747">
        <v>248688.21758414267</v>
      </c>
      <c r="AJ196" s="747">
        <v>21357.321368538596</v>
      </c>
      <c r="AK196" s="747">
        <v>2292.348870384194</v>
      </c>
      <c r="AL196" s="747">
        <v>248688.21758414267</v>
      </c>
      <c r="AM196" s="747">
        <v>21357.321368538596</v>
      </c>
      <c r="AN196" s="747">
        <v>2292.348870384194</v>
      </c>
      <c r="AO196" s="747">
        <v>25.803719047980088</v>
      </c>
      <c r="AP196" s="747">
        <v>3.5610091734999552</v>
      </c>
      <c r="AQ196" s="748">
        <v>66834.3076</v>
      </c>
      <c r="AR196" s="748">
        <v>50125.7307</v>
      </c>
      <c r="AS196" s="748">
        <v>217211.49979999999</v>
      </c>
      <c r="AT196" s="748">
        <v>441120.17450814589</v>
      </c>
      <c r="AU196" s="747">
        <v>577367.72632231866</v>
      </c>
      <c r="AV196" s="747">
        <v>15974.628707803284</v>
      </c>
      <c r="AW196" s="747">
        <v>0</v>
      </c>
      <c r="AX196" s="747">
        <v>0</v>
      </c>
      <c r="AY196" s="747">
        <v>2009.1946496810253</v>
      </c>
      <c r="AZ196" s="749">
        <v>0.56000000000000005</v>
      </c>
      <c r="BA196" s="750">
        <f t="shared" si="31"/>
        <v>35499.561003469418</v>
      </c>
      <c r="BB196" s="750">
        <f t="shared" si="32"/>
        <v>982.20298860947094</v>
      </c>
      <c r="BC196" s="751">
        <f t="shared" si="34"/>
        <v>332778.7187791015</v>
      </c>
      <c r="BD196" s="751">
        <f t="shared" si="35"/>
        <v>118311.06996723486</v>
      </c>
      <c r="BE196" s="751">
        <f t="shared" si="36"/>
        <v>998532.23679127893</v>
      </c>
      <c r="BF196" s="751">
        <f t="shared" si="37"/>
        <v>346889.60121912911</v>
      </c>
      <c r="BG196" s="752">
        <f t="shared" si="33"/>
        <v>16.264080737953119</v>
      </c>
      <c r="BH196" s="763">
        <f t="shared" si="27"/>
        <v>20460.960821630961</v>
      </c>
      <c r="BI196" s="763">
        <f t="shared" si="28"/>
        <v>7274.3779297128995</v>
      </c>
      <c r="BJ196" s="763">
        <f t="shared" si="29"/>
        <v>61394.938507723309</v>
      </c>
      <c r="BK196" s="763">
        <f t="shared" si="30"/>
        <v>21328.571027666098</v>
      </c>
    </row>
    <row r="197" spans="1:63">
      <c r="A197" s="669"/>
      <c r="B197" s="754">
        <v>2030</v>
      </c>
      <c r="C197" s="755" t="s">
        <v>13</v>
      </c>
      <c r="D197" s="755" t="s">
        <v>584</v>
      </c>
      <c r="E197" s="755" t="s">
        <v>585</v>
      </c>
      <c r="F197" s="755" t="s">
        <v>478</v>
      </c>
      <c r="G197" s="755" t="s">
        <v>18</v>
      </c>
      <c r="H197" s="755" t="s">
        <v>583</v>
      </c>
      <c r="I197" s="755" t="s">
        <v>51</v>
      </c>
      <c r="J197" s="755" t="s">
        <v>17</v>
      </c>
      <c r="K197" s="755"/>
      <c r="L197" s="755" t="s">
        <v>29</v>
      </c>
      <c r="M197" s="755" t="s">
        <v>412</v>
      </c>
      <c r="N197" s="756">
        <v>0</v>
      </c>
      <c r="O197" s="756">
        <v>0</v>
      </c>
      <c r="P197" s="756">
        <v>0</v>
      </c>
      <c r="Q197" s="756">
        <v>0</v>
      </c>
      <c r="R197" s="756">
        <v>0</v>
      </c>
      <c r="S197" s="756">
        <v>0</v>
      </c>
      <c r="T197" s="756">
        <v>0</v>
      </c>
      <c r="U197" s="756">
        <v>0</v>
      </c>
      <c r="V197" s="756">
        <v>0</v>
      </c>
      <c r="W197" s="756">
        <v>0</v>
      </c>
      <c r="X197" s="757">
        <v>0</v>
      </c>
      <c r="Y197" s="757">
        <v>0</v>
      </c>
      <c r="Z197" s="757">
        <v>4915.9915000000001</v>
      </c>
      <c r="AA197" s="757">
        <v>4915.9915000000001</v>
      </c>
      <c r="AB197" s="757">
        <v>4915.9915000000001</v>
      </c>
      <c r="AC197" s="757">
        <v>4915.9915000000001</v>
      </c>
      <c r="AD197" s="757">
        <v>4915.9915000000001</v>
      </c>
      <c r="AE197" s="757">
        <v>4915.9915000000001</v>
      </c>
      <c r="AF197" s="756">
        <v>0</v>
      </c>
      <c r="AG197" s="756">
        <v>0</v>
      </c>
      <c r="AH197" s="756">
        <v>0</v>
      </c>
      <c r="AI197" s="756">
        <v>0</v>
      </c>
      <c r="AJ197" s="756">
        <v>0</v>
      </c>
      <c r="AK197" s="756">
        <v>0</v>
      </c>
      <c r="AL197" s="756">
        <v>0</v>
      </c>
      <c r="AM197" s="756">
        <v>0</v>
      </c>
      <c r="AN197" s="756">
        <v>0</v>
      </c>
      <c r="AO197" s="756">
        <v>0</v>
      </c>
      <c r="AP197" s="756">
        <v>0</v>
      </c>
      <c r="AQ197" s="757">
        <v>4915.9915000000001</v>
      </c>
      <c r="AR197" s="757">
        <v>0</v>
      </c>
      <c r="AS197" s="757">
        <v>0</v>
      </c>
      <c r="AT197" s="757">
        <v>0</v>
      </c>
      <c r="AU197" s="756">
        <v>0</v>
      </c>
      <c r="AV197" s="756">
        <v>0</v>
      </c>
      <c r="AW197" s="756">
        <v>0</v>
      </c>
      <c r="AX197" s="756">
        <v>0</v>
      </c>
      <c r="AY197" s="756">
        <v>0</v>
      </c>
      <c r="AZ197" s="758">
        <v>0.56000000000000005</v>
      </c>
      <c r="BA197" s="759" t="str">
        <f t="shared" si="31"/>
        <v/>
      </c>
      <c r="BB197" s="759" t="str">
        <f t="shared" si="32"/>
        <v/>
      </c>
      <c r="BC197" s="760">
        <f t="shared" si="34"/>
        <v>0</v>
      </c>
      <c r="BD197" s="760">
        <f t="shared" si="35"/>
        <v>0</v>
      </c>
      <c r="BE197" s="760">
        <f t="shared" si="36"/>
        <v>2752.9552400000002</v>
      </c>
      <c r="BF197" s="760">
        <f t="shared" si="37"/>
        <v>2163.0362599999999</v>
      </c>
      <c r="BG197" s="761">
        <f t="shared" si="33"/>
        <v>0</v>
      </c>
      <c r="BH197" s="762">
        <f t="shared" si="27"/>
        <v>0</v>
      </c>
      <c r="BI197" s="762">
        <f t="shared" si="28"/>
        <v>0</v>
      </c>
      <c r="BJ197" s="762">
        <f t="shared" si="29"/>
        <v>0</v>
      </c>
      <c r="BK197" s="762">
        <f t="shared" si="30"/>
        <v>0</v>
      </c>
    </row>
    <row r="198" spans="1:63">
      <c r="A198" s="669"/>
      <c r="B198" s="745">
        <v>2030</v>
      </c>
      <c r="C198" s="746" t="s">
        <v>13</v>
      </c>
      <c r="D198" s="746" t="s">
        <v>586</v>
      </c>
      <c r="E198" s="746" t="s">
        <v>587</v>
      </c>
      <c r="F198" s="746" t="s">
        <v>478</v>
      </c>
      <c r="G198" s="746" t="s">
        <v>39</v>
      </c>
      <c r="H198" s="746" t="s">
        <v>588</v>
      </c>
      <c r="I198" s="746" t="s">
        <v>51</v>
      </c>
      <c r="J198" s="746" t="s">
        <v>489</v>
      </c>
      <c r="K198" s="746"/>
      <c r="L198" s="746" t="s">
        <v>29</v>
      </c>
      <c r="M198" s="746" t="s">
        <v>412</v>
      </c>
      <c r="N198" s="747">
        <v>28580.904351999972</v>
      </c>
      <c r="O198" s="747">
        <v>4.7842336359999971</v>
      </c>
      <c r="P198" s="747">
        <v>0</v>
      </c>
      <c r="Q198" s="747">
        <v>15712.600175999987</v>
      </c>
      <c r="R198" s="747">
        <v>2.7607032179999944</v>
      </c>
      <c r="S198" s="747">
        <v>0</v>
      </c>
      <c r="T198" s="747">
        <v>200212.98751999991</v>
      </c>
      <c r="U198" s="747">
        <v>0</v>
      </c>
      <c r="V198" s="747">
        <v>31.902506669760484</v>
      </c>
      <c r="W198" s="747">
        <v>0</v>
      </c>
      <c r="X198" s="748">
        <v>16585.369793792219</v>
      </c>
      <c r="Y198" s="748">
        <v>30018.510898577337</v>
      </c>
      <c r="Z198" s="748">
        <v>53312.681060119998</v>
      </c>
      <c r="AA198" s="748">
        <v>43848.600603810264</v>
      </c>
      <c r="AB198" s="748">
        <v>51992.432933097902</v>
      </c>
      <c r="AC198" s="748">
        <v>44177.969254086434</v>
      </c>
      <c r="AD198" s="748">
        <v>44177.969254086434</v>
      </c>
      <c r="AE198" s="748">
        <v>100472.28791620326</v>
      </c>
      <c r="AF198" s="747">
        <v>16810.312539392216</v>
      </c>
      <c r="AG198" s="747">
        <v>0</v>
      </c>
      <c r="AH198" s="747">
        <v>0</v>
      </c>
      <c r="AI198" s="747">
        <v>19436.80199169246</v>
      </c>
      <c r="AJ198" s="747">
        <v>0</v>
      </c>
      <c r="AK198" s="747">
        <v>0</v>
      </c>
      <c r="AL198" s="747">
        <v>19436.80199169246</v>
      </c>
      <c r="AM198" s="747">
        <v>0</v>
      </c>
      <c r="AN198" s="747">
        <v>0</v>
      </c>
      <c r="AO198" s="747">
        <v>2.4170798230045327</v>
      </c>
      <c r="AP198" s="747">
        <v>0</v>
      </c>
      <c r="AQ198" s="748">
        <v>4767.5150999999996</v>
      </c>
      <c r="AR198" s="748">
        <v>3575.6363999999999</v>
      </c>
      <c r="AS198" s="748">
        <v>15494.424199999999</v>
      </c>
      <c r="AT198" s="748">
        <v>29475.105360119996</v>
      </c>
      <c r="AU198" s="747">
        <v>48479.854983105128</v>
      </c>
      <c r="AV198" s="747">
        <v>0</v>
      </c>
      <c r="AW198" s="747">
        <v>0</v>
      </c>
      <c r="AX198" s="747">
        <v>0</v>
      </c>
      <c r="AY198" s="747">
        <v>0</v>
      </c>
      <c r="AZ198" s="749">
        <v>0.56000000000000005</v>
      </c>
      <c r="BA198" s="750">
        <f t="shared" si="31"/>
        <v>3804.6711523342033</v>
      </c>
      <c r="BB198" s="750">
        <f t="shared" si="32"/>
        <v>0</v>
      </c>
      <c r="BC198" s="751">
        <f t="shared" si="34"/>
        <v>16810.312539392216</v>
      </c>
      <c r="BD198" s="751">
        <f t="shared" si="35"/>
        <v>0</v>
      </c>
      <c r="BE198" s="751">
        <f t="shared" si="36"/>
        <v>77595.617425639954</v>
      </c>
      <c r="BF198" s="751">
        <f t="shared" si="37"/>
        <v>22876.670490563072</v>
      </c>
      <c r="BG198" s="752">
        <f t="shared" si="33"/>
        <v>12.742193225651647</v>
      </c>
      <c r="BH198" s="763">
        <f t="shared" si="27"/>
        <v>1319.2636653438067</v>
      </c>
      <c r="BI198" s="763">
        <f t="shared" si="28"/>
        <v>0</v>
      </c>
      <c r="BJ198" s="763">
        <f t="shared" si="29"/>
        <v>6089.65945277224</v>
      </c>
      <c r="BK198" s="763">
        <f t="shared" si="30"/>
        <v>1795.3479503441715</v>
      </c>
    </row>
    <row r="199" spans="1:63">
      <c r="A199" s="669"/>
      <c r="B199" s="754">
        <v>2030</v>
      </c>
      <c r="C199" s="755" t="s">
        <v>13</v>
      </c>
      <c r="D199" s="755" t="s">
        <v>589</v>
      </c>
      <c r="E199" s="755" t="s">
        <v>590</v>
      </c>
      <c r="F199" s="755" t="s">
        <v>478</v>
      </c>
      <c r="G199" s="755" t="s">
        <v>39</v>
      </c>
      <c r="H199" s="755" t="s">
        <v>588</v>
      </c>
      <c r="I199" s="755" t="s">
        <v>51</v>
      </c>
      <c r="J199" s="755" t="s">
        <v>17</v>
      </c>
      <c r="K199" s="755"/>
      <c r="L199" s="755" t="s">
        <v>29</v>
      </c>
      <c r="M199" s="755" t="s">
        <v>412</v>
      </c>
      <c r="N199" s="756">
        <v>0</v>
      </c>
      <c r="O199" s="756">
        <v>0</v>
      </c>
      <c r="P199" s="756">
        <v>0</v>
      </c>
      <c r="Q199" s="756">
        <v>0</v>
      </c>
      <c r="R199" s="756">
        <v>0</v>
      </c>
      <c r="S199" s="756">
        <v>0</v>
      </c>
      <c r="T199" s="756">
        <v>0</v>
      </c>
      <c r="U199" s="756">
        <v>0</v>
      </c>
      <c r="V199" s="756">
        <v>0</v>
      </c>
      <c r="W199" s="756">
        <v>0</v>
      </c>
      <c r="X199" s="757">
        <v>0</v>
      </c>
      <c r="Y199" s="757">
        <v>0</v>
      </c>
      <c r="Z199" s="757">
        <v>513.39149999999995</v>
      </c>
      <c r="AA199" s="757">
        <v>513.39149999999995</v>
      </c>
      <c r="AB199" s="757">
        <v>513.39149999999995</v>
      </c>
      <c r="AC199" s="757">
        <v>513.39149999999995</v>
      </c>
      <c r="AD199" s="757">
        <v>513.39149999999995</v>
      </c>
      <c r="AE199" s="757">
        <v>513.39149999999995</v>
      </c>
      <c r="AF199" s="756">
        <v>0</v>
      </c>
      <c r="AG199" s="756">
        <v>0</v>
      </c>
      <c r="AH199" s="756">
        <v>0</v>
      </c>
      <c r="AI199" s="756">
        <v>0</v>
      </c>
      <c r="AJ199" s="756">
        <v>0</v>
      </c>
      <c r="AK199" s="756">
        <v>0</v>
      </c>
      <c r="AL199" s="756">
        <v>0</v>
      </c>
      <c r="AM199" s="756">
        <v>0</v>
      </c>
      <c r="AN199" s="756">
        <v>0</v>
      </c>
      <c r="AO199" s="756">
        <v>0</v>
      </c>
      <c r="AP199" s="756">
        <v>0</v>
      </c>
      <c r="AQ199" s="757">
        <v>513.39149999999995</v>
      </c>
      <c r="AR199" s="757">
        <v>0</v>
      </c>
      <c r="AS199" s="757">
        <v>0</v>
      </c>
      <c r="AT199" s="757">
        <v>0</v>
      </c>
      <c r="AU199" s="756">
        <v>0</v>
      </c>
      <c r="AV199" s="756">
        <v>0</v>
      </c>
      <c r="AW199" s="756">
        <v>0</v>
      </c>
      <c r="AX199" s="756">
        <v>0</v>
      </c>
      <c r="AY199" s="756">
        <v>0</v>
      </c>
      <c r="AZ199" s="758">
        <v>0.56000000000000005</v>
      </c>
      <c r="BA199" s="759" t="str">
        <f t="shared" si="31"/>
        <v/>
      </c>
      <c r="BB199" s="759" t="str">
        <f t="shared" si="32"/>
        <v/>
      </c>
      <c r="BC199" s="760">
        <f t="shared" si="34"/>
        <v>0</v>
      </c>
      <c r="BD199" s="760">
        <f t="shared" si="35"/>
        <v>0</v>
      </c>
      <c r="BE199" s="760">
        <f t="shared" si="36"/>
        <v>287.49923999999999</v>
      </c>
      <c r="BF199" s="760">
        <f t="shared" si="37"/>
        <v>225.89225999999996</v>
      </c>
      <c r="BG199" s="761">
        <f t="shared" si="33"/>
        <v>0</v>
      </c>
      <c r="BH199" s="762">
        <f t="shared" si="27"/>
        <v>0</v>
      </c>
      <c r="BI199" s="762">
        <f t="shared" si="28"/>
        <v>0</v>
      </c>
      <c r="BJ199" s="762">
        <f t="shared" si="29"/>
        <v>0</v>
      </c>
      <c r="BK199" s="762">
        <f t="shared" si="30"/>
        <v>0</v>
      </c>
    </row>
    <row r="200" spans="1:63">
      <c r="A200" s="669"/>
      <c r="B200" s="745">
        <v>2030</v>
      </c>
      <c r="C200" s="746" t="s">
        <v>13</v>
      </c>
      <c r="D200" s="746" t="s">
        <v>591</v>
      </c>
      <c r="E200" s="746" t="s">
        <v>592</v>
      </c>
      <c r="F200" s="746" t="s">
        <v>478</v>
      </c>
      <c r="G200" s="746" t="s">
        <v>27</v>
      </c>
      <c r="H200" s="746" t="s">
        <v>593</v>
      </c>
      <c r="I200" s="746" t="s">
        <v>51</v>
      </c>
      <c r="J200" s="746" t="s">
        <v>489</v>
      </c>
      <c r="K200" s="746"/>
      <c r="L200" s="746" t="s">
        <v>29</v>
      </c>
      <c r="M200" s="746" t="s">
        <v>412</v>
      </c>
      <c r="N200" s="747">
        <v>64609.39858554989</v>
      </c>
      <c r="O200" s="747">
        <v>16.01247839554998</v>
      </c>
      <c r="P200" s="747">
        <v>918.60809040000026</v>
      </c>
      <c r="Q200" s="747">
        <v>37430.494517552426</v>
      </c>
      <c r="R200" s="747">
        <v>9.2904138761525008</v>
      </c>
      <c r="S200" s="747">
        <v>509.49172692000008</v>
      </c>
      <c r="T200" s="747">
        <v>565384.14896372508</v>
      </c>
      <c r="U200" s="747">
        <v>6745.2788132400001</v>
      </c>
      <c r="V200" s="747">
        <v>95.899968422904337</v>
      </c>
      <c r="W200" s="747">
        <v>35.817430498304383</v>
      </c>
      <c r="X200" s="748">
        <v>65863.876035135487</v>
      </c>
      <c r="Y200" s="748">
        <v>116227.16142912615</v>
      </c>
      <c r="Z200" s="748">
        <v>304643.88941269997</v>
      </c>
      <c r="AA200" s="748">
        <v>266770.25837564527</v>
      </c>
      <c r="AB200" s="748">
        <v>296107.55092469865</v>
      </c>
      <c r="AC200" s="748">
        <v>268812.08520293824</v>
      </c>
      <c r="AD200" s="748">
        <v>268812.08520293824</v>
      </c>
      <c r="AE200" s="748">
        <v>488947.38059115526</v>
      </c>
      <c r="AF200" s="747">
        <v>47627.505490909847</v>
      </c>
      <c r="AG200" s="747">
        <v>10009.776597575337</v>
      </c>
      <c r="AH200" s="747">
        <v>8096.2035010161235</v>
      </c>
      <c r="AI200" s="747">
        <v>57381.295540476152</v>
      </c>
      <c r="AJ200" s="747">
        <v>15010.841075895727</v>
      </c>
      <c r="AK200" s="747">
        <v>430.30322355700537</v>
      </c>
      <c r="AL200" s="747">
        <v>57381.295540476152</v>
      </c>
      <c r="AM200" s="747">
        <v>15010.841075895727</v>
      </c>
      <c r="AN200" s="747">
        <v>430.30322355700537</v>
      </c>
      <c r="AO200" s="747">
        <v>5.9951107190633746</v>
      </c>
      <c r="AP200" s="747">
        <v>2.7054010699452</v>
      </c>
      <c r="AQ200" s="748">
        <v>27242.943599999999</v>
      </c>
      <c r="AR200" s="748">
        <v>20432.207699999999</v>
      </c>
      <c r="AS200" s="748">
        <v>88539.566800000001</v>
      </c>
      <c r="AT200" s="748">
        <v>168429.17131269997</v>
      </c>
      <c r="AU200" s="747">
        <v>186472.59105111993</v>
      </c>
      <c r="AV200" s="747">
        <v>6367.238615336264</v>
      </c>
      <c r="AW200" s="747">
        <v>0</v>
      </c>
      <c r="AX200" s="747">
        <v>0</v>
      </c>
      <c r="AY200" s="747">
        <v>374.078420034148</v>
      </c>
      <c r="AZ200" s="749">
        <v>0.56000000000000005</v>
      </c>
      <c r="BA200" s="750">
        <f t="shared" si="31"/>
        <v>12795.778282700767</v>
      </c>
      <c r="BB200" s="750">
        <f t="shared" si="32"/>
        <v>436.92090690453324</v>
      </c>
      <c r="BC200" s="751">
        <f t="shared" si="34"/>
        <v>52535.457871513026</v>
      </c>
      <c r="BD200" s="751">
        <f t="shared" si="35"/>
        <v>13572.106138022431</v>
      </c>
      <c r="BE200" s="751">
        <f t="shared" si="36"/>
        <v>352292.81956895115</v>
      </c>
      <c r="BF200" s="751">
        <f t="shared" si="37"/>
        <v>136654.56102220365</v>
      </c>
      <c r="BG200" s="752">
        <f t="shared" si="33"/>
        <v>14.57297765960991</v>
      </c>
      <c r="BH200" s="763">
        <f t="shared" si="27"/>
        <v>3604.9913132797114</v>
      </c>
      <c r="BI200" s="763">
        <f t="shared" si="28"/>
        <v>931.32004007928538</v>
      </c>
      <c r="BJ200" s="763">
        <f t="shared" si="29"/>
        <v>24174.388227147076</v>
      </c>
      <c r="BK200" s="763">
        <f t="shared" si="30"/>
        <v>9377.2572918266324</v>
      </c>
    </row>
    <row r="201" spans="1:63">
      <c r="A201" s="669"/>
      <c r="B201" s="754">
        <v>2030</v>
      </c>
      <c r="C201" s="755" t="s">
        <v>13</v>
      </c>
      <c r="D201" s="755" t="s">
        <v>594</v>
      </c>
      <c r="E201" s="755" t="s">
        <v>595</v>
      </c>
      <c r="F201" s="755" t="s">
        <v>478</v>
      </c>
      <c r="G201" s="755" t="s">
        <v>27</v>
      </c>
      <c r="H201" s="755" t="s">
        <v>593</v>
      </c>
      <c r="I201" s="755" t="s">
        <v>51</v>
      </c>
      <c r="J201" s="755" t="s">
        <v>17</v>
      </c>
      <c r="K201" s="755"/>
      <c r="L201" s="755" t="s">
        <v>29</v>
      </c>
      <c r="M201" s="755" t="s">
        <v>412</v>
      </c>
      <c r="N201" s="756">
        <v>0</v>
      </c>
      <c r="O201" s="756">
        <v>0</v>
      </c>
      <c r="P201" s="756">
        <v>0</v>
      </c>
      <c r="Q201" s="756">
        <v>0</v>
      </c>
      <c r="R201" s="756">
        <v>0</v>
      </c>
      <c r="S201" s="756">
        <v>0</v>
      </c>
      <c r="T201" s="756">
        <v>0</v>
      </c>
      <c r="U201" s="756">
        <v>0</v>
      </c>
      <c r="V201" s="756">
        <v>0</v>
      </c>
      <c r="W201" s="756">
        <v>0</v>
      </c>
      <c r="X201" s="757">
        <v>0</v>
      </c>
      <c r="Y201" s="757">
        <v>0</v>
      </c>
      <c r="Z201" s="757">
        <v>2046.0015000000001</v>
      </c>
      <c r="AA201" s="757">
        <v>2046.0015000000001</v>
      </c>
      <c r="AB201" s="757">
        <v>2046.0015000000001</v>
      </c>
      <c r="AC201" s="757">
        <v>2046.0015000000001</v>
      </c>
      <c r="AD201" s="757">
        <v>2046.0015000000001</v>
      </c>
      <c r="AE201" s="757">
        <v>2046.0015000000001</v>
      </c>
      <c r="AF201" s="756">
        <v>0</v>
      </c>
      <c r="AG201" s="756">
        <v>0</v>
      </c>
      <c r="AH201" s="756">
        <v>0</v>
      </c>
      <c r="AI201" s="756">
        <v>0</v>
      </c>
      <c r="AJ201" s="756">
        <v>0</v>
      </c>
      <c r="AK201" s="756">
        <v>0</v>
      </c>
      <c r="AL201" s="756">
        <v>0</v>
      </c>
      <c r="AM201" s="756">
        <v>0</v>
      </c>
      <c r="AN201" s="756">
        <v>0</v>
      </c>
      <c r="AO201" s="756">
        <v>0</v>
      </c>
      <c r="AP201" s="756">
        <v>0</v>
      </c>
      <c r="AQ201" s="757">
        <v>2046.0015000000001</v>
      </c>
      <c r="AR201" s="757">
        <v>0</v>
      </c>
      <c r="AS201" s="757">
        <v>0</v>
      </c>
      <c r="AT201" s="757">
        <v>0</v>
      </c>
      <c r="AU201" s="756">
        <v>0</v>
      </c>
      <c r="AV201" s="756">
        <v>0</v>
      </c>
      <c r="AW201" s="756">
        <v>0</v>
      </c>
      <c r="AX201" s="756">
        <v>0</v>
      </c>
      <c r="AY201" s="756">
        <v>0</v>
      </c>
      <c r="AZ201" s="758">
        <v>0.56000000000000005</v>
      </c>
      <c r="BA201" s="759" t="str">
        <f t="shared" si="31"/>
        <v/>
      </c>
      <c r="BB201" s="759" t="str">
        <f t="shared" si="32"/>
        <v/>
      </c>
      <c r="BC201" s="760">
        <f t="shared" si="34"/>
        <v>0</v>
      </c>
      <c r="BD201" s="760">
        <f t="shared" si="35"/>
        <v>0</v>
      </c>
      <c r="BE201" s="760">
        <f t="shared" si="36"/>
        <v>1145.7608400000001</v>
      </c>
      <c r="BF201" s="760">
        <f t="shared" si="37"/>
        <v>900.24065999999993</v>
      </c>
      <c r="BG201" s="761">
        <f t="shared" si="33"/>
        <v>0</v>
      </c>
      <c r="BH201" s="762">
        <f t="shared" si="27"/>
        <v>0</v>
      </c>
      <c r="BI201" s="762">
        <f t="shared" si="28"/>
        <v>0</v>
      </c>
      <c r="BJ201" s="762">
        <f t="shared" si="29"/>
        <v>0</v>
      </c>
      <c r="BK201" s="762">
        <f t="shared" si="30"/>
        <v>0</v>
      </c>
    </row>
    <row r="202" spans="1:63">
      <c r="A202" s="669"/>
      <c r="B202" s="745">
        <v>2030</v>
      </c>
      <c r="C202" s="746" t="s">
        <v>13</v>
      </c>
      <c r="D202" s="746" t="s">
        <v>596</v>
      </c>
      <c r="E202" s="746" t="s">
        <v>597</v>
      </c>
      <c r="F202" s="746" t="s">
        <v>478</v>
      </c>
      <c r="G202" s="746" t="s">
        <v>34</v>
      </c>
      <c r="H202" s="746" t="s">
        <v>598</v>
      </c>
      <c r="I202" s="746" t="s">
        <v>51</v>
      </c>
      <c r="J202" s="746" t="s">
        <v>489</v>
      </c>
      <c r="K202" s="746"/>
      <c r="L202" s="746" t="s">
        <v>29</v>
      </c>
      <c r="M202" s="746" t="s">
        <v>412</v>
      </c>
      <c r="N202" s="747">
        <v>915.45999999999788</v>
      </c>
      <c r="O202" s="747">
        <v>0.19856199999999999</v>
      </c>
      <c r="P202" s="747">
        <v>1516.3829999999998</v>
      </c>
      <c r="Q202" s="747">
        <v>496.49599999999998</v>
      </c>
      <c r="R202" s="747">
        <v>0.10142860000000001</v>
      </c>
      <c r="S202" s="747">
        <v>909.82979999999998</v>
      </c>
      <c r="T202" s="747">
        <v>6982.2479999999996</v>
      </c>
      <c r="U202" s="747">
        <v>13647.447</v>
      </c>
      <c r="V202" s="747">
        <v>0.87203277506799814</v>
      </c>
      <c r="W202" s="747">
        <v>72.467943570000003</v>
      </c>
      <c r="X202" s="748">
        <v>20558.46565034796</v>
      </c>
      <c r="Y202" s="748">
        <v>34415.861609769621</v>
      </c>
      <c r="Z202" s="748">
        <v>53312.681950000006</v>
      </c>
      <c r="AA202" s="748">
        <v>39785.577604183105</v>
      </c>
      <c r="AB202" s="748">
        <v>51702.6618916808</v>
      </c>
      <c r="AC202" s="748">
        <v>40081.115257330588</v>
      </c>
      <c r="AD202" s="748">
        <v>40081.115257330588</v>
      </c>
      <c r="AE202" s="748">
        <v>65236.430809441801</v>
      </c>
      <c r="AF202" s="747">
        <v>718.08987576751394</v>
      </c>
      <c r="AG202" s="747">
        <v>19794.59199858045</v>
      </c>
      <c r="AH202" s="747">
        <v>45.783775999999797</v>
      </c>
      <c r="AI202" s="747">
        <v>847.16882496242783</v>
      </c>
      <c r="AJ202" s="747">
        <v>30367.594216423957</v>
      </c>
      <c r="AK202" s="747">
        <v>0</v>
      </c>
      <c r="AL202" s="747">
        <v>847.16882496242783</v>
      </c>
      <c r="AM202" s="747">
        <v>30367.594216423957</v>
      </c>
      <c r="AN202" s="747">
        <v>0</v>
      </c>
      <c r="AO202" s="747">
        <v>6.2888360116399797E-2</v>
      </c>
      <c r="AP202" s="747">
        <v>4.8311962380000004</v>
      </c>
      <c r="AQ202" s="748">
        <v>4767.5150999999996</v>
      </c>
      <c r="AR202" s="748">
        <v>3575.6363999999999</v>
      </c>
      <c r="AS202" s="748">
        <v>15494.424199999999</v>
      </c>
      <c r="AT202" s="748">
        <v>29475.106250000001</v>
      </c>
      <c r="AU202" s="747">
        <v>1455.1771129049519</v>
      </c>
      <c r="AV202" s="747">
        <v>12078.591804856002</v>
      </c>
      <c r="AW202" s="747">
        <v>0</v>
      </c>
      <c r="AX202" s="747">
        <v>0</v>
      </c>
      <c r="AY202" s="747">
        <v>0</v>
      </c>
      <c r="AZ202" s="749">
        <v>0.56000000000000005</v>
      </c>
      <c r="BA202" s="750">
        <f t="shared" si="31"/>
        <v>97.122729657948653</v>
      </c>
      <c r="BB202" s="750">
        <f t="shared" si="32"/>
        <v>806.16015473875007</v>
      </c>
      <c r="BC202" s="751">
        <f t="shared" si="34"/>
        <v>743.72879032751382</v>
      </c>
      <c r="BD202" s="751">
        <f t="shared" si="35"/>
        <v>19814.73686002045</v>
      </c>
      <c r="BE202" s="751">
        <f t="shared" si="36"/>
        <v>30408.667772246205</v>
      </c>
      <c r="BF202" s="751">
        <f t="shared" si="37"/>
        <v>34827.763037195546</v>
      </c>
      <c r="BG202" s="752">
        <f t="shared" si="33"/>
        <v>14.982868768514459</v>
      </c>
      <c r="BH202" s="763">
        <f t="shared" ref="BH202:BH265" si="38">IF($BG202=0,0,BC202/$BG202)</f>
        <v>49.63861072389637</v>
      </c>
      <c r="BI202" s="763">
        <f t="shared" ref="BI202:BI265" si="39">IF($BG202=0,0,BD202/$BG202)</f>
        <v>1322.4928527479233</v>
      </c>
      <c r="BJ202" s="763">
        <f t="shared" ref="BJ202:BJ265" si="40">IF($BG202=0,0,BE202/$BG202)</f>
        <v>2029.5624450871569</v>
      </c>
      <c r="BK202" s="763">
        <f t="shared" ref="BK202:BK265" si="41">IF($BG202=0,0,BF202/$BG202)</f>
        <v>2324.505645433127</v>
      </c>
    </row>
    <row r="203" spans="1:63">
      <c r="A203" s="669"/>
      <c r="B203" s="754">
        <v>2030</v>
      </c>
      <c r="C203" s="755" t="s">
        <v>13</v>
      </c>
      <c r="D203" s="755" t="s">
        <v>599</v>
      </c>
      <c r="E203" s="755" t="s">
        <v>600</v>
      </c>
      <c r="F203" s="755" t="s">
        <v>478</v>
      </c>
      <c r="G203" s="755" t="s">
        <v>34</v>
      </c>
      <c r="H203" s="755" t="s">
        <v>598</v>
      </c>
      <c r="I203" s="755" t="s">
        <v>51</v>
      </c>
      <c r="J203" s="755" t="s">
        <v>17</v>
      </c>
      <c r="K203" s="755"/>
      <c r="L203" s="755" t="s">
        <v>29</v>
      </c>
      <c r="M203" s="755" t="s">
        <v>412</v>
      </c>
      <c r="N203" s="756">
        <v>0</v>
      </c>
      <c r="O203" s="756">
        <v>0</v>
      </c>
      <c r="P203" s="756">
        <v>0</v>
      </c>
      <c r="Q203" s="756">
        <v>0</v>
      </c>
      <c r="R203" s="756">
        <v>0</v>
      </c>
      <c r="S203" s="756">
        <v>0</v>
      </c>
      <c r="T203" s="756">
        <v>0</v>
      </c>
      <c r="U203" s="756">
        <v>0</v>
      </c>
      <c r="V203" s="756">
        <v>0</v>
      </c>
      <c r="W203" s="756">
        <v>0</v>
      </c>
      <c r="X203" s="757">
        <v>0</v>
      </c>
      <c r="Y203" s="757">
        <v>0</v>
      </c>
      <c r="Z203" s="757">
        <v>513.39149999999995</v>
      </c>
      <c r="AA203" s="757">
        <v>513.39149999999995</v>
      </c>
      <c r="AB203" s="757">
        <v>513.39149999999995</v>
      </c>
      <c r="AC203" s="757">
        <v>513.39149999999995</v>
      </c>
      <c r="AD203" s="757">
        <v>513.39149999999995</v>
      </c>
      <c r="AE203" s="757">
        <v>513.39149999999995</v>
      </c>
      <c r="AF203" s="756">
        <v>0</v>
      </c>
      <c r="AG203" s="756">
        <v>0</v>
      </c>
      <c r="AH203" s="756">
        <v>0</v>
      </c>
      <c r="AI203" s="756">
        <v>0</v>
      </c>
      <c r="AJ203" s="756">
        <v>0</v>
      </c>
      <c r="AK203" s="756">
        <v>0</v>
      </c>
      <c r="AL203" s="756">
        <v>0</v>
      </c>
      <c r="AM203" s="756">
        <v>0</v>
      </c>
      <c r="AN203" s="756">
        <v>0</v>
      </c>
      <c r="AO203" s="756">
        <v>0</v>
      </c>
      <c r="AP203" s="756">
        <v>0</v>
      </c>
      <c r="AQ203" s="757">
        <v>513.39149999999995</v>
      </c>
      <c r="AR203" s="757">
        <v>0</v>
      </c>
      <c r="AS203" s="757">
        <v>0</v>
      </c>
      <c r="AT203" s="757">
        <v>0</v>
      </c>
      <c r="AU203" s="756">
        <v>0</v>
      </c>
      <c r="AV203" s="756">
        <v>0</v>
      </c>
      <c r="AW203" s="756">
        <v>0</v>
      </c>
      <c r="AX203" s="756">
        <v>0</v>
      </c>
      <c r="AY203" s="756">
        <v>0</v>
      </c>
      <c r="AZ203" s="758">
        <v>0.56000000000000005</v>
      </c>
      <c r="BA203" s="759" t="str">
        <f t="shared" ref="BA203:BA266" si="42">IFERROR(($AU203-$AW203)/$BG203,"")</f>
        <v/>
      </c>
      <c r="BB203" s="759" t="str">
        <f t="shared" ref="BB203:BB266" si="43">IFERROR(($AV203-$AX203)/$BG203,"")</f>
        <v/>
      </c>
      <c r="BC203" s="760">
        <f t="shared" si="34"/>
        <v>0</v>
      </c>
      <c r="BD203" s="760">
        <f t="shared" si="35"/>
        <v>0</v>
      </c>
      <c r="BE203" s="760">
        <f t="shared" si="36"/>
        <v>287.49923999999999</v>
      </c>
      <c r="BF203" s="760">
        <f t="shared" si="37"/>
        <v>225.89225999999996</v>
      </c>
      <c r="BG203" s="761">
        <f t="shared" si="33"/>
        <v>0</v>
      </c>
      <c r="BH203" s="762">
        <f t="shared" si="38"/>
        <v>0</v>
      </c>
      <c r="BI203" s="762">
        <f t="shared" si="39"/>
        <v>0</v>
      </c>
      <c r="BJ203" s="762">
        <f t="shared" si="40"/>
        <v>0</v>
      </c>
      <c r="BK203" s="762">
        <f t="shared" si="41"/>
        <v>0</v>
      </c>
    </row>
    <row r="204" spans="1:63">
      <c r="A204" s="669"/>
      <c r="B204" s="745">
        <v>2030</v>
      </c>
      <c r="C204" s="746" t="s">
        <v>13</v>
      </c>
      <c r="D204" s="746" t="s">
        <v>601</v>
      </c>
      <c r="E204" s="746" t="s">
        <v>602</v>
      </c>
      <c r="F204" s="746" t="s">
        <v>478</v>
      </c>
      <c r="G204" s="746" t="s">
        <v>45</v>
      </c>
      <c r="H204" s="746" t="s">
        <v>603</v>
      </c>
      <c r="I204" s="746" t="s">
        <v>51</v>
      </c>
      <c r="J204" s="746" t="s">
        <v>489</v>
      </c>
      <c r="K204" s="746"/>
      <c r="L204" s="746" t="s">
        <v>29</v>
      </c>
      <c r="M204" s="746" t="s">
        <v>412</v>
      </c>
      <c r="N204" s="747">
        <v>13849.526599999961</v>
      </c>
      <c r="O204" s="747">
        <v>5.6451667999999957</v>
      </c>
      <c r="P204" s="747">
        <v>67.2012</v>
      </c>
      <c r="Q204" s="747">
        <v>7485.6563599999954</v>
      </c>
      <c r="R204" s="747">
        <v>3.2046541799999968</v>
      </c>
      <c r="S204" s="747">
        <v>40.320720000000009</v>
      </c>
      <c r="T204" s="747">
        <v>109755.80615999992</v>
      </c>
      <c r="U204" s="747">
        <v>571.28543999999999</v>
      </c>
      <c r="V204" s="747">
        <v>15.927491313056592</v>
      </c>
      <c r="W204" s="747">
        <v>3.0335256864</v>
      </c>
      <c r="X204" s="748">
        <v>19117.055379474092</v>
      </c>
      <c r="Y204" s="748">
        <v>36494.186301876696</v>
      </c>
      <c r="Z204" s="748">
        <v>190402.43143599996</v>
      </c>
      <c r="AA204" s="748">
        <v>148541.72825380685</v>
      </c>
      <c r="AB204" s="748">
        <v>184627.19567332402</v>
      </c>
      <c r="AC204" s="748">
        <v>149748.4743618769</v>
      </c>
      <c r="AD204" s="748">
        <v>149748.4743618769</v>
      </c>
      <c r="AE204" s="748">
        <v>221534.69787676513</v>
      </c>
      <c r="AF204" s="747">
        <v>9017.8875969670116</v>
      </c>
      <c r="AG204" s="747">
        <v>831.78269829290241</v>
      </c>
      <c r="AH204" s="747">
        <v>9285.5432641791995</v>
      </c>
      <c r="AI204" s="747">
        <v>10868.097869570076</v>
      </c>
      <c r="AJ204" s="747">
        <v>1271.5387315675725</v>
      </c>
      <c r="AK204" s="747">
        <v>23.238265590310263</v>
      </c>
      <c r="AL204" s="747">
        <v>10868.097869570076</v>
      </c>
      <c r="AM204" s="747">
        <v>1271.5387315675725</v>
      </c>
      <c r="AN204" s="747">
        <v>23.238265590310263</v>
      </c>
      <c r="AO204" s="747">
        <v>1.0879882555491032</v>
      </c>
      <c r="AP204" s="747">
        <v>0.21410302319999999</v>
      </c>
      <c r="AQ204" s="748">
        <v>17026.839800000002</v>
      </c>
      <c r="AR204" s="748">
        <v>12770.129800000001</v>
      </c>
      <c r="AS204" s="748">
        <v>55337.229200000002</v>
      </c>
      <c r="AT204" s="748">
        <v>105268.23263599996</v>
      </c>
      <c r="AU204" s="747">
        <v>36394.574893309466</v>
      </c>
      <c r="AV204" s="747">
        <v>512.92731013162472</v>
      </c>
      <c r="AW204" s="747">
        <v>0</v>
      </c>
      <c r="AX204" s="747">
        <v>0</v>
      </c>
      <c r="AY204" s="747">
        <v>19.332277634969163</v>
      </c>
      <c r="AZ204" s="749">
        <v>0.56000000000000005</v>
      </c>
      <c r="BA204" s="750">
        <f t="shared" si="42"/>
        <v>2493.6563015430534</v>
      </c>
      <c r="BB204" s="750">
        <f t="shared" si="43"/>
        <v>35.144370359945832</v>
      </c>
      <c r="BC204" s="751">
        <f t="shared" si="34"/>
        <v>14237.124102542333</v>
      </c>
      <c r="BD204" s="751">
        <f t="shared" si="35"/>
        <v>4917.4217345317502</v>
      </c>
      <c r="BE204" s="751">
        <f t="shared" si="36"/>
        <v>139785.80447037093</v>
      </c>
      <c r="BF204" s="751">
        <f t="shared" si="37"/>
        <v>81748.893406394185</v>
      </c>
      <c r="BG204" s="752">
        <f t="shared" si="33"/>
        <v>14.594864124133231</v>
      </c>
      <c r="BH204" s="763">
        <f t="shared" si="38"/>
        <v>975.48863637590432</v>
      </c>
      <c r="BI204" s="763">
        <f t="shared" si="39"/>
        <v>336.92822986961443</v>
      </c>
      <c r="BJ204" s="763">
        <f t="shared" si="40"/>
        <v>9577.7393527925433</v>
      </c>
      <c r="BK204" s="763">
        <f t="shared" si="41"/>
        <v>5601.2096249131155</v>
      </c>
    </row>
    <row r="205" spans="1:63">
      <c r="A205" s="669"/>
      <c r="B205" s="754">
        <v>2030</v>
      </c>
      <c r="C205" s="755" t="s">
        <v>13</v>
      </c>
      <c r="D205" s="755" t="s">
        <v>604</v>
      </c>
      <c r="E205" s="755" t="s">
        <v>605</v>
      </c>
      <c r="F205" s="755" t="s">
        <v>478</v>
      </c>
      <c r="G205" s="755" t="s">
        <v>45</v>
      </c>
      <c r="H205" s="755" t="s">
        <v>603</v>
      </c>
      <c r="I205" s="755" t="s">
        <v>51</v>
      </c>
      <c r="J205" s="755" t="s">
        <v>17</v>
      </c>
      <c r="K205" s="755"/>
      <c r="L205" s="755" t="s">
        <v>29</v>
      </c>
      <c r="M205" s="755" t="s">
        <v>412</v>
      </c>
      <c r="N205" s="756">
        <v>0</v>
      </c>
      <c r="O205" s="756">
        <v>0</v>
      </c>
      <c r="P205" s="756">
        <v>0</v>
      </c>
      <c r="Q205" s="756">
        <v>0</v>
      </c>
      <c r="R205" s="756">
        <v>0</v>
      </c>
      <c r="S205" s="756">
        <v>0</v>
      </c>
      <c r="T205" s="756">
        <v>0</v>
      </c>
      <c r="U205" s="756">
        <v>0</v>
      </c>
      <c r="V205" s="756">
        <v>0</v>
      </c>
      <c r="W205" s="756">
        <v>0</v>
      </c>
      <c r="X205" s="757">
        <v>0</v>
      </c>
      <c r="Y205" s="757">
        <v>0</v>
      </c>
      <c r="Z205" s="757">
        <v>1349.3615</v>
      </c>
      <c r="AA205" s="757">
        <v>1349.3615</v>
      </c>
      <c r="AB205" s="757">
        <v>1349.3615</v>
      </c>
      <c r="AC205" s="757">
        <v>1349.3615</v>
      </c>
      <c r="AD205" s="757">
        <v>1349.3615</v>
      </c>
      <c r="AE205" s="757">
        <v>1349.3615</v>
      </c>
      <c r="AF205" s="756">
        <v>0</v>
      </c>
      <c r="AG205" s="756">
        <v>0</v>
      </c>
      <c r="AH205" s="756">
        <v>0</v>
      </c>
      <c r="AI205" s="756">
        <v>0</v>
      </c>
      <c r="AJ205" s="756">
        <v>0</v>
      </c>
      <c r="AK205" s="756">
        <v>0</v>
      </c>
      <c r="AL205" s="756">
        <v>0</v>
      </c>
      <c r="AM205" s="756">
        <v>0</v>
      </c>
      <c r="AN205" s="756">
        <v>0</v>
      </c>
      <c r="AO205" s="756">
        <v>0</v>
      </c>
      <c r="AP205" s="756">
        <v>0</v>
      </c>
      <c r="AQ205" s="757">
        <v>1349.3615</v>
      </c>
      <c r="AR205" s="757">
        <v>0</v>
      </c>
      <c r="AS205" s="757">
        <v>0</v>
      </c>
      <c r="AT205" s="757">
        <v>0</v>
      </c>
      <c r="AU205" s="756">
        <v>0</v>
      </c>
      <c r="AV205" s="756">
        <v>0</v>
      </c>
      <c r="AW205" s="756">
        <v>0</v>
      </c>
      <c r="AX205" s="756">
        <v>0</v>
      </c>
      <c r="AY205" s="756">
        <v>0</v>
      </c>
      <c r="AZ205" s="758">
        <v>0.56000000000000005</v>
      </c>
      <c r="BA205" s="759" t="str">
        <f t="shared" si="42"/>
        <v/>
      </c>
      <c r="BB205" s="759" t="str">
        <f t="shared" si="43"/>
        <v/>
      </c>
      <c r="BC205" s="760">
        <f t="shared" si="34"/>
        <v>0</v>
      </c>
      <c r="BD205" s="760">
        <f t="shared" si="35"/>
        <v>0</v>
      </c>
      <c r="BE205" s="760">
        <f t="shared" si="36"/>
        <v>755.64244000000008</v>
      </c>
      <c r="BF205" s="760">
        <f t="shared" si="37"/>
        <v>593.7190599999999</v>
      </c>
      <c r="BG205" s="761">
        <f t="shared" si="33"/>
        <v>0</v>
      </c>
      <c r="BH205" s="762">
        <f t="shared" si="38"/>
        <v>0</v>
      </c>
      <c r="BI205" s="762">
        <f t="shared" si="39"/>
        <v>0</v>
      </c>
      <c r="BJ205" s="762">
        <f t="shared" si="40"/>
        <v>0</v>
      </c>
      <c r="BK205" s="762">
        <f t="shared" si="41"/>
        <v>0</v>
      </c>
    </row>
    <row r="206" spans="1:63">
      <c r="A206" s="669"/>
      <c r="B206" s="745">
        <v>2030</v>
      </c>
      <c r="C206" s="746" t="s">
        <v>13</v>
      </c>
      <c r="D206" s="746" t="s">
        <v>606</v>
      </c>
      <c r="E206" s="746" t="s">
        <v>607</v>
      </c>
      <c r="F206" s="746" t="s">
        <v>478</v>
      </c>
      <c r="G206" s="746" t="s">
        <v>18</v>
      </c>
      <c r="H206" s="746" t="s">
        <v>608</v>
      </c>
      <c r="I206" s="746" t="s">
        <v>51</v>
      </c>
      <c r="J206" s="746" t="s">
        <v>489</v>
      </c>
      <c r="K206" s="746"/>
      <c r="L206" s="746" t="s">
        <v>29</v>
      </c>
      <c r="M206" s="746" t="s">
        <v>412</v>
      </c>
      <c r="N206" s="747">
        <v>22167.485549299974</v>
      </c>
      <c r="O206" s="747">
        <v>4.5502773033899988</v>
      </c>
      <c r="P206" s="747">
        <v>742.16905223999993</v>
      </c>
      <c r="Q206" s="747">
        <v>10829.957498814994</v>
      </c>
      <c r="R206" s="747">
        <v>2.3568414787644958</v>
      </c>
      <c r="S206" s="747">
        <v>233.58802513200004</v>
      </c>
      <c r="T206" s="747">
        <v>150671.22068179972</v>
      </c>
      <c r="U206" s="747">
        <v>2476.0398643200001</v>
      </c>
      <c r="V206" s="747">
        <v>29.985510174462441</v>
      </c>
      <c r="W206" s="747">
        <v>13.147771679539199</v>
      </c>
      <c r="X206" s="748">
        <v>19246.684610315791</v>
      </c>
      <c r="Y206" s="748">
        <v>42651.673741686202</v>
      </c>
      <c r="Z206" s="748">
        <v>99009.264638979977</v>
      </c>
      <c r="AA206" s="748">
        <v>275429.9675666914</v>
      </c>
      <c r="AB206" s="748">
        <v>96219.353866374644</v>
      </c>
      <c r="AC206" s="748">
        <v>277113.20421666332</v>
      </c>
      <c r="AD206" s="748">
        <v>277113.20421666332</v>
      </c>
      <c r="AE206" s="748">
        <v>145882.29904672594</v>
      </c>
      <c r="AF206" s="747">
        <v>15063.230612864019</v>
      </c>
      <c r="AG206" s="747">
        <v>3783.2355542036958</v>
      </c>
      <c r="AH206" s="747">
        <v>134.90203997279991</v>
      </c>
      <c r="AI206" s="747">
        <v>17929.20901946993</v>
      </c>
      <c r="AJ206" s="747">
        <v>5452.0293133694977</v>
      </c>
      <c r="AK206" s="747">
        <v>301.16098604381131</v>
      </c>
      <c r="AL206" s="747">
        <v>17929.20901946993</v>
      </c>
      <c r="AM206" s="747">
        <v>5452.0293133694977</v>
      </c>
      <c r="AN206" s="747">
        <v>301.16098604381131</v>
      </c>
      <c r="AO206" s="747">
        <v>1.8940114203712681</v>
      </c>
      <c r="AP206" s="747">
        <v>1.2403524134509198</v>
      </c>
      <c r="AQ206" s="748">
        <v>8853.9567000000006</v>
      </c>
      <c r="AR206" s="748">
        <v>6640.4674999999997</v>
      </c>
      <c r="AS206" s="748">
        <v>28775.359199999999</v>
      </c>
      <c r="AT206" s="748">
        <v>54739.481238979963</v>
      </c>
      <c r="AU206" s="747">
        <v>46101.85789800925</v>
      </c>
      <c r="AV206" s="747">
        <v>3561.087282342025</v>
      </c>
      <c r="AW206" s="747">
        <v>0</v>
      </c>
      <c r="AX206" s="747">
        <v>0</v>
      </c>
      <c r="AY206" s="747">
        <v>265.31640327526014</v>
      </c>
      <c r="AZ206" s="749">
        <v>0.56000000000000005</v>
      </c>
      <c r="BA206" s="750">
        <f t="shared" si="42"/>
        <v>3650.2615976757102</v>
      </c>
      <c r="BB206" s="750">
        <f t="shared" si="43"/>
        <v>281.9604403245919</v>
      </c>
      <c r="BC206" s="751">
        <f t="shared" si="34"/>
        <v>15404.092158524047</v>
      </c>
      <c r="BD206" s="751">
        <f t="shared" si="35"/>
        <v>3842.5924517917279</v>
      </c>
      <c r="BE206" s="751">
        <f t="shared" si="36"/>
        <v>99984.696063179057</v>
      </c>
      <c r="BF206" s="751">
        <f t="shared" si="37"/>
        <v>45897.602983546865</v>
      </c>
      <c r="BG206" s="752">
        <f t="shared" si="33"/>
        <v>12.629740818401736</v>
      </c>
      <c r="BH206" s="763">
        <f t="shared" si="38"/>
        <v>1219.6681135435524</v>
      </c>
      <c r="BI206" s="763">
        <f t="shared" si="39"/>
        <v>304.2495097122665</v>
      </c>
      <c r="BJ206" s="763">
        <f t="shared" si="40"/>
        <v>7916.6071181365614</v>
      </c>
      <c r="BK206" s="763">
        <f t="shared" si="41"/>
        <v>3634.0890635438313</v>
      </c>
    </row>
    <row r="207" spans="1:63">
      <c r="A207" s="669"/>
      <c r="B207" s="754">
        <v>2030</v>
      </c>
      <c r="C207" s="755" t="s">
        <v>13</v>
      </c>
      <c r="D207" s="755" t="s">
        <v>609</v>
      </c>
      <c r="E207" s="755" t="s">
        <v>610</v>
      </c>
      <c r="F207" s="755" t="s">
        <v>478</v>
      </c>
      <c r="G207" s="755" t="s">
        <v>18</v>
      </c>
      <c r="H207" s="755" t="s">
        <v>608</v>
      </c>
      <c r="I207" s="755" t="s">
        <v>51</v>
      </c>
      <c r="J207" s="755" t="s">
        <v>17</v>
      </c>
      <c r="K207" s="755"/>
      <c r="L207" s="755" t="s">
        <v>29</v>
      </c>
      <c r="M207" s="755" t="s">
        <v>412</v>
      </c>
      <c r="N207" s="756">
        <v>0</v>
      </c>
      <c r="O207" s="756">
        <v>0</v>
      </c>
      <c r="P207" s="756">
        <v>0</v>
      </c>
      <c r="Q207" s="756">
        <v>0</v>
      </c>
      <c r="R207" s="756">
        <v>0</v>
      </c>
      <c r="S207" s="756">
        <v>0</v>
      </c>
      <c r="T207" s="756">
        <v>0</v>
      </c>
      <c r="U207" s="756">
        <v>0</v>
      </c>
      <c r="V207" s="756">
        <v>0</v>
      </c>
      <c r="W207" s="756">
        <v>0</v>
      </c>
      <c r="X207" s="757">
        <v>0</v>
      </c>
      <c r="Y207" s="757">
        <v>0</v>
      </c>
      <c r="Z207" s="757">
        <v>792.04150000000004</v>
      </c>
      <c r="AA207" s="757">
        <v>792.04150000000004</v>
      </c>
      <c r="AB207" s="757">
        <v>792.04150000000004</v>
      </c>
      <c r="AC207" s="757">
        <v>792.04150000000004</v>
      </c>
      <c r="AD207" s="757">
        <v>792.04150000000004</v>
      </c>
      <c r="AE207" s="757">
        <v>792.04150000000004</v>
      </c>
      <c r="AF207" s="756">
        <v>0</v>
      </c>
      <c r="AG207" s="756">
        <v>0</v>
      </c>
      <c r="AH207" s="756">
        <v>0</v>
      </c>
      <c r="AI207" s="756">
        <v>0</v>
      </c>
      <c r="AJ207" s="756">
        <v>0</v>
      </c>
      <c r="AK207" s="756">
        <v>0</v>
      </c>
      <c r="AL207" s="756">
        <v>0</v>
      </c>
      <c r="AM207" s="756">
        <v>0</v>
      </c>
      <c r="AN207" s="756">
        <v>0</v>
      </c>
      <c r="AO207" s="756">
        <v>0</v>
      </c>
      <c r="AP207" s="756">
        <v>0</v>
      </c>
      <c r="AQ207" s="757">
        <v>792.04150000000004</v>
      </c>
      <c r="AR207" s="757">
        <v>0</v>
      </c>
      <c r="AS207" s="757">
        <v>0</v>
      </c>
      <c r="AT207" s="757">
        <v>0</v>
      </c>
      <c r="AU207" s="756">
        <v>0</v>
      </c>
      <c r="AV207" s="756">
        <v>0</v>
      </c>
      <c r="AW207" s="756">
        <v>0</v>
      </c>
      <c r="AX207" s="756">
        <v>0</v>
      </c>
      <c r="AY207" s="756">
        <v>0</v>
      </c>
      <c r="AZ207" s="758">
        <v>0.56000000000000005</v>
      </c>
      <c r="BA207" s="759" t="str">
        <f t="shared" si="42"/>
        <v/>
      </c>
      <c r="BB207" s="759" t="str">
        <f t="shared" si="43"/>
        <v/>
      </c>
      <c r="BC207" s="760">
        <f t="shared" si="34"/>
        <v>0</v>
      </c>
      <c r="BD207" s="760">
        <f t="shared" si="35"/>
        <v>0</v>
      </c>
      <c r="BE207" s="760">
        <f t="shared" si="36"/>
        <v>443.54324000000008</v>
      </c>
      <c r="BF207" s="760">
        <f t="shared" si="37"/>
        <v>348.49825999999996</v>
      </c>
      <c r="BG207" s="761">
        <f t="shared" si="33"/>
        <v>0</v>
      </c>
      <c r="BH207" s="762">
        <f t="shared" si="38"/>
        <v>0</v>
      </c>
      <c r="BI207" s="762">
        <f t="shared" si="39"/>
        <v>0</v>
      </c>
      <c r="BJ207" s="762">
        <f t="shared" si="40"/>
        <v>0</v>
      </c>
      <c r="BK207" s="762">
        <f t="shared" si="41"/>
        <v>0</v>
      </c>
    </row>
    <row r="208" spans="1:63">
      <c r="A208" s="669"/>
      <c r="B208" s="745">
        <v>2030</v>
      </c>
      <c r="C208" s="746" t="s">
        <v>13</v>
      </c>
      <c r="D208" s="746" t="s">
        <v>611</v>
      </c>
      <c r="E208" s="746" t="s">
        <v>612</v>
      </c>
      <c r="F208" s="746" t="s">
        <v>613</v>
      </c>
      <c r="G208" s="746" t="s">
        <v>18</v>
      </c>
      <c r="H208" s="746" t="s">
        <v>614</v>
      </c>
      <c r="I208" s="746" t="s">
        <v>51</v>
      </c>
      <c r="J208" s="746" t="s">
        <v>489</v>
      </c>
      <c r="K208" s="746"/>
      <c r="L208" s="746" t="s">
        <v>29</v>
      </c>
      <c r="M208" s="746" t="s">
        <v>412</v>
      </c>
      <c r="N208" s="747">
        <v>-97663.463330178158</v>
      </c>
      <c r="O208" s="747">
        <v>0</v>
      </c>
      <c r="P208" s="747">
        <v>15338.059847735751</v>
      </c>
      <c r="Q208" s="747">
        <v>-95838.400790878091</v>
      </c>
      <c r="R208" s="747">
        <v>0</v>
      </c>
      <c r="S208" s="747">
        <v>15056.641528735758</v>
      </c>
      <c r="T208" s="747">
        <v>-1121939.9939084388</v>
      </c>
      <c r="U208" s="747">
        <v>189026.49230635737</v>
      </c>
      <c r="V208" s="747">
        <v>-246.00334946464795</v>
      </c>
      <c r="W208" s="747">
        <v>1003.7306741467572</v>
      </c>
      <c r="X208" s="748">
        <v>504881.54490675556</v>
      </c>
      <c r="Y208" s="748">
        <v>524429.98221440916</v>
      </c>
      <c r="Z208" s="748">
        <v>925090.6209199999</v>
      </c>
      <c r="AA208" s="748">
        <v>1056939.3552980118</v>
      </c>
      <c r="AB208" s="748">
        <v>1042153.5977739819</v>
      </c>
      <c r="AC208" s="748">
        <v>1081839.4369988337</v>
      </c>
      <c r="AD208" s="748">
        <v>1081839.4369988337</v>
      </c>
      <c r="AE208" s="748">
        <v>1316960.7245878896</v>
      </c>
      <c r="AF208" s="747">
        <v>-33635.26839434648</v>
      </c>
      <c r="AG208" s="747">
        <v>375153.70075200533</v>
      </c>
      <c r="AH208" s="747">
        <v>301811.29810649971</v>
      </c>
      <c r="AI208" s="747">
        <v>-38876.368176961594</v>
      </c>
      <c r="AJ208" s="747">
        <v>559844.84631465026</v>
      </c>
      <c r="AK208" s="747">
        <v>0</v>
      </c>
      <c r="AL208" s="747">
        <v>-38876.368176961594</v>
      </c>
      <c r="AM208" s="747">
        <v>559844.84631465026</v>
      </c>
      <c r="AN208" s="747">
        <v>0</v>
      </c>
      <c r="AO208" s="747">
        <v>-18.840377042929592</v>
      </c>
      <c r="AP208" s="747">
        <v>79.9507665175868</v>
      </c>
      <c r="AQ208" s="748">
        <v>37846.627</v>
      </c>
      <c r="AR208" s="748">
        <v>20020</v>
      </c>
      <c r="AS208" s="748">
        <v>358452.09399999998</v>
      </c>
      <c r="AT208" s="748">
        <v>508771.89991999994</v>
      </c>
      <c r="AU208" s="747">
        <v>-122126.93871402854</v>
      </c>
      <c r="AV208" s="747">
        <v>396934.06552793644</v>
      </c>
      <c r="AW208" s="747">
        <v>225954.67295263929</v>
      </c>
      <c r="AX208" s="747">
        <v>0</v>
      </c>
      <c r="AY208" s="747">
        <v>0</v>
      </c>
      <c r="AZ208" s="749">
        <v>0.56000000000000005</v>
      </c>
      <c r="BA208" s="750">
        <f t="shared" si="42"/>
        <v>-27215.891235807238</v>
      </c>
      <c r="BB208" s="750">
        <f t="shared" si="43"/>
        <v>31035.578993871866</v>
      </c>
      <c r="BC208" s="751">
        <f t="shared" si="34"/>
        <v>361333.73149793269</v>
      </c>
      <c r="BD208" s="751">
        <f t="shared" si="35"/>
        <v>507950.67191886518</v>
      </c>
      <c r="BE208" s="751">
        <f t="shared" si="36"/>
        <v>461479.07603940135</v>
      </c>
      <c r="BF208" s="751">
        <f t="shared" si="37"/>
        <v>855481.64854848839</v>
      </c>
      <c r="BG208" s="752">
        <f t="shared" si="33"/>
        <v>12.789645896611534</v>
      </c>
      <c r="BH208" s="763">
        <f t="shared" si="38"/>
        <v>28252.051262315545</v>
      </c>
      <c r="BI208" s="763">
        <f t="shared" si="39"/>
        <v>39715.772901378041</v>
      </c>
      <c r="BJ208" s="763">
        <f t="shared" si="40"/>
        <v>36082.240256680197</v>
      </c>
      <c r="BK208" s="763">
        <f t="shared" si="41"/>
        <v>66888.610948575064</v>
      </c>
    </row>
    <row r="209" spans="1:63">
      <c r="A209" s="669"/>
      <c r="B209" s="754">
        <v>2030</v>
      </c>
      <c r="C209" s="755" t="s">
        <v>13</v>
      </c>
      <c r="D209" s="755" t="s">
        <v>615</v>
      </c>
      <c r="E209" s="755" t="s">
        <v>616</v>
      </c>
      <c r="F209" s="755" t="s">
        <v>613</v>
      </c>
      <c r="G209" s="755" t="s">
        <v>18</v>
      </c>
      <c r="H209" s="755" t="s">
        <v>614</v>
      </c>
      <c r="I209" s="755" t="s">
        <v>51</v>
      </c>
      <c r="J209" s="755" t="s">
        <v>17</v>
      </c>
      <c r="K209" s="755"/>
      <c r="L209" s="755" t="s">
        <v>29</v>
      </c>
      <c r="M209" s="755" t="s">
        <v>412</v>
      </c>
      <c r="N209" s="756">
        <v>0</v>
      </c>
      <c r="O209" s="756">
        <v>0</v>
      </c>
      <c r="P209" s="756">
        <v>0</v>
      </c>
      <c r="Q209" s="756">
        <v>0</v>
      </c>
      <c r="R209" s="756">
        <v>0</v>
      </c>
      <c r="S209" s="756">
        <v>0</v>
      </c>
      <c r="T209" s="756">
        <v>0</v>
      </c>
      <c r="U209" s="756">
        <v>0</v>
      </c>
      <c r="V209" s="756">
        <v>0</v>
      </c>
      <c r="W209" s="756">
        <v>0</v>
      </c>
      <c r="X209" s="757">
        <v>0</v>
      </c>
      <c r="Y209" s="757">
        <v>0</v>
      </c>
      <c r="Z209" s="757">
        <v>7524.0747000000001</v>
      </c>
      <c r="AA209" s="757">
        <v>7524.0747000000001</v>
      </c>
      <c r="AB209" s="757">
        <v>7524.0747000000001</v>
      </c>
      <c r="AC209" s="757">
        <v>7524.0747000000001</v>
      </c>
      <c r="AD209" s="757">
        <v>7524.0747000000001</v>
      </c>
      <c r="AE209" s="757">
        <v>7524.0747000000001</v>
      </c>
      <c r="AF209" s="756">
        <v>0</v>
      </c>
      <c r="AG209" s="756">
        <v>0</v>
      </c>
      <c r="AH209" s="756">
        <v>0</v>
      </c>
      <c r="AI209" s="756">
        <v>0</v>
      </c>
      <c r="AJ209" s="756">
        <v>0</v>
      </c>
      <c r="AK209" s="756">
        <v>0</v>
      </c>
      <c r="AL209" s="756">
        <v>0</v>
      </c>
      <c r="AM209" s="756">
        <v>0</v>
      </c>
      <c r="AN209" s="756">
        <v>0</v>
      </c>
      <c r="AO209" s="756">
        <v>0</v>
      </c>
      <c r="AP209" s="756">
        <v>0</v>
      </c>
      <c r="AQ209" s="757">
        <v>7524.0747000000001</v>
      </c>
      <c r="AR209" s="757">
        <v>0</v>
      </c>
      <c r="AS209" s="757">
        <v>0</v>
      </c>
      <c r="AT209" s="757">
        <v>0</v>
      </c>
      <c r="AU209" s="756">
        <v>0</v>
      </c>
      <c r="AV209" s="756">
        <v>0</v>
      </c>
      <c r="AW209" s="756">
        <v>0</v>
      </c>
      <c r="AX209" s="756">
        <v>0</v>
      </c>
      <c r="AY209" s="756">
        <v>0</v>
      </c>
      <c r="AZ209" s="758">
        <v>0.56000000000000005</v>
      </c>
      <c r="BA209" s="759" t="str">
        <f t="shared" si="42"/>
        <v/>
      </c>
      <c r="BB209" s="759" t="str">
        <f t="shared" si="43"/>
        <v/>
      </c>
      <c r="BC209" s="760">
        <f t="shared" si="34"/>
        <v>0</v>
      </c>
      <c r="BD209" s="760">
        <f t="shared" si="35"/>
        <v>0</v>
      </c>
      <c r="BE209" s="760">
        <f t="shared" si="36"/>
        <v>4213.4818320000004</v>
      </c>
      <c r="BF209" s="760">
        <f t="shared" si="37"/>
        <v>3310.5928679999997</v>
      </c>
      <c r="BG209" s="761">
        <f t="shared" ref="BG209:BG272" si="44">IFERROR(($U209*99976.1+$T209*3412.14)/($S209*99976.1+$Q209*3412.14),0)</f>
        <v>0</v>
      </c>
      <c r="BH209" s="762">
        <f t="shared" si="38"/>
        <v>0</v>
      </c>
      <c r="BI209" s="762">
        <f t="shared" si="39"/>
        <v>0</v>
      </c>
      <c r="BJ209" s="762">
        <f t="shared" si="40"/>
        <v>0</v>
      </c>
      <c r="BK209" s="762">
        <f t="shared" si="41"/>
        <v>0</v>
      </c>
    </row>
    <row r="210" spans="1:63">
      <c r="A210" s="669"/>
      <c r="B210" s="745">
        <v>2030</v>
      </c>
      <c r="C210" s="746" t="s">
        <v>13</v>
      </c>
      <c r="D210" s="746" t="s">
        <v>617</v>
      </c>
      <c r="E210" s="746" t="s">
        <v>618</v>
      </c>
      <c r="F210" s="746" t="s">
        <v>478</v>
      </c>
      <c r="G210" s="746" t="s">
        <v>27</v>
      </c>
      <c r="H210" s="746"/>
      <c r="I210" s="746" t="s">
        <v>46</v>
      </c>
      <c r="J210" s="746" t="s">
        <v>489</v>
      </c>
      <c r="K210" s="746"/>
      <c r="L210" s="746" t="s">
        <v>20</v>
      </c>
      <c r="M210" s="746" t="s">
        <v>412</v>
      </c>
      <c r="N210" s="747">
        <v>3124400.1074999999</v>
      </c>
      <c r="O210" s="747">
        <v>473.71861799999999</v>
      </c>
      <c r="P210" s="747">
        <v>7165.8084122999999</v>
      </c>
      <c r="Q210" s="747">
        <v>2968180.1021250002</v>
      </c>
      <c r="R210" s="747">
        <v>450.03268709999998</v>
      </c>
      <c r="S210" s="747">
        <v>6807.5179916850002</v>
      </c>
      <c r="T210" s="747">
        <v>33486533.003357898</v>
      </c>
      <c r="U210" s="747">
        <v>76801.328779311501</v>
      </c>
      <c r="V210" s="747">
        <v>4799.6663872617</v>
      </c>
      <c r="W210" s="747">
        <v>407.815055818144</v>
      </c>
      <c r="X210" s="748">
        <v>2490633.01731293</v>
      </c>
      <c r="Y210" s="748">
        <v>2621718.9655925501</v>
      </c>
      <c r="Z210" s="748">
        <v>1834752.4811</v>
      </c>
      <c r="AA210" s="748">
        <v>2187206.66139695</v>
      </c>
      <c r="AB210" s="748">
        <v>1802918.3187543501</v>
      </c>
      <c r="AC210" s="748">
        <v>2201531.5688784602</v>
      </c>
      <c r="AD210" s="748">
        <v>2201531.5688784602</v>
      </c>
      <c r="AE210" s="748">
        <v>13061922.169094199</v>
      </c>
      <c r="AF210" s="747">
        <v>2334599.1806278201</v>
      </c>
      <c r="AG210" s="747">
        <v>156033.83668510299</v>
      </c>
      <c r="AH210" s="747">
        <v>0</v>
      </c>
      <c r="AI210" s="747">
        <v>2653070.34068343</v>
      </c>
      <c r="AJ210" s="747">
        <v>226598.85913302901</v>
      </c>
      <c r="AK210" s="747">
        <v>0</v>
      </c>
      <c r="AL210" s="747">
        <v>2653070.34068343</v>
      </c>
      <c r="AM210" s="747">
        <v>226598.85913302901</v>
      </c>
      <c r="AN210" s="747">
        <v>0</v>
      </c>
      <c r="AO210" s="747">
        <v>400.76605193299901</v>
      </c>
      <c r="AP210" s="747">
        <v>36.147920535847298</v>
      </c>
      <c r="AQ210" s="748">
        <v>248502.10200000001</v>
      </c>
      <c r="AR210" s="748">
        <v>99890.1103</v>
      </c>
      <c r="AS210" s="748">
        <v>597363.49179999996</v>
      </c>
      <c r="AT210" s="748">
        <v>888996.777</v>
      </c>
      <c r="AU210" s="747">
        <v>11169935.468309</v>
      </c>
      <c r="AV210" s="747">
        <v>89068.382030825494</v>
      </c>
      <c r="AW210" s="747">
        <v>0</v>
      </c>
      <c r="AX210" s="747">
        <v>0</v>
      </c>
      <c r="AY210" s="747">
        <v>0</v>
      </c>
      <c r="AZ210" s="749">
        <v>0.56000000000000005</v>
      </c>
      <c r="BA210" s="750">
        <f t="shared" si="42"/>
        <v>990081.00348072697</v>
      </c>
      <c r="BB210" s="750">
        <f t="shared" si="43"/>
        <v>7894.8453471087632</v>
      </c>
      <c r="BC210" s="751">
        <f t="shared" ref="BC210:BC273" si="45">$AF210+$AY210+$AW210+$AZ210*$AH210</f>
        <v>2334599.1806278201</v>
      </c>
      <c r="BD210" s="751">
        <f t="shared" ref="BD210:BD273" si="46">$AG210+$AX210+(1-$AZ210)*$AH210</f>
        <v>156033.83668510299</v>
      </c>
      <c r="BE210" s="751">
        <f t="shared" ref="BE210:BE273" si="47">$AB210*$AZ210+$AU210</f>
        <v>12179569.726811437</v>
      </c>
      <c r="BF210" s="751">
        <f t="shared" ref="BF210:BF273" si="48">$AB210*(1-$AZ210)+$AV210</f>
        <v>882352.44228273944</v>
      </c>
      <c r="BG210" s="752">
        <f t="shared" si="44"/>
        <v>11.281839999999995</v>
      </c>
      <c r="BH210" s="763">
        <f t="shared" si="38"/>
        <v>206934.25723355595</v>
      </c>
      <c r="BI210" s="763">
        <f t="shared" si="39"/>
        <v>13830.530896121825</v>
      </c>
      <c r="BJ210" s="763">
        <f t="shared" si="40"/>
        <v>1079572.9886978935</v>
      </c>
      <c r="BK210" s="763">
        <f t="shared" si="41"/>
        <v>78209.976589168058</v>
      </c>
    </row>
    <row r="211" spans="1:63">
      <c r="A211" s="669"/>
      <c r="B211" s="754">
        <v>2030</v>
      </c>
      <c r="C211" s="755" t="s">
        <v>13</v>
      </c>
      <c r="D211" s="755" t="s">
        <v>619</v>
      </c>
      <c r="E211" s="755" t="s">
        <v>620</v>
      </c>
      <c r="F211" s="755" t="s">
        <v>478</v>
      </c>
      <c r="G211" s="755" t="s">
        <v>27</v>
      </c>
      <c r="H211" s="755"/>
      <c r="I211" s="755" t="s">
        <v>46</v>
      </c>
      <c r="J211" s="755" t="s">
        <v>489</v>
      </c>
      <c r="K211" s="755"/>
      <c r="L211" s="755" t="s">
        <v>20</v>
      </c>
      <c r="M211" s="755" t="s">
        <v>412</v>
      </c>
      <c r="N211" s="756">
        <v>3673097.3403038299</v>
      </c>
      <c r="O211" s="756">
        <v>544.06585343404697</v>
      </c>
      <c r="P211" s="756">
        <v>4513.2151522446402</v>
      </c>
      <c r="Q211" s="756">
        <v>3428892.9328726698</v>
      </c>
      <c r="R211" s="756">
        <v>507.89385279482599</v>
      </c>
      <c r="S211" s="756">
        <v>4213.1558481337097</v>
      </c>
      <c r="T211" s="756">
        <v>51433393.993089996</v>
      </c>
      <c r="U211" s="756">
        <v>63197.337722005701</v>
      </c>
      <c r="V211" s="756">
        <v>4408.1866454476003</v>
      </c>
      <c r="W211" s="756">
        <v>335.57786330384999</v>
      </c>
      <c r="X211" s="757">
        <v>2689982.1081483802</v>
      </c>
      <c r="Y211" s="757">
        <v>2881561.5769684901</v>
      </c>
      <c r="Z211" s="757">
        <v>1999400.0002000001</v>
      </c>
      <c r="AA211" s="757">
        <v>3288695.92101799</v>
      </c>
      <c r="AB211" s="757">
        <v>1971009.59594009</v>
      </c>
      <c r="AC211" s="757">
        <v>3312802.6589165898</v>
      </c>
      <c r="AD211" s="757">
        <v>3312802.6589165898</v>
      </c>
      <c r="AE211" s="757">
        <v>18141274.039074901</v>
      </c>
      <c r="AF211" s="756">
        <v>2565352.2778258901</v>
      </c>
      <c r="AG211" s="756">
        <v>124099.490889979</v>
      </c>
      <c r="AH211" s="756">
        <v>0</v>
      </c>
      <c r="AI211" s="756">
        <v>2986096.4175893799</v>
      </c>
      <c r="AJ211" s="756">
        <v>186296.360145157</v>
      </c>
      <c r="AK211" s="756">
        <v>921.25952685542995</v>
      </c>
      <c r="AL211" s="756">
        <v>2986096.4175893799</v>
      </c>
      <c r="AM211" s="756">
        <v>186296.360145157</v>
      </c>
      <c r="AN211" s="756">
        <v>921.25952685542995</v>
      </c>
      <c r="AO211" s="756">
        <v>313.29597295980102</v>
      </c>
      <c r="AP211" s="756">
        <v>22.371857553590001</v>
      </c>
      <c r="AQ211" s="757">
        <v>183079.92359999998</v>
      </c>
      <c r="AR211" s="757">
        <v>111425.1103</v>
      </c>
      <c r="AS211" s="757">
        <v>904747.14939999999</v>
      </c>
      <c r="AT211" s="757">
        <v>800147.81689999998</v>
      </c>
      <c r="AU211" s="756">
        <v>16101452.027858499</v>
      </c>
      <c r="AV211" s="756">
        <v>68812.415276333704</v>
      </c>
      <c r="AW211" s="756">
        <v>0</v>
      </c>
      <c r="AX211" s="756">
        <v>0</v>
      </c>
      <c r="AY211" s="756">
        <v>792.49743460428294</v>
      </c>
      <c r="AZ211" s="758">
        <v>0.56000000000000005</v>
      </c>
      <c r="BA211" s="759">
        <f t="shared" si="42"/>
        <v>1073430.1351905677</v>
      </c>
      <c r="BB211" s="759">
        <f t="shared" si="43"/>
        <v>4587.4943517555848</v>
      </c>
      <c r="BC211" s="760">
        <f t="shared" si="45"/>
        <v>2566144.7752604946</v>
      </c>
      <c r="BD211" s="760">
        <f t="shared" si="46"/>
        <v>124099.490889979</v>
      </c>
      <c r="BE211" s="760">
        <f t="shared" si="47"/>
        <v>17205217.401584949</v>
      </c>
      <c r="BF211" s="760">
        <f t="shared" si="48"/>
        <v>936056.63748997322</v>
      </c>
      <c r="BG211" s="761">
        <f t="shared" si="44"/>
        <v>14.999999999999986</v>
      </c>
      <c r="BH211" s="762">
        <f t="shared" si="38"/>
        <v>171076.31835069979</v>
      </c>
      <c r="BI211" s="762">
        <f t="shared" si="39"/>
        <v>8273.2993926652744</v>
      </c>
      <c r="BJ211" s="762">
        <f t="shared" si="40"/>
        <v>1147014.4934389978</v>
      </c>
      <c r="BK211" s="762">
        <f t="shared" si="41"/>
        <v>62403.775832664942</v>
      </c>
    </row>
    <row r="212" spans="1:63">
      <c r="A212" s="669"/>
      <c r="B212" s="745">
        <v>2030</v>
      </c>
      <c r="C212" s="746" t="s">
        <v>13</v>
      </c>
      <c r="D212" s="746" t="s">
        <v>621</v>
      </c>
      <c r="E212" s="746" t="s">
        <v>622</v>
      </c>
      <c r="F212" s="746" t="s">
        <v>478</v>
      </c>
      <c r="G212" s="746" t="s">
        <v>27</v>
      </c>
      <c r="H212" s="746"/>
      <c r="I212" s="746" t="s">
        <v>46</v>
      </c>
      <c r="J212" s="746" t="s">
        <v>489</v>
      </c>
      <c r="K212" s="746"/>
      <c r="L212" s="746" t="s">
        <v>20</v>
      </c>
      <c r="M212" s="746" t="s">
        <v>412</v>
      </c>
      <c r="N212" s="747">
        <v>3741114.4890415701</v>
      </c>
      <c r="O212" s="747">
        <v>449.73657534963098</v>
      </c>
      <c r="P212" s="747">
        <v>573021.71516544395</v>
      </c>
      <c r="Q212" s="747">
        <v>2154391.1114669801</v>
      </c>
      <c r="R212" s="747">
        <v>258.98926196270202</v>
      </c>
      <c r="S212" s="747">
        <v>339150.86712250899</v>
      </c>
      <c r="T212" s="747">
        <v>24695957.662034899</v>
      </c>
      <c r="U212" s="747">
        <v>3887713.5218946901</v>
      </c>
      <c r="V212" s="747">
        <v>4125.8135733874096</v>
      </c>
      <c r="W212" s="747">
        <v>20643.758801260799</v>
      </c>
      <c r="X212" s="748">
        <v>9783123.9715091996</v>
      </c>
      <c r="Y212" s="748">
        <v>16618336.1798402</v>
      </c>
      <c r="Z212" s="748">
        <v>6183210.8036000002</v>
      </c>
      <c r="AA212" s="748">
        <v>6594023.65677163</v>
      </c>
      <c r="AB212" s="748">
        <v>6125661.0129750902</v>
      </c>
      <c r="AC212" s="748">
        <v>6628095.2385340203</v>
      </c>
      <c r="AD212" s="748">
        <v>6628095.2385340203</v>
      </c>
      <c r="AE212" s="748">
        <v>18771944.615226202</v>
      </c>
      <c r="AF212" s="747">
        <v>1930636.88605309</v>
      </c>
      <c r="AG212" s="747">
        <v>7886880.6447039098</v>
      </c>
      <c r="AH212" s="747">
        <v>0</v>
      </c>
      <c r="AI212" s="747">
        <v>2200708.1926774401</v>
      </c>
      <c r="AJ212" s="747">
        <v>11471278.7239052</v>
      </c>
      <c r="AK212" s="747">
        <v>370.77318236170402</v>
      </c>
      <c r="AL212" s="747">
        <v>2200708.1926774401</v>
      </c>
      <c r="AM212" s="747">
        <v>11471278.7239052</v>
      </c>
      <c r="AN212" s="747">
        <v>370.77318236170402</v>
      </c>
      <c r="AO212" s="747">
        <v>335.79694167751398</v>
      </c>
      <c r="AP212" s="747">
        <v>1800.8911044205199</v>
      </c>
      <c r="AQ212" s="748">
        <v>410089.84419999999</v>
      </c>
      <c r="AR212" s="748">
        <v>94373.1103</v>
      </c>
      <c r="AS212" s="748">
        <v>3102069.1390999998</v>
      </c>
      <c r="AT212" s="748">
        <v>2576678.71</v>
      </c>
      <c r="AU212" s="747">
        <v>8172450.5124906497</v>
      </c>
      <c r="AV212" s="747">
        <v>4473833.0897604199</v>
      </c>
      <c r="AW212" s="747">
        <v>0</v>
      </c>
      <c r="AX212" s="747">
        <v>0</v>
      </c>
      <c r="AY212" s="747">
        <v>325.16053013167601</v>
      </c>
      <c r="AZ212" s="749">
        <v>0.56000000000000005</v>
      </c>
      <c r="BA212" s="750">
        <f t="shared" si="42"/>
        <v>712936.7074547722</v>
      </c>
      <c r="BB212" s="750">
        <f t="shared" si="43"/>
        <v>390281.93903910817</v>
      </c>
      <c r="BC212" s="751">
        <f t="shared" si="45"/>
        <v>1930962.0465832218</v>
      </c>
      <c r="BD212" s="751">
        <f t="shared" si="46"/>
        <v>7886880.6447039098</v>
      </c>
      <c r="BE212" s="751">
        <f t="shared" si="47"/>
        <v>11602820.679756701</v>
      </c>
      <c r="BF212" s="751">
        <f t="shared" si="48"/>
        <v>7169123.9354694597</v>
      </c>
      <c r="BG212" s="752">
        <f t="shared" si="44"/>
        <v>11.46308</v>
      </c>
      <c r="BH212" s="763">
        <f t="shared" si="38"/>
        <v>168450.5426624626</v>
      </c>
      <c r="BI212" s="763">
        <f t="shared" si="39"/>
        <v>688024.56623384904</v>
      </c>
      <c r="BJ212" s="763">
        <f t="shared" si="40"/>
        <v>1012190.5002631667</v>
      </c>
      <c r="BK212" s="763">
        <f t="shared" si="41"/>
        <v>625409.91910284664</v>
      </c>
    </row>
    <row r="213" spans="1:63">
      <c r="A213" s="669"/>
      <c r="B213" s="754">
        <v>2030</v>
      </c>
      <c r="C213" s="755" t="s">
        <v>13</v>
      </c>
      <c r="D213" s="755" t="s">
        <v>623</v>
      </c>
      <c r="E213" s="755" t="s">
        <v>624</v>
      </c>
      <c r="F213" s="755" t="s">
        <v>478</v>
      </c>
      <c r="G213" s="755" t="s">
        <v>27</v>
      </c>
      <c r="H213" s="755"/>
      <c r="I213" s="755" t="s">
        <v>46</v>
      </c>
      <c r="J213" s="755" t="s">
        <v>489</v>
      </c>
      <c r="K213" s="755"/>
      <c r="L213" s="755" t="s">
        <v>20</v>
      </c>
      <c r="M213" s="755" t="s">
        <v>412</v>
      </c>
      <c r="N213" s="756">
        <v>3628820.2508999999</v>
      </c>
      <c r="O213" s="756">
        <v>335.95837632000001</v>
      </c>
      <c r="P213" s="756">
        <v>80837.050050000005</v>
      </c>
      <c r="Q213" s="756">
        <v>3447379.238355</v>
      </c>
      <c r="R213" s="756">
        <v>319.16045750400002</v>
      </c>
      <c r="S213" s="756">
        <v>76795.197547500007</v>
      </c>
      <c r="T213" s="756">
        <v>27401018.137729801</v>
      </c>
      <c r="U213" s="756">
        <v>610396.02996904205</v>
      </c>
      <c r="V213" s="756">
        <v>3925.3547493648898</v>
      </c>
      <c r="W213" s="756">
        <v>3241.20291913561</v>
      </c>
      <c r="X213" s="757">
        <v>3328980.2220903402</v>
      </c>
      <c r="Y213" s="757">
        <v>3504189.7074635201</v>
      </c>
      <c r="Z213" s="757">
        <v>1699707.0572999998</v>
      </c>
      <c r="AA213" s="757">
        <v>2343358.5337443501</v>
      </c>
      <c r="AB213" s="757">
        <v>1667798.91184218</v>
      </c>
      <c r="AC213" s="757">
        <v>2361067.3608050598</v>
      </c>
      <c r="AD213" s="757">
        <v>2361067.3608050598</v>
      </c>
      <c r="AE213" s="757">
        <v>11868432.0540385</v>
      </c>
      <c r="AF213" s="756">
        <v>2044758.62478856</v>
      </c>
      <c r="AG213" s="756">
        <v>1284221.59730178</v>
      </c>
      <c r="AH213" s="756">
        <v>0</v>
      </c>
      <c r="AI213" s="756">
        <v>2244409.6084942399</v>
      </c>
      <c r="AJ213" s="756">
        <v>1811078.37805721</v>
      </c>
      <c r="AK213" s="756">
        <v>0</v>
      </c>
      <c r="AL213" s="756">
        <v>2244409.6084942399</v>
      </c>
      <c r="AM213" s="756">
        <v>1811078.37805721</v>
      </c>
      <c r="AN213" s="756">
        <v>0</v>
      </c>
      <c r="AO213" s="756">
        <v>465.46790266608298</v>
      </c>
      <c r="AP213" s="756">
        <v>407.78249897722498</v>
      </c>
      <c r="AQ213" s="757">
        <v>230663.1029</v>
      </c>
      <c r="AR213" s="757">
        <v>92430.1103</v>
      </c>
      <c r="AS213" s="757">
        <v>485551.02409999998</v>
      </c>
      <c r="AT213" s="757">
        <v>891062.82</v>
      </c>
      <c r="AU213" s="756">
        <v>9467376.6575462092</v>
      </c>
      <c r="AV213" s="756">
        <v>733256.48465013294</v>
      </c>
      <c r="AW213" s="756">
        <v>0</v>
      </c>
      <c r="AX213" s="756">
        <v>0</v>
      </c>
      <c r="AY213" s="756">
        <v>0</v>
      </c>
      <c r="AZ213" s="758">
        <v>0.56000000000000005</v>
      </c>
      <c r="BA213" s="759">
        <f t="shared" si="42"/>
        <v>1191110.4020609802</v>
      </c>
      <c r="BB213" s="759">
        <f t="shared" si="43"/>
        <v>92252.527583687493</v>
      </c>
      <c r="BC213" s="760">
        <f t="shared" si="45"/>
        <v>2044758.62478856</v>
      </c>
      <c r="BD213" s="760">
        <f t="shared" si="46"/>
        <v>1284221.59730178</v>
      </c>
      <c r="BE213" s="760">
        <f t="shared" si="47"/>
        <v>10401344.048177831</v>
      </c>
      <c r="BF213" s="760">
        <f t="shared" si="48"/>
        <v>1467088.0058606919</v>
      </c>
      <c r="BG213" s="761">
        <f t="shared" si="44"/>
        <v>7.9483619999999942</v>
      </c>
      <c r="BH213" s="762">
        <f t="shared" si="38"/>
        <v>257255.34704994078</v>
      </c>
      <c r="BI213" s="762">
        <f t="shared" si="39"/>
        <v>161570.59747678592</v>
      </c>
      <c r="BJ213" s="762">
        <f t="shared" si="40"/>
        <v>1308614.7873206881</v>
      </c>
      <c r="BK213" s="762">
        <f t="shared" si="41"/>
        <v>184577.40171631501</v>
      </c>
    </row>
    <row r="214" spans="1:63">
      <c r="A214" s="669"/>
      <c r="B214" s="745">
        <v>2030</v>
      </c>
      <c r="C214" s="746" t="s">
        <v>13</v>
      </c>
      <c r="D214" s="746" t="s">
        <v>625</v>
      </c>
      <c r="E214" s="746" t="s">
        <v>626</v>
      </c>
      <c r="F214" s="746" t="s">
        <v>478</v>
      </c>
      <c r="G214" s="746" t="s">
        <v>18</v>
      </c>
      <c r="H214" s="746"/>
      <c r="I214" s="746" t="s">
        <v>46</v>
      </c>
      <c r="J214" s="746" t="s">
        <v>17</v>
      </c>
      <c r="K214" s="746"/>
      <c r="L214" s="746" t="s">
        <v>29</v>
      </c>
      <c r="M214" s="746" t="s">
        <v>412</v>
      </c>
      <c r="N214" s="747">
        <v>0</v>
      </c>
      <c r="O214" s="747">
        <v>0</v>
      </c>
      <c r="P214" s="747">
        <v>0</v>
      </c>
      <c r="Q214" s="747">
        <v>0</v>
      </c>
      <c r="R214" s="747">
        <v>0</v>
      </c>
      <c r="S214" s="747">
        <v>0</v>
      </c>
      <c r="T214" s="747">
        <v>0</v>
      </c>
      <c r="U214" s="747">
        <v>0</v>
      </c>
      <c r="V214" s="747">
        <v>0</v>
      </c>
      <c r="W214" s="747">
        <v>0</v>
      </c>
      <c r="X214" s="748">
        <v>0</v>
      </c>
      <c r="Y214" s="748">
        <v>0</v>
      </c>
      <c r="Z214" s="748">
        <v>1071371.0778999999</v>
      </c>
      <c r="AA214" s="748">
        <v>1071371.0778999999</v>
      </c>
      <c r="AB214" s="748">
        <v>1071371.0778999999</v>
      </c>
      <c r="AC214" s="748">
        <v>1071371.0778999999</v>
      </c>
      <c r="AD214" s="748">
        <v>1071371.0778999999</v>
      </c>
      <c r="AE214" s="748">
        <v>1071371.0778999999</v>
      </c>
      <c r="AF214" s="747">
        <v>0</v>
      </c>
      <c r="AG214" s="747">
        <v>0</v>
      </c>
      <c r="AH214" s="747">
        <v>0</v>
      </c>
      <c r="AI214" s="747">
        <v>0</v>
      </c>
      <c r="AJ214" s="747">
        <v>0</v>
      </c>
      <c r="AK214" s="747">
        <v>0</v>
      </c>
      <c r="AL214" s="747">
        <v>0</v>
      </c>
      <c r="AM214" s="747">
        <v>0</v>
      </c>
      <c r="AN214" s="747">
        <v>0</v>
      </c>
      <c r="AO214" s="747">
        <v>0</v>
      </c>
      <c r="AP214" s="747">
        <v>0</v>
      </c>
      <c r="AQ214" s="748">
        <v>249118.1635</v>
      </c>
      <c r="AR214" s="748">
        <v>104421.5517</v>
      </c>
      <c r="AS214" s="748">
        <v>651831.36270000006</v>
      </c>
      <c r="AT214" s="748">
        <v>66000</v>
      </c>
      <c r="AU214" s="747">
        <v>0</v>
      </c>
      <c r="AV214" s="747">
        <v>0</v>
      </c>
      <c r="AW214" s="747">
        <v>0</v>
      </c>
      <c r="AX214" s="747">
        <v>0</v>
      </c>
      <c r="AY214" s="747">
        <v>0</v>
      </c>
      <c r="AZ214" s="749">
        <v>0.56000000000000005</v>
      </c>
      <c r="BA214" s="750" t="str">
        <f t="shared" si="42"/>
        <v/>
      </c>
      <c r="BB214" s="750" t="str">
        <f t="shared" si="43"/>
        <v/>
      </c>
      <c r="BC214" s="751">
        <f t="shared" si="45"/>
        <v>0</v>
      </c>
      <c r="BD214" s="751">
        <f t="shared" si="46"/>
        <v>0</v>
      </c>
      <c r="BE214" s="751">
        <f t="shared" si="47"/>
        <v>599967.80362400005</v>
      </c>
      <c r="BF214" s="751">
        <f t="shared" si="48"/>
        <v>471403.27427599992</v>
      </c>
      <c r="BG214" s="752">
        <f t="shared" si="44"/>
        <v>0</v>
      </c>
      <c r="BH214" s="763">
        <f t="shared" si="38"/>
        <v>0</v>
      </c>
      <c r="BI214" s="763">
        <f t="shared" si="39"/>
        <v>0</v>
      </c>
      <c r="BJ214" s="763">
        <f t="shared" si="40"/>
        <v>0</v>
      </c>
      <c r="BK214" s="763">
        <f t="shared" si="41"/>
        <v>0</v>
      </c>
    </row>
    <row r="215" spans="1:63">
      <c r="A215" s="669"/>
      <c r="B215" s="754">
        <v>2030</v>
      </c>
      <c r="C215" s="755" t="s">
        <v>13</v>
      </c>
      <c r="D215" s="755" t="s">
        <v>627</v>
      </c>
      <c r="E215" s="755" t="s">
        <v>628</v>
      </c>
      <c r="F215" s="755" t="s">
        <v>478</v>
      </c>
      <c r="G215" s="755" t="s">
        <v>54</v>
      </c>
      <c r="H215" s="755"/>
      <c r="I215" s="755" t="s">
        <v>46</v>
      </c>
      <c r="J215" s="755" t="s">
        <v>17</v>
      </c>
      <c r="K215" s="755"/>
      <c r="L215" s="755" t="s">
        <v>347</v>
      </c>
      <c r="M215" s="755" t="s">
        <v>412</v>
      </c>
      <c r="N215" s="756">
        <v>0</v>
      </c>
      <c r="O215" s="756">
        <v>0</v>
      </c>
      <c r="P215" s="756">
        <v>0</v>
      </c>
      <c r="Q215" s="756">
        <v>0</v>
      </c>
      <c r="R215" s="756">
        <v>0</v>
      </c>
      <c r="S215" s="756">
        <v>0</v>
      </c>
      <c r="T215" s="756">
        <v>0</v>
      </c>
      <c r="U215" s="756">
        <v>0</v>
      </c>
      <c r="V215" s="756">
        <v>0</v>
      </c>
      <c r="W215" s="756">
        <v>0</v>
      </c>
      <c r="X215" s="757">
        <v>0</v>
      </c>
      <c r="Y215" s="757">
        <v>0</v>
      </c>
      <c r="Z215" s="757">
        <v>205636.4319</v>
      </c>
      <c r="AA215" s="757">
        <v>205636.4319</v>
      </c>
      <c r="AB215" s="757">
        <v>205636.4319</v>
      </c>
      <c r="AC215" s="757">
        <v>205636.4319</v>
      </c>
      <c r="AD215" s="757">
        <v>205636.4319</v>
      </c>
      <c r="AE215" s="757">
        <v>205636.4319</v>
      </c>
      <c r="AF215" s="756">
        <v>0</v>
      </c>
      <c r="AG215" s="756">
        <v>0</v>
      </c>
      <c r="AH215" s="756">
        <v>0</v>
      </c>
      <c r="AI215" s="756">
        <v>0</v>
      </c>
      <c r="AJ215" s="756">
        <v>0</v>
      </c>
      <c r="AK215" s="756">
        <v>0</v>
      </c>
      <c r="AL215" s="756">
        <v>0</v>
      </c>
      <c r="AM215" s="756">
        <v>0</v>
      </c>
      <c r="AN215" s="756">
        <v>0</v>
      </c>
      <c r="AO215" s="756">
        <v>0</v>
      </c>
      <c r="AP215" s="756">
        <v>0</v>
      </c>
      <c r="AQ215" s="757">
        <v>205636.4319</v>
      </c>
      <c r="AR215" s="757">
        <v>0</v>
      </c>
      <c r="AS215" s="757">
        <v>0</v>
      </c>
      <c r="AT215" s="757">
        <v>0</v>
      </c>
      <c r="AU215" s="756">
        <v>0</v>
      </c>
      <c r="AV215" s="756">
        <v>0</v>
      </c>
      <c r="AW215" s="756">
        <v>0</v>
      </c>
      <c r="AX215" s="756">
        <v>0</v>
      </c>
      <c r="AY215" s="756">
        <v>0</v>
      </c>
      <c r="AZ215" s="758">
        <v>0.56000000000000005</v>
      </c>
      <c r="BA215" s="759" t="str">
        <f t="shared" si="42"/>
        <v/>
      </c>
      <c r="BB215" s="759" t="str">
        <f t="shared" si="43"/>
        <v/>
      </c>
      <c r="BC215" s="760">
        <f t="shared" si="45"/>
        <v>0</v>
      </c>
      <c r="BD215" s="760">
        <f t="shared" si="46"/>
        <v>0</v>
      </c>
      <c r="BE215" s="760">
        <f t="shared" si="47"/>
        <v>115156.40186400001</v>
      </c>
      <c r="BF215" s="760">
        <f t="shared" si="48"/>
        <v>90480.030035999982</v>
      </c>
      <c r="BG215" s="761">
        <f t="shared" si="44"/>
        <v>0</v>
      </c>
      <c r="BH215" s="762">
        <f t="shared" si="38"/>
        <v>0</v>
      </c>
      <c r="BI215" s="762">
        <f t="shared" si="39"/>
        <v>0</v>
      </c>
      <c r="BJ215" s="762">
        <f t="shared" si="40"/>
        <v>0</v>
      </c>
      <c r="BK215" s="762">
        <f t="shared" si="41"/>
        <v>0</v>
      </c>
    </row>
    <row r="216" spans="1:63">
      <c r="A216" s="669"/>
      <c r="B216" s="745">
        <v>2030</v>
      </c>
      <c r="C216" s="746" t="s">
        <v>13</v>
      </c>
      <c r="D216" s="746" t="s">
        <v>629</v>
      </c>
      <c r="E216" s="746" t="s">
        <v>630</v>
      </c>
      <c r="F216" s="746" t="s">
        <v>478</v>
      </c>
      <c r="G216" s="746" t="s">
        <v>54</v>
      </c>
      <c r="H216" s="746"/>
      <c r="I216" s="746" t="s">
        <v>46</v>
      </c>
      <c r="J216" s="746" t="s">
        <v>17</v>
      </c>
      <c r="K216" s="746"/>
      <c r="L216" s="746" t="s">
        <v>36</v>
      </c>
      <c r="M216" s="746" t="s">
        <v>412</v>
      </c>
      <c r="N216" s="747">
        <v>0</v>
      </c>
      <c r="O216" s="747">
        <v>0</v>
      </c>
      <c r="P216" s="747">
        <v>0</v>
      </c>
      <c r="Q216" s="747">
        <v>0</v>
      </c>
      <c r="R216" s="747">
        <v>0</v>
      </c>
      <c r="S216" s="747">
        <v>0</v>
      </c>
      <c r="T216" s="747">
        <v>0</v>
      </c>
      <c r="U216" s="747">
        <v>0</v>
      </c>
      <c r="V216" s="747">
        <v>0</v>
      </c>
      <c r="W216" s="747">
        <v>0</v>
      </c>
      <c r="X216" s="748">
        <v>0</v>
      </c>
      <c r="Y216" s="748">
        <v>0</v>
      </c>
      <c r="Z216" s="748">
        <v>9528.0439999999999</v>
      </c>
      <c r="AA216" s="748">
        <v>9528.0439999999999</v>
      </c>
      <c r="AB216" s="748">
        <v>9528.0439999999999</v>
      </c>
      <c r="AC216" s="748">
        <v>9528.0439999999999</v>
      </c>
      <c r="AD216" s="748">
        <v>9528.0439999999999</v>
      </c>
      <c r="AE216" s="748">
        <v>9528.0439999999999</v>
      </c>
      <c r="AF216" s="747">
        <v>0</v>
      </c>
      <c r="AG216" s="747">
        <v>0</v>
      </c>
      <c r="AH216" s="747">
        <v>0</v>
      </c>
      <c r="AI216" s="747">
        <v>0</v>
      </c>
      <c r="AJ216" s="747">
        <v>0</v>
      </c>
      <c r="AK216" s="747">
        <v>0</v>
      </c>
      <c r="AL216" s="747">
        <v>0</v>
      </c>
      <c r="AM216" s="747">
        <v>0</v>
      </c>
      <c r="AN216" s="747">
        <v>0</v>
      </c>
      <c r="AO216" s="747">
        <v>0</v>
      </c>
      <c r="AP216" s="747">
        <v>0</v>
      </c>
      <c r="AQ216" s="748">
        <v>9528.0439999999999</v>
      </c>
      <c r="AR216" s="748">
        <v>0</v>
      </c>
      <c r="AS216" s="748">
        <v>0</v>
      </c>
      <c r="AT216" s="748">
        <v>0</v>
      </c>
      <c r="AU216" s="747">
        <v>0</v>
      </c>
      <c r="AV216" s="747">
        <v>0</v>
      </c>
      <c r="AW216" s="747">
        <v>0</v>
      </c>
      <c r="AX216" s="747">
        <v>0</v>
      </c>
      <c r="AY216" s="747">
        <v>0</v>
      </c>
      <c r="AZ216" s="749">
        <v>0.56000000000000005</v>
      </c>
      <c r="BA216" s="750" t="str">
        <f t="shared" si="42"/>
        <v/>
      </c>
      <c r="BB216" s="750" t="str">
        <f t="shared" si="43"/>
        <v/>
      </c>
      <c r="BC216" s="751">
        <f t="shared" si="45"/>
        <v>0</v>
      </c>
      <c r="BD216" s="751">
        <f t="shared" si="46"/>
        <v>0</v>
      </c>
      <c r="BE216" s="751">
        <f t="shared" si="47"/>
        <v>5335.7046400000008</v>
      </c>
      <c r="BF216" s="751">
        <f t="shared" si="48"/>
        <v>4192.339359999999</v>
      </c>
      <c r="BG216" s="752">
        <f t="shared" si="44"/>
        <v>0</v>
      </c>
      <c r="BH216" s="763">
        <f t="shared" si="38"/>
        <v>0</v>
      </c>
      <c r="BI216" s="763">
        <f t="shared" si="39"/>
        <v>0</v>
      </c>
      <c r="BJ216" s="763">
        <f t="shared" si="40"/>
        <v>0</v>
      </c>
      <c r="BK216" s="763">
        <f t="shared" si="41"/>
        <v>0</v>
      </c>
    </row>
    <row r="217" spans="1:63">
      <c r="A217" s="669"/>
      <c r="B217" s="754">
        <v>2030</v>
      </c>
      <c r="C217" s="755" t="s">
        <v>13</v>
      </c>
      <c r="D217" s="755" t="s">
        <v>631</v>
      </c>
      <c r="E217" s="755" t="s">
        <v>632</v>
      </c>
      <c r="F217" s="755" t="s">
        <v>478</v>
      </c>
      <c r="G217" s="755" t="s">
        <v>54</v>
      </c>
      <c r="H217" s="755"/>
      <c r="I217" s="755" t="s">
        <v>46</v>
      </c>
      <c r="J217" s="755" t="s">
        <v>17</v>
      </c>
      <c r="K217" s="755"/>
      <c r="L217" s="755" t="s">
        <v>29</v>
      </c>
      <c r="M217" s="755" t="s">
        <v>412</v>
      </c>
      <c r="N217" s="756">
        <v>0</v>
      </c>
      <c r="O217" s="756">
        <v>0</v>
      </c>
      <c r="P217" s="756">
        <v>0</v>
      </c>
      <c r="Q217" s="756">
        <v>0</v>
      </c>
      <c r="R217" s="756">
        <v>0</v>
      </c>
      <c r="S217" s="756">
        <v>0</v>
      </c>
      <c r="T217" s="756">
        <v>0</v>
      </c>
      <c r="U217" s="756">
        <v>0</v>
      </c>
      <c r="V217" s="756">
        <v>0</v>
      </c>
      <c r="W217" s="756">
        <v>0</v>
      </c>
      <c r="X217" s="757">
        <v>0</v>
      </c>
      <c r="Y217" s="757">
        <v>0</v>
      </c>
      <c r="Z217" s="757">
        <v>360494.19040000002</v>
      </c>
      <c r="AA217" s="757">
        <v>360494.19040000002</v>
      </c>
      <c r="AB217" s="757">
        <v>360494.19040000002</v>
      </c>
      <c r="AC217" s="757">
        <v>360494.19040000002</v>
      </c>
      <c r="AD217" s="757">
        <v>360494.19040000002</v>
      </c>
      <c r="AE217" s="757">
        <v>360494.19040000002</v>
      </c>
      <c r="AF217" s="756">
        <v>0</v>
      </c>
      <c r="AG217" s="756">
        <v>0</v>
      </c>
      <c r="AH217" s="756">
        <v>0</v>
      </c>
      <c r="AI217" s="756">
        <v>0</v>
      </c>
      <c r="AJ217" s="756">
        <v>0</v>
      </c>
      <c r="AK217" s="756">
        <v>0</v>
      </c>
      <c r="AL217" s="756">
        <v>0</v>
      </c>
      <c r="AM217" s="756">
        <v>0</v>
      </c>
      <c r="AN217" s="756">
        <v>0</v>
      </c>
      <c r="AO217" s="756">
        <v>0</v>
      </c>
      <c r="AP217" s="756">
        <v>0</v>
      </c>
      <c r="AQ217" s="757">
        <v>360494.19040000002</v>
      </c>
      <c r="AR217" s="757">
        <v>0</v>
      </c>
      <c r="AS217" s="757">
        <v>0</v>
      </c>
      <c r="AT217" s="757">
        <v>0</v>
      </c>
      <c r="AU217" s="756">
        <v>0</v>
      </c>
      <c r="AV217" s="756">
        <v>0</v>
      </c>
      <c r="AW217" s="756">
        <v>0</v>
      </c>
      <c r="AX217" s="756">
        <v>0</v>
      </c>
      <c r="AY217" s="756">
        <v>0</v>
      </c>
      <c r="AZ217" s="758">
        <v>0.56000000000000005</v>
      </c>
      <c r="BA217" s="759" t="str">
        <f t="shared" si="42"/>
        <v/>
      </c>
      <c r="BB217" s="759" t="str">
        <f t="shared" si="43"/>
        <v/>
      </c>
      <c r="BC217" s="760">
        <f t="shared" si="45"/>
        <v>0</v>
      </c>
      <c r="BD217" s="760">
        <f t="shared" si="46"/>
        <v>0</v>
      </c>
      <c r="BE217" s="760">
        <f t="shared" si="47"/>
        <v>201876.74662400002</v>
      </c>
      <c r="BF217" s="760">
        <f t="shared" si="48"/>
        <v>158617.443776</v>
      </c>
      <c r="BG217" s="761">
        <f t="shared" si="44"/>
        <v>0</v>
      </c>
      <c r="BH217" s="762">
        <f t="shared" si="38"/>
        <v>0</v>
      </c>
      <c r="BI217" s="762">
        <f t="shared" si="39"/>
        <v>0</v>
      </c>
      <c r="BJ217" s="762">
        <f t="shared" si="40"/>
        <v>0</v>
      </c>
      <c r="BK217" s="762">
        <f t="shared" si="41"/>
        <v>0</v>
      </c>
    </row>
    <row r="218" spans="1:63">
      <c r="A218" s="669"/>
      <c r="B218" s="745">
        <v>2030</v>
      </c>
      <c r="C218" s="746" t="s">
        <v>13</v>
      </c>
      <c r="D218" s="746" t="s">
        <v>633</v>
      </c>
      <c r="E218" s="746" t="s">
        <v>634</v>
      </c>
      <c r="F218" s="746" t="s">
        <v>478</v>
      </c>
      <c r="G218" s="746" t="s">
        <v>54</v>
      </c>
      <c r="H218" s="746"/>
      <c r="I218" s="746" t="s">
        <v>46</v>
      </c>
      <c r="J218" s="746" t="s">
        <v>17</v>
      </c>
      <c r="K218" s="746"/>
      <c r="L218" s="746" t="s">
        <v>20</v>
      </c>
      <c r="M218" s="746" t="s">
        <v>412</v>
      </c>
      <c r="N218" s="747">
        <v>0</v>
      </c>
      <c r="O218" s="747">
        <v>0</v>
      </c>
      <c r="P218" s="747">
        <v>0</v>
      </c>
      <c r="Q218" s="747">
        <v>0</v>
      </c>
      <c r="R218" s="747">
        <v>0</v>
      </c>
      <c r="S218" s="747">
        <v>0</v>
      </c>
      <c r="T218" s="747">
        <v>0</v>
      </c>
      <c r="U218" s="747">
        <v>0</v>
      </c>
      <c r="V218" s="747">
        <v>0</v>
      </c>
      <c r="W218" s="747">
        <v>0</v>
      </c>
      <c r="X218" s="748">
        <v>0</v>
      </c>
      <c r="Y218" s="748">
        <v>0</v>
      </c>
      <c r="Z218" s="748">
        <v>2147906.1320000002</v>
      </c>
      <c r="AA218" s="748">
        <v>2147906.1320000002</v>
      </c>
      <c r="AB218" s="748">
        <v>2147906.1320000002</v>
      </c>
      <c r="AC218" s="748">
        <v>2147906.1320000002</v>
      </c>
      <c r="AD218" s="748">
        <v>2147906.1320000002</v>
      </c>
      <c r="AE218" s="748">
        <v>2147906.1320000002</v>
      </c>
      <c r="AF218" s="747">
        <v>0</v>
      </c>
      <c r="AG218" s="747">
        <v>0</v>
      </c>
      <c r="AH218" s="747">
        <v>0</v>
      </c>
      <c r="AI218" s="747">
        <v>0</v>
      </c>
      <c r="AJ218" s="747">
        <v>0</v>
      </c>
      <c r="AK218" s="747">
        <v>0</v>
      </c>
      <c r="AL218" s="747">
        <v>0</v>
      </c>
      <c r="AM218" s="747">
        <v>0</v>
      </c>
      <c r="AN218" s="747">
        <v>0</v>
      </c>
      <c r="AO218" s="747">
        <v>0</v>
      </c>
      <c r="AP218" s="747">
        <v>0</v>
      </c>
      <c r="AQ218" s="748">
        <v>2147906.1320000002</v>
      </c>
      <c r="AR218" s="748">
        <v>0</v>
      </c>
      <c r="AS218" s="748">
        <v>0</v>
      </c>
      <c r="AT218" s="748">
        <v>0</v>
      </c>
      <c r="AU218" s="747">
        <v>0</v>
      </c>
      <c r="AV218" s="747">
        <v>0</v>
      </c>
      <c r="AW218" s="747">
        <v>0</v>
      </c>
      <c r="AX218" s="747">
        <v>0</v>
      </c>
      <c r="AY218" s="747">
        <v>0</v>
      </c>
      <c r="AZ218" s="749">
        <v>0.56000000000000005</v>
      </c>
      <c r="BA218" s="750" t="str">
        <f t="shared" si="42"/>
        <v/>
      </c>
      <c r="BB218" s="750" t="str">
        <f t="shared" si="43"/>
        <v/>
      </c>
      <c r="BC218" s="751">
        <f t="shared" si="45"/>
        <v>0</v>
      </c>
      <c r="BD218" s="751">
        <f t="shared" si="46"/>
        <v>0</v>
      </c>
      <c r="BE218" s="751">
        <f t="shared" si="47"/>
        <v>1202827.4339200002</v>
      </c>
      <c r="BF218" s="751">
        <f t="shared" si="48"/>
        <v>945078.69808</v>
      </c>
      <c r="BG218" s="752">
        <f t="shared" si="44"/>
        <v>0</v>
      </c>
      <c r="BH218" s="763">
        <f t="shared" si="38"/>
        <v>0</v>
      </c>
      <c r="BI218" s="763">
        <f t="shared" si="39"/>
        <v>0</v>
      </c>
      <c r="BJ218" s="763">
        <f t="shared" si="40"/>
        <v>0</v>
      </c>
      <c r="BK218" s="763">
        <f t="shared" si="41"/>
        <v>0</v>
      </c>
    </row>
    <row r="219" spans="1:63">
      <c r="A219" s="669"/>
      <c r="B219" s="754">
        <v>2030</v>
      </c>
      <c r="C219" s="755" t="s">
        <v>13</v>
      </c>
      <c r="D219" s="755" t="s">
        <v>635</v>
      </c>
      <c r="E219" s="755" t="s">
        <v>636</v>
      </c>
      <c r="F219" s="755" t="s">
        <v>478</v>
      </c>
      <c r="G219" s="755" t="s">
        <v>18</v>
      </c>
      <c r="H219" s="755" t="s">
        <v>637</v>
      </c>
      <c r="I219" s="755" t="s">
        <v>40</v>
      </c>
      <c r="J219" s="755" t="s">
        <v>33</v>
      </c>
      <c r="K219" s="755"/>
      <c r="L219" s="755" t="s">
        <v>29</v>
      </c>
      <c r="M219" s="755" t="s">
        <v>638</v>
      </c>
      <c r="N219" s="756">
        <v>0</v>
      </c>
      <c r="O219" s="756">
        <v>0</v>
      </c>
      <c r="P219" s="756">
        <v>0</v>
      </c>
      <c r="Q219" s="756">
        <v>0</v>
      </c>
      <c r="R219" s="756">
        <v>0</v>
      </c>
      <c r="S219" s="756">
        <v>0</v>
      </c>
      <c r="T219" s="756">
        <v>0</v>
      </c>
      <c r="U219" s="756">
        <v>0</v>
      </c>
      <c r="V219" s="756">
        <v>0</v>
      </c>
      <c r="W219" s="756">
        <v>0</v>
      </c>
      <c r="X219" s="757">
        <v>0</v>
      </c>
      <c r="Y219" s="757">
        <v>0</v>
      </c>
      <c r="Z219" s="757">
        <v>584446.12479999999</v>
      </c>
      <c r="AA219" s="757">
        <v>584446.12479999999</v>
      </c>
      <c r="AB219" s="757">
        <v>584446.12479999999</v>
      </c>
      <c r="AC219" s="757">
        <v>584446.12479999999</v>
      </c>
      <c r="AD219" s="757">
        <v>584446.12479999999</v>
      </c>
      <c r="AE219" s="757">
        <v>584446.12479999999</v>
      </c>
      <c r="AF219" s="756">
        <v>0</v>
      </c>
      <c r="AG219" s="756">
        <v>0</v>
      </c>
      <c r="AH219" s="756">
        <v>0</v>
      </c>
      <c r="AI219" s="756">
        <v>0</v>
      </c>
      <c r="AJ219" s="756">
        <v>0</v>
      </c>
      <c r="AK219" s="756">
        <v>0</v>
      </c>
      <c r="AL219" s="756">
        <v>0</v>
      </c>
      <c r="AM219" s="756">
        <v>0</v>
      </c>
      <c r="AN219" s="756">
        <v>0</v>
      </c>
      <c r="AO219" s="756">
        <v>0</v>
      </c>
      <c r="AP219" s="756">
        <v>0</v>
      </c>
      <c r="AQ219" s="757">
        <v>15853.945599999999</v>
      </c>
      <c r="AR219" s="757">
        <v>37200</v>
      </c>
      <c r="AS219" s="757">
        <v>122192.1792</v>
      </c>
      <c r="AT219" s="757">
        <v>409200</v>
      </c>
      <c r="AU219" s="756">
        <v>0</v>
      </c>
      <c r="AV219" s="756">
        <v>0</v>
      </c>
      <c r="AW219" s="756">
        <v>0</v>
      </c>
      <c r="AX219" s="756">
        <v>0</v>
      </c>
      <c r="AY219" s="756">
        <v>0</v>
      </c>
      <c r="AZ219" s="758">
        <v>0.56000000000000005</v>
      </c>
      <c r="BA219" s="759" t="str">
        <f t="shared" si="42"/>
        <v/>
      </c>
      <c r="BB219" s="759" t="str">
        <f t="shared" si="43"/>
        <v/>
      </c>
      <c r="BC219" s="760">
        <f t="shared" si="45"/>
        <v>0</v>
      </c>
      <c r="BD219" s="760">
        <f t="shared" si="46"/>
        <v>0</v>
      </c>
      <c r="BE219" s="760">
        <f t="shared" si="47"/>
        <v>327289.82988800004</v>
      </c>
      <c r="BF219" s="760">
        <f t="shared" si="48"/>
        <v>257156.29491199995</v>
      </c>
      <c r="BG219" s="761">
        <f t="shared" si="44"/>
        <v>0</v>
      </c>
      <c r="BH219" s="762">
        <f t="shared" si="38"/>
        <v>0</v>
      </c>
      <c r="BI219" s="762">
        <f t="shared" si="39"/>
        <v>0</v>
      </c>
      <c r="BJ219" s="762">
        <f t="shared" si="40"/>
        <v>0</v>
      </c>
      <c r="BK219" s="762">
        <f t="shared" si="41"/>
        <v>0</v>
      </c>
    </row>
    <row r="220" spans="1:63">
      <c r="A220" s="669"/>
      <c r="B220" s="745">
        <v>2030</v>
      </c>
      <c r="C220" s="746" t="s">
        <v>13</v>
      </c>
      <c r="D220" s="746" t="s">
        <v>639</v>
      </c>
      <c r="E220" s="746" t="s">
        <v>640</v>
      </c>
      <c r="F220" s="746" t="s">
        <v>478</v>
      </c>
      <c r="G220" s="746" t="s">
        <v>18</v>
      </c>
      <c r="H220" s="746" t="s">
        <v>637</v>
      </c>
      <c r="I220" s="746" t="s">
        <v>40</v>
      </c>
      <c r="J220" s="746" t="s">
        <v>17</v>
      </c>
      <c r="K220" s="746"/>
      <c r="L220" s="746" t="s">
        <v>29</v>
      </c>
      <c r="M220" s="746" t="s">
        <v>638</v>
      </c>
      <c r="N220" s="747">
        <v>0</v>
      </c>
      <c r="O220" s="747">
        <v>0</v>
      </c>
      <c r="P220" s="747">
        <v>0</v>
      </c>
      <c r="Q220" s="747">
        <v>0</v>
      </c>
      <c r="R220" s="747">
        <v>0</v>
      </c>
      <c r="S220" s="747">
        <v>0</v>
      </c>
      <c r="T220" s="747">
        <v>0</v>
      </c>
      <c r="U220" s="747">
        <v>0</v>
      </c>
      <c r="V220" s="747">
        <v>0</v>
      </c>
      <c r="W220" s="747">
        <v>0</v>
      </c>
      <c r="X220" s="748">
        <v>0</v>
      </c>
      <c r="Y220" s="748">
        <v>0</v>
      </c>
      <c r="Z220" s="748">
        <v>5511.5146999999997</v>
      </c>
      <c r="AA220" s="748">
        <v>5511.5146999999997</v>
      </c>
      <c r="AB220" s="748">
        <v>5511.5146999999997</v>
      </c>
      <c r="AC220" s="748">
        <v>5511.5146999999997</v>
      </c>
      <c r="AD220" s="748">
        <v>5511.5146999999997</v>
      </c>
      <c r="AE220" s="748">
        <v>5511.5146999999997</v>
      </c>
      <c r="AF220" s="747">
        <v>0</v>
      </c>
      <c r="AG220" s="747">
        <v>0</v>
      </c>
      <c r="AH220" s="747">
        <v>0</v>
      </c>
      <c r="AI220" s="747">
        <v>0</v>
      </c>
      <c r="AJ220" s="747">
        <v>0</v>
      </c>
      <c r="AK220" s="747">
        <v>0</v>
      </c>
      <c r="AL220" s="747">
        <v>0</v>
      </c>
      <c r="AM220" s="747">
        <v>0</v>
      </c>
      <c r="AN220" s="747">
        <v>0</v>
      </c>
      <c r="AO220" s="747">
        <v>0</v>
      </c>
      <c r="AP220" s="747">
        <v>0</v>
      </c>
      <c r="AQ220" s="748">
        <v>5511.5146999999997</v>
      </c>
      <c r="AR220" s="748">
        <v>0</v>
      </c>
      <c r="AS220" s="748">
        <v>0</v>
      </c>
      <c r="AT220" s="748">
        <v>0</v>
      </c>
      <c r="AU220" s="747">
        <v>0</v>
      </c>
      <c r="AV220" s="747">
        <v>0</v>
      </c>
      <c r="AW220" s="747">
        <v>0</v>
      </c>
      <c r="AX220" s="747">
        <v>0</v>
      </c>
      <c r="AY220" s="747">
        <v>0</v>
      </c>
      <c r="AZ220" s="749">
        <v>0.56000000000000005</v>
      </c>
      <c r="BA220" s="750" t="str">
        <f t="shared" si="42"/>
        <v/>
      </c>
      <c r="BB220" s="750" t="str">
        <f t="shared" si="43"/>
        <v/>
      </c>
      <c r="BC220" s="751">
        <f t="shared" si="45"/>
        <v>0</v>
      </c>
      <c r="BD220" s="751">
        <f t="shared" si="46"/>
        <v>0</v>
      </c>
      <c r="BE220" s="751">
        <f t="shared" si="47"/>
        <v>3086.4482320000002</v>
      </c>
      <c r="BF220" s="751">
        <f t="shared" si="48"/>
        <v>2425.0664679999995</v>
      </c>
      <c r="BG220" s="752">
        <f t="shared" si="44"/>
        <v>0</v>
      </c>
      <c r="BH220" s="763">
        <f t="shared" si="38"/>
        <v>0</v>
      </c>
      <c r="BI220" s="763">
        <f t="shared" si="39"/>
        <v>0</v>
      </c>
      <c r="BJ220" s="763">
        <f t="shared" si="40"/>
        <v>0</v>
      </c>
      <c r="BK220" s="763">
        <f t="shared" si="41"/>
        <v>0</v>
      </c>
    </row>
    <row r="221" spans="1:63">
      <c r="A221" s="669"/>
      <c r="B221" s="754">
        <v>2030</v>
      </c>
      <c r="C221" s="755" t="s">
        <v>13</v>
      </c>
      <c r="D221" s="755" t="s">
        <v>641</v>
      </c>
      <c r="E221" s="755" t="s">
        <v>642</v>
      </c>
      <c r="F221" s="755" t="s">
        <v>478</v>
      </c>
      <c r="G221" s="755" t="s">
        <v>18</v>
      </c>
      <c r="H221" s="755"/>
      <c r="I221" s="755" t="s">
        <v>46</v>
      </c>
      <c r="J221" s="755" t="s">
        <v>489</v>
      </c>
      <c r="K221" s="755"/>
      <c r="L221" s="755" t="s">
        <v>20</v>
      </c>
      <c r="M221" s="755" t="s">
        <v>412</v>
      </c>
      <c r="N221" s="756">
        <v>50383.729729999999</v>
      </c>
      <c r="O221" s="756">
        <v>22.674026699999999</v>
      </c>
      <c r="P221" s="756">
        <v>11570.715249999999</v>
      </c>
      <c r="Q221" s="756">
        <v>48146.802974193401</v>
      </c>
      <c r="R221" s="756">
        <v>21.667349797378701</v>
      </c>
      <c r="S221" s="756">
        <v>11057.0009484735</v>
      </c>
      <c r="T221" s="756">
        <v>688037.07322241296</v>
      </c>
      <c r="U221" s="756">
        <v>158008.96635406601</v>
      </c>
      <c r="V221" s="756">
        <v>191.71375687861101</v>
      </c>
      <c r="W221" s="756">
        <v>839.02761134009302</v>
      </c>
      <c r="X221" s="757">
        <v>329214.89241486002</v>
      </c>
      <c r="Y221" s="757">
        <v>344510.39607784501</v>
      </c>
      <c r="Z221" s="757">
        <v>326598.15850000002</v>
      </c>
      <c r="AA221" s="757">
        <v>437282.93049004098</v>
      </c>
      <c r="AB221" s="757">
        <v>376796.98082194902</v>
      </c>
      <c r="AC221" s="757">
        <v>439953.42005773599</v>
      </c>
      <c r="AD221" s="757">
        <v>439953.42005773599</v>
      </c>
      <c r="AE221" s="757">
        <v>766636.64104732405</v>
      </c>
      <c r="AF221" s="756">
        <v>73706.165276154206</v>
      </c>
      <c r="AG221" s="756">
        <v>312056.41811899398</v>
      </c>
      <c r="AH221" s="756">
        <v>0</v>
      </c>
      <c r="AI221" s="756">
        <v>86666.508892592101</v>
      </c>
      <c r="AJ221" s="756">
        <v>465482.82975544699</v>
      </c>
      <c r="AK221" s="756">
        <v>0</v>
      </c>
      <c r="AL221" s="756">
        <v>86666.508892592101</v>
      </c>
      <c r="AM221" s="756">
        <v>465482.82975544699</v>
      </c>
      <c r="AN221" s="756">
        <v>0</v>
      </c>
      <c r="AO221" s="756">
        <v>12.651265795432099</v>
      </c>
      <c r="AP221" s="756">
        <v>58.712675036394501</v>
      </c>
      <c r="AQ221" s="757">
        <v>45539.957500000004</v>
      </c>
      <c r="AR221" s="757">
        <v>17714.1103</v>
      </c>
      <c r="AS221" s="757">
        <v>86046.390400000004</v>
      </c>
      <c r="AT221" s="757">
        <v>177297.7003</v>
      </c>
      <c r="AU221" s="756">
        <v>216431.28422905499</v>
      </c>
      <c r="AV221" s="756">
        <v>173408.37599632001</v>
      </c>
      <c r="AW221" s="756">
        <v>0</v>
      </c>
      <c r="AX221" s="756">
        <v>0</v>
      </c>
      <c r="AY221" s="756">
        <v>0</v>
      </c>
      <c r="AZ221" s="758">
        <v>0.56000000000000005</v>
      </c>
      <c r="BA221" s="759">
        <f t="shared" si="42"/>
        <v>15145.222263131518</v>
      </c>
      <c r="BB221" s="759">
        <f t="shared" si="43"/>
        <v>12134.606168918976</v>
      </c>
      <c r="BC221" s="760">
        <f t="shared" si="45"/>
        <v>73706.165276154206</v>
      </c>
      <c r="BD221" s="760">
        <f t="shared" si="46"/>
        <v>312056.41811899398</v>
      </c>
      <c r="BE221" s="760">
        <f t="shared" si="47"/>
        <v>427437.59348934644</v>
      </c>
      <c r="BF221" s="760">
        <f t="shared" si="48"/>
        <v>339199.04755797755</v>
      </c>
      <c r="BG221" s="761">
        <f t="shared" si="44"/>
        <v>14.290400000000023</v>
      </c>
      <c r="BH221" s="762">
        <f t="shared" si="38"/>
        <v>5157.7398306663272</v>
      </c>
      <c r="BI221" s="762">
        <f t="shared" si="39"/>
        <v>21836.786802258404</v>
      </c>
      <c r="BJ221" s="762">
        <f t="shared" si="40"/>
        <v>29910.820795033433</v>
      </c>
      <c r="BK221" s="762">
        <f t="shared" si="41"/>
        <v>23736.14787255619</v>
      </c>
    </row>
    <row r="222" spans="1:63">
      <c r="A222" s="669"/>
      <c r="B222" s="745">
        <v>2030</v>
      </c>
      <c r="C222" s="746" t="s">
        <v>13</v>
      </c>
      <c r="D222" s="746" t="s">
        <v>643</v>
      </c>
      <c r="E222" s="746" t="s">
        <v>644</v>
      </c>
      <c r="F222" s="746" t="s">
        <v>478</v>
      </c>
      <c r="G222" s="746" t="s">
        <v>27</v>
      </c>
      <c r="H222" s="746"/>
      <c r="I222" s="746" t="s">
        <v>46</v>
      </c>
      <c r="J222" s="746" t="s">
        <v>489</v>
      </c>
      <c r="K222" s="746"/>
      <c r="L222" s="746" t="s">
        <v>20</v>
      </c>
      <c r="M222" s="746" t="s">
        <v>412</v>
      </c>
      <c r="N222" s="747">
        <v>3174230.5263</v>
      </c>
      <c r="O222" s="747">
        <v>472.23320760000001</v>
      </c>
      <c r="P222" s="747">
        <v>0</v>
      </c>
      <c r="Q222" s="747">
        <v>3015518.9999850001</v>
      </c>
      <c r="R222" s="747">
        <v>448.62154722000002</v>
      </c>
      <c r="S222" s="747">
        <v>0</v>
      </c>
      <c r="T222" s="747">
        <v>39958099.475381203</v>
      </c>
      <c r="U222" s="747">
        <v>0</v>
      </c>
      <c r="V222" s="747">
        <v>5617.6751402042901</v>
      </c>
      <c r="W222" s="747">
        <v>0</v>
      </c>
      <c r="X222" s="748">
        <v>2644245.4768200298</v>
      </c>
      <c r="Y222" s="748">
        <v>2783416.29138951</v>
      </c>
      <c r="Z222" s="748">
        <v>2036998.9911000002</v>
      </c>
      <c r="AA222" s="748">
        <v>2111381.0514478502</v>
      </c>
      <c r="AB222" s="748">
        <v>1996805.4405123901</v>
      </c>
      <c r="AC222" s="748">
        <v>2125190.99300934</v>
      </c>
      <c r="AD222" s="748">
        <v>2125190.99300934</v>
      </c>
      <c r="AE222" s="748">
        <v>14861488.0873638</v>
      </c>
      <c r="AF222" s="747">
        <v>2644245.4768200298</v>
      </c>
      <c r="AG222" s="747">
        <v>0</v>
      </c>
      <c r="AH222" s="747">
        <v>0</v>
      </c>
      <c r="AI222" s="747">
        <v>3059376.6599444798</v>
      </c>
      <c r="AJ222" s="747">
        <v>0</v>
      </c>
      <c r="AK222" s="747">
        <v>0</v>
      </c>
      <c r="AL222" s="747">
        <v>3059376.6599444798</v>
      </c>
      <c r="AM222" s="747">
        <v>0</v>
      </c>
      <c r="AN222" s="747">
        <v>0</v>
      </c>
      <c r="AO222" s="747">
        <v>407.15778779317498</v>
      </c>
      <c r="AP222" s="747">
        <v>0</v>
      </c>
      <c r="AQ222" s="748">
        <v>275843.13430000003</v>
      </c>
      <c r="AR222" s="748">
        <v>109030.1103</v>
      </c>
      <c r="AS222" s="748">
        <v>529685.75450000004</v>
      </c>
      <c r="AT222" s="748">
        <v>1122439.9920000001</v>
      </c>
      <c r="AU222" s="747">
        <v>12864682.6468514</v>
      </c>
      <c r="AV222" s="747">
        <v>0</v>
      </c>
      <c r="AW222" s="747">
        <v>0</v>
      </c>
      <c r="AX222" s="747">
        <v>0</v>
      </c>
      <c r="AY222" s="747">
        <v>0</v>
      </c>
      <c r="AZ222" s="749">
        <v>0.56000000000000005</v>
      </c>
      <c r="BA222" s="750">
        <f t="shared" si="42"/>
        <v>970859.36167357268</v>
      </c>
      <c r="BB222" s="750">
        <f t="shared" si="43"/>
        <v>0</v>
      </c>
      <c r="BC222" s="751">
        <f t="shared" si="45"/>
        <v>2644245.4768200298</v>
      </c>
      <c r="BD222" s="751">
        <f t="shared" si="46"/>
        <v>0</v>
      </c>
      <c r="BE222" s="751">
        <f t="shared" si="47"/>
        <v>13982893.693538338</v>
      </c>
      <c r="BF222" s="751">
        <f t="shared" si="48"/>
        <v>878594.39382545149</v>
      </c>
      <c r="BG222" s="752">
        <f t="shared" si="44"/>
        <v>13.250819999999988</v>
      </c>
      <c r="BH222" s="763">
        <f t="shared" si="38"/>
        <v>199553.34664722878</v>
      </c>
      <c r="BI222" s="763">
        <f t="shared" si="39"/>
        <v>0</v>
      </c>
      <c r="BJ222" s="763">
        <f t="shared" si="40"/>
        <v>1055247.4257093787</v>
      </c>
      <c r="BK222" s="763">
        <f t="shared" si="41"/>
        <v>66304.907456704736</v>
      </c>
    </row>
    <row r="223" spans="1:63">
      <c r="A223" s="669"/>
      <c r="B223" s="754">
        <v>2030</v>
      </c>
      <c r="C223" s="755" t="s">
        <v>13</v>
      </c>
      <c r="D223" s="755" t="s">
        <v>645</v>
      </c>
      <c r="E223" s="755" t="s">
        <v>646</v>
      </c>
      <c r="F223" s="755" t="s">
        <v>647</v>
      </c>
      <c r="G223" s="755" t="s">
        <v>27</v>
      </c>
      <c r="H223" s="755" t="s">
        <v>648</v>
      </c>
      <c r="I223" s="755" t="s">
        <v>40</v>
      </c>
      <c r="J223" s="755" t="s">
        <v>489</v>
      </c>
      <c r="K223" s="755"/>
      <c r="L223" s="755" t="s">
        <v>20</v>
      </c>
      <c r="M223" s="755" t="s">
        <v>638</v>
      </c>
      <c r="N223" s="756">
        <v>-86248.28666999987</v>
      </c>
      <c r="O223" s="756">
        <v>15.390912809999996</v>
      </c>
      <c r="P223" s="756">
        <v>29368.152868600009</v>
      </c>
      <c r="Q223" s="756">
        <v>-110950.1911699999</v>
      </c>
      <c r="R223" s="756">
        <v>7.6954564049999954</v>
      </c>
      <c r="S223" s="756">
        <v>29368.155613160001</v>
      </c>
      <c r="T223" s="756">
        <v>-2342513.3458999982</v>
      </c>
      <c r="U223" s="756">
        <v>587363.13284739957</v>
      </c>
      <c r="V223" s="756">
        <v>-311.41836031412976</v>
      </c>
      <c r="W223" s="756">
        <v>3118.8982354196924</v>
      </c>
      <c r="X223" s="757">
        <v>907238.62485036545</v>
      </c>
      <c r="Y223" s="757">
        <v>937208.59299159329</v>
      </c>
      <c r="Z223" s="757">
        <v>903343.78261000011</v>
      </c>
      <c r="AA223" s="757">
        <v>1010964.430141592</v>
      </c>
      <c r="AB223" s="757">
        <v>1095459.2311552048</v>
      </c>
      <c r="AC223" s="757">
        <v>1066717.3219153681</v>
      </c>
      <c r="AD223" s="757">
        <v>1066717.3219153681</v>
      </c>
      <c r="AE223" s="757">
        <v>1875168.4396926065</v>
      </c>
      <c r="AF223" s="756">
        <v>45519.623057150297</v>
      </c>
      <c r="AG223" s="756">
        <v>1067326.6290852211</v>
      </c>
      <c r="AH223" s="756">
        <v>0</v>
      </c>
      <c r="AI223" s="756">
        <v>55999.812264946624</v>
      </c>
      <c r="AJ223" s="756">
        <v>1734209.9980611235</v>
      </c>
      <c r="AK223" s="756">
        <v>0</v>
      </c>
      <c r="AL223" s="756">
        <v>55999.812264946624</v>
      </c>
      <c r="AM223" s="756">
        <v>1734209.9980611235</v>
      </c>
      <c r="AN223" s="756">
        <v>0</v>
      </c>
      <c r="AO223" s="756">
        <v>-14.869394280282991</v>
      </c>
      <c r="AP223" s="756">
        <v>155.94490630587947</v>
      </c>
      <c r="AQ223" s="757">
        <v>108401.2542</v>
      </c>
      <c r="AR223" s="757">
        <v>72267.502600000007</v>
      </c>
      <c r="AS223" s="757">
        <v>478722.8346</v>
      </c>
      <c r="AT223" s="757">
        <v>243952.19121000002</v>
      </c>
      <c r="AU223" s="756">
        <v>150852.20767041319</v>
      </c>
      <c r="AV223" s="756">
        <v>628857.00086699077</v>
      </c>
      <c r="AW223" s="756">
        <v>812879.22743617475</v>
      </c>
      <c r="AX223" s="756">
        <v>0</v>
      </c>
      <c r="AY223" s="756">
        <v>0</v>
      </c>
      <c r="AZ223" s="758">
        <v>0.56000000000000005</v>
      </c>
      <c r="BA223" s="759">
        <f t="shared" si="42"/>
        <v>-33376.337937976357</v>
      </c>
      <c r="BB223" s="759">
        <f t="shared" si="43"/>
        <v>31704.059122881845</v>
      </c>
      <c r="BC223" s="760">
        <f t="shared" si="45"/>
        <v>858398.85049332504</v>
      </c>
      <c r="BD223" s="760">
        <f t="shared" si="46"/>
        <v>1067326.6290852211</v>
      </c>
      <c r="BE223" s="760">
        <f t="shared" si="47"/>
        <v>764309.377117328</v>
      </c>
      <c r="BF223" s="760">
        <f t="shared" si="48"/>
        <v>1110859.0625752809</v>
      </c>
      <c r="BG223" s="761">
        <f t="shared" si="44"/>
        <v>19.835220418609563</v>
      </c>
      <c r="BH223" s="762">
        <f t="shared" si="38"/>
        <v>43276.49667497359</v>
      </c>
      <c r="BI223" s="762">
        <f t="shared" si="39"/>
        <v>53809.668184168331</v>
      </c>
      <c r="BJ223" s="762">
        <f t="shared" si="40"/>
        <v>38532.940949839249</v>
      </c>
      <c r="BK223" s="762">
        <f t="shared" si="41"/>
        <v>56004.371977286624</v>
      </c>
    </row>
    <row r="224" spans="1:63">
      <c r="A224" s="669"/>
      <c r="B224" s="745">
        <v>2030</v>
      </c>
      <c r="C224" s="746" t="s">
        <v>13</v>
      </c>
      <c r="D224" s="746" t="s">
        <v>649</v>
      </c>
      <c r="E224" s="746" t="s">
        <v>650</v>
      </c>
      <c r="F224" s="746" t="s">
        <v>647</v>
      </c>
      <c r="G224" s="746" t="s">
        <v>27</v>
      </c>
      <c r="H224" s="746" t="s">
        <v>648</v>
      </c>
      <c r="I224" s="746" t="s">
        <v>40</v>
      </c>
      <c r="J224" s="746" t="s">
        <v>17</v>
      </c>
      <c r="K224" s="746"/>
      <c r="L224" s="746" t="s">
        <v>20</v>
      </c>
      <c r="M224" s="746" t="s">
        <v>638</v>
      </c>
      <c r="N224" s="747">
        <v>0</v>
      </c>
      <c r="O224" s="747">
        <v>0</v>
      </c>
      <c r="P224" s="747">
        <v>0</v>
      </c>
      <c r="Q224" s="747">
        <v>0</v>
      </c>
      <c r="R224" s="747">
        <v>0</v>
      </c>
      <c r="S224" s="747">
        <v>0</v>
      </c>
      <c r="T224" s="747">
        <v>0</v>
      </c>
      <c r="U224" s="747">
        <v>0</v>
      </c>
      <c r="V224" s="747">
        <v>0</v>
      </c>
      <c r="W224" s="747">
        <v>0</v>
      </c>
      <c r="X224" s="748">
        <v>0</v>
      </c>
      <c r="Y224" s="748">
        <v>0</v>
      </c>
      <c r="Z224" s="748">
        <v>7391.4647000000004</v>
      </c>
      <c r="AA224" s="748">
        <v>7391.4647000000004</v>
      </c>
      <c r="AB224" s="748">
        <v>7391.4647000000004</v>
      </c>
      <c r="AC224" s="748">
        <v>7391.4647000000004</v>
      </c>
      <c r="AD224" s="748">
        <v>7391.4647000000004</v>
      </c>
      <c r="AE224" s="748">
        <v>7391.4647000000004</v>
      </c>
      <c r="AF224" s="747">
        <v>0</v>
      </c>
      <c r="AG224" s="747">
        <v>0</v>
      </c>
      <c r="AH224" s="747">
        <v>0</v>
      </c>
      <c r="AI224" s="747">
        <v>0</v>
      </c>
      <c r="AJ224" s="747">
        <v>0</v>
      </c>
      <c r="AK224" s="747">
        <v>0</v>
      </c>
      <c r="AL224" s="747">
        <v>0</v>
      </c>
      <c r="AM224" s="747">
        <v>0</v>
      </c>
      <c r="AN224" s="747">
        <v>0</v>
      </c>
      <c r="AO224" s="747">
        <v>0</v>
      </c>
      <c r="AP224" s="747">
        <v>0</v>
      </c>
      <c r="AQ224" s="748">
        <v>7391.4647000000004</v>
      </c>
      <c r="AR224" s="748">
        <v>0</v>
      </c>
      <c r="AS224" s="748">
        <v>0</v>
      </c>
      <c r="AT224" s="748">
        <v>0</v>
      </c>
      <c r="AU224" s="747">
        <v>0</v>
      </c>
      <c r="AV224" s="747">
        <v>0</v>
      </c>
      <c r="AW224" s="747">
        <v>0</v>
      </c>
      <c r="AX224" s="747">
        <v>0</v>
      </c>
      <c r="AY224" s="747">
        <v>0</v>
      </c>
      <c r="AZ224" s="749">
        <v>0.56000000000000005</v>
      </c>
      <c r="BA224" s="750" t="str">
        <f t="shared" si="42"/>
        <v/>
      </c>
      <c r="BB224" s="750" t="str">
        <f t="shared" si="43"/>
        <v/>
      </c>
      <c r="BC224" s="751">
        <f t="shared" si="45"/>
        <v>0</v>
      </c>
      <c r="BD224" s="751">
        <f t="shared" si="46"/>
        <v>0</v>
      </c>
      <c r="BE224" s="751">
        <f t="shared" si="47"/>
        <v>4139.2202320000006</v>
      </c>
      <c r="BF224" s="751">
        <f t="shared" si="48"/>
        <v>3252.2444679999999</v>
      </c>
      <c r="BG224" s="752">
        <f t="shared" si="44"/>
        <v>0</v>
      </c>
      <c r="BH224" s="763">
        <f t="shared" si="38"/>
        <v>0</v>
      </c>
      <c r="BI224" s="763">
        <f t="shared" si="39"/>
        <v>0</v>
      </c>
      <c r="BJ224" s="763">
        <f t="shared" si="40"/>
        <v>0</v>
      </c>
      <c r="BK224" s="763">
        <f t="shared" si="41"/>
        <v>0</v>
      </c>
    </row>
    <row r="225" spans="1:63">
      <c r="A225" s="669"/>
      <c r="B225" s="754">
        <v>2030</v>
      </c>
      <c r="C225" s="755" t="s">
        <v>13</v>
      </c>
      <c r="D225" s="755" t="s">
        <v>651</v>
      </c>
      <c r="E225" s="755" t="s">
        <v>652</v>
      </c>
      <c r="F225" s="755" t="s">
        <v>478</v>
      </c>
      <c r="G225" s="755" t="s">
        <v>50</v>
      </c>
      <c r="H225" s="755"/>
      <c r="I225" s="755" t="s">
        <v>46</v>
      </c>
      <c r="J225" s="755" t="s">
        <v>482</v>
      </c>
      <c r="K225" s="755"/>
      <c r="L225" s="755" t="s">
        <v>29</v>
      </c>
      <c r="M225" s="755" t="s">
        <v>638</v>
      </c>
      <c r="N225" s="756">
        <v>0</v>
      </c>
      <c r="O225" s="756">
        <v>0</v>
      </c>
      <c r="P225" s="756">
        <v>0</v>
      </c>
      <c r="Q225" s="756">
        <v>0</v>
      </c>
      <c r="R225" s="756">
        <v>0</v>
      </c>
      <c r="S225" s="756">
        <v>0</v>
      </c>
      <c r="T225" s="756">
        <v>0</v>
      </c>
      <c r="U225" s="756">
        <v>0</v>
      </c>
      <c r="V225" s="756">
        <v>0</v>
      </c>
      <c r="W225" s="756">
        <v>0</v>
      </c>
      <c r="X225" s="757">
        <v>0</v>
      </c>
      <c r="Y225" s="757">
        <v>0</v>
      </c>
      <c r="Z225" s="757">
        <v>129479.86500000001</v>
      </c>
      <c r="AA225" s="757">
        <v>129479.86500000001</v>
      </c>
      <c r="AB225" s="757">
        <v>129479.86500000001</v>
      </c>
      <c r="AC225" s="757">
        <v>129479.86500000001</v>
      </c>
      <c r="AD225" s="757">
        <v>129479.86500000001</v>
      </c>
      <c r="AE225" s="757">
        <v>129479.86500000001</v>
      </c>
      <c r="AF225" s="756">
        <v>0</v>
      </c>
      <c r="AG225" s="756">
        <v>0</v>
      </c>
      <c r="AH225" s="756">
        <v>0</v>
      </c>
      <c r="AI225" s="756">
        <v>0</v>
      </c>
      <c r="AJ225" s="756">
        <v>0</v>
      </c>
      <c r="AK225" s="756">
        <v>0</v>
      </c>
      <c r="AL225" s="756">
        <v>0</v>
      </c>
      <c r="AM225" s="756">
        <v>0</v>
      </c>
      <c r="AN225" s="756">
        <v>0</v>
      </c>
      <c r="AO225" s="756">
        <v>0</v>
      </c>
      <c r="AP225" s="756">
        <v>0</v>
      </c>
      <c r="AQ225" s="757">
        <v>129479.86500000001</v>
      </c>
      <c r="AR225" s="757">
        <v>0</v>
      </c>
      <c r="AS225" s="757">
        <v>0</v>
      </c>
      <c r="AT225" s="757">
        <v>0</v>
      </c>
      <c r="AU225" s="756">
        <v>0</v>
      </c>
      <c r="AV225" s="756">
        <v>0</v>
      </c>
      <c r="AW225" s="756">
        <v>0</v>
      </c>
      <c r="AX225" s="756">
        <v>0</v>
      </c>
      <c r="AY225" s="756">
        <v>0</v>
      </c>
      <c r="AZ225" s="758">
        <v>0.56000000000000005</v>
      </c>
      <c r="BA225" s="759" t="str">
        <f t="shared" si="42"/>
        <v/>
      </c>
      <c r="BB225" s="759" t="str">
        <f t="shared" si="43"/>
        <v/>
      </c>
      <c r="BC225" s="760">
        <f t="shared" si="45"/>
        <v>0</v>
      </c>
      <c r="BD225" s="760">
        <f t="shared" si="46"/>
        <v>0</v>
      </c>
      <c r="BE225" s="760">
        <f t="shared" si="47"/>
        <v>72508.724400000006</v>
      </c>
      <c r="BF225" s="760">
        <f t="shared" si="48"/>
        <v>56971.140599999999</v>
      </c>
      <c r="BG225" s="761">
        <f t="shared" si="44"/>
        <v>0</v>
      </c>
      <c r="BH225" s="762">
        <f t="shared" si="38"/>
        <v>0</v>
      </c>
      <c r="BI225" s="762">
        <f t="shared" si="39"/>
        <v>0</v>
      </c>
      <c r="BJ225" s="762">
        <f t="shared" si="40"/>
        <v>0</v>
      </c>
      <c r="BK225" s="762">
        <f t="shared" si="41"/>
        <v>0</v>
      </c>
    </row>
    <row r="226" spans="1:63">
      <c r="A226" s="669"/>
      <c r="B226" s="745">
        <v>2031</v>
      </c>
      <c r="C226" s="746" t="s">
        <v>13</v>
      </c>
      <c r="D226" s="746" t="s">
        <v>470</v>
      </c>
      <c r="E226" s="746" t="s">
        <v>471</v>
      </c>
      <c r="F226" s="746" t="s">
        <v>347</v>
      </c>
      <c r="G226" s="746" t="s">
        <v>50</v>
      </c>
      <c r="H226" s="746"/>
      <c r="I226" s="746" t="s">
        <v>347</v>
      </c>
      <c r="J226" s="746" t="s">
        <v>17</v>
      </c>
      <c r="K226" s="746"/>
      <c r="L226" s="746" t="s">
        <v>347</v>
      </c>
      <c r="M226" s="746" t="s">
        <v>412</v>
      </c>
      <c r="N226" s="747">
        <v>0</v>
      </c>
      <c r="O226" s="747">
        <v>0</v>
      </c>
      <c r="P226" s="747">
        <v>0</v>
      </c>
      <c r="Q226" s="747">
        <v>0</v>
      </c>
      <c r="R226" s="747">
        <v>0</v>
      </c>
      <c r="S226" s="747">
        <v>0</v>
      </c>
      <c r="T226" s="747">
        <v>0</v>
      </c>
      <c r="U226" s="747">
        <v>0</v>
      </c>
      <c r="V226" s="747">
        <v>0</v>
      </c>
      <c r="W226" s="747">
        <v>0</v>
      </c>
      <c r="X226" s="748">
        <v>0</v>
      </c>
      <c r="Y226" s="748">
        <v>0</v>
      </c>
      <c r="Z226" s="748">
        <v>847506.62789999996</v>
      </c>
      <c r="AA226" s="748">
        <v>847506.62789999996</v>
      </c>
      <c r="AB226" s="748">
        <v>847506.62789999996</v>
      </c>
      <c r="AC226" s="748">
        <v>847506.62789999996</v>
      </c>
      <c r="AD226" s="748">
        <v>847506.62789999996</v>
      </c>
      <c r="AE226" s="748">
        <v>847506.62789999996</v>
      </c>
      <c r="AF226" s="747">
        <v>0</v>
      </c>
      <c r="AG226" s="747">
        <v>0</v>
      </c>
      <c r="AH226" s="747">
        <v>0</v>
      </c>
      <c r="AI226" s="747">
        <v>0</v>
      </c>
      <c r="AJ226" s="747">
        <v>0</v>
      </c>
      <c r="AK226" s="747">
        <v>0</v>
      </c>
      <c r="AL226" s="747">
        <v>0</v>
      </c>
      <c r="AM226" s="747">
        <v>0</v>
      </c>
      <c r="AN226" s="747">
        <v>0</v>
      </c>
      <c r="AO226" s="747">
        <v>0</v>
      </c>
      <c r="AP226" s="747">
        <v>0</v>
      </c>
      <c r="AQ226" s="748">
        <v>33969.127899999999</v>
      </c>
      <c r="AR226" s="748">
        <v>0</v>
      </c>
      <c r="AS226" s="748">
        <v>813537.5</v>
      </c>
      <c r="AT226" s="748">
        <v>0</v>
      </c>
      <c r="AU226" s="747">
        <v>0</v>
      </c>
      <c r="AV226" s="747">
        <v>0</v>
      </c>
      <c r="AW226" s="747">
        <v>0</v>
      </c>
      <c r="AX226" s="747">
        <v>0</v>
      </c>
      <c r="AY226" s="747">
        <v>0</v>
      </c>
      <c r="AZ226" s="749">
        <v>0.56000000000000005</v>
      </c>
      <c r="BA226" s="750" t="str">
        <f t="shared" si="42"/>
        <v/>
      </c>
      <c r="BB226" s="750" t="str">
        <f t="shared" si="43"/>
        <v/>
      </c>
      <c r="BC226" s="751">
        <f t="shared" si="45"/>
        <v>0</v>
      </c>
      <c r="BD226" s="751">
        <f t="shared" si="46"/>
        <v>0</v>
      </c>
      <c r="BE226" s="751">
        <f t="shared" si="47"/>
        <v>474603.71162400005</v>
      </c>
      <c r="BF226" s="751">
        <f t="shared" si="48"/>
        <v>372902.91627599992</v>
      </c>
      <c r="BG226" s="752">
        <f t="shared" si="44"/>
        <v>0</v>
      </c>
      <c r="BH226" s="763">
        <f t="shared" si="38"/>
        <v>0</v>
      </c>
      <c r="BI226" s="763">
        <f t="shared" si="39"/>
        <v>0</v>
      </c>
      <c r="BJ226" s="763">
        <f t="shared" si="40"/>
        <v>0</v>
      </c>
      <c r="BK226" s="763">
        <f t="shared" si="41"/>
        <v>0</v>
      </c>
    </row>
    <row r="227" spans="1:63">
      <c r="A227" s="669"/>
      <c r="B227" s="754">
        <v>2031</v>
      </c>
      <c r="C227" s="755" t="s">
        <v>13</v>
      </c>
      <c r="D227" s="755" t="s">
        <v>472</v>
      </c>
      <c r="E227" s="755" t="s">
        <v>473</v>
      </c>
      <c r="F227" s="755" t="s">
        <v>347</v>
      </c>
      <c r="G227" s="755" t="s">
        <v>50</v>
      </c>
      <c r="H227" s="755"/>
      <c r="I227" s="755" t="s">
        <v>347</v>
      </c>
      <c r="J227" s="755" t="s">
        <v>17</v>
      </c>
      <c r="K227" s="755"/>
      <c r="L227" s="755" t="s">
        <v>347</v>
      </c>
      <c r="M227" s="755" t="s">
        <v>412</v>
      </c>
      <c r="N227" s="756">
        <v>0</v>
      </c>
      <c r="O227" s="756">
        <v>0</v>
      </c>
      <c r="P227" s="756">
        <v>0</v>
      </c>
      <c r="Q227" s="756">
        <v>0</v>
      </c>
      <c r="R227" s="756">
        <v>0</v>
      </c>
      <c r="S227" s="756">
        <v>0</v>
      </c>
      <c r="T227" s="756">
        <v>0</v>
      </c>
      <c r="U227" s="756">
        <v>0</v>
      </c>
      <c r="V227" s="756">
        <v>0</v>
      </c>
      <c r="W227" s="756">
        <v>0</v>
      </c>
      <c r="X227" s="757">
        <v>0</v>
      </c>
      <c r="Y227" s="757">
        <v>0</v>
      </c>
      <c r="Z227" s="757">
        <v>773450.60609999998</v>
      </c>
      <c r="AA227" s="757">
        <v>773450.60609999998</v>
      </c>
      <c r="AB227" s="757">
        <v>773450.60609999998</v>
      </c>
      <c r="AC227" s="757">
        <v>773450.60609999998</v>
      </c>
      <c r="AD227" s="757">
        <v>773450.60609999998</v>
      </c>
      <c r="AE227" s="757">
        <v>773450.60609999998</v>
      </c>
      <c r="AF227" s="756">
        <v>0</v>
      </c>
      <c r="AG227" s="756">
        <v>0</v>
      </c>
      <c r="AH227" s="756">
        <v>0</v>
      </c>
      <c r="AI227" s="756">
        <v>0</v>
      </c>
      <c r="AJ227" s="756">
        <v>0</v>
      </c>
      <c r="AK227" s="756">
        <v>0</v>
      </c>
      <c r="AL227" s="756">
        <v>0</v>
      </c>
      <c r="AM227" s="756">
        <v>0</v>
      </c>
      <c r="AN227" s="756">
        <v>0</v>
      </c>
      <c r="AO227" s="756">
        <v>0</v>
      </c>
      <c r="AP227" s="756">
        <v>0</v>
      </c>
      <c r="AQ227" s="757">
        <v>22549.5016</v>
      </c>
      <c r="AR227" s="757">
        <v>0</v>
      </c>
      <c r="AS227" s="757">
        <v>750901.10450000002</v>
      </c>
      <c r="AT227" s="757">
        <v>0</v>
      </c>
      <c r="AU227" s="756">
        <v>0</v>
      </c>
      <c r="AV227" s="756">
        <v>0</v>
      </c>
      <c r="AW227" s="756">
        <v>0</v>
      </c>
      <c r="AX227" s="756">
        <v>0</v>
      </c>
      <c r="AY227" s="756">
        <v>0</v>
      </c>
      <c r="AZ227" s="758">
        <v>0.56000000000000005</v>
      </c>
      <c r="BA227" s="759" t="str">
        <f t="shared" si="42"/>
        <v/>
      </c>
      <c r="BB227" s="759" t="str">
        <f t="shared" si="43"/>
        <v/>
      </c>
      <c r="BC227" s="760">
        <f t="shared" si="45"/>
        <v>0</v>
      </c>
      <c r="BD227" s="760">
        <f t="shared" si="46"/>
        <v>0</v>
      </c>
      <c r="BE227" s="760">
        <f t="shared" si="47"/>
        <v>433132.339416</v>
      </c>
      <c r="BF227" s="760">
        <f t="shared" si="48"/>
        <v>340318.26668399997</v>
      </c>
      <c r="BG227" s="761">
        <f t="shared" si="44"/>
        <v>0</v>
      </c>
      <c r="BH227" s="762">
        <f t="shared" si="38"/>
        <v>0</v>
      </c>
      <c r="BI227" s="762">
        <f t="shared" si="39"/>
        <v>0</v>
      </c>
      <c r="BJ227" s="762">
        <f t="shared" si="40"/>
        <v>0</v>
      </c>
      <c r="BK227" s="762">
        <f t="shared" si="41"/>
        <v>0</v>
      </c>
    </row>
    <row r="228" spans="1:63">
      <c r="A228" s="669"/>
      <c r="B228" s="745">
        <v>2031</v>
      </c>
      <c r="C228" s="746" t="s">
        <v>13</v>
      </c>
      <c r="D228" s="746" t="s">
        <v>474</v>
      </c>
      <c r="E228" s="746" t="s">
        <v>475</v>
      </c>
      <c r="F228" s="746" t="s">
        <v>347</v>
      </c>
      <c r="G228" s="746" t="s">
        <v>50</v>
      </c>
      <c r="H228" s="746"/>
      <c r="I228" s="746" t="s">
        <v>347</v>
      </c>
      <c r="J228" s="746" t="s">
        <v>17</v>
      </c>
      <c r="K228" s="746"/>
      <c r="L228" s="746" t="s">
        <v>347</v>
      </c>
      <c r="M228" s="746" t="s">
        <v>412</v>
      </c>
      <c r="N228" s="747">
        <v>0</v>
      </c>
      <c r="O228" s="747">
        <v>0</v>
      </c>
      <c r="P228" s="747">
        <v>0</v>
      </c>
      <c r="Q228" s="747">
        <v>0</v>
      </c>
      <c r="R228" s="747">
        <v>0</v>
      </c>
      <c r="S228" s="747">
        <v>0</v>
      </c>
      <c r="T228" s="747">
        <v>0</v>
      </c>
      <c r="U228" s="747">
        <v>0</v>
      </c>
      <c r="V228" s="747">
        <v>0</v>
      </c>
      <c r="W228" s="747">
        <v>0</v>
      </c>
      <c r="X228" s="748">
        <v>0</v>
      </c>
      <c r="Y228" s="748">
        <v>0</v>
      </c>
      <c r="Z228" s="748">
        <v>578745.42879999999</v>
      </c>
      <c r="AA228" s="748">
        <v>578745.42879999999</v>
      </c>
      <c r="AB228" s="748">
        <v>578745.42879999999</v>
      </c>
      <c r="AC228" s="748">
        <v>578745.42879999999</v>
      </c>
      <c r="AD228" s="748">
        <v>578745.42879999999</v>
      </c>
      <c r="AE228" s="748">
        <v>578745.42879999999</v>
      </c>
      <c r="AF228" s="747">
        <v>0</v>
      </c>
      <c r="AG228" s="747">
        <v>0</v>
      </c>
      <c r="AH228" s="747">
        <v>0</v>
      </c>
      <c r="AI228" s="747">
        <v>0</v>
      </c>
      <c r="AJ228" s="747">
        <v>0</v>
      </c>
      <c r="AK228" s="747">
        <v>0</v>
      </c>
      <c r="AL228" s="747">
        <v>0</v>
      </c>
      <c r="AM228" s="747">
        <v>0</v>
      </c>
      <c r="AN228" s="747">
        <v>0</v>
      </c>
      <c r="AO228" s="747">
        <v>0</v>
      </c>
      <c r="AP228" s="747">
        <v>0</v>
      </c>
      <c r="AQ228" s="748">
        <v>19919.219499999999</v>
      </c>
      <c r="AR228" s="748">
        <v>0</v>
      </c>
      <c r="AS228" s="748">
        <v>558826.20929999999</v>
      </c>
      <c r="AT228" s="748">
        <v>0</v>
      </c>
      <c r="AU228" s="747">
        <v>0</v>
      </c>
      <c r="AV228" s="747">
        <v>0</v>
      </c>
      <c r="AW228" s="747">
        <v>0</v>
      </c>
      <c r="AX228" s="747">
        <v>0</v>
      </c>
      <c r="AY228" s="747">
        <v>0</v>
      </c>
      <c r="AZ228" s="749">
        <v>0.56000000000000005</v>
      </c>
      <c r="BA228" s="750" t="str">
        <f t="shared" si="42"/>
        <v/>
      </c>
      <c r="BB228" s="750" t="str">
        <f t="shared" si="43"/>
        <v/>
      </c>
      <c r="BC228" s="751">
        <f t="shared" si="45"/>
        <v>0</v>
      </c>
      <c r="BD228" s="751">
        <f t="shared" si="46"/>
        <v>0</v>
      </c>
      <c r="BE228" s="751">
        <f t="shared" si="47"/>
        <v>324097.44012800005</v>
      </c>
      <c r="BF228" s="751">
        <f t="shared" si="48"/>
        <v>254647.98867199998</v>
      </c>
      <c r="BG228" s="752">
        <f t="shared" si="44"/>
        <v>0</v>
      </c>
      <c r="BH228" s="763">
        <f t="shared" si="38"/>
        <v>0</v>
      </c>
      <c r="BI228" s="763">
        <f t="shared" si="39"/>
        <v>0</v>
      </c>
      <c r="BJ228" s="763">
        <f t="shared" si="40"/>
        <v>0</v>
      </c>
      <c r="BK228" s="763">
        <f t="shared" si="41"/>
        <v>0</v>
      </c>
    </row>
    <row r="229" spans="1:63">
      <c r="A229" s="669"/>
      <c r="B229" s="754">
        <v>2031</v>
      </c>
      <c r="C229" s="755" t="s">
        <v>13</v>
      </c>
      <c r="D229" s="755" t="s">
        <v>476</v>
      </c>
      <c r="E229" s="755" t="s">
        <v>477</v>
      </c>
      <c r="F229" s="755" t="s">
        <v>478</v>
      </c>
      <c r="G229" s="755" t="s">
        <v>27</v>
      </c>
      <c r="H229" s="755"/>
      <c r="I229" s="755" t="s">
        <v>35</v>
      </c>
      <c r="J229" s="755" t="s">
        <v>17</v>
      </c>
      <c r="K229" s="755"/>
      <c r="L229" s="755" t="s">
        <v>29</v>
      </c>
      <c r="M229" s="755" t="s">
        <v>412</v>
      </c>
      <c r="N229" s="756">
        <v>0</v>
      </c>
      <c r="O229" s="756">
        <v>0</v>
      </c>
      <c r="P229" s="756">
        <v>0</v>
      </c>
      <c r="Q229" s="756">
        <v>0</v>
      </c>
      <c r="R229" s="756">
        <v>0</v>
      </c>
      <c r="S229" s="756">
        <v>0</v>
      </c>
      <c r="T229" s="756">
        <v>0</v>
      </c>
      <c r="U229" s="756">
        <v>0</v>
      </c>
      <c r="V229" s="756">
        <v>0</v>
      </c>
      <c r="W229" s="756">
        <v>0</v>
      </c>
      <c r="X229" s="757">
        <v>0</v>
      </c>
      <c r="Y229" s="757">
        <v>0</v>
      </c>
      <c r="Z229" s="757">
        <v>118951.2506</v>
      </c>
      <c r="AA229" s="757">
        <v>118951.2506</v>
      </c>
      <c r="AB229" s="757">
        <v>118951.2506</v>
      </c>
      <c r="AC229" s="757">
        <v>118951.2506</v>
      </c>
      <c r="AD229" s="757">
        <v>118951.2506</v>
      </c>
      <c r="AE229" s="757">
        <v>118951.2506</v>
      </c>
      <c r="AF229" s="756">
        <v>0</v>
      </c>
      <c r="AG229" s="756">
        <v>0</v>
      </c>
      <c r="AH229" s="756">
        <v>0</v>
      </c>
      <c r="AI229" s="756">
        <v>0</v>
      </c>
      <c r="AJ229" s="756">
        <v>0</v>
      </c>
      <c r="AK229" s="756">
        <v>0</v>
      </c>
      <c r="AL229" s="756">
        <v>0</v>
      </c>
      <c r="AM229" s="756">
        <v>0</v>
      </c>
      <c r="AN229" s="756">
        <v>0</v>
      </c>
      <c r="AO229" s="756">
        <v>0</v>
      </c>
      <c r="AP229" s="756">
        <v>0</v>
      </c>
      <c r="AQ229" s="757">
        <v>47198.206200000001</v>
      </c>
      <c r="AR229" s="757">
        <v>796.30359999999996</v>
      </c>
      <c r="AS229" s="757">
        <v>70956.7408</v>
      </c>
      <c r="AT229" s="757">
        <v>0</v>
      </c>
      <c r="AU229" s="756">
        <v>0</v>
      </c>
      <c r="AV229" s="756">
        <v>0</v>
      </c>
      <c r="AW229" s="756">
        <v>0</v>
      </c>
      <c r="AX229" s="756">
        <v>0</v>
      </c>
      <c r="AY229" s="756">
        <v>0</v>
      </c>
      <c r="AZ229" s="758">
        <v>0.56000000000000005</v>
      </c>
      <c r="BA229" s="759" t="str">
        <f t="shared" si="42"/>
        <v/>
      </c>
      <c r="BB229" s="759" t="str">
        <f t="shared" si="43"/>
        <v/>
      </c>
      <c r="BC229" s="760">
        <f t="shared" si="45"/>
        <v>0</v>
      </c>
      <c r="BD229" s="760">
        <f t="shared" si="46"/>
        <v>0</v>
      </c>
      <c r="BE229" s="760">
        <f t="shared" si="47"/>
        <v>66612.700336000009</v>
      </c>
      <c r="BF229" s="760">
        <f t="shared" si="48"/>
        <v>52338.55026399999</v>
      </c>
      <c r="BG229" s="761">
        <f t="shared" si="44"/>
        <v>0</v>
      </c>
      <c r="BH229" s="762">
        <f t="shared" si="38"/>
        <v>0</v>
      </c>
      <c r="BI229" s="762">
        <f t="shared" si="39"/>
        <v>0</v>
      </c>
      <c r="BJ229" s="762">
        <f t="shared" si="40"/>
        <v>0</v>
      </c>
      <c r="BK229" s="762">
        <f t="shared" si="41"/>
        <v>0</v>
      </c>
    </row>
    <row r="230" spans="1:63">
      <c r="A230" s="669"/>
      <c r="B230" s="745">
        <v>2031</v>
      </c>
      <c r="C230" s="746" t="s">
        <v>13</v>
      </c>
      <c r="D230" s="746" t="s">
        <v>479</v>
      </c>
      <c r="E230" s="746" t="s">
        <v>480</v>
      </c>
      <c r="F230" s="746" t="s">
        <v>478</v>
      </c>
      <c r="G230" s="746" t="s">
        <v>50</v>
      </c>
      <c r="H230" s="746"/>
      <c r="I230" s="746" t="s">
        <v>481</v>
      </c>
      <c r="J230" s="746" t="s">
        <v>482</v>
      </c>
      <c r="K230" s="746"/>
      <c r="L230" s="746" t="s">
        <v>29</v>
      </c>
      <c r="M230" s="746" t="s">
        <v>412</v>
      </c>
      <c r="N230" s="747">
        <v>0</v>
      </c>
      <c r="O230" s="747">
        <v>0</v>
      </c>
      <c r="P230" s="747">
        <v>0</v>
      </c>
      <c r="Q230" s="747">
        <v>0</v>
      </c>
      <c r="R230" s="747">
        <v>0</v>
      </c>
      <c r="S230" s="747">
        <v>0</v>
      </c>
      <c r="T230" s="747">
        <v>0</v>
      </c>
      <c r="U230" s="747">
        <v>0</v>
      </c>
      <c r="V230" s="747">
        <v>0</v>
      </c>
      <c r="W230" s="747">
        <v>0</v>
      </c>
      <c r="X230" s="748">
        <v>0</v>
      </c>
      <c r="Y230" s="748">
        <v>0</v>
      </c>
      <c r="Z230" s="748">
        <v>161388.03769999999</v>
      </c>
      <c r="AA230" s="748">
        <v>161388.03769999999</v>
      </c>
      <c r="AB230" s="748">
        <v>161388.03769999999</v>
      </c>
      <c r="AC230" s="748">
        <v>161388.03769999999</v>
      </c>
      <c r="AD230" s="748">
        <v>161388.03769999999</v>
      </c>
      <c r="AE230" s="748">
        <v>161388.03769999999</v>
      </c>
      <c r="AF230" s="747">
        <v>0</v>
      </c>
      <c r="AG230" s="747">
        <v>0</v>
      </c>
      <c r="AH230" s="747">
        <v>0</v>
      </c>
      <c r="AI230" s="747">
        <v>0</v>
      </c>
      <c r="AJ230" s="747">
        <v>0</v>
      </c>
      <c r="AK230" s="747">
        <v>0</v>
      </c>
      <c r="AL230" s="747">
        <v>0</v>
      </c>
      <c r="AM230" s="747">
        <v>0</v>
      </c>
      <c r="AN230" s="747">
        <v>0</v>
      </c>
      <c r="AO230" s="747">
        <v>0</v>
      </c>
      <c r="AP230" s="747">
        <v>0</v>
      </c>
      <c r="AQ230" s="748">
        <v>161388.03769999999</v>
      </c>
      <c r="AR230" s="748">
        <v>0</v>
      </c>
      <c r="AS230" s="748">
        <v>0</v>
      </c>
      <c r="AT230" s="748">
        <v>0</v>
      </c>
      <c r="AU230" s="747">
        <v>0</v>
      </c>
      <c r="AV230" s="747">
        <v>0</v>
      </c>
      <c r="AW230" s="747">
        <v>0</v>
      </c>
      <c r="AX230" s="747">
        <v>0</v>
      </c>
      <c r="AY230" s="747">
        <v>0</v>
      </c>
      <c r="AZ230" s="749">
        <v>0.56000000000000005</v>
      </c>
      <c r="BA230" s="750" t="str">
        <f t="shared" si="42"/>
        <v/>
      </c>
      <c r="BB230" s="750" t="str">
        <f t="shared" si="43"/>
        <v/>
      </c>
      <c r="BC230" s="751">
        <f t="shared" si="45"/>
        <v>0</v>
      </c>
      <c r="BD230" s="751">
        <f t="shared" si="46"/>
        <v>0</v>
      </c>
      <c r="BE230" s="751">
        <f t="shared" si="47"/>
        <v>90377.301112000001</v>
      </c>
      <c r="BF230" s="751">
        <f t="shared" si="48"/>
        <v>71010.736587999985</v>
      </c>
      <c r="BG230" s="752">
        <f t="shared" si="44"/>
        <v>0</v>
      </c>
      <c r="BH230" s="763">
        <f t="shared" si="38"/>
        <v>0</v>
      </c>
      <c r="BI230" s="763">
        <f t="shared" si="39"/>
        <v>0</v>
      </c>
      <c r="BJ230" s="763">
        <f t="shared" si="40"/>
        <v>0</v>
      </c>
      <c r="BK230" s="763">
        <f t="shared" si="41"/>
        <v>0</v>
      </c>
    </row>
    <row r="231" spans="1:63">
      <c r="A231" s="669"/>
      <c r="B231" s="754">
        <v>2031</v>
      </c>
      <c r="C231" s="755" t="s">
        <v>13</v>
      </c>
      <c r="D231" s="755" t="s">
        <v>483</v>
      </c>
      <c r="E231" s="755" t="s">
        <v>484</v>
      </c>
      <c r="F231" s="755" t="s">
        <v>478</v>
      </c>
      <c r="G231" s="755" t="s">
        <v>50</v>
      </c>
      <c r="H231" s="755"/>
      <c r="I231" s="755" t="s">
        <v>485</v>
      </c>
      <c r="J231" s="755" t="s">
        <v>482</v>
      </c>
      <c r="K231" s="755"/>
      <c r="L231" s="755" t="s">
        <v>486</v>
      </c>
      <c r="M231" s="755" t="s">
        <v>412</v>
      </c>
      <c r="N231" s="756">
        <v>0</v>
      </c>
      <c r="O231" s="756">
        <v>0</v>
      </c>
      <c r="P231" s="756">
        <v>0</v>
      </c>
      <c r="Q231" s="756">
        <v>0</v>
      </c>
      <c r="R231" s="756">
        <v>0</v>
      </c>
      <c r="S231" s="756">
        <v>0</v>
      </c>
      <c r="T231" s="756">
        <v>0</v>
      </c>
      <c r="U231" s="756">
        <v>0</v>
      </c>
      <c r="V231" s="756">
        <v>0</v>
      </c>
      <c r="W231" s="756">
        <v>0</v>
      </c>
      <c r="X231" s="757">
        <v>0</v>
      </c>
      <c r="Y231" s="757">
        <v>0</v>
      </c>
      <c r="Z231" s="757">
        <v>2873293.4942999999</v>
      </c>
      <c r="AA231" s="757">
        <v>2873293.4942999999</v>
      </c>
      <c r="AB231" s="757">
        <v>2873293.4942999999</v>
      </c>
      <c r="AC231" s="757">
        <v>2873293.4942999999</v>
      </c>
      <c r="AD231" s="757">
        <v>2873293.4942999999</v>
      </c>
      <c r="AE231" s="757">
        <v>2873293.4942999999</v>
      </c>
      <c r="AF231" s="756">
        <v>0</v>
      </c>
      <c r="AG231" s="756">
        <v>0</v>
      </c>
      <c r="AH231" s="756">
        <v>0</v>
      </c>
      <c r="AI231" s="756">
        <v>0</v>
      </c>
      <c r="AJ231" s="756">
        <v>0</v>
      </c>
      <c r="AK231" s="756">
        <v>0</v>
      </c>
      <c r="AL231" s="756">
        <v>0</v>
      </c>
      <c r="AM231" s="756">
        <v>0</v>
      </c>
      <c r="AN231" s="756">
        <v>0</v>
      </c>
      <c r="AO231" s="756">
        <v>0</v>
      </c>
      <c r="AP231" s="756">
        <v>0</v>
      </c>
      <c r="AQ231" s="757">
        <v>2873293.4942999999</v>
      </c>
      <c r="AR231" s="757">
        <v>0</v>
      </c>
      <c r="AS231" s="757">
        <v>0</v>
      </c>
      <c r="AT231" s="757">
        <v>0</v>
      </c>
      <c r="AU231" s="756">
        <v>0</v>
      </c>
      <c r="AV231" s="756">
        <v>0</v>
      </c>
      <c r="AW231" s="756">
        <v>0</v>
      </c>
      <c r="AX231" s="756">
        <v>0</v>
      </c>
      <c r="AY231" s="756">
        <v>0</v>
      </c>
      <c r="AZ231" s="758">
        <v>0.56000000000000005</v>
      </c>
      <c r="BA231" s="759" t="str">
        <f t="shared" si="42"/>
        <v/>
      </c>
      <c r="BB231" s="759" t="str">
        <f t="shared" si="43"/>
        <v/>
      </c>
      <c r="BC231" s="760">
        <f t="shared" si="45"/>
        <v>0</v>
      </c>
      <c r="BD231" s="760">
        <f t="shared" si="46"/>
        <v>0</v>
      </c>
      <c r="BE231" s="760">
        <f t="shared" si="47"/>
        <v>1609044.356808</v>
      </c>
      <c r="BF231" s="760">
        <f t="shared" si="48"/>
        <v>1264249.1374919999</v>
      </c>
      <c r="BG231" s="761">
        <f t="shared" si="44"/>
        <v>0</v>
      </c>
      <c r="BH231" s="762">
        <f t="shared" si="38"/>
        <v>0</v>
      </c>
      <c r="BI231" s="762">
        <f t="shared" si="39"/>
        <v>0</v>
      </c>
      <c r="BJ231" s="762">
        <f t="shared" si="40"/>
        <v>0</v>
      </c>
      <c r="BK231" s="762">
        <f t="shared" si="41"/>
        <v>0</v>
      </c>
    </row>
    <row r="232" spans="1:63">
      <c r="A232" s="669"/>
      <c r="B232" s="745">
        <v>2031</v>
      </c>
      <c r="C232" s="746" t="s">
        <v>13</v>
      </c>
      <c r="D232" s="746" t="s">
        <v>487</v>
      </c>
      <c r="E232" s="746" t="s">
        <v>488</v>
      </c>
      <c r="F232" s="746" t="s">
        <v>478</v>
      </c>
      <c r="G232" s="746" t="s">
        <v>18</v>
      </c>
      <c r="H232" s="746"/>
      <c r="I232" s="746" t="s">
        <v>46</v>
      </c>
      <c r="J232" s="746" t="s">
        <v>489</v>
      </c>
      <c r="K232" s="746"/>
      <c r="L232" s="746" t="s">
        <v>20</v>
      </c>
      <c r="M232" s="746" t="s">
        <v>412</v>
      </c>
      <c r="N232" s="747">
        <v>2202921.0830437099</v>
      </c>
      <c r="O232" s="747">
        <v>2223.4790929667702</v>
      </c>
      <c r="P232" s="747">
        <v>31477.097944224901</v>
      </c>
      <c r="Q232" s="747">
        <v>1959777.85405282</v>
      </c>
      <c r="R232" s="747">
        <v>1978.0668126908399</v>
      </c>
      <c r="S232" s="747">
        <v>28002.873065117099</v>
      </c>
      <c r="T232" s="747">
        <v>16664118.478571599</v>
      </c>
      <c r="U232" s="747">
        <v>238110.24985943999</v>
      </c>
      <c r="V232" s="747">
        <v>4636.0345088468102</v>
      </c>
      <c r="W232" s="747">
        <v>1264.3654267536299</v>
      </c>
      <c r="X232" s="748">
        <v>5654366.3534279298</v>
      </c>
      <c r="Y232" s="748">
        <v>6355885.0945581002</v>
      </c>
      <c r="Z232" s="748">
        <v>5489420.8757999996</v>
      </c>
      <c r="AA232" s="748">
        <v>5330189.6246146597</v>
      </c>
      <c r="AB232" s="748">
        <v>5322908.6243439596</v>
      </c>
      <c r="AC232" s="748">
        <v>5382007.8993964503</v>
      </c>
      <c r="AD232" s="748">
        <v>5382007.8993964503</v>
      </c>
      <c r="AE232" s="748">
        <v>11765873.777251299</v>
      </c>
      <c r="AF232" s="747">
        <v>2034714.4601024501</v>
      </c>
      <c r="AG232" s="747">
        <v>534989.56812977395</v>
      </c>
      <c r="AH232" s="747">
        <v>3080233.5350637701</v>
      </c>
      <c r="AI232" s="747">
        <v>2254770.2292770501</v>
      </c>
      <c r="AJ232" s="747">
        <v>744333.98578969995</v>
      </c>
      <c r="AK232" s="747">
        <v>4910.0078490978503</v>
      </c>
      <c r="AL232" s="747">
        <v>2254770.2292770501</v>
      </c>
      <c r="AM232" s="747">
        <v>744333.98578969995</v>
      </c>
      <c r="AN232" s="747">
        <v>4910.0078490978503</v>
      </c>
      <c r="AO232" s="747">
        <v>503.79489070507702</v>
      </c>
      <c r="AP232" s="747">
        <v>148.695255975772</v>
      </c>
      <c r="AQ232" s="748">
        <v>305775.4633</v>
      </c>
      <c r="AR232" s="748">
        <v>150796.30360000001</v>
      </c>
      <c r="AS232" s="748">
        <v>382849.10989999998</v>
      </c>
      <c r="AT232" s="748">
        <v>4649999.9989999998</v>
      </c>
      <c r="AU232" s="747">
        <v>5928316.9037694903</v>
      </c>
      <c r="AV232" s="747">
        <v>514648.24913786899</v>
      </c>
      <c r="AW232" s="747">
        <v>0</v>
      </c>
      <c r="AX232" s="747">
        <v>0</v>
      </c>
      <c r="AY232" s="747">
        <v>4428.7901319326302</v>
      </c>
      <c r="AZ232" s="749">
        <v>0.56000000000000005</v>
      </c>
      <c r="BA232" s="750">
        <f t="shared" si="42"/>
        <v>697197.64623338764</v>
      </c>
      <c r="BB232" s="750">
        <f t="shared" si="43"/>
        <v>60525.028226630027</v>
      </c>
      <c r="BC232" s="751">
        <f t="shared" si="45"/>
        <v>3764074.0298700938</v>
      </c>
      <c r="BD232" s="751">
        <f t="shared" si="46"/>
        <v>1890292.3235578327</v>
      </c>
      <c r="BE232" s="751">
        <f t="shared" si="47"/>
        <v>8909145.7334021069</v>
      </c>
      <c r="BF232" s="751">
        <f t="shared" si="48"/>
        <v>2856728.0438492112</v>
      </c>
      <c r="BG232" s="752">
        <f t="shared" si="44"/>
        <v>8.5030649999999852</v>
      </c>
      <c r="BH232" s="763">
        <f t="shared" si="38"/>
        <v>442672.61627073301</v>
      </c>
      <c r="BI232" s="763">
        <f t="shared" si="39"/>
        <v>222307.17083285097</v>
      </c>
      <c r="BJ232" s="763">
        <f t="shared" si="40"/>
        <v>1047756.9833233219</v>
      </c>
      <c r="BK232" s="763">
        <f t="shared" si="41"/>
        <v>335964.5073687213</v>
      </c>
    </row>
    <row r="233" spans="1:63">
      <c r="A233" s="669"/>
      <c r="B233" s="754">
        <v>2031</v>
      </c>
      <c r="C233" s="755" t="s">
        <v>13</v>
      </c>
      <c r="D233" s="755" t="s">
        <v>490</v>
      </c>
      <c r="E233" s="755" t="s">
        <v>491</v>
      </c>
      <c r="F233" s="755" t="s">
        <v>478</v>
      </c>
      <c r="G233" s="755" t="s">
        <v>18</v>
      </c>
      <c r="H233" s="755"/>
      <c r="I233" s="755" t="s">
        <v>46</v>
      </c>
      <c r="J233" s="755" t="s">
        <v>489</v>
      </c>
      <c r="K233" s="755"/>
      <c r="L233" s="755" t="s">
        <v>20</v>
      </c>
      <c r="M233" s="755" t="s">
        <v>412</v>
      </c>
      <c r="N233" s="756">
        <v>3707782.6953928601</v>
      </c>
      <c r="O233" s="756">
        <v>4621.0226507935904</v>
      </c>
      <c r="P233" s="756">
        <v>610030.49008056801</v>
      </c>
      <c r="Q233" s="756">
        <v>3077518.2201426602</v>
      </c>
      <c r="R233" s="756">
        <v>3835.52181231656</v>
      </c>
      <c r="S233" s="756">
        <v>506334.945248615</v>
      </c>
      <c r="T233" s="756">
        <v>27509239.850737501</v>
      </c>
      <c r="U233" s="756">
        <v>4526013.6438797396</v>
      </c>
      <c r="V233" s="756">
        <v>6541.4726218440001</v>
      </c>
      <c r="W233" s="756">
        <v>24033.132449001401</v>
      </c>
      <c r="X233" s="757">
        <v>15957247.832730301</v>
      </c>
      <c r="Y233" s="757">
        <v>19225233.824139599</v>
      </c>
      <c r="Z233" s="757">
        <v>13086164.273699999</v>
      </c>
      <c r="AA233" s="757">
        <v>12721692.181019301</v>
      </c>
      <c r="AB233" s="757">
        <v>12686534.8701554</v>
      </c>
      <c r="AC233" s="757">
        <v>12846260.0808329</v>
      </c>
      <c r="AD233" s="757">
        <v>12846260.0808329</v>
      </c>
      <c r="AE233" s="757">
        <v>31815157.311955199</v>
      </c>
      <c r="AF233" s="756">
        <v>3334436.7783530201</v>
      </c>
      <c r="AG233" s="756">
        <v>10143380.799058201</v>
      </c>
      <c r="AH233" s="756">
        <v>2478590.14908227</v>
      </c>
      <c r="AI233" s="756">
        <v>3700916.4171101898</v>
      </c>
      <c r="AJ233" s="756">
        <v>14166487.949328</v>
      </c>
      <c r="AK233" s="756">
        <v>933.69338209587204</v>
      </c>
      <c r="AL233" s="756">
        <v>3700916.4171101898</v>
      </c>
      <c r="AM233" s="756">
        <v>14166487.949328</v>
      </c>
      <c r="AN233" s="756">
        <v>933.69338209587204</v>
      </c>
      <c r="AO233" s="756">
        <v>675.90965030099699</v>
      </c>
      <c r="AP233" s="756">
        <v>2688.6385592701399</v>
      </c>
      <c r="AQ233" s="757">
        <v>682006.26340000005</v>
      </c>
      <c r="AR233" s="757">
        <v>360796.30359999998</v>
      </c>
      <c r="AS233" s="757">
        <v>883361.70770000003</v>
      </c>
      <c r="AT233" s="757">
        <v>11159999.999</v>
      </c>
      <c r="AU233" s="756">
        <v>9576123.2505635004</v>
      </c>
      <c r="AV233" s="756">
        <v>9552499.1912362892</v>
      </c>
      <c r="AW233" s="756">
        <v>0</v>
      </c>
      <c r="AX233" s="756">
        <v>0</v>
      </c>
      <c r="AY233" s="756">
        <v>840.10623688633598</v>
      </c>
      <c r="AZ233" s="758">
        <v>0.56000000000000005</v>
      </c>
      <c r="BA233" s="759">
        <f t="shared" si="42"/>
        <v>1071301.6405340941</v>
      </c>
      <c r="BB233" s="759">
        <f t="shared" si="43"/>
        <v>1068658.7658706098</v>
      </c>
      <c r="BC233" s="760">
        <f t="shared" si="45"/>
        <v>4723287.368075978</v>
      </c>
      <c r="BD233" s="760">
        <f t="shared" si="46"/>
        <v>11233960.464654399</v>
      </c>
      <c r="BE233" s="760">
        <f t="shared" si="47"/>
        <v>16680582.777850524</v>
      </c>
      <c r="BF233" s="760">
        <f t="shared" si="48"/>
        <v>15134574.534104664</v>
      </c>
      <c r="BG233" s="761">
        <f t="shared" si="44"/>
        <v>8.9387739999999951</v>
      </c>
      <c r="BH233" s="762">
        <f t="shared" si="38"/>
        <v>528404.3838759074</v>
      </c>
      <c r="BI233" s="762">
        <f t="shared" si="39"/>
        <v>1256767.4789243364</v>
      </c>
      <c r="BJ233" s="762">
        <f t="shared" si="40"/>
        <v>1866092.9091450945</v>
      </c>
      <c r="BK233" s="762">
        <f t="shared" si="41"/>
        <v>1693137.6197792529</v>
      </c>
    </row>
    <row r="234" spans="1:63">
      <c r="A234" s="669"/>
      <c r="B234" s="745">
        <v>2031</v>
      </c>
      <c r="C234" s="746" t="s">
        <v>13</v>
      </c>
      <c r="D234" s="746" t="s">
        <v>492</v>
      </c>
      <c r="E234" s="746" t="s">
        <v>493</v>
      </c>
      <c r="F234" s="746" t="s">
        <v>478</v>
      </c>
      <c r="G234" s="746" t="s">
        <v>34</v>
      </c>
      <c r="H234" s="746"/>
      <c r="I234" s="746" t="s">
        <v>46</v>
      </c>
      <c r="J234" s="746" t="s">
        <v>489</v>
      </c>
      <c r="K234" s="746"/>
      <c r="L234" s="746" t="s">
        <v>20</v>
      </c>
      <c r="M234" s="746" t="s">
        <v>412</v>
      </c>
      <c r="N234" s="747">
        <v>17325000</v>
      </c>
      <c r="O234" s="747">
        <v>2229.5700000000002</v>
      </c>
      <c r="P234" s="747">
        <v>173250</v>
      </c>
      <c r="Q234" s="747">
        <v>17325000</v>
      </c>
      <c r="R234" s="747">
        <v>2229.5700000000002</v>
      </c>
      <c r="S234" s="747">
        <v>173250</v>
      </c>
      <c r="T234" s="747">
        <v>86625000</v>
      </c>
      <c r="U234" s="747">
        <v>866250</v>
      </c>
      <c r="V234" s="747">
        <v>18704.454502500001</v>
      </c>
      <c r="W234" s="747">
        <v>4599.7875000000004</v>
      </c>
      <c r="X234" s="748">
        <v>9731876.6916343104</v>
      </c>
      <c r="Y234" s="748">
        <v>9731876.6916343104</v>
      </c>
      <c r="Z234" s="748">
        <v>9298223.928199999</v>
      </c>
      <c r="AA234" s="748">
        <v>8941999.6421843693</v>
      </c>
      <c r="AB234" s="748">
        <v>9207691.8924878091</v>
      </c>
      <c r="AC234" s="748">
        <v>8965338.0270121042</v>
      </c>
      <c r="AD234" s="748">
        <v>8965338.0270120967</v>
      </c>
      <c r="AE234" s="748">
        <v>42820315.413755894</v>
      </c>
      <c r="AF234" s="747">
        <v>7763204.4506924972</v>
      </c>
      <c r="AG234" s="747">
        <v>1968672.2409418053</v>
      </c>
      <c r="AH234" s="747">
        <v>0</v>
      </c>
      <c r="AI234" s="747">
        <v>10635299.266157329</v>
      </c>
      <c r="AJ234" s="747">
        <v>2701921.3573408583</v>
      </c>
      <c r="AK234" s="747">
        <v>0</v>
      </c>
      <c r="AL234" s="747">
        <v>10605698.679831767</v>
      </c>
      <c r="AM234" s="747">
        <v>2701921.3573408583</v>
      </c>
      <c r="AN234" s="747">
        <v>0</v>
      </c>
      <c r="AO234" s="747">
        <v>3478.4034750000001</v>
      </c>
      <c r="AP234" s="747">
        <v>919.95749999999998</v>
      </c>
      <c r="AQ234" s="748">
        <v>832778.1311</v>
      </c>
      <c r="AR234" s="748">
        <v>406234.93359999999</v>
      </c>
      <c r="AS234" s="748">
        <v>6358418.8635</v>
      </c>
      <c r="AT234" s="748">
        <v>1700792</v>
      </c>
      <c r="AU234" s="747">
        <v>32434263.654140469</v>
      </c>
      <c r="AV234" s="747">
        <v>1178359.8671276872</v>
      </c>
      <c r="AW234" s="747">
        <v>0</v>
      </c>
      <c r="AX234" s="747">
        <v>0</v>
      </c>
      <c r="AY234" s="747">
        <v>0</v>
      </c>
      <c r="AZ234" s="749">
        <v>0.56000000000000005</v>
      </c>
      <c r="BA234" s="750">
        <f t="shared" si="42"/>
        <v>6486852.7308280934</v>
      </c>
      <c r="BB234" s="750">
        <f t="shared" si="43"/>
        <v>235671.97342553744</v>
      </c>
      <c r="BC234" s="751">
        <f t="shared" si="45"/>
        <v>7763204.4506924972</v>
      </c>
      <c r="BD234" s="751">
        <f t="shared" si="46"/>
        <v>1968672.2409418053</v>
      </c>
      <c r="BE234" s="751">
        <f t="shared" si="47"/>
        <v>37590571.113933645</v>
      </c>
      <c r="BF234" s="751">
        <f t="shared" si="48"/>
        <v>5229744.299822323</v>
      </c>
      <c r="BG234" s="752">
        <f t="shared" si="44"/>
        <v>5</v>
      </c>
      <c r="BH234" s="763">
        <f t="shared" si="38"/>
        <v>1552640.8901384994</v>
      </c>
      <c r="BI234" s="763">
        <f t="shared" si="39"/>
        <v>393734.44818836107</v>
      </c>
      <c r="BJ234" s="763">
        <f t="shared" si="40"/>
        <v>7518114.2227867292</v>
      </c>
      <c r="BK234" s="763">
        <f t="shared" si="41"/>
        <v>1045948.8599644646</v>
      </c>
    </row>
    <row r="235" spans="1:63">
      <c r="A235" s="669"/>
      <c r="B235" s="754">
        <v>2031</v>
      </c>
      <c r="C235" s="755" t="s">
        <v>13</v>
      </c>
      <c r="D235" s="755" t="s">
        <v>494</v>
      </c>
      <c r="E235" s="755" t="s">
        <v>495</v>
      </c>
      <c r="F235" s="755" t="s">
        <v>496</v>
      </c>
      <c r="G235" s="755" t="s">
        <v>18</v>
      </c>
      <c r="H235" s="755"/>
      <c r="I235" s="755" t="s">
        <v>46</v>
      </c>
      <c r="J235" s="755" t="s">
        <v>489</v>
      </c>
      <c r="K235" s="755"/>
      <c r="L235" s="755" t="s">
        <v>20</v>
      </c>
      <c r="M235" s="755" t="s">
        <v>412</v>
      </c>
      <c r="N235" s="756">
        <v>100828371.56</v>
      </c>
      <c r="O235" s="756">
        <v>5500</v>
      </c>
      <c r="P235" s="756">
        <v>462883.41259999998</v>
      </c>
      <c r="Q235" s="756">
        <v>100828371.56</v>
      </c>
      <c r="R235" s="756">
        <v>5500</v>
      </c>
      <c r="S235" s="756">
        <v>462883.41259999998</v>
      </c>
      <c r="T235" s="756">
        <v>100828371.56</v>
      </c>
      <c r="U235" s="756">
        <v>462883.41259999998</v>
      </c>
      <c r="V235" s="756">
        <v>17075.682995753621</v>
      </c>
      <c r="W235" s="756">
        <v>2457.9109209059998</v>
      </c>
      <c r="X235" s="757">
        <v>13899604.837108463</v>
      </c>
      <c r="Y235" s="757">
        <v>13899604.837108463</v>
      </c>
      <c r="Z235" s="757">
        <v>5340374.5418000007</v>
      </c>
      <c r="AA235" s="757">
        <v>5340374.5417999998</v>
      </c>
      <c r="AB235" s="757">
        <v>5340374.5417999998</v>
      </c>
      <c r="AC235" s="757">
        <v>5340374.5418000016</v>
      </c>
      <c r="AD235" s="757">
        <v>5340374.5418000016</v>
      </c>
      <c r="AE235" s="757">
        <v>49167109.349359095</v>
      </c>
      <c r="AF235" s="756">
        <v>12773688.02302514</v>
      </c>
      <c r="AG235" s="756">
        <v>1125916.814083324</v>
      </c>
      <c r="AH235" s="756">
        <v>0</v>
      </c>
      <c r="AI235" s="756">
        <v>13143540.02988313</v>
      </c>
      <c r="AJ235" s="756">
        <v>1470275.0430835681</v>
      </c>
      <c r="AK235" s="756">
        <v>0</v>
      </c>
      <c r="AL235" s="756">
        <v>13143540.02988313</v>
      </c>
      <c r="AM235" s="756">
        <v>1470275.0430835681</v>
      </c>
      <c r="AN235" s="756">
        <v>0</v>
      </c>
      <c r="AO235" s="756">
        <v>17075.682995753621</v>
      </c>
      <c r="AP235" s="756">
        <v>2457.9109209059998</v>
      </c>
      <c r="AQ235" s="757">
        <v>626520.0318</v>
      </c>
      <c r="AR235" s="757">
        <v>19111.2876</v>
      </c>
      <c r="AS235" s="757">
        <v>4694743.2224000003</v>
      </c>
      <c r="AT235" s="757">
        <v>0</v>
      </c>
      <c r="AU235" s="756">
        <v>42640318.332723998</v>
      </c>
      <c r="AV235" s="756">
        <v>1186416.4748350601</v>
      </c>
      <c r="AW235" s="756">
        <v>0</v>
      </c>
      <c r="AX235" s="756">
        <v>0</v>
      </c>
      <c r="AY235" s="756">
        <v>0</v>
      </c>
      <c r="AZ235" s="758">
        <v>0.56000000000000005</v>
      </c>
      <c r="BA235" s="759">
        <f t="shared" si="42"/>
        <v>42640318.332723998</v>
      </c>
      <c r="BB235" s="759">
        <f t="shared" si="43"/>
        <v>1186416.4748350601</v>
      </c>
      <c r="BC235" s="760">
        <f t="shared" si="45"/>
        <v>12773688.02302514</v>
      </c>
      <c r="BD235" s="760">
        <f t="shared" si="46"/>
        <v>1125916.814083324</v>
      </c>
      <c r="BE235" s="760">
        <f t="shared" si="47"/>
        <v>45630928.076131999</v>
      </c>
      <c r="BF235" s="760">
        <f t="shared" si="48"/>
        <v>3536181.2732270597</v>
      </c>
      <c r="BG235" s="761">
        <f t="shared" si="44"/>
        <v>1</v>
      </c>
      <c r="BH235" s="762">
        <f t="shared" si="38"/>
        <v>12773688.02302514</v>
      </c>
      <c r="BI235" s="762">
        <f t="shared" si="39"/>
        <v>1125916.814083324</v>
      </c>
      <c r="BJ235" s="762">
        <f t="shared" si="40"/>
        <v>45630928.076131999</v>
      </c>
      <c r="BK235" s="762">
        <f t="shared" si="41"/>
        <v>3536181.2732270597</v>
      </c>
    </row>
    <row r="236" spans="1:63">
      <c r="A236" s="669"/>
      <c r="B236" s="745">
        <v>2031</v>
      </c>
      <c r="C236" s="746" t="s">
        <v>13</v>
      </c>
      <c r="D236" s="746" t="s">
        <v>497</v>
      </c>
      <c r="E236" s="746" t="s">
        <v>498</v>
      </c>
      <c r="F236" s="746" t="s">
        <v>347</v>
      </c>
      <c r="G236" s="746" t="s">
        <v>50</v>
      </c>
      <c r="H236" s="746" t="s">
        <v>499</v>
      </c>
      <c r="I236" s="746" t="s">
        <v>347</v>
      </c>
      <c r="J236" s="746" t="s">
        <v>489</v>
      </c>
      <c r="K236" s="746"/>
      <c r="L236" s="746" t="s">
        <v>347</v>
      </c>
      <c r="M236" s="746" t="s">
        <v>412</v>
      </c>
      <c r="N236" s="747">
        <v>205586397.73567346</v>
      </c>
      <c r="O236" s="747">
        <v>60699.482236052121</v>
      </c>
      <c r="P236" s="747">
        <v>220837.86631154444</v>
      </c>
      <c r="Q236" s="747">
        <v>22852198.495157287</v>
      </c>
      <c r="R236" s="747">
        <v>9292.9447067105448</v>
      </c>
      <c r="S236" s="747">
        <v>29872.549817012008</v>
      </c>
      <c r="T236" s="747">
        <v>341740899.16290683</v>
      </c>
      <c r="U236" s="747">
        <v>852855.18700859789</v>
      </c>
      <c r="V236" s="747">
        <v>64058.927172776479</v>
      </c>
      <c r="W236" s="747">
        <v>4528.6610430156643</v>
      </c>
      <c r="X236" s="748">
        <v>24639786.284481816</v>
      </c>
      <c r="Y236" s="748">
        <v>241485642.44200939</v>
      </c>
      <c r="Z236" s="748">
        <v>423899.28909999999</v>
      </c>
      <c r="AA236" s="748">
        <v>14158924.719518388</v>
      </c>
      <c r="AB236" s="748">
        <v>423899.289099999</v>
      </c>
      <c r="AC236" s="748">
        <v>14290851.562374964</v>
      </c>
      <c r="AD236" s="748">
        <v>14290851.562374948</v>
      </c>
      <c r="AE236" s="748">
        <v>57690326.397652693</v>
      </c>
      <c r="AF236" s="747">
        <v>21519713.328295767</v>
      </c>
      <c r="AG236" s="747">
        <v>3120072.9561860557</v>
      </c>
      <c r="AH236" s="747">
        <v>0</v>
      </c>
      <c r="AI236" s="747">
        <v>30060903.363196313</v>
      </c>
      <c r="AJ236" s="747">
        <v>5087242.4265615884</v>
      </c>
      <c r="AK236" s="747">
        <v>0</v>
      </c>
      <c r="AL236" s="747">
        <v>30084736.783109616</v>
      </c>
      <c r="AM236" s="747">
        <v>5087242.4265615884</v>
      </c>
      <c r="AN236" s="747">
        <v>0</v>
      </c>
      <c r="AO236" s="747">
        <v>4120.4085649061735</v>
      </c>
      <c r="AP236" s="747">
        <v>158.62323952833458</v>
      </c>
      <c r="AQ236" s="748">
        <v>0</v>
      </c>
      <c r="AR236" s="748">
        <v>0</v>
      </c>
      <c r="AS236" s="748">
        <v>423899.28909999999</v>
      </c>
      <c r="AT236" s="748">
        <v>0</v>
      </c>
      <c r="AU236" s="747">
        <v>55379745.253408916</v>
      </c>
      <c r="AV236" s="747">
        <v>1886681.855143779</v>
      </c>
      <c r="AW236" s="747">
        <v>0</v>
      </c>
      <c r="AX236" s="747">
        <v>0</v>
      </c>
      <c r="AY236" s="747">
        <v>0</v>
      </c>
      <c r="AZ236" s="749">
        <v>0.56000000000000005</v>
      </c>
      <c r="BA236" s="750">
        <f t="shared" si="42"/>
        <v>3583078.4230150925</v>
      </c>
      <c r="BB236" s="750">
        <f t="shared" si="43"/>
        <v>122068.61940816962</v>
      </c>
      <c r="BC236" s="751">
        <f t="shared" si="45"/>
        <v>21519713.328295767</v>
      </c>
      <c r="BD236" s="751">
        <f t="shared" si="46"/>
        <v>3120072.9561860557</v>
      </c>
      <c r="BE236" s="751">
        <f t="shared" si="47"/>
        <v>55617128.855304919</v>
      </c>
      <c r="BF236" s="751">
        <f t="shared" si="48"/>
        <v>2073197.5423477786</v>
      </c>
      <c r="BG236" s="752">
        <f t="shared" si="44"/>
        <v>15.455912127875759</v>
      </c>
      <c r="BH236" s="763">
        <f t="shared" si="38"/>
        <v>1392328.9127325939</v>
      </c>
      <c r="BI236" s="763">
        <f t="shared" si="39"/>
        <v>201869.22197615227</v>
      </c>
      <c r="BJ236" s="763">
        <f t="shared" si="40"/>
        <v>3598437.180229289</v>
      </c>
      <c r="BK236" s="763">
        <f t="shared" si="41"/>
        <v>134136.21436218117</v>
      </c>
    </row>
    <row r="237" spans="1:63">
      <c r="A237" s="669"/>
      <c r="B237" s="754">
        <v>2031</v>
      </c>
      <c r="C237" s="755" t="s">
        <v>13</v>
      </c>
      <c r="D237" s="755" t="s">
        <v>500</v>
      </c>
      <c r="E237" s="755" t="s">
        <v>501</v>
      </c>
      <c r="F237" s="755" t="s">
        <v>347</v>
      </c>
      <c r="G237" s="755" t="s">
        <v>50</v>
      </c>
      <c r="H237" s="755" t="s">
        <v>499</v>
      </c>
      <c r="I237" s="755" t="s">
        <v>347</v>
      </c>
      <c r="J237" s="755" t="s">
        <v>17</v>
      </c>
      <c r="K237" s="755"/>
      <c r="L237" s="755" t="s">
        <v>347</v>
      </c>
      <c r="M237" s="755" t="s">
        <v>412</v>
      </c>
      <c r="N237" s="756">
        <v>0</v>
      </c>
      <c r="O237" s="756">
        <v>0</v>
      </c>
      <c r="P237" s="756">
        <v>0</v>
      </c>
      <c r="Q237" s="756">
        <v>0</v>
      </c>
      <c r="R237" s="756">
        <v>0</v>
      </c>
      <c r="S237" s="756">
        <v>0</v>
      </c>
      <c r="T237" s="756">
        <v>0</v>
      </c>
      <c r="U237" s="756">
        <v>0</v>
      </c>
      <c r="V237" s="756">
        <v>0</v>
      </c>
      <c r="W237" s="756">
        <v>0</v>
      </c>
      <c r="X237" s="757">
        <v>0</v>
      </c>
      <c r="Y237" s="757">
        <v>0</v>
      </c>
      <c r="Z237" s="757">
        <v>65263.166400000002</v>
      </c>
      <c r="AA237" s="757">
        <v>65263.166400000002</v>
      </c>
      <c r="AB237" s="757">
        <v>65263.166400000002</v>
      </c>
      <c r="AC237" s="757">
        <v>65263.166400000002</v>
      </c>
      <c r="AD237" s="757">
        <v>65263.166400000002</v>
      </c>
      <c r="AE237" s="757">
        <v>65263.166400000002</v>
      </c>
      <c r="AF237" s="756">
        <v>0</v>
      </c>
      <c r="AG237" s="756">
        <v>0</v>
      </c>
      <c r="AH237" s="756">
        <v>0</v>
      </c>
      <c r="AI237" s="756">
        <v>0</v>
      </c>
      <c r="AJ237" s="756">
        <v>0</v>
      </c>
      <c r="AK237" s="756">
        <v>0</v>
      </c>
      <c r="AL237" s="756">
        <v>0</v>
      </c>
      <c r="AM237" s="756">
        <v>0</v>
      </c>
      <c r="AN237" s="756">
        <v>0</v>
      </c>
      <c r="AO237" s="756">
        <v>0</v>
      </c>
      <c r="AP237" s="756">
        <v>0</v>
      </c>
      <c r="AQ237" s="757">
        <v>14986.9292</v>
      </c>
      <c r="AR237" s="757">
        <v>0</v>
      </c>
      <c r="AS237" s="757">
        <v>50276.237200000003</v>
      </c>
      <c r="AT237" s="757">
        <v>0</v>
      </c>
      <c r="AU237" s="756">
        <v>0</v>
      </c>
      <c r="AV237" s="756">
        <v>0</v>
      </c>
      <c r="AW237" s="756">
        <v>0</v>
      </c>
      <c r="AX237" s="756">
        <v>0</v>
      </c>
      <c r="AY237" s="756">
        <v>0</v>
      </c>
      <c r="AZ237" s="758">
        <v>0.56000000000000005</v>
      </c>
      <c r="BA237" s="759" t="str">
        <f t="shared" si="42"/>
        <v/>
      </c>
      <c r="BB237" s="759" t="str">
        <f t="shared" si="43"/>
        <v/>
      </c>
      <c r="BC237" s="760">
        <f t="shared" si="45"/>
        <v>0</v>
      </c>
      <c r="BD237" s="760">
        <f t="shared" si="46"/>
        <v>0</v>
      </c>
      <c r="BE237" s="760">
        <f t="shared" si="47"/>
        <v>36547.373184000004</v>
      </c>
      <c r="BF237" s="760">
        <f t="shared" si="48"/>
        <v>28715.793215999998</v>
      </c>
      <c r="BG237" s="761">
        <f t="shared" si="44"/>
        <v>0</v>
      </c>
      <c r="BH237" s="762">
        <f t="shared" si="38"/>
        <v>0</v>
      </c>
      <c r="BI237" s="762">
        <f t="shared" si="39"/>
        <v>0</v>
      </c>
      <c r="BJ237" s="762">
        <f t="shared" si="40"/>
        <v>0</v>
      </c>
      <c r="BK237" s="762">
        <f t="shared" si="41"/>
        <v>0</v>
      </c>
    </row>
    <row r="238" spans="1:63">
      <c r="A238" s="669"/>
      <c r="B238" s="745">
        <v>2031</v>
      </c>
      <c r="C238" s="746" t="s">
        <v>13</v>
      </c>
      <c r="D238" s="746" t="s">
        <v>502</v>
      </c>
      <c r="E238" s="746" t="s">
        <v>503</v>
      </c>
      <c r="F238" s="746" t="s">
        <v>347</v>
      </c>
      <c r="G238" s="746" t="s">
        <v>50</v>
      </c>
      <c r="H238" s="746" t="s">
        <v>504</v>
      </c>
      <c r="I238" s="746" t="s">
        <v>347</v>
      </c>
      <c r="J238" s="746" t="s">
        <v>489</v>
      </c>
      <c r="K238" s="746"/>
      <c r="L238" s="746" t="s">
        <v>347</v>
      </c>
      <c r="M238" s="746" t="s">
        <v>412</v>
      </c>
      <c r="N238" s="747">
        <v>82145793.85012199</v>
      </c>
      <c r="O238" s="747">
        <v>8350.1449907706465</v>
      </c>
      <c r="P238" s="747">
        <v>29359.667746674597</v>
      </c>
      <c r="Q238" s="747">
        <v>13900470.818370821</v>
      </c>
      <c r="R238" s="747">
        <v>1580.7791089369689</v>
      </c>
      <c r="S238" s="747">
        <v>41429.703707314402</v>
      </c>
      <c r="T238" s="747">
        <v>182817268.36513954</v>
      </c>
      <c r="U238" s="747">
        <v>495461.68994350039</v>
      </c>
      <c r="V238" s="747">
        <v>37391.408333034058</v>
      </c>
      <c r="W238" s="747">
        <v>2630.9015735999878</v>
      </c>
      <c r="X238" s="748">
        <v>14744903.754383139</v>
      </c>
      <c r="Y238" s="748">
        <v>79685935.759866208</v>
      </c>
      <c r="Z238" s="748">
        <v>333070.63510000001</v>
      </c>
      <c r="AA238" s="748">
        <v>2121442.8975221463</v>
      </c>
      <c r="AB238" s="748">
        <v>333070.63509999943</v>
      </c>
      <c r="AC238" s="748">
        <v>2138594.6936577954</v>
      </c>
      <c r="AD238" s="748">
        <v>2138594.6936577954</v>
      </c>
      <c r="AE238" s="748">
        <v>39644252.825821951</v>
      </c>
      <c r="AF238" s="747">
        <v>12758093.315914663</v>
      </c>
      <c r="AG238" s="747">
        <v>1986810.4384684786</v>
      </c>
      <c r="AH238" s="747">
        <v>0</v>
      </c>
      <c r="AI238" s="747">
        <v>17601045.242744856</v>
      </c>
      <c r="AJ238" s="747">
        <v>2905476.7964231707</v>
      </c>
      <c r="AK238" s="747">
        <v>0</v>
      </c>
      <c r="AL238" s="747">
        <v>17600707.595646858</v>
      </c>
      <c r="AM238" s="747">
        <v>2905476.7964231707</v>
      </c>
      <c r="AN238" s="747">
        <v>0</v>
      </c>
      <c r="AO238" s="747">
        <v>2655.0011783172363</v>
      </c>
      <c r="AP238" s="747">
        <v>219.99172668583952</v>
      </c>
      <c r="AQ238" s="748">
        <v>0</v>
      </c>
      <c r="AR238" s="748">
        <v>0</v>
      </c>
      <c r="AS238" s="748">
        <v>333070.63510000001</v>
      </c>
      <c r="AT238" s="748">
        <v>0</v>
      </c>
      <c r="AU238" s="747">
        <v>37349308.595250949</v>
      </c>
      <c r="AV238" s="747">
        <v>1961873.59547096</v>
      </c>
      <c r="AW238" s="747">
        <v>0</v>
      </c>
      <c r="AX238" s="747">
        <v>0</v>
      </c>
      <c r="AY238" s="747">
        <v>0</v>
      </c>
      <c r="AZ238" s="749">
        <v>0.56000000000000005</v>
      </c>
      <c r="BA238" s="750">
        <f t="shared" si="42"/>
        <v>2860683.4456817857</v>
      </c>
      <c r="BB238" s="750">
        <f t="shared" si="43"/>
        <v>150265.14621471724</v>
      </c>
      <c r="BC238" s="751">
        <f t="shared" si="45"/>
        <v>12758093.315914663</v>
      </c>
      <c r="BD238" s="751">
        <f t="shared" si="46"/>
        <v>1986810.4384684786</v>
      </c>
      <c r="BE238" s="751">
        <f t="shared" si="47"/>
        <v>37535828.15090695</v>
      </c>
      <c r="BF238" s="751">
        <f t="shared" si="48"/>
        <v>2108424.6749149598</v>
      </c>
      <c r="BG238" s="752">
        <f t="shared" si="44"/>
        <v>13.056078837254747</v>
      </c>
      <c r="BH238" s="763">
        <f t="shared" si="38"/>
        <v>977176.49188132968</v>
      </c>
      <c r="BI238" s="763">
        <f t="shared" si="39"/>
        <v>152175.12571992388</v>
      </c>
      <c r="BJ238" s="763">
        <f t="shared" si="40"/>
        <v>2874969.4773442</v>
      </c>
      <c r="BK238" s="763">
        <f t="shared" si="41"/>
        <v>161489.88537804285</v>
      </c>
    </row>
    <row r="239" spans="1:63">
      <c r="A239" s="669"/>
      <c r="B239" s="754">
        <v>2031</v>
      </c>
      <c r="C239" s="755" t="s">
        <v>13</v>
      </c>
      <c r="D239" s="755" t="s">
        <v>505</v>
      </c>
      <c r="E239" s="755" t="s">
        <v>506</v>
      </c>
      <c r="F239" s="755" t="s">
        <v>347</v>
      </c>
      <c r="G239" s="755" t="s">
        <v>50</v>
      </c>
      <c r="H239" s="755" t="s">
        <v>504</v>
      </c>
      <c r="I239" s="755" t="s">
        <v>347</v>
      </c>
      <c r="J239" s="755" t="s">
        <v>17</v>
      </c>
      <c r="K239" s="755"/>
      <c r="L239" s="755" t="s">
        <v>347</v>
      </c>
      <c r="M239" s="755" t="s">
        <v>412</v>
      </c>
      <c r="N239" s="756">
        <v>0</v>
      </c>
      <c r="O239" s="756">
        <v>0</v>
      </c>
      <c r="P239" s="756">
        <v>0</v>
      </c>
      <c r="Q239" s="756">
        <v>0</v>
      </c>
      <c r="R239" s="756">
        <v>0</v>
      </c>
      <c r="S239" s="756">
        <v>0</v>
      </c>
      <c r="T239" s="756">
        <v>0</v>
      </c>
      <c r="U239" s="756">
        <v>0</v>
      </c>
      <c r="V239" s="756">
        <v>0</v>
      </c>
      <c r="W239" s="756">
        <v>0</v>
      </c>
      <c r="X239" s="757">
        <v>0</v>
      </c>
      <c r="Y239" s="757">
        <v>0</v>
      </c>
      <c r="Z239" s="757">
        <v>66917.715599999996</v>
      </c>
      <c r="AA239" s="757">
        <v>66917.715599999996</v>
      </c>
      <c r="AB239" s="757">
        <v>66917.715599999996</v>
      </c>
      <c r="AC239" s="757">
        <v>66917.715599999996</v>
      </c>
      <c r="AD239" s="757">
        <v>66917.715599999996</v>
      </c>
      <c r="AE239" s="757">
        <v>66917.715599999996</v>
      </c>
      <c r="AF239" s="756">
        <v>0</v>
      </c>
      <c r="AG239" s="756">
        <v>0</v>
      </c>
      <c r="AH239" s="756">
        <v>0</v>
      </c>
      <c r="AI239" s="756">
        <v>0</v>
      </c>
      <c r="AJ239" s="756">
        <v>0</v>
      </c>
      <c r="AK239" s="756">
        <v>0</v>
      </c>
      <c r="AL239" s="756">
        <v>0</v>
      </c>
      <c r="AM239" s="756">
        <v>0</v>
      </c>
      <c r="AN239" s="756">
        <v>0</v>
      </c>
      <c r="AO239" s="756">
        <v>0</v>
      </c>
      <c r="AP239" s="756">
        <v>0</v>
      </c>
      <c r="AQ239" s="757">
        <v>14566.5766</v>
      </c>
      <c r="AR239" s="757">
        <v>0</v>
      </c>
      <c r="AS239" s="757">
        <v>52351.139000000003</v>
      </c>
      <c r="AT239" s="757">
        <v>0</v>
      </c>
      <c r="AU239" s="756">
        <v>0</v>
      </c>
      <c r="AV239" s="756">
        <v>0</v>
      </c>
      <c r="AW239" s="756">
        <v>0</v>
      </c>
      <c r="AX239" s="756">
        <v>0</v>
      </c>
      <c r="AY239" s="756">
        <v>0</v>
      </c>
      <c r="AZ239" s="758">
        <v>0.56000000000000005</v>
      </c>
      <c r="BA239" s="759" t="str">
        <f t="shared" si="42"/>
        <v/>
      </c>
      <c r="BB239" s="759" t="str">
        <f t="shared" si="43"/>
        <v/>
      </c>
      <c r="BC239" s="760">
        <f t="shared" si="45"/>
        <v>0</v>
      </c>
      <c r="BD239" s="760">
        <f t="shared" si="46"/>
        <v>0</v>
      </c>
      <c r="BE239" s="760">
        <f t="shared" si="47"/>
        <v>37473.920736</v>
      </c>
      <c r="BF239" s="760">
        <f t="shared" si="48"/>
        <v>29443.794863999996</v>
      </c>
      <c r="BG239" s="761">
        <f t="shared" si="44"/>
        <v>0</v>
      </c>
      <c r="BH239" s="762">
        <f t="shared" si="38"/>
        <v>0</v>
      </c>
      <c r="BI239" s="762">
        <f t="shared" si="39"/>
        <v>0</v>
      </c>
      <c r="BJ239" s="762">
        <f t="shared" si="40"/>
        <v>0</v>
      </c>
      <c r="BK239" s="762">
        <f t="shared" si="41"/>
        <v>0</v>
      </c>
    </row>
    <row r="240" spans="1:63">
      <c r="A240" s="669"/>
      <c r="B240" s="745">
        <v>2031</v>
      </c>
      <c r="C240" s="746" t="s">
        <v>13</v>
      </c>
      <c r="D240" s="746" t="s">
        <v>507</v>
      </c>
      <c r="E240" s="746" t="s">
        <v>508</v>
      </c>
      <c r="F240" s="746" t="s">
        <v>347</v>
      </c>
      <c r="G240" s="746" t="s">
        <v>50</v>
      </c>
      <c r="H240" s="746" t="s">
        <v>509</v>
      </c>
      <c r="I240" s="746" t="s">
        <v>347</v>
      </c>
      <c r="J240" s="746" t="s">
        <v>489</v>
      </c>
      <c r="K240" s="746"/>
      <c r="L240" s="746" t="s">
        <v>347</v>
      </c>
      <c r="M240" s="746" t="s">
        <v>412</v>
      </c>
      <c r="N240" s="747">
        <v>198585009.39554691</v>
      </c>
      <c r="O240" s="747">
        <v>38447.174187209079</v>
      </c>
      <c r="P240" s="747">
        <v>3193089.4602134218</v>
      </c>
      <c r="Q240" s="747">
        <v>64842031.690747209</v>
      </c>
      <c r="R240" s="747">
        <v>13048.645594504596</v>
      </c>
      <c r="S240" s="747">
        <v>1435355.3121729426</v>
      </c>
      <c r="T240" s="747">
        <v>1001365323.7139559</v>
      </c>
      <c r="U240" s="747">
        <v>22394760.132757287</v>
      </c>
      <c r="V240" s="747">
        <v>160387.03183644731</v>
      </c>
      <c r="W240" s="747">
        <v>118916.17630494128</v>
      </c>
      <c r="X240" s="748">
        <v>140333699.29479885</v>
      </c>
      <c r="Y240" s="748">
        <v>356885355.05487585</v>
      </c>
      <c r="Z240" s="748">
        <v>699685.34719999996</v>
      </c>
      <c r="AA240" s="748">
        <v>75843767.79353489</v>
      </c>
      <c r="AB240" s="748">
        <v>699685.34719999856</v>
      </c>
      <c r="AC240" s="748">
        <v>76565143.538196027</v>
      </c>
      <c r="AD240" s="748">
        <v>76565143.538195878</v>
      </c>
      <c r="AE240" s="748">
        <v>233498428.16575035</v>
      </c>
      <c r="AF240" s="747">
        <v>56191313.416316308</v>
      </c>
      <c r="AG240" s="747">
        <v>84142385.878482312</v>
      </c>
      <c r="AH240" s="747">
        <v>0</v>
      </c>
      <c r="AI240" s="747">
        <v>78141794.279260784</v>
      </c>
      <c r="AJ240" s="747">
        <v>129374027.74850625</v>
      </c>
      <c r="AK240" s="747">
        <v>0</v>
      </c>
      <c r="AL240" s="747">
        <v>78200025.439570114</v>
      </c>
      <c r="AM240" s="747">
        <v>129374027.74850625</v>
      </c>
      <c r="AN240" s="747">
        <v>0</v>
      </c>
      <c r="AO240" s="747">
        <v>10155.838842388424</v>
      </c>
      <c r="AP240" s="747">
        <v>7621.7367076383161</v>
      </c>
      <c r="AQ240" s="748">
        <v>0</v>
      </c>
      <c r="AR240" s="748">
        <v>0</v>
      </c>
      <c r="AS240" s="748">
        <v>699685.34719999996</v>
      </c>
      <c r="AT240" s="748">
        <v>0</v>
      </c>
      <c r="AU240" s="747">
        <v>173592053.22546244</v>
      </c>
      <c r="AV240" s="747">
        <v>59206689.593088113</v>
      </c>
      <c r="AW240" s="747">
        <v>0</v>
      </c>
      <c r="AX240" s="747">
        <v>0</v>
      </c>
      <c r="AY240" s="747">
        <v>0</v>
      </c>
      <c r="AZ240" s="749">
        <v>0.56000000000000005</v>
      </c>
      <c r="BA240" s="750">
        <f t="shared" si="42"/>
        <v>11195340.665120251</v>
      </c>
      <c r="BB240" s="750">
        <f t="shared" si="43"/>
        <v>3818372.1393499034</v>
      </c>
      <c r="BC240" s="751">
        <f t="shared" si="45"/>
        <v>56191313.416316308</v>
      </c>
      <c r="BD240" s="751">
        <f t="shared" si="46"/>
        <v>84142385.878482312</v>
      </c>
      <c r="BE240" s="751">
        <f t="shared" si="47"/>
        <v>173983877.01989442</v>
      </c>
      <c r="BF240" s="751">
        <f t="shared" si="48"/>
        <v>59514551.145856112</v>
      </c>
      <c r="BG240" s="752">
        <f t="shared" si="44"/>
        <v>15.505741041565514</v>
      </c>
      <c r="BH240" s="763">
        <f t="shared" si="38"/>
        <v>3623903.7699447502</v>
      </c>
      <c r="BI240" s="763">
        <f t="shared" si="39"/>
        <v>5426531.092769172</v>
      </c>
      <c r="BJ240" s="763">
        <f t="shared" si="40"/>
        <v>11220610.260000085</v>
      </c>
      <c r="BK240" s="763">
        <f t="shared" si="41"/>
        <v>3838226.8210412026</v>
      </c>
    </row>
    <row r="241" spans="1:63">
      <c r="A241" s="669"/>
      <c r="B241" s="754">
        <v>2031</v>
      </c>
      <c r="C241" s="755" t="s">
        <v>13</v>
      </c>
      <c r="D241" s="755" t="s">
        <v>510</v>
      </c>
      <c r="E241" s="755" t="s">
        <v>511</v>
      </c>
      <c r="F241" s="755" t="s">
        <v>347</v>
      </c>
      <c r="G241" s="755" t="s">
        <v>50</v>
      </c>
      <c r="H241" s="755" t="s">
        <v>509</v>
      </c>
      <c r="I241" s="755" t="s">
        <v>347</v>
      </c>
      <c r="J241" s="755" t="s">
        <v>17</v>
      </c>
      <c r="K241" s="755"/>
      <c r="L241" s="755" t="s">
        <v>347</v>
      </c>
      <c r="M241" s="755" t="s">
        <v>412</v>
      </c>
      <c r="N241" s="756">
        <v>0</v>
      </c>
      <c r="O241" s="756">
        <v>0</v>
      </c>
      <c r="P241" s="756">
        <v>0</v>
      </c>
      <c r="Q241" s="756">
        <v>0</v>
      </c>
      <c r="R241" s="756">
        <v>0</v>
      </c>
      <c r="S241" s="756">
        <v>0</v>
      </c>
      <c r="T241" s="756">
        <v>0</v>
      </c>
      <c r="U241" s="756">
        <v>0</v>
      </c>
      <c r="V241" s="756">
        <v>0</v>
      </c>
      <c r="W241" s="756">
        <v>0</v>
      </c>
      <c r="X241" s="757">
        <v>0</v>
      </c>
      <c r="Y241" s="757">
        <v>0</v>
      </c>
      <c r="Z241" s="757">
        <v>83820.895399999994</v>
      </c>
      <c r="AA241" s="757">
        <v>83820.895399999994</v>
      </c>
      <c r="AB241" s="757">
        <v>83820.895399999994</v>
      </c>
      <c r="AC241" s="757">
        <v>83820.895399999994</v>
      </c>
      <c r="AD241" s="757">
        <v>83820.895399999994</v>
      </c>
      <c r="AE241" s="757">
        <v>83820.895399999994</v>
      </c>
      <c r="AF241" s="756">
        <v>0</v>
      </c>
      <c r="AG241" s="756">
        <v>0</v>
      </c>
      <c r="AH241" s="756">
        <v>0</v>
      </c>
      <c r="AI241" s="756">
        <v>0</v>
      </c>
      <c r="AJ241" s="756">
        <v>0</v>
      </c>
      <c r="AK241" s="756">
        <v>0</v>
      </c>
      <c r="AL241" s="756">
        <v>0</v>
      </c>
      <c r="AM241" s="756">
        <v>0</v>
      </c>
      <c r="AN241" s="756">
        <v>0</v>
      </c>
      <c r="AO241" s="756">
        <v>0</v>
      </c>
      <c r="AP241" s="756">
        <v>0</v>
      </c>
      <c r="AQ241" s="757">
        <v>17583.818599999999</v>
      </c>
      <c r="AR241" s="757">
        <v>0</v>
      </c>
      <c r="AS241" s="757">
        <v>66237.076799999995</v>
      </c>
      <c r="AT241" s="757">
        <v>0</v>
      </c>
      <c r="AU241" s="756">
        <v>0</v>
      </c>
      <c r="AV241" s="756">
        <v>0</v>
      </c>
      <c r="AW241" s="756">
        <v>0</v>
      </c>
      <c r="AX241" s="756">
        <v>0</v>
      </c>
      <c r="AY241" s="756">
        <v>0</v>
      </c>
      <c r="AZ241" s="758">
        <v>0.56000000000000005</v>
      </c>
      <c r="BA241" s="759" t="str">
        <f t="shared" si="42"/>
        <v/>
      </c>
      <c r="BB241" s="759" t="str">
        <f t="shared" si="43"/>
        <v/>
      </c>
      <c r="BC241" s="760">
        <f t="shared" si="45"/>
        <v>0</v>
      </c>
      <c r="BD241" s="760">
        <f t="shared" si="46"/>
        <v>0</v>
      </c>
      <c r="BE241" s="760">
        <f t="shared" si="47"/>
        <v>46939.701423999999</v>
      </c>
      <c r="BF241" s="760">
        <f t="shared" si="48"/>
        <v>36881.193975999995</v>
      </c>
      <c r="BG241" s="761">
        <f t="shared" si="44"/>
        <v>0</v>
      </c>
      <c r="BH241" s="762">
        <f t="shared" si="38"/>
        <v>0</v>
      </c>
      <c r="BI241" s="762">
        <f t="shared" si="39"/>
        <v>0</v>
      </c>
      <c r="BJ241" s="762">
        <f t="shared" si="40"/>
        <v>0</v>
      </c>
      <c r="BK241" s="762">
        <f t="shared" si="41"/>
        <v>0</v>
      </c>
    </row>
    <row r="242" spans="1:63">
      <c r="A242" s="669"/>
      <c r="B242" s="745">
        <v>2031</v>
      </c>
      <c r="C242" s="746" t="s">
        <v>13</v>
      </c>
      <c r="D242" s="746" t="s">
        <v>512</v>
      </c>
      <c r="E242" s="746" t="s">
        <v>513</v>
      </c>
      <c r="F242" s="746" t="s">
        <v>478</v>
      </c>
      <c r="G242" s="746" t="s">
        <v>50</v>
      </c>
      <c r="H242" s="746" t="s">
        <v>514</v>
      </c>
      <c r="I242" s="746" t="s">
        <v>515</v>
      </c>
      <c r="J242" s="746" t="s">
        <v>489</v>
      </c>
      <c r="K242" s="746"/>
      <c r="L242" s="746" t="s">
        <v>29</v>
      </c>
      <c r="M242" s="746" t="s">
        <v>412</v>
      </c>
      <c r="N242" s="747">
        <v>0</v>
      </c>
      <c r="O242" s="747">
        <v>0</v>
      </c>
      <c r="P242" s="747">
        <v>0</v>
      </c>
      <c r="Q242" s="747">
        <v>0</v>
      </c>
      <c r="R242" s="747">
        <v>0</v>
      </c>
      <c r="S242" s="747">
        <v>0</v>
      </c>
      <c r="T242" s="747">
        <v>0</v>
      </c>
      <c r="U242" s="747">
        <v>0</v>
      </c>
      <c r="V242" s="747">
        <v>0</v>
      </c>
      <c r="W242" s="747">
        <v>0</v>
      </c>
      <c r="X242" s="748">
        <v>0</v>
      </c>
      <c r="Y242" s="748">
        <v>0</v>
      </c>
      <c r="Z242" s="748">
        <v>1547000</v>
      </c>
      <c r="AA242" s="748">
        <v>1547000</v>
      </c>
      <c r="AB242" s="748">
        <v>1547000</v>
      </c>
      <c r="AC242" s="748">
        <v>1547000</v>
      </c>
      <c r="AD242" s="748">
        <v>1547000</v>
      </c>
      <c r="AE242" s="748">
        <v>1547000</v>
      </c>
      <c r="AF242" s="747">
        <v>0</v>
      </c>
      <c r="AG242" s="747">
        <v>0</v>
      </c>
      <c r="AH242" s="747">
        <v>0</v>
      </c>
      <c r="AI242" s="747">
        <v>0</v>
      </c>
      <c r="AJ242" s="747">
        <v>0</v>
      </c>
      <c r="AK242" s="747">
        <v>0</v>
      </c>
      <c r="AL242" s="747">
        <v>0</v>
      </c>
      <c r="AM242" s="747">
        <v>0</v>
      </c>
      <c r="AN242" s="747">
        <v>0</v>
      </c>
      <c r="AO242" s="747">
        <v>0</v>
      </c>
      <c r="AP242" s="747">
        <v>0</v>
      </c>
      <c r="AQ242" s="748">
        <v>0</v>
      </c>
      <c r="AR242" s="748">
        <v>0</v>
      </c>
      <c r="AS242" s="748">
        <v>1547000</v>
      </c>
      <c r="AT242" s="748">
        <v>0</v>
      </c>
      <c r="AU242" s="747">
        <v>0</v>
      </c>
      <c r="AV242" s="747">
        <v>0</v>
      </c>
      <c r="AW242" s="747">
        <v>0</v>
      </c>
      <c r="AX242" s="747">
        <v>0</v>
      </c>
      <c r="AY242" s="747">
        <v>0</v>
      </c>
      <c r="AZ242" s="749">
        <v>0.56000000000000005</v>
      </c>
      <c r="BA242" s="750" t="str">
        <f t="shared" si="42"/>
        <v/>
      </c>
      <c r="BB242" s="750" t="str">
        <f t="shared" si="43"/>
        <v/>
      </c>
      <c r="BC242" s="751">
        <f t="shared" si="45"/>
        <v>0</v>
      </c>
      <c r="BD242" s="751">
        <f t="shared" si="46"/>
        <v>0</v>
      </c>
      <c r="BE242" s="751">
        <f t="shared" si="47"/>
        <v>866320.00000000012</v>
      </c>
      <c r="BF242" s="751">
        <f t="shared" si="48"/>
        <v>680679.99999999988</v>
      </c>
      <c r="BG242" s="752">
        <f t="shared" si="44"/>
        <v>0</v>
      </c>
      <c r="BH242" s="763">
        <f t="shared" si="38"/>
        <v>0</v>
      </c>
      <c r="BI242" s="763">
        <f t="shared" si="39"/>
        <v>0</v>
      </c>
      <c r="BJ242" s="763">
        <f t="shared" si="40"/>
        <v>0</v>
      </c>
      <c r="BK242" s="763">
        <f t="shared" si="41"/>
        <v>0</v>
      </c>
    </row>
    <row r="243" spans="1:63">
      <c r="A243" s="669"/>
      <c r="B243" s="754">
        <v>2031</v>
      </c>
      <c r="C243" s="755" t="s">
        <v>13</v>
      </c>
      <c r="D243" s="755" t="s">
        <v>516</v>
      </c>
      <c r="E243" s="755" t="s">
        <v>517</v>
      </c>
      <c r="F243" s="755" t="s">
        <v>478</v>
      </c>
      <c r="G243" s="755" t="s">
        <v>50</v>
      </c>
      <c r="H243" s="755" t="s">
        <v>514</v>
      </c>
      <c r="I243" s="755" t="s">
        <v>515</v>
      </c>
      <c r="J243" s="755" t="s">
        <v>17</v>
      </c>
      <c r="K243" s="755"/>
      <c r="L243" s="755" t="s">
        <v>29</v>
      </c>
      <c r="M243" s="755" t="s">
        <v>412</v>
      </c>
      <c r="N243" s="756">
        <v>0</v>
      </c>
      <c r="O243" s="756">
        <v>0</v>
      </c>
      <c r="P243" s="756">
        <v>0</v>
      </c>
      <c r="Q243" s="756">
        <v>0</v>
      </c>
      <c r="R243" s="756">
        <v>0</v>
      </c>
      <c r="S243" s="756">
        <v>0</v>
      </c>
      <c r="T243" s="756">
        <v>0</v>
      </c>
      <c r="U243" s="756">
        <v>0</v>
      </c>
      <c r="V243" s="756">
        <v>0</v>
      </c>
      <c r="W243" s="756">
        <v>0</v>
      </c>
      <c r="X243" s="757">
        <v>0</v>
      </c>
      <c r="Y243" s="757">
        <v>0</v>
      </c>
      <c r="Z243" s="757">
        <v>106642.0865</v>
      </c>
      <c r="AA243" s="757">
        <v>106642.0865</v>
      </c>
      <c r="AB243" s="757">
        <v>106642.0865</v>
      </c>
      <c r="AC243" s="757">
        <v>106642.0865</v>
      </c>
      <c r="AD243" s="757">
        <v>106642.0865</v>
      </c>
      <c r="AE243" s="757">
        <v>106642.0865</v>
      </c>
      <c r="AF243" s="756">
        <v>0</v>
      </c>
      <c r="AG243" s="756">
        <v>0</v>
      </c>
      <c r="AH243" s="756">
        <v>0</v>
      </c>
      <c r="AI243" s="756">
        <v>0</v>
      </c>
      <c r="AJ243" s="756">
        <v>0</v>
      </c>
      <c r="AK243" s="756">
        <v>0</v>
      </c>
      <c r="AL243" s="756">
        <v>0</v>
      </c>
      <c r="AM243" s="756">
        <v>0</v>
      </c>
      <c r="AN243" s="756">
        <v>0</v>
      </c>
      <c r="AO243" s="756">
        <v>0</v>
      </c>
      <c r="AP243" s="756">
        <v>0</v>
      </c>
      <c r="AQ243" s="757">
        <v>24924.246899999998</v>
      </c>
      <c r="AR243" s="757">
        <v>0</v>
      </c>
      <c r="AS243" s="757">
        <v>81717.839600000007</v>
      </c>
      <c r="AT243" s="757">
        <v>0</v>
      </c>
      <c r="AU243" s="756">
        <v>0</v>
      </c>
      <c r="AV243" s="756">
        <v>0</v>
      </c>
      <c r="AW243" s="756">
        <v>0</v>
      </c>
      <c r="AX243" s="756">
        <v>0</v>
      </c>
      <c r="AY243" s="756">
        <v>0</v>
      </c>
      <c r="AZ243" s="758">
        <v>0.56000000000000005</v>
      </c>
      <c r="BA243" s="759" t="str">
        <f t="shared" si="42"/>
        <v/>
      </c>
      <c r="BB243" s="759" t="str">
        <f t="shared" si="43"/>
        <v/>
      </c>
      <c r="BC243" s="760">
        <f t="shared" si="45"/>
        <v>0</v>
      </c>
      <c r="BD243" s="760">
        <f t="shared" si="46"/>
        <v>0</v>
      </c>
      <c r="BE243" s="760">
        <f t="shared" si="47"/>
        <v>59719.56844000001</v>
      </c>
      <c r="BF243" s="760">
        <f t="shared" si="48"/>
        <v>46922.518059999995</v>
      </c>
      <c r="BG243" s="761">
        <f t="shared" si="44"/>
        <v>0</v>
      </c>
      <c r="BH243" s="762">
        <f t="shared" si="38"/>
        <v>0</v>
      </c>
      <c r="BI243" s="762">
        <f t="shared" si="39"/>
        <v>0</v>
      </c>
      <c r="BJ243" s="762">
        <f t="shared" si="40"/>
        <v>0</v>
      </c>
      <c r="BK243" s="762">
        <f t="shared" si="41"/>
        <v>0</v>
      </c>
    </row>
    <row r="244" spans="1:63">
      <c r="A244" s="669"/>
      <c r="B244" s="745">
        <v>2031</v>
      </c>
      <c r="C244" s="746" t="s">
        <v>13</v>
      </c>
      <c r="D244" s="746" t="s">
        <v>518</v>
      </c>
      <c r="E244" s="746" t="s">
        <v>519</v>
      </c>
      <c r="F244" s="746" t="s">
        <v>478</v>
      </c>
      <c r="G244" s="746" t="s">
        <v>45</v>
      </c>
      <c r="H244" s="746" t="s">
        <v>520</v>
      </c>
      <c r="I244" s="746" t="s">
        <v>521</v>
      </c>
      <c r="J244" s="746" t="s">
        <v>489</v>
      </c>
      <c r="K244" s="746"/>
      <c r="L244" s="746" t="s">
        <v>20</v>
      </c>
      <c r="M244" s="746" t="s">
        <v>412</v>
      </c>
      <c r="N244" s="747">
        <v>235173.57500272998</v>
      </c>
      <c r="O244" s="747">
        <v>99.317400000272983</v>
      </c>
      <c r="P244" s="747">
        <v>5828.1168000395992</v>
      </c>
      <c r="Q244" s="747">
        <v>114343.77500136499</v>
      </c>
      <c r="R244" s="747">
        <v>51.886380000136498</v>
      </c>
      <c r="S244" s="747">
        <v>5508.1488000197996</v>
      </c>
      <c r="T244" s="747">
        <v>306931.62500655197</v>
      </c>
      <c r="U244" s="747">
        <v>72369.528000237595</v>
      </c>
      <c r="V244" s="747">
        <v>100.01179510928061</v>
      </c>
      <c r="W244" s="747">
        <v>384.28219368126162</v>
      </c>
      <c r="X244" s="748">
        <v>153362.13125711156</v>
      </c>
      <c r="Y244" s="748">
        <v>214218.23284951699</v>
      </c>
      <c r="Z244" s="748">
        <v>230942.560214</v>
      </c>
      <c r="AA244" s="748">
        <v>328665.44563237124</v>
      </c>
      <c r="AB244" s="748">
        <v>254199.24971345111</v>
      </c>
      <c r="AC244" s="748">
        <v>335081.49943533842</v>
      </c>
      <c r="AD244" s="748">
        <v>335086.89980254736</v>
      </c>
      <c r="AE244" s="748">
        <v>556001.37466689583</v>
      </c>
      <c r="AF244" s="747">
        <v>69378.524995978514</v>
      </c>
      <c r="AG244" s="747">
        <v>110746.5341026652</v>
      </c>
      <c r="AH244" s="747">
        <v>0</v>
      </c>
      <c r="AI244" s="747">
        <v>79298.580570978884</v>
      </c>
      <c r="AJ244" s="747">
        <v>167081.80375885186</v>
      </c>
      <c r="AK244" s="747">
        <v>0</v>
      </c>
      <c r="AL244" s="747">
        <v>79082.175080021188</v>
      </c>
      <c r="AM244" s="747">
        <v>167081.80375885186</v>
      </c>
      <c r="AN244" s="747">
        <v>0</v>
      </c>
      <c r="AO244" s="747">
        <v>15.51172255832461</v>
      </c>
      <c r="AP244" s="747">
        <v>29.24827012810513</v>
      </c>
      <c r="AQ244" s="748">
        <v>9523.2000000000007</v>
      </c>
      <c r="AR244" s="748">
        <v>496</v>
      </c>
      <c r="AS244" s="748">
        <v>142335.41380000001</v>
      </c>
      <c r="AT244" s="748">
        <v>78587.946413999991</v>
      </c>
      <c r="AU244" s="747">
        <v>231688.88304921237</v>
      </c>
      <c r="AV244" s="747">
        <v>70113.241904232185</v>
      </c>
      <c r="AW244" s="747">
        <v>99908.264680309599</v>
      </c>
      <c r="AX244" s="747">
        <v>0</v>
      </c>
      <c r="AY244" s="747">
        <v>0</v>
      </c>
      <c r="AZ244" s="749">
        <v>0.56000000000000005</v>
      </c>
      <c r="BA244" s="750">
        <f t="shared" si="42"/>
        <v>14969.423687691808</v>
      </c>
      <c r="BB244" s="750">
        <f t="shared" si="43"/>
        <v>7964.4096163214708</v>
      </c>
      <c r="BC244" s="751">
        <f t="shared" si="45"/>
        <v>169286.78967628811</v>
      </c>
      <c r="BD244" s="751">
        <f t="shared" si="46"/>
        <v>110746.5341026652</v>
      </c>
      <c r="BE244" s="751">
        <f t="shared" si="47"/>
        <v>374040.46288874501</v>
      </c>
      <c r="BF244" s="751">
        <f t="shared" si="48"/>
        <v>181960.91177815065</v>
      </c>
      <c r="BG244" s="752">
        <f t="shared" si="44"/>
        <v>8.803319427537863</v>
      </c>
      <c r="BH244" s="763">
        <f t="shared" si="38"/>
        <v>19229.881531588901</v>
      </c>
      <c r="BI244" s="763">
        <f t="shared" si="39"/>
        <v>12580.08811497132</v>
      </c>
      <c r="BJ244" s="763">
        <f t="shared" si="40"/>
        <v>42488.57104045328</v>
      </c>
      <c r="BK244" s="763">
        <f t="shared" si="41"/>
        <v>20669.579614361668</v>
      </c>
    </row>
    <row r="245" spans="1:63">
      <c r="A245" s="669"/>
      <c r="B245" s="754">
        <v>2031</v>
      </c>
      <c r="C245" s="755" t="s">
        <v>13</v>
      </c>
      <c r="D245" s="755" t="s">
        <v>522</v>
      </c>
      <c r="E245" s="755" t="s">
        <v>523</v>
      </c>
      <c r="F245" s="755" t="s">
        <v>478</v>
      </c>
      <c r="G245" s="755" t="s">
        <v>45</v>
      </c>
      <c r="H245" s="755" t="s">
        <v>520</v>
      </c>
      <c r="I245" s="755" t="s">
        <v>521</v>
      </c>
      <c r="J245" s="755" t="s">
        <v>17</v>
      </c>
      <c r="K245" s="755"/>
      <c r="L245" s="755" t="s">
        <v>20</v>
      </c>
      <c r="M245" s="755" t="s">
        <v>412</v>
      </c>
      <c r="N245" s="756">
        <v>0</v>
      </c>
      <c r="O245" s="756">
        <v>0</v>
      </c>
      <c r="P245" s="756">
        <v>0</v>
      </c>
      <c r="Q245" s="756">
        <v>0</v>
      </c>
      <c r="R245" s="756">
        <v>0</v>
      </c>
      <c r="S245" s="756">
        <v>0</v>
      </c>
      <c r="T245" s="756">
        <v>0</v>
      </c>
      <c r="U245" s="756">
        <v>0</v>
      </c>
      <c r="V245" s="756">
        <v>0</v>
      </c>
      <c r="W245" s="756">
        <v>0</v>
      </c>
      <c r="X245" s="757">
        <v>0</v>
      </c>
      <c r="Y245" s="757">
        <v>0</v>
      </c>
      <c r="Z245" s="757">
        <v>3321.1621</v>
      </c>
      <c r="AA245" s="757">
        <v>3321.1621</v>
      </c>
      <c r="AB245" s="757">
        <v>3321.1621</v>
      </c>
      <c r="AC245" s="757">
        <v>3321.1621</v>
      </c>
      <c r="AD245" s="757">
        <v>3321.1621</v>
      </c>
      <c r="AE245" s="757">
        <v>3321.1621</v>
      </c>
      <c r="AF245" s="756">
        <v>0</v>
      </c>
      <c r="AG245" s="756">
        <v>0</v>
      </c>
      <c r="AH245" s="756">
        <v>0</v>
      </c>
      <c r="AI245" s="756">
        <v>0</v>
      </c>
      <c r="AJ245" s="756">
        <v>0</v>
      </c>
      <c r="AK245" s="756">
        <v>0</v>
      </c>
      <c r="AL245" s="756">
        <v>0</v>
      </c>
      <c r="AM245" s="756">
        <v>0</v>
      </c>
      <c r="AN245" s="756">
        <v>0</v>
      </c>
      <c r="AO245" s="756">
        <v>0</v>
      </c>
      <c r="AP245" s="756">
        <v>0</v>
      </c>
      <c r="AQ245" s="757">
        <v>3321.1621</v>
      </c>
      <c r="AR245" s="757">
        <v>0</v>
      </c>
      <c r="AS245" s="757">
        <v>0</v>
      </c>
      <c r="AT245" s="757">
        <v>0</v>
      </c>
      <c r="AU245" s="756">
        <v>0</v>
      </c>
      <c r="AV245" s="756">
        <v>0</v>
      </c>
      <c r="AW245" s="756">
        <v>0</v>
      </c>
      <c r="AX245" s="756">
        <v>0</v>
      </c>
      <c r="AY245" s="756">
        <v>0</v>
      </c>
      <c r="AZ245" s="758">
        <v>0.56000000000000005</v>
      </c>
      <c r="BA245" s="759" t="str">
        <f t="shared" si="42"/>
        <v/>
      </c>
      <c r="BB245" s="759" t="str">
        <f t="shared" si="43"/>
        <v/>
      </c>
      <c r="BC245" s="760">
        <f t="shared" si="45"/>
        <v>0</v>
      </c>
      <c r="BD245" s="760">
        <f t="shared" si="46"/>
        <v>0</v>
      </c>
      <c r="BE245" s="760">
        <f t="shared" si="47"/>
        <v>1859.8507760000002</v>
      </c>
      <c r="BF245" s="760">
        <f t="shared" si="48"/>
        <v>1461.3113239999998</v>
      </c>
      <c r="BG245" s="761">
        <f t="shared" si="44"/>
        <v>0</v>
      </c>
      <c r="BH245" s="762">
        <f t="shared" si="38"/>
        <v>0</v>
      </c>
      <c r="BI245" s="762">
        <f t="shared" si="39"/>
        <v>0</v>
      </c>
      <c r="BJ245" s="762">
        <f t="shared" si="40"/>
        <v>0</v>
      </c>
      <c r="BK245" s="762">
        <f t="shared" si="41"/>
        <v>0</v>
      </c>
    </row>
    <row r="246" spans="1:63">
      <c r="A246" s="669"/>
      <c r="B246" s="745">
        <v>2031</v>
      </c>
      <c r="C246" s="746" t="s">
        <v>13</v>
      </c>
      <c r="D246" s="746" t="s">
        <v>524</v>
      </c>
      <c r="E246" s="746" t="s">
        <v>525</v>
      </c>
      <c r="F246" s="746" t="s">
        <v>478</v>
      </c>
      <c r="G246" s="746" t="s">
        <v>45</v>
      </c>
      <c r="H246" s="746" t="s">
        <v>526</v>
      </c>
      <c r="I246" s="746" t="s">
        <v>521</v>
      </c>
      <c r="J246" s="746" t="s">
        <v>489</v>
      </c>
      <c r="K246" s="746"/>
      <c r="L246" s="746" t="s">
        <v>20</v>
      </c>
      <c r="M246" s="746" t="s">
        <v>412</v>
      </c>
      <c r="N246" s="747">
        <v>1800880.87188004</v>
      </c>
      <c r="O246" s="747">
        <v>1494.7311055768901</v>
      </c>
      <c r="P246" s="747">
        <v>0</v>
      </c>
      <c r="Q246" s="747">
        <v>1080528.5231280201</v>
      </c>
      <c r="R246" s="747">
        <v>896.83866334613401</v>
      </c>
      <c r="S246" s="747">
        <v>0</v>
      </c>
      <c r="T246" s="747">
        <v>8644228.1850242093</v>
      </c>
      <c r="U246" s="747">
        <v>0</v>
      </c>
      <c r="V246" s="747">
        <v>1386.86635534588</v>
      </c>
      <c r="W246" s="747">
        <v>0</v>
      </c>
      <c r="X246" s="748">
        <v>1020275.25345278</v>
      </c>
      <c r="Y246" s="748">
        <v>1700458.7557546401</v>
      </c>
      <c r="Z246" s="748">
        <v>523607.82382480003</v>
      </c>
      <c r="AA246" s="748">
        <v>829256.57195393904</v>
      </c>
      <c r="AB246" s="748">
        <v>512761.740038738</v>
      </c>
      <c r="AC246" s="748">
        <v>839060.687482537</v>
      </c>
      <c r="AD246" s="748">
        <v>839060.687482537</v>
      </c>
      <c r="AE246" s="748">
        <v>2626301.6041451599</v>
      </c>
      <c r="AF246" s="747">
        <v>1020275.25345278</v>
      </c>
      <c r="AG246" s="747">
        <v>0</v>
      </c>
      <c r="AH246" s="747">
        <v>0</v>
      </c>
      <c r="AI246" s="747">
        <v>1145255.6131078601</v>
      </c>
      <c r="AJ246" s="747">
        <v>0</v>
      </c>
      <c r="AK246" s="747">
        <v>0</v>
      </c>
      <c r="AL246" s="747">
        <v>1145255.6131078601</v>
      </c>
      <c r="AM246" s="747">
        <v>0</v>
      </c>
      <c r="AN246" s="747">
        <v>0</v>
      </c>
      <c r="AO246" s="747">
        <v>158.66945460876801</v>
      </c>
      <c r="AP246" s="747">
        <v>0</v>
      </c>
      <c r="AQ246" s="748">
        <v>0</v>
      </c>
      <c r="AR246" s="748">
        <v>0</v>
      </c>
      <c r="AS246" s="748">
        <v>327292.01890000002</v>
      </c>
      <c r="AT246" s="748">
        <v>196315.8049248</v>
      </c>
      <c r="AU246" s="747">
        <v>2113539.8641064302</v>
      </c>
      <c r="AV246" s="747">
        <v>0</v>
      </c>
      <c r="AW246" s="747">
        <v>0</v>
      </c>
      <c r="AX246" s="747">
        <v>0</v>
      </c>
      <c r="AY246" s="747">
        <v>0</v>
      </c>
      <c r="AZ246" s="749">
        <v>0.56000000000000005</v>
      </c>
      <c r="BA246" s="750">
        <f t="shared" si="42"/>
        <v>264192.48301330232</v>
      </c>
      <c r="BB246" s="750">
        <f t="shared" si="43"/>
        <v>0</v>
      </c>
      <c r="BC246" s="751">
        <f t="shared" si="45"/>
        <v>1020275.25345278</v>
      </c>
      <c r="BD246" s="751">
        <f t="shared" si="46"/>
        <v>0</v>
      </c>
      <c r="BE246" s="751">
        <f t="shared" si="47"/>
        <v>2400686.4385281233</v>
      </c>
      <c r="BF246" s="751">
        <f t="shared" si="48"/>
        <v>225615.16561704469</v>
      </c>
      <c r="BG246" s="752">
        <f t="shared" si="44"/>
        <v>8.0000000000000444</v>
      </c>
      <c r="BH246" s="763">
        <f t="shared" si="38"/>
        <v>127534.40668159678</v>
      </c>
      <c r="BI246" s="763">
        <f t="shared" si="39"/>
        <v>0</v>
      </c>
      <c r="BJ246" s="763">
        <f t="shared" si="40"/>
        <v>300085.80481601373</v>
      </c>
      <c r="BK246" s="763">
        <f t="shared" si="41"/>
        <v>28201.89570213043</v>
      </c>
    </row>
    <row r="247" spans="1:63">
      <c r="A247" s="669"/>
      <c r="B247" s="754">
        <v>2031</v>
      </c>
      <c r="C247" s="755" t="s">
        <v>13</v>
      </c>
      <c r="D247" s="755" t="s">
        <v>527</v>
      </c>
      <c r="E247" s="755" t="s">
        <v>528</v>
      </c>
      <c r="F247" s="755" t="s">
        <v>478</v>
      </c>
      <c r="G247" s="755" t="s">
        <v>45</v>
      </c>
      <c r="H247" s="755" t="s">
        <v>526</v>
      </c>
      <c r="I247" s="755" t="s">
        <v>521</v>
      </c>
      <c r="J247" s="755" t="s">
        <v>17</v>
      </c>
      <c r="K247" s="755"/>
      <c r="L247" s="755" t="s">
        <v>20</v>
      </c>
      <c r="M247" s="755" t="s">
        <v>412</v>
      </c>
      <c r="N247" s="756">
        <v>0</v>
      </c>
      <c r="O247" s="756">
        <v>0</v>
      </c>
      <c r="P247" s="756">
        <v>0</v>
      </c>
      <c r="Q247" s="756">
        <v>0</v>
      </c>
      <c r="R247" s="756">
        <v>0</v>
      </c>
      <c r="S247" s="756">
        <v>0</v>
      </c>
      <c r="T247" s="756">
        <v>0</v>
      </c>
      <c r="U247" s="756">
        <v>0</v>
      </c>
      <c r="V247" s="756">
        <v>0</v>
      </c>
      <c r="W247" s="756">
        <v>0</v>
      </c>
      <c r="X247" s="757">
        <v>0</v>
      </c>
      <c r="Y247" s="757">
        <v>0</v>
      </c>
      <c r="Z247" s="757">
        <v>5072.2120999999997</v>
      </c>
      <c r="AA247" s="757">
        <v>5072.2120999999997</v>
      </c>
      <c r="AB247" s="757">
        <v>5072.2120999999997</v>
      </c>
      <c r="AC247" s="757">
        <v>5072.2120999999997</v>
      </c>
      <c r="AD247" s="757">
        <v>5072.2120999999997</v>
      </c>
      <c r="AE247" s="757">
        <v>5072.2120999999997</v>
      </c>
      <c r="AF247" s="756">
        <v>0</v>
      </c>
      <c r="AG247" s="756">
        <v>0</v>
      </c>
      <c r="AH247" s="756">
        <v>0</v>
      </c>
      <c r="AI247" s="756">
        <v>0</v>
      </c>
      <c r="AJ247" s="756">
        <v>0</v>
      </c>
      <c r="AK247" s="756">
        <v>0</v>
      </c>
      <c r="AL247" s="756">
        <v>0</v>
      </c>
      <c r="AM247" s="756">
        <v>0</v>
      </c>
      <c r="AN247" s="756">
        <v>0</v>
      </c>
      <c r="AO247" s="756">
        <v>0</v>
      </c>
      <c r="AP247" s="756">
        <v>0</v>
      </c>
      <c r="AQ247" s="757">
        <v>5072.2120999999997</v>
      </c>
      <c r="AR247" s="757">
        <v>0</v>
      </c>
      <c r="AS247" s="757">
        <v>0</v>
      </c>
      <c r="AT247" s="757">
        <v>0</v>
      </c>
      <c r="AU247" s="756">
        <v>0</v>
      </c>
      <c r="AV247" s="756">
        <v>0</v>
      </c>
      <c r="AW247" s="756">
        <v>0</v>
      </c>
      <c r="AX247" s="756">
        <v>0</v>
      </c>
      <c r="AY247" s="756">
        <v>0</v>
      </c>
      <c r="AZ247" s="758">
        <v>0.56000000000000005</v>
      </c>
      <c r="BA247" s="759" t="str">
        <f t="shared" si="42"/>
        <v/>
      </c>
      <c r="BB247" s="759" t="str">
        <f t="shared" si="43"/>
        <v/>
      </c>
      <c r="BC247" s="760">
        <f t="shared" si="45"/>
        <v>0</v>
      </c>
      <c r="BD247" s="760">
        <f t="shared" si="46"/>
        <v>0</v>
      </c>
      <c r="BE247" s="760">
        <f t="shared" si="47"/>
        <v>2840.438776</v>
      </c>
      <c r="BF247" s="760">
        <f t="shared" si="48"/>
        <v>2231.7733239999998</v>
      </c>
      <c r="BG247" s="761">
        <f t="shared" si="44"/>
        <v>0</v>
      </c>
      <c r="BH247" s="762">
        <f t="shared" si="38"/>
        <v>0</v>
      </c>
      <c r="BI247" s="762">
        <f t="shared" si="39"/>
        <v>0</v>
      </c>
      <c r="BJ247" s="762">
        <f t="shared" si="40"/>
        <v>0</v>
      </c>
      <c r="BK247" s="762">
        <f t="shared" si="41"/>
        <v>0</v>
      </c>
    </row>
    <row r="248" spans="1:63">
      <c r="A248" s="669"/>
      <c r="B248" s="745">
        <v>2031</v>
      </c>
      <c r="C248" s="746" t="s">
        <v>13</v>
      </c>
      <c r="D248" s="746" t="s">
        <v>529</v>
      </c>
      <c r="E248" s="746" t="s">
        <v>530</v>
      </c>
      <c r="F248" s="746" t="s">
        <v>478</v>
      </c>
      <c r="G248" s="746" t="s">
        <v>27</v>
      </c>
      <c r="H248" s="746" t="s">
        <v>531</v>
      </c>
      <c r="I248" s="746" t="s">
        <v>46</v>
      </c>
      <c r="J248" s="746" t="s">
        <v>489</v>
      </c>
      <c r="K248" s="746"/>
      <c r="L248" s="746" t="s">
        <v>20</v>
      </c>
      <c r="M248" s="746" t="s">
        <v>412</v>
      </c>
      <c r="N248" s="747">
        <v>-526101.37282944971</v>
      </c>
      <c r="O248" s="747">
        <v>-2.2652899424609978</v>
      </c>
      <c r="P248" s="747">
        <v>940584.8320688745</v>
      </c>
      <c r="Q248" s="747">
        <v>-520731.14178689889</v>
      </c>
      <c r="R248" s="747">
        <v>-1.4474483183296509</v>
      </c>
      <c r="S248" s="747">
        <v>573622.42326910736</v>
      </c>
      <c r="T248" s="747">
        <v>-8894952.6766490526</v>
      </c>
      <c r="U248" s="747">
        <v>10475710.522140376</v>
      </c>
      <c r="V248" s="747">
        <v>-1365.9604269536301</v>
      </c>
      <c r="W248" s="747">
        <v>55626.022872565372</v>
      </c>
      <c r="X248" s="748">
        <v>16971839.198702186</v>
      </c>
      <c r="Y248" s="748">
        <v>28631778.306710821</v>
      </c>
      <c r="Z248" s="748">
        <v>2427599.9999266234</v>
      </c>
      <c r="AA248" s="748">
        <v>3913121.0332166022</v>
      </c>
      <c r="AB248" s="748">
        <v>3296910.5535351322</v>
      </c>
      <c r="AC248" s="748">
        <v>4163365.8092470681</v>
      </c>
      <c r="AD248" s="748">
        <v>4163365.8092470681</v>
      </c>
      <c r="AE248" s="748">
        <v>14800247.053681597</v>
      </c>
      <c r="AF248" s="747">
        <v>-21348.827251822077</v>
      </c>
      <c r="AG248" s="747">
        <v>17928425.521427754</v>
      </c>
      <c r="AH248" s="747">
        <v>0</v>
      </c>
      <c r="AI248" s="747">
        <v>-26745.213806004831</v>
      </c>
      <c r="AJ248" s="747">
        <v>28037615.404316366</v>
      </c>
      <c r="AK248" s="747">
        <v>0</v>
      </c>
      <c r="AL248" s="747">
        <v>-26745.213806004831</v>
      </c>
      <c r="AM248" s="747">
        <v>28037615.404316366</v>
      </c>
      <c r="AN248" s="747">
        <v>0</v>
      </c>
      <c r="AO248" s="747">
        <v>-78.254453017617038</v>
      </c>
      <c r="AP248" s="747">
        <v>3045.9350675589585</v>
      </c>
      <c r="AQ248" s="748">
        <v>284760.36629999999</v>
      </c>
      <c r="AR248" s="748">
        <v>207222.9277</v>
      </c>
      <c r="AS248" s="748">
        <v>702690.96600000001</v>
      </c>
      <c r="AT248" s="748">
        <v>1232925.7399266236</v>
      </c>
      <c r="AU248" s="747">
        <v>-60744.839660579484</v>
      </c>
      <c r="AV248" s="747">
        <v>11564081.339807037</v>
      </c>
      <c r="AW248" s="747">
        <v>2218273.8245039103</v>
      </c>
      <c r="AX248" s="747">
        <v>0</v>
      </c>
      <c r="AY248" s="747">
        <v>0</v>
      </c>
      <c r="AZ248" s="749">
        <v>0.56000000000000005</v>
      </c>
      <c r="BA248" s="750">
        <f t="shared" si="42"/>
        <v>-124535.64656333874</v>
      </c>
      <c r="BB248" s="750">
        <f t="shared" si="43"/>
        <v>631912.48461840895</v>
      </c>
      <c r="BC248" s="751">
        <f t="shared" si="45"/>
        <v>2196924.997252088</v>
      </c>
      <c r="BD248" s="751">
        <f t="shared" si="46"/>
        <v>17928425.521427754</v>
      </c>
      <c r="BE248" s="751">
        <f t="shared" si="47"/>
        <v>1785525.0703190947</v>
      </c>
      <c r="BF248" s="751">
        <f t="shared" si="48"/>
        <v>13014721.983362496</v>
      </c>
      <c r="BG248" s="752">
        <f t="shared" si="44"/>
        <v>18.300131143619048</v>
      </c>
      <c r="BH248" s="763">
        <f t="shared" si="38"/>
        <v>120049.68598370506</v>
      </c>
      <c r="BI248" s="763">
        <f t="shared" si="39"/>
        <v>979688.36292624602</v>
      </c>
      <c r="BJ248" s="763">
        <f t="shared" si="40"/>
        <v>97568.976763408486</v>
      </c>
      <c r="BK248" s="763">
        <f t="shared" si="41"/>
        <v>711181.89707074931</v>
      </c>
    </row>
    <row r="249" spans="1:63">
      <c r="A249" s="669"/>
      <c r="B249" s="754">
        <v>2031</v>
      </c>
      <c r="C249" s="755" t="s">
        <v>13</v>
      </c>
      <c r="D249" s="755" t="s">
        <v>532</v>
      </c>
      <c r="E249" s="755" t="s">
        <v>533</v>
      </c>
      <c r="F249" s="755" t="s">
        <v>478</v>
      </c>
      <c r="G249" s="755" t="s">
        <v>27</v>
      </c>
      <c r="H249" s="755" t="s">
        <v>531</v>
      </c>
      <c r="I249" s="755" t="s">
        <v>46</v>
      </c>
      <c r="J249" s="755" t="s">
        <v>17</v>
      </c>
      <c r="K249" s="755"/>
      <c r="L249" s="755" t="s">
        <v>20</v>
      </c>
      <c r="M249" s="755" t="s">
        <v>412</v>
      </c>
      <c r="N249" s="756">
        <v>0</v>
      </c>
      <c r="O249" s="756">
        <v>0</v>
      </c>
      <c r="P249" s="756">
        <v>0</v>
      </c>
      <c r="Q249" s="756">
        <v>0</v>
      </c>
      <c r="R249" s="756">
        <v>0</v>
      </c>
      <c r="S249" s="756">
        <v>0</v>
      </c>
      <c r="T249" s="756">
        <v>0</v>
      </c>
      <c r="U249" s="756">
        <v>0</v>
      </c>
      <c r="V249" s="756">
        <v>0</v>
      </c>
      <c r="W249" s="756">
        <v>0</v>
      </c>
      <c r="X249" s="757">
        <v>0</v>
      </c>
      <c r="Y249" s="757">
        <v>0</v>
      </c>
      <c r="Z249" s="757">
        <v>16464.0321</v>
      </c>
      <c r="AA249" s="757">
        <v>16464.0321</v>
      </c>
      <c r="AB249" s="757">
        <v>16464.0321</v>
      </c>
      <c r="AC249" s="757">
        <v>16464.0321</v>
      </c>
      <c r="AD249" s="757">
        <v>16464.0321</v>
      </c>
      <c r="AE249" s="757">
        <v>16464.0321</v>
      </c>
      <c r="AF249" s="756">
        <v>0</v>
      </c>
      <c r="AG249" s="756">
        <v>0</v>
      </c>
      <c r="AH249" s="756">
        <v>0</v>
      </c>
      <c r="AI249" s="756">
        <v>0</v>
      </c>
      <c r="AJ249" s="756">
        <v>0</v>
      </c>
      <c r="AK249" s="756">
        <v>0</v>
      </c>
      <c r="AL249" s="756">
        <v>0</v>
      </c>
      <c r="AM249" s="756">
        <v>0</v>
      </c>
      <c r="AN249" s="756">
        <v>0</v>
      </c>
      <c r="AO249" s="756">
        <v>0</v>
      </c>
      <c r="AP249" s="756">
        <v>0</v>
      </c>
      <c r="AQ249" s="757">
        <v>16464.0321</v>
      </c>
      <c r="AR249" s="757">
        <v>0</v>
      </c>
      <c r="AS249" s="757">
        <v>0</v>
      </c>
      <c r="AT249" s="757">
        <v>0</v>
      </c>
      <c r="AU249" s="756">
        <v>0</v>
      </c>
      <c r="AV249" s="756">
        <v>0</v>
      </c>
      <c r="AW249" s="756">
        <v>0</v>
      </c>
      <c r="AX249" s="756">
        <v>0</v>
      </c>
      <c r="AY249" s="756">
        <v>0</v>
      </c>
      <c r="AZ249" s="758">
        <v>0.56000000000000005</v>
      </c>
      <c r="BA249" s="759" t="str">
        <f t="shared" si="42"/>
        <v/>
      </c>
      <c r="BB249" s="759" t="str">
        <f t="shared" si="43"/>
        <v/>
      </c>
      <c r="BC249" s="760">
        <f t="shared" si="45"/>
        <v>0</v>
      </c>
      <c r="BD249" s="760">
        <f t="shared" si="46"/>
        <v>0</v>
      </c>
      <c r="BE249" s="760">
        <f t="shared" si="47"/>
        <v>9219.8579760000011</v>
      </c>
      <c r="BF249" s="760">
        <f t="shared" si="48"/>
        <v>7244.1741239999992</v>
      </c>
      <c r="BG249" s="761">
        <f t="shared" si="44"/>
        <v>0</v>
      </c>
      <c r="BH249" s="762">
        <f t="shared" si="38"/>
        <v>0</v>
      </c>
      <c r="BI249" s="762">
        <f t="shared" si="39"/>
        <v>0</v>
      </c>
      <c r="BJ249" s="762">
        <f t="shared" si="40"/>
        <v>0</v>
      </c>
      <c r="BK249" s="762">
        <f t="shared" si="41"/>
        <v>0</v>
      </c>
    </row>
    <row r="250" spans="1:63">
      <c r="A250" s="669"/>
      <c r="B250" s="745">
        <v>2031</v>
      </c>
      <c r="C250" s="746" t="s">
        <v>13</v>
      </c>
      <c r="D250" s="746" t="s">
        <v>534</v>
      </c>
      <c r="E250" s="746" t="s">
        <v>535</v>
      </c>
      <c r="F250" s="746" t="s">
        <v>478</v>
      </c>
      <c r="G250" s="746" t="s">
        <v>27</v>
      </c>
      <c r="H250" s="746" t="s">
        <v>536</v>
      </c>
      <c r="I250" s="746" t="s">
        <v>46</v>
      </c>
      <c r="J250" s="746" t="s">
        <v>489</v>
      </c>
      <c r="K250" s="746"/>
      <c r="L250" s="746" t="s">
        <v>20</v>
      </c>
      <c r="M250" s="746" t="s">
        <v>412</v>
      </c>
      <c r="N250" s="747">
        <v>1990105.1230969985</v>
      </c>
      <c r="O250" s="747">
        <v>234.32685394445582</v>
      </c>
      <c r="P250" s="747">
        <v>253393.49508000011</v>
      </c>
      <c r="Q250" s="747">
        <v>1190628.3698582</v>
      </c>
      <c r="R250" s="747">
        <v>140.59611236667342</v>
      </c>
      <c r="S250" s="747">
        <v>152538.96424800003</v>
      </c>
      <c r="T250" s="747">
        <v>14332469.249498373</v>
      </c>
      <c r="U250" s="747">
        <v>1797572.6588160007</v>
      </c>
      <c r="V250" s="747">
        <v>1943.9228952768303</v>
      </c>
      <c r="W250" s="747">
        <v>9545.1108183129636</v>
      </c>
      <c r="X250" s="748">
        <v>4838839.9744256493</v>
      </c>
      <c r="Y250" s="748">
        <v>8053927.5399284922</v>
      </c>
      <c r="Z250" s="748">
        <v>2196400.0000000005</v>
      </c>
      <c r="AA250" s="748">
        <v>3176058.4626541445</v>
      </c>
      <c r="AB250" s="748">
        <v>2159427.9421005198</v>
      </c>
      <c r="AC250" s="748">
        <v>3213246.4935090076</v>
      </c>
      <c r="AD250" s="748">
        <v>3213246.4935090076</v>
      </c>
      <c r="AE250" s="748">
        <v>9088303.6802870575</v>
      </c>
      <c r="AF250" s="747">
        <v>1538467.7459540197</v>
      </c>
      <c r="AG250" s="747">
        <v>3290836.9620556962</v>
      </c>
      <c r="AH250" s="747">
        <v>0</v>
      </c>
      <c r="AI250" s="747">
        <v>1804504.4082300316</v>
      </c>
      <c r="AJ250" s="747">
        <v>4846495.239577977</v>
      </c>
      <c r="AK250" s="747">
        <v>24944.747072104568</v>
      </c>
      <c r="AL250" s="747">
        <v>1804504.4082300316</v>
      </c>
      <c r="AM250" s="747">
        <v>4846495.239577977</v>
      </c>
      <c r="AN250" s="747">
        <v>24944.747072104568</v>
      </c>
      <c r="AO250" s="747">
        <v>150.65673132466779</v>
      </c>
      <c r="AP250" s="747">
        <v>809.98190015687965</v>
      </c>
      <c r="AQ250" s="748">
        <v>205597.0736</v>
      </c>
      <c r="AR250" s="748">
        <v>158680.76879999999</v>
      </c>
      <c r="AS250" s="748">
        <v>931002.81759999995</v>
      </c>
      <c r="AT250" s="748">
        <v>901119.34000000043</v>
      </c>
      <c r="AU250" s="747">
        <v>4849743.7010100782</v>
      </c>
      <c r="AV250" s="747">
        <v>2079132.0371764514</v>
      </c>
      <c r="AW250" s="747">
        <v>37589.127473713532</v>
      </c>
      <c r="AX250" s="747">
        <v>0</v>
      </c>
      <c r="AY250" s="747">
        <v>21763.242998339028</v>
      </c>
      <c r="AZ250" s="749">
        <v>0.56000000000000005</v>
      </c>
      <c r="BA250" s="750">
        <f t="shared" si="42"/>
        <v>406512.59076369321</v>
      </c>
      <c r="BB250" s="750">
        <f t="shared" si="43"/>
        <v>175637.19910835646</v>
      </c>
      <c r="BC250" s="751">
        <f t="shared" si="45"/>
        <v>1597820.1164260723</v>
      </c>
      <c r="BD250" s="751">
        <f t="shared" si="46"/>
        <v>3290836.9620556962</v>
      </c>
      <c r="BE250" s="751">
        <f t="shared" si="47"/>
        <v>6059023.3485863693</v>
      </c>
      <c r="BF250" s="751">
        <f t="shared" si="48"/>
        <v>3029280.3317006798</v>
      </c>
      <c r="BG250" s="752">
        <f t="shared" si="44"/>
        <v>11.837651976525573</v>
      </c>
      <c r="BH250" s="763">
        <f t="shared" si="38"/>
        <v>134977.79116961698</v>
      </c>
      <c r="BI250" s="763">
        <f t="shared" si="39"/>
        <v>277997.44143361598</v>
      </c>
      <c r="BJ250" s="763">
        <f t="shared" si="40"/>
        <v>511843.34195680008</v>
      </c>
      <c r="BK250" s="763">
        <f t="shared" si="41"/>
        <v>255902.12803247094</v>
      </c>
    </row>
    <row r="251" spans="1:63">
      <c r="A251" s="669"/>
      <c r="B251" s="754">
        <v>2031</v>
      </c>
      <c r="C251" s="755" t="s">
        <v>13</v>
      </c>
      <c r="D251" s="755" t="s">
        <v>537</v>
      </c>
      <c r="E251" s="755" t="s">
        <v>538</v>
      </c>
      <c r="F251" s="755" t="s">
        <v>478</v>
      </c>
      <c r="G251" s="755" t="s">
        <v>27</v>
      </c>
      <c r="H251" s="755" t="s">
        <v>536</v>
      </c>
      <c r="I251" s="755" t="s">
        <v>46</v>
      </c>
      <c r="J251" s="755" t="s">
        <v>17</v>
      </c>
      <c r="K251" s="755"/>
      <c r="L251" s="755" t="s">
        <v>20</v>
      </c>
      <c r="M251" s="755" t="s">
        <v>412</v>
      </c>
      <c r="N251" s="756">
        <v>0</v>
      </c>
      <c r="O251" s="756">
        <v>0</v>
      </c>
      <c r="P251" s="756">
        <v>0</v>
      </c>
      <c r="Q251" s="756">
        <v>0</v>
      </c>
      <c r="R251" s="756">
        <v>0</v>
      </c>
      <c r="S251" s="756">
        <v>0</v>
      </c>
      <c r="T251" s="756">
        <v>0</v>
      </c>
      <c r="U251" s="756">
        <v>0</v>
      </c>
      <c r="V251" s="756">
        <v>0</v>
      </c>
      <c r="W251" s="756">
        <v>0</v>
      </c>
      <c r="X251" s="757">
        <v>0</v>
      </c>
      <c r="Y251" s="757">
        <v>0</v>
      </c>
      <c r="Z251" s="757">
        <v>15080.732099999999</v>
      </c>
      <c r="AA251" s="757">
        <v>15080.732099999999</v>
      </c>
      <c r="AB251" s="757">
        <v>15080.732099999999</v>
      </c>
      <c r="AC251" s="757">
        <v>15080.732099999999</v>
      </c>
      <c r="AD251" s="757">
        <v>15080.732099999999</v>
      </c>
      <c r="AE251" s="757">
        <v>15080.732099999999</v>
      </c>
      <c r="AF251" s="756">
        <v>0</v>
      </c>
      <c r="AG251" s="756">
        <v>0</v>
      </c>
      <c r="AH251" s="756">
        <v>0</v>
      </c>
      <c r="AI251" s="756">
        <v>0</v>
      </c>
      <c r="AJ251" s="756">
        <v>0</v>
      </c>
      <c r="AK251" s="756">
        <v>0</v>
      </c>
      <c r="AL251" s="756">
        <v>0</v>
      </c>
      <c r="AM251" s="756">
        <v>0</v>
      </c>
      <c r="AN251" s="756">
        <v>0</v>
      </c>
      <c r="AO251" s="756">
        <v>0</v>
      </c>
      <c r="AP251" s="756">
        <v>0</v>
      </c>
      <c r="AQ251" s="757">
        <v>15080.732099999999</v>
      </c>
      <c r="AR251" s="757">
        <v>0</v>
      </c>
      <c r="AS251" s="757">
        <v>0</v>
      </c>
      <c r="AT251" s="757">
        <v>0</v>
      </c>
      <c r="AU251" s="756">
        <v>0</v>
      </c>
      <c r="AV251" s="756">
        <v>0</v>
      </c>
      <c r="AW251" s="756">
        <v>0</v>
      </c>
      <c r="AX251" s="756">
        <v>0</v>
      </c>
      <c r="AY251" s="756">
        <v>0</v>
      </c>
      <c r="AZ251" s="758">
        <v>0.56000000000000005</v>
      </c>
      <c r="BA251" s="759" t="str">
        <f t="shared" si="42"/>
        <v/>
      </c>
      <c r="BB251" s="759" t="str">
        <f t="shared" si="43"/>
        <v/>
      </c>
      <c r="BC251" s="760">
        <f t="shared" si="45"/>
        <v>0</v>
      </c>
      <c r="BD251" s="760">
        <f t="shared" si="46"/>
        <v>0</v>
      </c>
      <c r="BE251" s="760">
        <f t="shared" si="47"/>
        <v>8445.2099760000001</v>
      </c>
      <c r="BF251" s="760">
        <f t="shared" si="48"/>
        <v>6635.5221239999992</v>
      </c>
      <c r="BG251" s="761">
        <f t="shared" si="44"/>
        <v>0</v>
      </c>
      <c r="BH251" s="762">
        <f t="shared" si="38"/>
        <v>0</v>
      </c>
      <c r="BI251" s="762">
        <f t="shared" si="39"/>
        <v>0</v>
      </c>
      <c r="BJ251" s="762">
        <f t="shared" si="40"/>
        <v>0</v>
      </c>
      <c r="BK251" s="762">
        <f t="shared" si="41"/>
        <v>0</v>
      </c>
    </row>
    <row r="252" spans="1:63">
      <c r="A252" s="669"/>
      <c r="B252" s="745">
        <v>2031</v>
      </c>
      <c r="C252" s="746" t="s">
        <v>13</v>
      </c>
      <c r="D252" s="746" t="s">
        <v>539</v>
      </c>
      <c r="E252" s="746" t="s">
        <v>540</v>
      </c>
      <c r="F252" s="746" t="s">
        <v>478</v>
      </c>
      <c r="G252" s="746" t="s">
        <v>50</v>
      </c>
      <c r="H252" s="746" t="s">
        <v>541</v>
      </c>
      <c r="I252" s="746" t="s">
        <v>542</v>
      </c>
      <c r="J252" s="746" t="s">
        <v>489</v>
      </c>
      <c r="K252" s="746"/>
      <c r="L252" s="746" t="s">
        <v>29</v>
      </c>
      <c r="M252" s="746" t="s">
        <v>412</v>
      </c>
      <c r="N252" s="747">
        <v>0</v>
      </c>
      <c r="O252" s="747">
        <v>0</v>
      </c>
      <c r="P252" s="747">
        <v>0</v>
      </c>
      <c r="Q252" s="747">
        <v>0</v>
      </c>
      <c r="R252" s="747">
        <v>0</v>
      </c>
      <c r="S252" s="747">
        <v>0</v>
      </c>
      <c r="T252" s="747">
        <v>0</v>
      </c>
      <c r="U252" s="747">
        <v>0</v>
      </c>
      <c r="V252" s="747">
        <v>0</v>
      </c>
      <c r="W252" s="747">
        <v>0</v>
      </c>
      <c r="X252" s="748">
        <v>0</v>
      </c>
      <c r="Y252" s="748">
        <v>0</v>
      </c>
      <c r="Z252" s="748">
        <v>109120</v>
      </c>
      <c r="AA252" s="748">
        <v>109120</v>
      </c>
      <c r="AB252" s="748">
        <v>109120</v>
      </c>
      <c r="AC252" s="748">
        <v>109120</v>
      </c>
      <c r="AD252" s="748">
        <v>109120</v>
      </c>
      <c r="AE252" s="748">
        <v>109120</v>
      </c>
      <c r="AF252" s="747">
        <v>0</v>
      </c>
      <c r="AG252" s="747">
        <v>0</v>
      </c>
      <c r="AH252" s="747">
        <v>0</v>
      </c>
      <c r="AI252" s="747">
        <v>0</v>
      </c>
      <c r="AJ252" s="747">
        <v>0</v>
      </c>
      <c r="AK252" s="747">
        <v>0</v>
      </c>
      <c r="AL252" s="747">
        <v>0</v>
      </c>
      <c r="AM252" s="747">
        <v>0</v>
      </c>
      <c r="AN252" s="747">
        <v>0</v>
      </c>
      <c r="AO252" s="747">
        <v>0</v>
      </c>
      <c r="AP252" s="747">
        <v>0</v>
      </c>
      <c r="AQ252" s="748">
        <v>1091.2</v>
      </c>
      <c r="AR252" s="748">
        <v>7638.4</v>
      </c>
      <c r="AS252" s="748">
        <v>100390.39999999999</v>
      </c>
      <c r="AT252" s="748">
        <v>0</v>
      </c>
      <c r="AU252" s="747">
        <v>0</v>
      </c>
      <c r="AV252" s="747">
        <v>0</v>
      </c>
      <c r="AW252" s="747">
        <v>0</v>
      </c>
      <c r="AX252" s="747">
        <v>0</v>
      </c>
      <c r="AY252" s="747">
        <v>0</v>
      </c>
      <c r="AZ252" s="749">
        <v>0.56000000000000005</v>
      </c>
      <c r="BA252" s="750" t="str">
        <f t="shared" si="42"/>
        <v/>
      </c>
      <c r="BB252" s="750" t="str">
        <f t="shared" si="43"/>
        <v/>
      </c>
      <c r="BC252" s="751">
        <f t="shared" si="45"/>
        <v>0</v>
      </c>
      <c r="BD252" s="751">
        <f t="shared" si="46"/>
        <v>0</v>
      </c>
      <c r="BE252" s="751">
        <f t="shared" si="47"/>
        <v>61107.200000000004</v>
      </c>
      <c r="BF252" s="751">
        <f t="shared" si="48"/>
        <v>48012.799999999996</v>
      </c>
      <c r="BG252" s="752">
        <f t="shared" si="44"/>
        <v>0</v>
      </c>
      <c r="BH252" s="763">
        <f t="shared" si="38"/>
        <v>0</v>
      </c>
      <c r="BI252" s="763">
        <f t="shared" si="39"/>
        <v>0</v>
      </c>
      <c r="BJ252" s="763">
        <f t="shared" si="40"/>
        <v>0</v>
      </c>
      <c r="BK252" s="763">
        <f t="shared" si="41"/>
        <v>0</v>
      </c>
    </row>
    <row r="253" spans="1:63">
      <c r="A253" s="669"/>
      <c r="B253" s="754">
        <v>2031</v>
      </c>
      <c r="C253" s="755" t="s">
        <v>13</v>
      </c>
      <c r="D253" s="755" t="s">
        <v>543</v>
      </c>
      <c r="E253" s="755" t="s">
        <v>544</v>
      </c>
      <c r="F253" s="755" t="s">
        <v>478</v>
      </c>
      <c r="G253" s="755" t="s">
        <v>50</v>
      </c>
      <c r="H253" s="755" t="s">
        <v>541</v>
      </c>
      <c r="I253" s="755" t="s">
        <v>542</v>
      </c>
      <c r="J253" s="755" t="s">
        <v>17</v>
      </c>
      <c r="K253" s="755"/>
      <c r="L253" s="755" t="s">
        <v>29</v>
      </c>
      <c r="M253" s="755" t="s">
        <v>412</v>
      </c>
      <c r="N253" s="756">
        <v>0</v>
      </c>
      <c r="O253" s="756">
        <v>0</v>
      </c>
      <c r="P253" s="756">
        <v>0</v>
      </c>
      <c r="Q253" s="756">
        <v>0</v>
      </c>
      <c r="R253" s="756">
        <v>0</v>
      </c>
      <c r="S253" s="756">
        <v>0</v>
      </c>
      <c r="T253" s="756">
        <v>0</v>
      </c>
      <c r="U253" s="756">
        <v>0</v>
      </c>
      <c r="V253" s="756">
        <v>0</v>
      </c>
      <c r="W253" s="756">
        <v>0</v>
      </c>
      <c r="X253" s="757">
        <v>0</v>
      </c>
      <c r="Y253" s="757">
        <v>0</v>
      </c>
      <c r="Z253" s="757">
        <v>2592.2820999999999</v>
      </c>
      <c r="AA253" s="757">
        <v>2592.2820999999999</v>
      </c>
      <c r="AB253" s="757">
        <v>2592.2820999999999</v>
      </c>
      <c r="AC253" s="757">
        <v>2592.2820999999999</v>
      </c>
      <c r="AD253" s="757">
        <v>2592.2820999999999</v>
      </c>
      <c r="AE253" s="757">
        <v>2592.2820999999999</v>
      </c>
      <c r="AF253" s="756">
        <v>0</v>
      </c>
      <c r="AG253" s="756">
        <v>0</v>
      </c>
      <c r="AH253" s="756">
        <v>0</v>
      </c>
      <c r="AI253" s="756">
        <v>0</v>
      </c>
      <c r="AJ253" s="756">
        <v>0</v>
      </c>
      <c r="AK253" s="756">
        <v>0</v>
      </c>
      <c r="AL253" s="756">
        <v>0</v>
      </c>
      <c r="AM253" s="756">
        <v>0</v>
      </c>
      <c r="AN253" s="756">
        <v>0</v>
      </c>
      <c r="AO253" s="756">
        <v>0</v>
      </c>
      <c r="AP253" s="756">
        <v>0</v>
      </c>
      <c r="AQ253" s="757">
        <v>2592.2820999999999</v>
      </c>
      <c r="AR253" s="757">
        <v>0</v>
      </c>
      <c r="AS253" s="757">
        <v>0</v>
      </c>
      <c r="AT253" s="757">
        <v>0</v>
      </c>
      <c r="AU253" s="756">
        <v>0</v>
      </c>
      <c r="AV253" s="756">
        <v>0</v>
      </c>
      <c r="AW253" s="756">
        <v>0</v>
      </c>
      <c r="AX253" s="756">
        <v>0</v>
      </c>
      <c r="AY253" s="756">
        <v>0</v>
      </c>
      <c r="AZ253" s="758">
        <v>0.56000000000000005</v>
      </c>
      <c r="BA253" s="759" t="str">
        <f t="shared" si="42"/>
        <v/>
      </c>
      <c r="BB253" s="759" t="str">
        <f t="shared" si="43"/>
        <v/>
      </c>
      <c r="BC253" s="760">
        <f t="shared" si="45"/>
        <v>0</v>
      </c>
      <c r="BD253" s="760">
        <f t="shared" si="46"/>
        <v>0</v>
      </c>
      <c r="BE253" s="760">
        <f t="shared" si="47"/>
        <v>1451.6779760000002</v>
      </c>
      <c r="BF253" s="760">
        <f t="shared" si="48"/>
        <v>1140.6041239999997</v>
      </c>
      <c r="BG253" s="761">
        <f t="shared" si="44"/>
        <v>0</v>
      </c>
      <c r="BH253" s="762">
        <f t="shared" si="38"/>
        <v>0</v>
      </c>
      <c r="BI253" s="762">
        <f t="shared" si="39"/>
        <v>0</v>
      </c>
      <c r="BJ253" s="762">
        <f t="shared" si="40"/>
        <v>0</v>
      </c>
      <c r="BK253" s="762">
        <f t="shared" si="41"/>
        <v>0</v>
      </c>
    </row>
    <row r="254" spans="1:63">
      <c r="A254" s="669"/>
      <c r="B254" s="745">
        <v>2031</v>
      </c>
      <c r="C254" s="746" t="s">
        <v>13</v>
      </c>
      <c r="D254" s="746" t="s">
        <v>545</v>
      </c>
      <c r="E254" s="746" t="s">
        <v>546</v>
      </c>
      <c r="F254" s="746" t="s">
        <v>478</v>
      </c>
      <c r="G254" s="746" t="s">
        <v>50</v>
      </c>
      <c r="H254" s="746" t="s">
        <v>547</v>
      </c>
      <c r="I254" s="746" t="s">
        <v>542</v>
      </c>
      <c r="J254" s="746" t="s">
        <v>489</v>
      </c>
      <c r="K254" s="746"/>
      <c r="L254" s="746" t="s">
        <v>36</v>
      </c>
      <c r="M254" s="746" t="s">
        <v>412</v>
      </c>
      <c r="N254" s="747">
        <v>0</v>
      </c>
      <c r="O254" s="747">
        <v>0</v>
      </c>
      <c r="P254" s="747">
        <v>0</v>
      </c>
      <c r="Q254" s="747">
        <v>0</v>
      </c>
      <c r="R254" s="747">
        <v>0</v>
      </c>
      <c r="S254" s="747">
        <v>0</v>
      </c>
      <c r="T254" s="747">
        <v>0</v>
      </c>
      <c r="U254" s="747">
        <v>0</v>
      </c>
      <c r="V254" s="747">
        <v>0</v>
      </c>
      <c r="W254" s="747">
        <v>0</v>
      </c>
      <c r="X254" s="748">
        <v>0</v>
      </c>
      <c r="Y254" s="748">
        <v>0</v>
      </c>
      <c r="Z254" s="748">
        <v>218240</v>
      </c>
      <c r="AA254" s="748">
        <v>218240</v>
      </c>
      <c r="AB254" s="748">
        <v>218240</v>
      </c>
      <c r="AC254" s="748">
        <v>218240</v>
      </c>
      <c r="AD254" s="748">
        <v>218240</v>
      </c>
      <c r="AE254" s="748">
        <v>218240</v>
      </c>
      <c r="AF254" s="747">
        <v>0</v>
      </c>
      <c r="AG254" s="747">
        <v>0</v>
      </c>
      <c r="AH254" s="747">
        <v>0</v>
      </c>
      <c r="AI254" s="747">
        <v>0</v>
      </c>
      <c r="AJ254" s="747">
        <v>0</v>
      </c>
      <c r="AK254" s="747">
        <v>0</v>
      </c>
      <c r="AL254" s="747">
        <v>0</v>
      </c>
      <c r="AM254" s="747">
        <v>0</v>
      </c>
      <c r="AN254" s="747">
        <v>0</v>
      </c>
      <c r="AO254" s="747">
        <v>0</v>
      </c>
      <c r="AP254" s="747">
        <v>0</v>
      </c>
      <c r="AQ254" s="748">
        <v>21824</v>
      </c>
      <c r="AR254" s="748">
        <v>13094.4</v>
      </c>
      <c r="AS254" s="748">
        <v>183321.60000000001</v>
      </c>
      <c r="AT254" s="748">
        <v>0</v>
      </c>
      <c r="AU254" s="747">
        <v>0</v>
      </c>
      <c r="AV254" s="747">
        <v>0</v>
      </c>
      <c r="AW254" s="747">
        <v>0</v>
      </c>
      <c r="AX254" s="747">
        <v>0</v>
      </c>
      <c r="AY254" s="747">
        <v>0</v>
      </c>
      <c r="AZ254" s="749">
        <v>0.56000000000000005</v>
      </c>
      <c r="BA254" s="750" t="str">
        <f t="shared" si="42"/>
        <v/>
      </c>
      <c r="BB254" s="750" t="str">
        <f t="shared" si="43"/>
        <v/>
      </c>
      <c r="BC254" s="751">
        <f t="shared" si="45"/>
        <v>0</v>
      </c>
      <c r="BD254" s="751">
        <f t="shared" si="46"/>
        <v>0</v>
      </c>
      <c r="BE254" s="751">
        <f t="shared" si="47"/>
        <v>122214.40000000001</v>
      </c>
      <c r="BF254" s="751">
        <f t="shared" si="48"/>
        <v>96025.599999999991</v>
      </c>
      <c r="BG254" s="752">
        <f t="shared" si="44"/>
        <v>0</v>
      </c>
      <c r="BH254" s="763">
        <f t="shared" si="38"/>
        <v>0</v>
      </c>
      <c r="BI254" s="763">
        <f t="shared" si="39"/>
        <v>0</v>
      </c>
      <c r="BJ254" s="763">
        <f t="shared" si="40"/>
        <v>0</v>
      </c>
      <c r="BK254" s="763">
        <f t="shared" si="41"/>
        <v>0</v>
      </c>
    </row>
    <row r="255" spans="1:63">
      <c r="A255" s="669"/>
      <c r="B255" s="754">
        <v>2031</v>
      </c>
      <c r="C255" s="755" t="s">
        <v>13</v>
      </c>
      <c r="D255" s="755" t="s">
        <v>548</v>
      </c>
      <c r="E255" s="755" t="s">
        <v>549</v>
      </c>
      <c r="F255" s="755" t="s">
        <v>478</v>
      </c>
      <c r="G255" s="755" t="s">
        <v>50</v>
      </c>
      <c r="H255" s="755" t="s">
        <v>547</v>
      </c>
      <c r="I255" s="755" t="s">
        <v>542</v>
      </c>
      <c r="J255" s="755" t="s">
        <v>17</v>
      </c>
      <c r="K255" s="755"/>
      <c r="L255" s="755" t="s">
        <v>36</v>
      </c>
      <c r="M255" s="755" t="s">
        <v>412</v>
      </c>
      <c r="N255" s="756">
        <v>0</v>
      </c>
      <c r="O255" s="756">
        <v>0</v>
      </c>
      <c r="P255" s="756">
        <v>0</v>
      </c>
      <c r="Q255" s="756">
        <v>0</v>
      </c>
      <c r="R255" s="756">
        <v>0</v>
      </c>
      <c r="S255" s="756">
        <v>0</v>
      </c>
      <c r="T255" s="756">
        <v>0</v>
      </c>
      <c r="U255" s="756">
        <v>0</v>
      </c>
      <c r="V255" s="756">
        <v>0</v>
      </c>
      <c r="W255" s="756">
        <v>0</v>
      </c>
      <c r="X255" s="757">
        <v>0</v>
      </c>
      <c r="Y255" s="757">
        <v>0</v>
      </c>
      <c r="Z255" s="757">
        <v>3245.1621</v>
      </c>
      <c r="AA255" s="757">
        <v>3245.1621</v>
      </c>
      <c r="AB255" s="757">
        <v>3245.1621</v>
      </c>
      <c r="AC255" s="757">
        <v>3245.1621</v>
      </c>
      <c r="AD255" s="757">
        <v>3245.1621</v>
      </c>
      <c r="AE255" s="757">
        <v>3245.1621</v>
      </c>
      <c r="AF255" s="756">
        <v>0</v>
      </c>
      <c r="AG255" s="756">
        <v>0</v>
      </c>
      <c r="AH255" s="756">
        <v>0</v>
      </c>
      <c r="AI255" s="756">
        <v>0</v>
      </c>
      <c r="AJ255" s="756">
        <v>0</v>
      </c>
      <c r="AK255" s="756">
        <v>0</v>
      </c>
      <c r="AL255" s="756">
        <v>0</v>
      </c>
      <c r="AM255" s="756">
        <v>0</v>
      </c>
      <c r="AN255" s="756">
        <v>0</v>
      </c>
      <c r="AO255" s="756">
        <v>0</v>
      </c>
      <c r="AP255" s="756">
        <v>0</v>
      </c>
      <c r="AQ255" s="757">
        <v>3245.1621</v>
      </c>
      <c r="AR255" s="757">
        <v>0</v>
      </c>
      <c r="AS255" s="757">
        <v>0</v>
      </c>
      <c r="AT255" s="757">
        <v>0</v>
      </c>
      <c r="AU255" s="756">
        <v>0</v>
      </c>
      <c r="AV255" s="756">
        <v>0</v>
      </c>
      <c r="AW255" s="756">
        <v>0</v>
      </c>
      <c r="AX255" s="756">
        <v>0</v>
      </c>
      <c r="AY255" s="756">
        <v>0</v>
      </c>
      <c r="AZ255" s="758">
        <v>0.56000000000000005</v>
      </c>
      <c r="BA255" s="759" t="str">
        <f t="shared" si="42"/>
        <v/>
      </c>
      <c r="BB255" s="759" t="str">
        <f t="shared" si="43"/>
        <v/>
      </c>
      <c r="BC255" s="760">
        <f t="shared" si="45"/>
        <v>0</v>
      </c>
      <c r="BD255" s="760">
        <f t="shared" si="46"/>
        <v>0</v>
      </c>
      <c r="BE255" s="760">
        <f t="shared" si="47"/>
        <v>1817.2907760000003</v>
      </c>
      <c r="BF255" s="760">
        <f t="shared" si="48"/>
        <v>1427.8713239999997</v>
      </c>
      <c r="BG255" s="761">
        <f t="shared" si="44"/>
        <v>0</v>
      </c>
      <c r="BH255" s="762">
        <f t="shared" si="38"/>
        <v>0</v>
      </c>
      <c r="BI255" s="762">
        <f t="shared" si="39"/>
        <v>0</v>
      </c>
      <c r="BJ255" s="762">
        <f t="shared" si="40"/>
        <v>0</v>
      </c>
      <c r="BK255" s="762">
        <f t="shared" si="41"/>
        <v>0</v>
      </c>
    </row>
    <row r="256" spans="1:63">
      <c r="A256" s="669"/>
      <c r="B256" s="745">
        <v>2031</v>
      </c>
      <c r="C256" s="746" t="s">
        <v>13</v>
      </c>
      <c r="D256" s="746" t="s">
        <v>550</v>
      </c>
      <c r="E256" s="746" t="s">
        <v>551</v>
      </c>
      <c r="F256" s="746" t="s">
        <v>552</v>
      </c>
      <c r="G256" s="746" t="s">
        <v>18</v>
      </c>
      <c r="H256" s="746" t="s">
        <v>553</v>
      </c>
      <c r="I256" s="746" t="s">
        <v>46</v>
      </c>
      <c r="J256" s="746" t="s">
        <v>489</v>
      </c>
      <c r="K256" s="746"/>
      <c r="L256" s="746" t="s">
        <v>29</v>
      </c>
      <c r="M256" s="746" t="s">
        <v>412</v>
      </c>
      <c r="N256" s="747">
        <v>0</v>
      </c>
      <c r="O256" s="747">
        <v>0</v>
      </c>
      <c r="P256" s="747">
        <v>0</v>
      </c>
      <c r="Q256" s="747">
        <v>0</v>
      </c>
      <c r="R256" s="747">
        <v>0</v>
      </c>
      <c r="S256" s="747">
        <v>0</v>
      </c>
      <c r="T256" s="747">
        <v>0</v>
      </c>
      <c r="U256" s="747">
        <v>0</v>
      </c>
      <c r="V256" s="747">
        <v>0</v>
      </c>
      <c r="W256" s="747">
        <v>0</v>
      </c>
      <c r="X256" s="748">
        <v>0</v>
      </c>
      <c r="Y256" s="748">
        <v>0</v>
      </c>
      <c r="Z256" s="748">
        <v>684480</v>
      </c>
      <c r="AA256" s="748">
        <v>684480</v>
      </c>
      <c r="AB256" s="748">
        <v>684480</v>
      </c>
      <c r="AC256" s="748">
        <v>684480</v>
      </c>
      <c r="AD256" s="748">
        <v>684480</v>
      </c>
      <c r="AE256" s="748">
        <v>684480</v>
      </c>
      <c r="AF256" s="747">
        <v>0</v>
      </c>
      <c r="AG256" s="747">
        <v>0</v>
      </c>
      <c r="AH256" s="747">
        <v>0</v>
      </c>
      <c r="AI256" s="747">
        <v>0</v>
      </c>
      <c r="AJ256" s="747">
        <v>0</v>
      </c>
      <c r="AK256" s="747">
        <v>0</v>
      </c>
      <c r="AL256" s="747">
        <v>0</v>
      </c>
      <c r="AM256" s="747">
        <v>0</v>
      </c>
      <c r="AN256" s="747">
        <v>0</v>
      </c>
      <c r="AO256" s="747">
        <v>0</v>
      </c>
      <c r="AP256" s="747">
        <v>0</v>
      </c>
      <c r="AQ256" s="748">
        <v>34224</v>
      </c>
      <c r="AR256" s="748">
        <v>34224</v>
      </c>
      <c r="AS256" s="748">
        <v>174964</v>
      </c>
      <c r="AT256" s="748">
        <v>441068</v>
      </c>
      <c r="AU256" s="747">
        <v>0</v>
      </c>
      <c r="AV256" s="747">
        <v>0</v>
      </c>
      <c r="AW256" s="747">
        <v>0</v>
      </c>
      <c r="AX256" s="747">
        <v>0</v>
      </c>
      <c r="AY256" s="747">
        <v>0</v>
      </c>
      <c r="AZ256" s="749">
        <v>0.56000000000000005</v>
      </c>
      <c r="BA256" s="750" t="str">
        <f t="shared" si="42"/>
        <v/>
      </c>
      <c r="BB256" s="750" t="str">
        <f t="shared" si="43"/>
        <v/>
      </c>
      <c r="BC256" s="751">
        <f t="shared" si="45"/>
        <v>0</v>
      </c>
      <c r="BD256" s="751">
        <f t="shared" si="46"/>
        <v>0</v>
      </c>
      <c r="BE256" s="751">
        <f t="shared" si="47"/>
        <v>383308.80000000005</v>
      </c>
      <c r="BF256" s="751">
        <f t="shared" si="48"/>
        <v>301171.19999999995</v>
      </c>
      <c r="BG256" s="752">
        <f t="shared" si="44"/>
        <v>0</v>
      </c>
      <c r="BH256" s="763">
        <f t="shared" si="38"/>
        <v>0</v>
      </c>
      <c r="BI256" s="763">
        <f t="shared" si="39"/>
        <v>0</v>
      </c>
      <c r="BJ256" s="763">
        <f t="shared" si="40"/>
        <v>0</v>
      </c>
      <c r="BK256" s="763">
        <f t="shared" si="41"/>
        <v>0</v>
      </c>
    </row>
    <row r="257" spans="1:63">
      <c r="A257" s="669"/>
      <c r="B257" s="754">
        <v>2031</v>
      </c>
      <c r="C257" s="755" t="s">
        <v>13</v>
      </c>
      <c r="D257" s="755" t="s">
        <v>554</v>
      </c>
      <c r="E257" s="755" t="s">
        <v>555</v>
      </c>
      <c r="F257" s="755" t="s">
        <v>552</v>
      </c>
      <c r="G257" s="755" t="s">
        <v>18</v>
      </c>
      <c r="H257" s="755" t="s">
        <v>553</v>
      </c>
      <c r="I257" s="755" t="s">
        <v>46</v>
      </c>
      <c r="J257" s="755" t="s">
        <v>17</v>
      </c>
      <c r="K257" s="755"/>
      <c r="L257" s="755" t="s">
        <v>29</v>
      </c>
      <c r="M257" s="755" t="s">
        <v>412</v>
      </c>
      <c r="N257" s="756">
        <v>0</v>
      </c>
      <c r="O257" s="756">
        <v>0</v>
      </c>
      <c r="P257" s="756">
        <v>0</v>
      </c>
      <c r="Q257" s="756">
        <v>0</v>
      </c>
      <c r="R257" s="756">
        <v>0</v>
      </c>
      <c r="S257" s="756">
        <v>0</v>
      </c>
      <c r="T257" s="756">
        <v>0</v>
      </c>
      <c r="U257" s="756">
        <v>0</v>
      </c>
      <c r="V257" s="756">
        <v>0</v>
      </c>
      <c r="W257" s="756">
        <v>0</v>
      </c>
      <c r="X257" s="757">
        <v>0</v>
      </c>
      <c r="Y257" s="757">
        <v>0</v>
      </c>
      <c r="Z257" s="757">
        <v>325609.42499999999</v>
      </c>
      <c r="AA257" s="757">
        <v>325609.42499999999</v>
      </c>
      <c r="AB257" s="757">
        <v>325609.42499999999</v>
      </c>
      <c r="AC257" s="757">
        <v>325609.42499999999</v>
      </c>
      <c r="AD257" s="757">
        <v>325609.42499999999</v>
      </c>
      <c r="AE257" s="757">
        <v>325609.42499999999</v>
      </c>
      <c r="AF257" s="756">
        <v>0</v>
      </c>
      <c r="AG257" s="756">
        <v>0</v>
      </c>
      <c r="AH257" s="756">
        <v>0</v>
      </c>
      <c r="AI257" s="756">
        <v>0</v>
      </c>
      <c r="AJ257" s="756">
        <v>0</v>
      </c>
      <c r="AK257" s="756">
        <v>0</v>
      </c>
      <c r="AL257" s="756">
        <v>0</v>
      </c>
      <c r="AM257" s="756">
        <v>0</v>
      </c>
      <c r="AN257" s="756">
        <v>0</v>
      </c>
      <c r="AO257" s="756">
        <v>0</v>
      </c>
      <c r="AP257" s="756">
        <v>0</v>
      </c>
      <c r="AQ257" s="757">
        <v>266625.87780000002</v>
      </c>
      <c r="AR257" s="757">
        <v>796.30359999999996</v>
      </c>
      <c r="AS257" s="757">
        <v>58187.243600000002</v>
      </c>
      <c r="AT257" s="757">
        <v>0</v>
      </c>
      <c r="AU257" s="756">
        <v>0</v>
      </c>
      <c r="AV257" s="756">
        <v>0</v>
      </c>
      <c r="AW257" s="756">
        <v>0</v>
      </c>
      <c r="AX257" s="756">
        <v>0</v>
      </c>
      <c r="AY257" s="756">
        <v>0</v>
      </c>
      <c r="AZ257" s="758">
        <v>0.56000000000000005</v>
      </c>
      <c r="BA257" s="759" t="str">
        <f t="shared" si="42"/>
        <v/>
      </c>
      <c r="BB257" s="759" t="str">
        <f t="shared" si="43"/>
        <v/>
      </c>
      <c r="BC257" s="760">
        <f t="shared" si="45"/>
        <v>0</v>
      </c>
      <c r="BD257" s="760">
        <f t="shared" si="46"/>
        <v>0</v>
      </c>
      <c r="BE257" s="760">
        <f t="shared" si="47"/>
        <v>182341.27800000002</v>
      </c>
      <c r="BF257" s="760">
        <f t="shared" si="48"/>
        <v>143268.14699999997</v>
      </c>
      <c r="BG257" s="761">
        <f t="shared" si="44"/>
        <v>0</v>
      </c>
      <c r="BH257" s="762">
        <f t="shared" si="38"/>
        <v>0</v>
      </c>
      <c r="BI257" s="762">
        <f t="shared" si="39"/>
        <v>0</v>
      </c>
      <c r="BJ257" s="762">
        <f t="shared" si="40"/>
        <v>0</v>
      </c>
      <c r="BK257" s="762">
        <f t="shared" si="41"/>
        <v>0</v>
      </c>
    </row>
    <row r="258" spans="1:63">
      <c r="A258" s="669"/>
      <c r="B258" s="745">
        <v>2031</v>
      </c>
      <c r="C258" s="746" t="s">
        <v>13</v>
      </c>
      <c r="D258" s="746" t="s">
        <v>556</v>
      </c>
      <c r="E258" s="746" t="s">
        <v>557</v>
      </c>
      <c r="F258" s="746" t="s">
        <v>478</v>
      </c>
      <c r="G258" s="746" t="s">
        <v>50</v>
      </c>
      <c r="H258" s="746" t="s">
        <v>558</v>
      </c>
      <c r="I258" s="746" t="s">
        <v>515</v>
      </c>
      <c r="J258" s="746" t="s">
        <v>489</v>
      </c>
      <c r="K258" s="746"/>
      <c r="L258" s="746" t="s">
        <v>29</v>
      </c>
      <c r="M258" s="746" t="s">
        <v>412</v>
      </c>
      <c r="N258" s="747">
        <v>0</v>
      </c>
      <c r="O258" s="747">
        <v>0</v>
      </c>
      <c r="P258" s="747">
        <v>0</v>
      </c>
      <c r="Q258" s="747">
        <v>0</v>
      </c>
      <c r="R258" s="747">
        <v>0</v>
      </c>
      <c r="S258" s="747">
        <v>0</v>
      </c>
      <c r="T258" s="747">
        <v>0</v>
      </c>
      <c r="U258" s="747">
        <v>0</v>
      </c>
      <c r="V258" s="747">
        <v>0</v>
      </c>
      <c r="W258" s="747">
        <v>0</v>
      </c>
      <c r="X258" s="748">
        <v>0</v>
      </c>
      <c r="Y258" s="748">
        <v>0</v>
      </c>
      <c r="Z258" s="748">
        <v>495000</v>
      </c>
      <c r="AA258" s="748">
        <v>495000</v>
      </c>
      <c r="AB258" s="748">
        <v>495000</v>
      </c>
      <c r="AC258" s="748">
        <v>495000</v>
      </c>
      <c r="AD258" s="748">
        <v>495000</v>
      </c>
      <c r="AE258" s="748">
        <v>495000</v>
      </c>
      <c r="AF258" s="747">
        <v>0</v>
      </c>
      <c r="AG258" s="747">
        <v>0</v>
      </c>
      <c r="AH258" s="747">
        <v>0</v>
      </c>
      <c r="AI258" s="747">
        <v>0</v>
      </c>
      <c r="AJ258" s="747">
        <v>0</v>
      </c>
      <c r="AK258" s="747">
        <v>0</v>
      </c>
      <c r="AL258" s="747">
        <v>0</v>
      </c>
      <c r="AM258" s="747">
        <v>0</v>
      </c>
      <c r="AN258" s="747">
        <v>0</v>
      </c>
      <c r="AO258" s="747">
        <v>0</v>
      </c>
      <c r="AP258" s="747">
        <v>0</v>
      </c>
      <c r="AQ258" s="748">
        <v>6600</v>
      </c>
      <c r="AR258" s="748">
        <v>1914</v>
      </c>
      <c r="AS258" s="748">
        <v>486486</v>
      </c>
      <c r="AT258" s="748">
        <v>0</v>
      </c>
      <c r="AU258" s="747">
        <v>0</v>
      </c>
      <c r="AV258" s="747">
        <v>0</v>
      </c>
      <c r="AW258" s="747">
        <v>0</v>
      </c>
      <c r="AX258" s="747">
        <v>0</v>
      </c>
      <c r="AY258" s="747">
        <v>0</v>
      </c>
      <c r="AZ258" s="749">
        <v>0.56000000000000005</v>
      </c>
      <c r="BA258" s="750" t="str">
        <f t="shared" si="42"/>
        <v/>
      </c>
      <c r="BB258" s="750" t="str">
        <f t="shared" si="43"/>
        <v/>
      </c>
      <c r="BC258" s="751">
        <f t="shared" si="45"/>
        <v>0</v>
      </c>
      <c r="BD258" s="751">
        <f t="shared" si="46"/>
        <v>0</v>
      </c>
      <c r="BE258" s="751">
        <f t="shared" si="47"/>
        <v>277200</v>
      </c>
      <c r="BF258" s="751">
        <f t="shared" si="48"/>
        <v>217799.99999999997</v>
      </c>
      <c r="BG258" s="752">
        <f t="shared" si="44"/>
        <v>0</v>
      </c>
      <c r="BH258" s="763">
        <f t="shared" si="38"/>
        <v>0</v>
      </c>
      <c r="BI258" s="763">
        <f t="shared" si="39"/>
        <v>0</v>
      </c>
      <c r="BJ258" s="763">
        <f t="shared" si="40"/>
        <v>0</v>
      </c>
      <c r="BK258" s="763">
        <f t="shared" si="41"/>
        <v>0</v>
      </c>
    </row>
    <row r="259" spans="1:63">
      <c r="A259" s="669"/>
      <c r="B259" s="754">
        <v>2031</v>
      </c>
      <c r="C259" s="755" t="s">
        <v>13</v>
      </c>
      <c r="D259" s="755" t="s">
        <v>559</v>
      </c>
      <c r="E259" s="755" t="s">
        <v>560</v>
      </c>
      <c r="F259" s="755" t="s">
        <v>478</v>
      </c>
      <c r="G259" s="755" t="s">
        <v>50</v>
      </c>
      <c r="H259" s="755" t="s">
        <v>558</v>
      </c>
      <c r="I259" s="755" t="s">
        <v>515</v>
      </c>
      <c r="J259" s="755" t="s">
        <v>17</v>
      </c>
      <c r="K259" s="755"/>
      <c r="L259" s="755" t="s">
        <v>29</v>
      </c>
      <c r="M259" s="755" t="s">
        <v>412</v>
      </c>
      <c r="N259" s="756">
        <v>0</v>
      </c>
      <c r="O259" s="756">
        <v>0</v>
      </c>
      <c r="P259" s="756">
        <v>0</v>
      </c>
      <c r="Q259" s="756">
        <v>0</v>
      </c>
      <c r="R259" s="756">
        <v>0</v>
      </c>
      <c r="S259" s="756">
        <v>0</v>
      </c>
      <c r="T259" s="756">
        <v>0</v>
      </c>
      <c r="U259" s="756">
        <v>0</v>
      </c>
      <c r="V259" s="756">
        <v>0</v>
      </c>
      <c r="W259" s="756">
        <v>0</v>
      </c>
      <c r="X259" s="757">
        <v>0</v>
      </c>
      <c r="Y259" s="757">
        <v>0</v>
      </c>
      <c r="Z259" s="757">
        <v>13782.3385</v>
      </c>
      <c r="AA259" s="757">
        <v>13782.3385</v>
      </c>
      <c r="AB259" s="757">
        <v>13782.3385</v>
      </c>
      <c r="AC259" s="757">
        <v>13782.3385</v>
      </c>
      <c r="AD259" s="757">
        <v>13782.3385</v>
      </c>
      <c r="AE259" s="757">
        <v>13782.3385</v>
      </c>
      <c r="AF259" s="756">
        <v>0</v>
      </c>
      <c r="AG259" s="756">
        <v>0</v>
      </c>
      <c r="AH259" s="756">
        <v>0</v>
      </c>
      <c r="AI259" s="756">
        <v>0</v>
      </c>
      <c r="AJ259" s="756">
        <v>0</v>
      </c>
      <c r="AK259" s="756">
        <v>0</v>
      </c>
      <c r="AL259" s="756">
        <v>0</v>
      </c>
      <c r="AM259" s="756">
        <v>0</v>
      </c>
      <c r="AN259" s="756">
        <v>0</v>
      </c>
      <c r="AO259" s="756">
        <v>0</v>
      </c>
      <c r="AP259" s="756">
        <v>0</v>
      </c>
      <c r="AQ259" s="757">
        <v>6488.3747999999996</v>
      </c>
      <c r="AR259" s="757">
        <v>0</v>
      </c>
      <c r="AS259" s="757">
        <v>7293.9637000000002</v>
      </c>
      <c r="AT259" s="757">
        <v>0</v>
      </c>
      <c r="AU259" s="756">
        <v>0</v>
      </c>
      <c r="AV259" s="756">
        <v>0</v>
      </c>
      <c r="AW259" s="756">
        <v>0</v>
      </c>
      <c r="AX259" s="756">
        <v>0</v>
      </c>
      <c r="AY259" s="756">
        <v>0</v>
      </c>
      <c r="AZ259" s="758">
        <v>0.56000000000000005</v>
      </c>
      <c r="BA259" s="759" t="str">
        <f t="shared" si="42"/>
        <v/>
      </c>
      <c r="BB259" s="759" t="str">
        <f t="shared" si="43"/>
        <v/>
      </c>
      <c r="BC259" s="760">
        <f t="shared" si="45"/>
        <v>0</v>
      </c>
      <c r="BD259" s="760">
        <f t="shared" si="46"/>
        <v>0</v>
      </c>
      <c r="BE259" s="760">
        <f t="shared" si="47"/>
        <v>7718.1095600000008</v>
      </c>
      <c r="BF259" s="760">
        <f t="shared" si="48"/>
        <v>6064.2289399999991</v>
      </c>
      <c r="BG259" s="761">
        <f t="shared" si="44"/>
        <v>0</v>
      </c>
      <c r="BH259" s="762">
        <f t="shared" si="38"/>
        <v>0</v>
      </c>
      <c r="BI259" s="762">
        <f t="shared" si="39"/>
        <v>0</v>
      </c>
      <c r="BJ259" s="762">
        <f t="shared" si="40"/>
        <v>0</v>
      </c>
      <c r="BK259" s="762">
        <f t="shared" si="41"/>
        <v>0</v>
      </c>
    </row>
    <row r="260" spans="1:63">
      <c r="A260" s="669"/>
      <c r="B260" s="745">
        <v>2031</v>
      </c>
      <c r="C260" s="746" t="s">
        <v>13</v>
      </c>
      <c r="D260" s="746" t="s">
        <v>561</v>
      </c>
      <c r="E260" s="746" t="s">
        <v>562</v>
      </c>
      <c r="F260" s="746" t="s">
        <v>478</v>
      </c>
      <c r="G260" s="746" t="s">
        <v>39</v>
      </c>
      <c r="H260" s="746" t="s">
        <v>563</v>
      </c>
      <c r="I260" s="746" t="s">
        <v>51</v>
      </c>
      <c r="J260" s="746" t="s">
        <v>489</v>
      </c>
      <c r="K260" s="746"/>
      <c r="L260" s="746" t="s">
        <v>29</v>
      </c>
      <c r="M260" s="746" t="s">
        <v>412</v>
      </c>
      <c r="N260" s="747">
        <v>4331.5999999999804</v>
      </c>
      <c r="O260" s="747">
        <v>0.18636800000000001</v>
      </c>
      <c r="P260" s="747">
        <v>0</v>
      </c>
      <c r="Q260" s="747">
        <v>1732.6399999999981</v>
      </c>
      <c r="R260" s="747">
        <v>7.4547199999999994E-2</v>
      </c>
      <c r="S260" s="747">
        <v>0</v>
      </c>
      <c r="T260" s="747">
        <v>17326.39999999998</v>
      </c>
      <c r="U260" s="747">
        <v>0</v>
      </c>
      <c r="V260" s="747">
        <v>3.3438803259679899</v>
      </c>
      <c r="W260" s="747">
        <v>0</v>
      </c>
      <c r="X260" s="748">
        <v>2979.3327062612188</v>
      </c>
      <c r="Y260" s="748">
        <v>6763.8297656530403</v>
      </c>
      <c r="Z260" s="748">
        <v>13787.5888</v>
      </c>
      <c r="AA260" s="748">
        <v>9759.3446006352278</v>
      </c>
      <c r="AB260" s="748">
        <v>13223.551849780768</v>
      </c>
      <c r="AC260" s="748">
        <v>9859.35070134122</v>
      </c>
      <c r="AD260" s="748">
        <v>9859.35070134122</v>
      </c>
      <c r="AE260" s="748">
        <v>19890.698362562496</v>
      </c>
      <c r="AF260" s="747">
        <v>1610.3287062612189</v>
      </c>
      <c r="AG260" s="747">
        <v>0</v>
      </c>
      <c r="AH260" s="747">
        <v>1369.0039999999999</v>
      </c>
      <c r="AI260" s="747">
        <v>1822.3338754601468</v>
      </c>
      <c r="AJ260" s="747">
        <v>0</v>
      </c>
      <c r="AK260" s="747">
        <v>0</v>
      </c>
      <c r="AL260" s="747">
        <v>1822.3338754601468</v>
      </c>
      <c r="AM260" s="747">
        <v>0</v>
      </c>
      <c r="AN260" s="747">
        <v>0</v>
      </c>
      <c r="AO260" s="747">
        <v>0.30615142375999904</v>
      </c>
      <c r="AP260" s="747">
        <v>0</v>
      </c>
      <c r="AQ260" s="748">
        <v>567.48080000000004</v>
      </c>
      <c r="AR260" s="748">
        <v>425.61059999999998</v>
      </c>
      <c r="AS260" s="748">
        <v>1844.3126999999999</v>
      </c>
      <c r="AT260" s="748">
        <v>10950.1847</v>
      </c>
      <c r="AU260" s="747">
        <v>6667.14651278172</v>
      </c>
      <c r="AV260" s="747">
        <v>0</v>
      </c>
      <c r="AW260" s="747">
        <v>0</v>
      </c>
      <c r="AX260" s="747">
        <v>0</v>
      </c>
      <c r="AY260" s="747">
        <v>0</v>
      </c>
      <c r="AZ260" s="749">
        <v>0.56000000000000005</v>
      </c>
      <c r="BA260" s="750">
        <f t="shared" si="42"/>
        <v>666.71465127817214</v>
      </c>
      <c r="BB260" s="750">
        <f t="shared" si="43"/>
        <v>0</v>
      </c>
      <c r="BC260" s="751">
        <f t="shared" si="45"/>
        <v>2376.9709462612191</v>
      </c>
      <c r="BD260" s="751">
        <f t="shared" si="46"/>
        <v>602.36175999999989</v>
      </c>
      <c r="BE260" s="751">
        <f t="shared" si="47"/>
        <v>14072.33554865895</v>
      </c>
      <c r="BF260" s="751">
        <f t="shared" si="48"/>
        <v>5818.3628139035372</v>
      </c>
      <c r="BG260" s="752">
        <f t="shared" si="44"/>
        <v>9.9999999999999982</v>
      </c>
      <c r="BH260" s="763">
        <f t="shared" si="38"/>
        <v>237.69709462612195</v>
      </c>
      <c r="BI260" s="763">
        <f t="shared" si="39"/>
        <v>60.236176</v>
      </c>
      <c r="BJ260" s="763">
        <f t="shared" si="40"/>
        <v>1407.2335548658953</v>
      </c>
      <c r="BK260" s="763">
        <f t="shared" si="41"/>
        <v>581.83628139035386</v>
      </c>
    </row>
    <row r="261" spans="1:63">
      <c r="A261" s="669"/>
      <c r="B261" s="754">
        <v>2031</v>
      </c>
      <c r="C261" s="755" t="s">
        <v>13</v>
      </c>
      <c r="D261" s="755" t="s">
        <v>564</v>
      </c>
      <c r="E261" s="755" t="s">
        <v>565</v>
      </c>
      <c r="F261" s="755" t="s">
        <v>478</v>
      </c>
      <c r="G261" s="755" t="s">
        <v>39</v>
      </c>
      <c r="H261" s="755" t="s">
        <v>563</v>
      </c>
      <c r="I261" s="755" t="s">
        <v>51</v>
      </c>
      <c r="J261" s="755" t="s">
        <v>17</v>
      </c>
      <c r="K261" s="755"/>
      <c r="L261" s="755" t="s">
        <v>29</v>
      </c>
      <c r="M261" s="755" t="s">
        <v>412</v>
      </c>
      <c r="N261" s="756">
        <v>0</v>
      </c>
      <c r="O261" s="756">
        <v>0</v>
      </c>
      <c r="P261" s="756">
        <v>0</v>
      </c>
      <c r="Q261" s="756">
        <v>0</v>
      </c>
      <c r="R261" s="756">
        <v>0</v>
      </c>
      <c r="S261" s="756">
        <v>0</v>
      </c>
      <c r="T261" s="756">
        <v>0</v>
      </c>
      <c r="U261" s="756">
        <v>0</v>
      </c>
      <c r="V261" s="756">
        <v>0</v>
      </c>
      <c r="W261" s="756">
        <v>0</v>
      </c>
      <c r="X261" s="757">
        <v>0</v>
      </c>
      <c r="Y261" s="757">
        <v>0</v>
      </c>
      <c r="Z261" s="757">
        <v>276.43029999999999</v>
      </c>
      <c r="AA261" s="757">
        <v>276.43029999999999</v>
      </c>
      <c r="AB261" s="757">
        <v>276.43029999999999</v>
      </c>
      <c r="AC261" s="757">
        <v>276.43029999999999</v>
      </c>
      <c r="AD261" s="757">
        <v>276.43029999999999</v>
      </c>
      <c r="AE261" s="757">
        <v>276.43029999999999</v>
      </c>
      <c r="AF261" s="756">
        <v>0</v>
      </c>
      <c r="AG261" s="756">
        <v>0</v>
      </c>
      <c r="AH261" s="756">
        <v>0</v>
      </c>
      <c r="AI261" s="756">
        <v>0</v>
      </c>
      <c r="AJ261" s="756">
        <v>0</v>
      </c>
      <c r="AK261" s="756">
        <v>0</v>
      </c>
      <c r="AL261" s="756">
        <v>0</v>
      </c>
      <c r="AM261" s="756">
        <v>0</v>
      </c>
      <c r="AN261" s="756">
        <v>0</v>
      </c>
      <c r="AO261" s="756">
        <v>0</v>
      </c>
      <c r="AP261" s="756">
        <v>0</v>
      </c>
      <c r="AQ261" s="757">
        <v>276.43029999999999</v>
      </c>
      <c r="AR261" s="757">
        <v>0</v>
      </c>
      <c r="AS261" s="757">
        <v>0</v>
      </c>
      <c r="AT261" s="757">
        <v>0</v>
      </c>
      <c r="AU261" s="756">
        <v>0</v>
      </c>
      <c r="AV261" s="756">
        <v>0</v>
      </c>
      <c r="AW261" s="756">
        <v>0</v>
      </c>
      <c r="AX261" s="756">
        <v>0</v>
      </c>
      <c r="AY261" s="756">
        <v>0</v>
      </c>
      <c r="AZ261" s="758">
        <v>0.56000000000000005</v>
      </c>
      <c r="BA261" s="759" t="str">
        <f t="shared" si="42"/>
        <v/>
      </c>
      <c r="BB261" s="759" t="str">
        <f t="shared" si="43"/>
        <v/>
      </c>
      <c r="BC261" s="760">
        <f t="shared" si="45"/>
        <v>0</v>
      </c>
      <c r="BD261" s="760">
        <f t="shared" si="46"/>
        <v>0</v>
      </c>
      <c r="BE261" s="760">
        <f t="shared" si="47"/>
        <v>154.80096800000001</v>
      </c>
      <c r="BF261" s="760">
        <f t="shared" si="48"/>
        <v>121.62933199999998</v>
      </c>
      <c r="BG261" s="761">
        <f t="shared" si="44"/>
        <v>0</v>
      </c>
      <c r="BH261" s="762">
        <f t="shared" si="38"/>
        <v>0</v>
      </c>
      <c r="BI261" s="762">
        <f t="shared" si="39"/>
        <v>0</v>
      </c>
      <c r="BJ261" s="762">
        <f t="shared" si="40"/>
        <v>0</v>
      </c>
      <c r="BK261" s="762">
        <f t="shared" si="41"/>
        <v>0</v>
      </c>
    </row>
    <row r="262" spans="1:63">
      <c r="A262" s="669"/>
      <c r="B262" s="745">
        <v>2031</v>
      </c>
      <c r="C262" s="746" t="s">
        <v>13</v>
      </c>
      <c r="D262" s="746" t="s">
        <v>566</v>
      </c>
      <c r="E262" s="746" t="s">
        <v>567</v>
      </c>
      <c r="F262" s="746" t="s">
        <v>478</v>
      </c>
      <c r="G262" s="746" t="s">
        <v>27</v>
      </c>
      <c r="H262" s="746" t="s">
        <v>568</v>
      </c>
      <c r="I262" s="746" t="s">
        <v>51</v>
      </c>
      <c r="J262" s="746" t="s">
        <v>489</v>
      </c>
      <c r="K262" s="746"/>
      <c r="L262" s="746" t="s">
        <v>29</v>
      </c>
      <c r="M262" s="746" t="s">
        <v>412</v>
      </c>
      <c r="N262" s="747">
        <v>285553.34807999997</v>
      </c>
      <c r="O262" s="747">
        <v>39.555375132000044</v>
      </c>
      <c r="P262" s="747">
        <v>699.80128399999944</v>
      </c>
      <c r="Q262" s="747">
        <v>169636.39856799951</v>
      </c>
      <c r="R262" s="747">
        <v>23.07487254799997</v>
      </c>
      <c r="S262" s="747">
        <v>419.88077040000013</v>
      </c>
      <c r="T262" s="747">
        <v>2170126.6772639947</v>
      </c>
      <c r="U262" s="747">
        <v>5877.4545647999976</v>
      </c>
      <c r="V262" s="747">
        <v>329.89115921230933</v>
      </c>
      <c r="W262" s="747">
        <v>31.209283739087972</v>
      </c>
      <c r="X262" s="748">
        <v>219680.55909294719</v>
      </c>
      <c r="Y262" s="748">
        <v>373334.61069645581</v>
      </c>
      <c r="Z262" s="748">
        <v>372264.89779239992</v>
      </c>
      <c r="AA262" s="748">
        <v>276879.38250265212</v>
      </c>
      <c r="AB262" s="748">
        <v>359022.02988412383</v>
      </c>
      <c r="AC262" s="748">
        <v>279753.59104302223</v>
      </c>
      <c r="AD262" s="748">
        <v>279753.59104302223</v>
      </c>
      <c r="AE262" s="748">
        <v>888043.64714394836</v>
      </c>
      <c r="AF262" s="747">
        <v>197654.51983801168</v>
      </c>
      <c r="AG262" s="747">
        <v>11870.061816806106</v>
      </c>
      <c r="AH262" s="747">
        <v>10056.806088821759</v>
      </c>
      <c r="AI262" s="747">
        <v>231808.12303258819</v>
      </c>
      <c r="AJ262" s="747">
        <v>17928.677806792479</v>
      </c>
      <c r="AK262" s="747">
        <v>1977.2271416597277</v>
      </c>
      <c r="AL262" s="747">
        <v>231808.12303258819</v>
      </c>
      <c r="AM262" s="747">
        <v>17928.677806792479</v>
      </c>
      <c r="AN262" s="747">
        <v>1977.2271416597277</v>
      </c>
      <c r="AO262" s="747">
        <v>24.329008455902759</v>
      </c>
      <c r="AP262" s="747">
        <v>2.2295668908239961</v>
      </c>
      <c r="AQ262" s="748">
        <v>15321.9822</v>
      </c>
      <c r="AR262" s="748">
        <v>11491.4866</v>
      </c>
      <c r="AS262" s="748">
        <v>49796.4421</v>
      </c>
      <c r="AT262" s="748">
        <v>295654.9868923999</v>
      </c>
      <c r="AU262" s="747">
        <v>521549.0831301724</v>
      </c>
      <c r="AV262" s="747">
        <v>7472.5341296520483</v>
      </c>
      <c r="AW262" s="747">
        <v>0</v>
      </c>
      <c r="AX262" s="747">
        <v>0</v>
      </c>
      <c r="AY262" s="747">
        <v>1732.7651293079714</v>
      </c>
      <c r="AZ262" s="749">
        <v>0.56000000000000005</v>
      </c>
      <c r="BA262" s="750">
        <f t="shared" si="42"/>
        <v>40510.867374699919</v>
      </c>
      <c r="BB262" s="750">
        <f t="shared" si="43"/>
        <v>580.42253139902039</v>
      </c>
      <c r="BC262" s="751">
        <f t="shared" si="45"/>
        <v>205019.09637705985</v>
      </c>
      <c r="BD262" s="751">
        <f t="shared" si="46"/>
        <v>16295.056495887678</v>
      </c>
      <c r="BE262" s="751">
        <f t="shared" si="47"/>
        <v>722601.41986528179</v>
      </c>
      <c r="BF262" s="751">
        <f t="shared" si="48"/>
        <v>165442.22727866651</v>
      </c>
      <c r="BG262" s="752">
        <f t="shared" si="44"/>
        <v>12.874300574859902</v>
      </c>
      <c r="BH262" s="763">
        <f t="shared" si="38"/>
        <v>15924.678407571735</v>
      </c>
      <c r="BI262" s="763">
        <f t="shared" si="39"/>
        <v>1265.7042144648701</v>
      </c>
      <c r="BJ262" s="763">
        <f t="shared" si="40"/>
        <v>56127.431207900408</v>
      </c>
      <c r="BK262" s="763">
        <f t="shared" si="41"/>
        <v>12850.579828913686</v>
      </c>
    </row>
    <row r="263" spans="1:63">
      <c r="A263" s="669"/>
      <c r="B263" s="754">
        <v>2031</v>
      </c>
      <c r="C263" s="755" t="s">
        <v>13</v>
      </c>
      <c r="D263" s="755" t="s">
        <v>569</v>
      </c>
      <c r="E263" s="755" t="s">
        <v>570</v>
      </c>
      <c r="F263" s="755" t="s">
        <v>478</v>
      </c>
      <c r="G263" s="755" t="s">
        <v>27</v>
      </c>
      <c r="H263" s="755" t="s">
        <v>568</v>
      </c>
      <c r="I263" s="755" t="s">
        <v>51</v>
      </c>
      <c r="J263" s="755" t="s">
        <v>17</v>
      </c>
      <c r="K263" s="755"/>
      <c r="L263" s="755" t="s">
        <v>29</v>
      </c>
      <c r="M263" s="755" t="s">
        <v>412</v>
      </c>
      <c r="N263" s="756">
        <v>0</v>
      </c>
      <c r="O263" s="756">
        <v>0</v>
      </c>
      <c r="P263" s="756">
        <v>0</v>
      </c>
      <c r="Q263" s="756">
        <v>0</v>
      </c>
      <c r="R263" s="756">
        <v>0</v>
      </c>
      <c r="S263" s="756">
        <v>0</v>
      </c>
      <c r="T263" s="756">
        <v>0</v>
      </c>
      <c r="U263" s="756">
        <v>0</v>
      </c>
      <c r="V263" s="756">
        <v>0</v>
      </c>
      <c r="W263" s="756">
        <v>0</v>
      </c>
      <c r="X263" s="757">
        <v>0</v>
      </c>
      <c r="Y263" s="757">
        <v>0</v>
      </c>
      <c r="Z263" s="757">
        <v>2421.2503000000002</v>
      </c>
      <c r="AA263" s="757">
        <v>2421.2503000000002</v>
      </c>
      <c r="AB263" s="757">
        <v>2421.2503000000002</v>
      </c>
      <c r="AC263" s="757">
        <v>2421.2503000000002</v>
      </c>
      <c r="AD263" s="757">
        <v>2421.2503000000002</v>
      </c>
      <c r="AE263" s="757">
        <v>2421.2503000000002</v>
      </c>
      <c r="AF263" s="756">
        <v>0</v>
      </c>
      <c r="AG263" s="756">
        <v>0</v>
      </c>
      <c r="AH263" s="756">
        <v>0</v>
      </c>
      <c r="AI263" s="756">
        <v>0</v>
      </c>
      <c r="AJ263" s="756">
        <v>0</v>
      </c>
      <c r="AK263" s="756">
        <v>0</v>
      </c>
      <c r="AL263" s="756">
        <v>0</v>
      </c>
      <c r="AM263" s="756">
        <v>0</v>
      </c>
      <c r="AN263" s="756">
        <v>0</v>
      </c>
      <c r="AO263" s="756">
        <v>0</v>
      </c>
      <c r="AP263" s="756">
        <v>0</v>
      </c>
      <c r="AQ263" s="757">
        <v>2421.2503000000002</v>
      </c>
      <c r="AR263" s="757">
        <v>0</v>
      </c>
      <c r="AS263" s="757">
        <v>0</v>
      </c>
      <c r="AT263" s="757">
        <v>0</v>
      </c>
      <c r="AU263" s="756">
        <v>0</v>
      </c>
      <c r="AV263" s="756">
        <v>0</v>
      </c>
      <c r="AW263" s="756">
        <v>0</v>
      </c>
      <c r="AX263" s="756">
        <v>0</v>
      </c>
      <c r="AY263" s="756">
        <v>0</v>
      </c>
      <c r="AZ263" s="758">
        <v>0.56000000000000005</v>
      </c>
      <c r="BA263" s="759" t="str">
        <f t="shared" si="42"/>
        <v/>
      </c>
      <c r="BB263" s="759" t="str">
        <f t="shared" si="43"/>
        <v/>
      </c>
      <c r="BC263" s="760">
        <f t="shared" si="45"/>
        <v>0</v>
      </c>
      <c r="BD263" s="760">
        <f t="shared" si="46"/>
        <v>0</v>
      </c>
      <c r="BE263" s="760">
        <f t="shared" si="47"/>
        <v>1355.9001680000001</v>
      </c>
      <c r="BF263" s="760">
        <f t="shared" si="48"/>
        <v>1065.350132</v>
      </c>
      <c r="BG263" s="761">
        <f t="shared" si="44"/>
        <v>0</v>
      </c>
      <c r="BH263" s="762">
        <f t="shared" si="38"/>
        <v>0</v>
      </c>
      <c r="BI263" s="762">
        <f t="shared" si="39"/>
        <v>0</v>
      </c>
      <c r="BJ263" s="762">
        <f t="shared" si="40"/>
        <v>0</v>
      </c>
      <c r="BK263" s="762">
        <f t="shared" si="41"/>
        <v>0</v>
      </c>
    </row>
    <row r="264" spans="1:63">
      <c r="A264" s="669"/>
      <c r="B264" s="745">
        <v>2031</v>
      </c>
      <c r="C264" s="746" t="s">
        <v>13</v>
      </c>
      <c r="D264" s="746" t="s">
        <v>571</v>
      </c>
      <c r="E264" s="746" t="s">
        <v>572</v>
      </c>
      <c r="F264" s="746" t="s">
        <v>478</v>
      </c>
      <c r="G264" s="746" t="s">
        <v>34</v>
      </c>
      <c r="H264" s="746" t="s">
        <v>573</v>
      </c>
      <c r="I264" s="746" t="s">
        <v>51</v>
      </c>
      <c r="J264" s="746" t="s">
        <v>489</v>
      </c>
      <c r="K264" s="746"/>
      <c r="L264" s="746" t="s">
        <v>29</v>
      </c>
      <c r="M264" s="746" t="s">
        <v>412</v>
      </c>
      <c r="N264" s="747">
        <v>2165.7999999999902</v>
      </c>
      <c r="O264" s="747">
        <v>9.3184000000000003E-2</v>
      </c>
      <c r="P264" s="747">
        <v>0</v>
      </c>
      <c r="Q264" s="747">
        <v>866.31999999999903</v>
      </c>
      <c r="R264" s="747">
        <v>3.7273599999999997E-2</v>
      </c>
      <c r="S264" s="747">
        <v>0</v>
      </c>
      <c r="T264" s="747">
        <v>8663.1999999999898</v>
      </c>
      <c r="U264" s="747">
        <v>0</v>
      </c>
      <c r="V264" s="747">
        <v>1.6699318599599899</v>
      </c>
      <c r="W264" s="747">
        <v>0</v>
      </c>
      <c r="X264" s="748">
        <v>1704.6066218249159</v>
      </c>
      <c r="Y264" s="748">
        <v>3813.7283045622898</v>
      </c>
      <c r="Z264" s="748">
        <v>13787.5888</v>
      </c>
      <c r="AA264" s="748">
        <v>8894.8169964338704</v>
      </c>
      <c r="AB264" s="748">
        <v>13206.966366148719</v>
      </c>
      <c r="AC264" s="748">
        <v>8992.0218001211706</v>
      </c>
      <c r="AD264" s="748">
        <v>8992.0218001211706</v>
      </c>
      <c r="AE264" s="748">
        <v>16540.539622539582</v>
      </c>
      <c r="AF264" s="747">
        <v>809.03012182491602</v>
      </c>
      <c r="AG264" s="747">
        <v>0</v>
      </c>
      <c r="AH264" s="747">
        <v>895.5764999999999</v>
      </c>
      <c r="AI264" s="747">
        <v>912.74201024965998</v>
      </c>
      <c r="AJ264" s="747">
        <v>0</v>
      </c>
      <c r="AK264" s="747">
        <v>0</v>
      </c>
      <c r="AL264" s="747">
        <v>912.74201024965998</v>
      </c>
      <c r="AM264" s="747">
        <v>0</v>
      </c>
      <c r="AN264" s="747">
        <v>0</v>
      </c>
      <c r="AO264" s="747">
        <v>0.153182529136</v>
      </c>
      <c r="AP264" s="747">
        <v>0</v>
      </c>
      <c r="AQ264" s="748">
        <v>567.48080000000004</v>
      </c>
      <c r="AR264" s="748">
        <v>425.61059999999998</v>
      </c>
      <c r="AS264" s="748">
        <v>1844.3126999999999</v>
      </c>
      <c r="AT264" s="748">
        <v>10950.1847</v>
      </c>
      <c r="AU264" s="747">
        <v>3333.57325639086</v>
      </c>
      <c r="AV264" s="747">
        <v>0</v>
      </c>
      <c r="AW264" s="747">
        <v>0</v>
      </c>
      <c r="AX264" s="747">
        <v>0</v>
      </c>
      <c r="AY264" s="747">
        <v>0</v>
      </c>
      <c r="AZ264" s="749">
        <v>0.56000000000000005</v>
      </c>
      <c r="BA264" s="750">
        <f t="shared" si="42"/>
        <v>333.35732563908607</v>
      </c>
      <c r="BB264" s="750">
        <f t="shared" si="43"/>
        <v>0</v>
      </c>
      <c r="BC264" s="751">
        <f t="shared" si="45"/>
        <v>1310.5529618249161</v>
      </c>
      <c r="BD264" s="751">
        <f t="shared" si="46"/>
        <v>394.05365999999992</v>
      </c>
      <c r="BE264" s="751">
        <f t="shared" si="47"/>
        <v>10729.474421434143</v>
      </c>
      <c r="BF264" s="751">
        <f t="shared" si="48"/>
        <v>5811.0652011054362</v>
      </c>
      <c r="BG264" s="752">
        <f t="shared" si="44"/>
        <v>9.9999999999999982</v>
      </c>
      <c r="BH264" s="763">
        <f t="shared" si="38"/>
        <v>131.05529618249165</v>
      </c>
      <c r="BI264" s="763">
        <f t="shared" si="39"/>
        <v>39.405366000000001</v>
      </c>
      <c r="BJ264" s="763">
        <f t="shared" si="40"/>
        <v>1072.9474421434145</v>
      </c>
      <c r="BK264" s="763">
        <f t="shared" si="41"/>
        <v>581.10652011054378</v>
      </c>
    </row>
    <row r="265" spans="1:63">
      <c r="A265" s="669"/>
      <c r="B265" s="754">
        <v>2031</v>
      </c>
      <c r="C265" s="755" t="s">
        <v>13</v>
      </c>
      <c r="D265" s="755" t="s">
        <v>574</v>
      </c>
      <c r="E265" s="755" t="s">
        <v>575</v>
      </c>
      <c r="F265" s="755" t="s">
        <v>478</v>
      </c>
      <c r="G265" s="755" t="s">
        <v>34</v>
      </c>
      <c r="H265" s="755" t="s">
        <v>573</v>
      </c>
      <c r="I265" s="755" t="s">
        <v>51</v>
      </c>
      <c r="J265" s="755" t="s">
        <v>17</v>
      </c>
      <c r="K265" s="755"/>
      <c r="L265" s="755" t="s">
        <v>29</v>
      </c>
      <c r="M265" s="755" t="s">
        <v>412</v>
      </c>
      <c r="N265" s="756">
        <v>0</v>
      </c>
      <c r="O265" s="756">
        <v>0</v>
      </c>
      <c r="P265" s="756">
        <v>0</v>
      </c>
      <c r="Q265" s="756">
        <v>0</v>
      </c>
      <c r="R265" s="756">
        <v>0</v>
      </c>
      <c r="S265" s="756">
        <v>0</v>
      </c>
      <c r="T265" s="756">
        <v>0</v>
      </c>
      <c r="U265" s="756">
        <v>0</v>
      </c>
      <c r="V265" s="756">
        <v>0</v>
      </c>
      <c r="W265" s="756">
        <v>0</v>
      </c>
      <c r="X265" s="757">
        <v>0</v>
      </c>
      <c r="Y265" s="757">
        <v>0</v>
      </c>
      <c r="Z265" s="757">
        <v>276.43029999999999</v>
      </c>
      <c r="AA265" s="757">
        <v>276.43029999999999</v>
      </c>
      <c r="AB265" s="757">
        <v>276.43029999999999</v>
      </c>
      <c r="AC265" s="757">
        <v>276.43029999999999</v>
      </c>
      <c r="AD265" s="757">
        <v>276.43029999999999</v>
      </c>
      <c r="AE265" s="757">
        <v>276.43029999999999</v>
      </c>
      <c r="AF265" s="756">
        <v>0</v>
      </c>
      <c r="AG265" s="756">
        <v>0</v>
      </c>
      <c r="AH265" s="756">
        <v>0</v>
      </c>
      <c r="AI265" s="756">
        <v>0</v>
      </c>
      <c r="AJ265" s="756">
        <v>0</v>
      </c>
      <c r="AK265" s="756">
        <v>0</v>
      </c>
      <c r="AL265" s="756">
        <v>0</v>
      </c>
      <c r="AM265" s="756">
        <v>0</v>
      </c>
      <c r="AN265" s="756">
        <v>0</v>
      </c>
      <c r="AO265" s="756">
        <v>0</v>
      </c>
      <c r="AP265" s="756">
        <v>0</v>
      </c>
      <c r="AQ265" s="757">
        <v>276.43029999999999</v>
      </c>
      <c r="AR265" s="757">
        <v>0</v>
      </c>
      <c r="AS265" s="757">
        <v>0</v>
      </c>
      <c r="AT265" s="757">
        <v>0</v>
      </c>
      <c r="AU265" s="756">
        <v>0</v>
      </c>
      <c r="AV265" s="756">
        <v>0</v>
      </c>
      <c r="AW265" s="756">
        <v>0</v>
      </c>
      <c r="AX265" s="756">
        <v>0</v>
      </c>
      <c r="AY265" s="756">
        <v>0</v>
      </c>
      <c r="AZ265" s="758">
        <v>0.56000000000000005</v>
      </c>
      <c r="BA265" s="759" t="str">
        <f t="shared" si="42"/>
        <v/>
      </c>
      <c r="BB265" s="759" t="str">
        <f t="shared" si="43"/>
        <v/>
      </c>
      <c r="BC265" s="760">
        <f t="shared" si="45"/>
        <v>0</v>
      </c>
      <c r="BD265" s="760">
        <f t="shared" si="46"/>
        <v>0</v>
      </c>
      <c r="BE265" s="760">
        <f t="shared" si="47"/>
        <v>154.80096800000001</v>
      </c>
      <c r="BF265" s="760">
        <f t="shared" si="48"/>
        <v>121.62933199999998</v>
      </c>
      <c r="BG265" s="761">
        <f t="shared" si="44"/>
        <v>0</v>
      </c>
      <c r="BH265" s="762">
        <f t="shared" si="38"/>
        <v>0</v>
      </c>
      <c r="BI265" s="762">
        <f t="shared" si="39"/>
        <v>0</v>
      </c>
      <c r="BJ265" s="762">
        <f t="shared" si="40"/>
        <v>0</v>
      </c>
      <c r="BK265" s="762">
        <f t="shared" si="41"/>
        <v>0</v>
      </c>
    </row>
    <row r="266" spans="1:63">
      <c r="A266" s="669"/>
      <c r="B266" s="745">
        <v>2031</v>
      </c>
      <c r="C266" s="746" t="s">
        <v>13</v>
      </c>
      <c r="D266" s="746" t="s">
        <v>576</v>
      </c>
      <c r="E266" s="746" t="s">
        <v>577</v>
      </c>
      <c r="F266" s="746" t="s">
        <v>478</v>
      </c>
      <c r="G266" s="746" t="s">
        <v>45</v>
      </c>
      <c r="H266" s="746" t="s">
        <v>578</v>
      </c>
      <c r="I266" s="746" t="s">
        <v>51</v>
      </c>
      <c r="J266" s="746" t="s">
        <v>489</v>
      </c>
      <c r="K266" s="746"/>
      <c r="L266" s="746" t="s">
        <v>29</v>
      </c>
      <c r="M266" s="746" t="s">
        <v>412</v>
      </c>
      <c r="N266" s="747">
        <v>30237.374439999967</v>
      </c>
      <c r="O266" s="747">
        <v>4.6201118599999962</v>
      </c>
      <c r="P266" s="747">
        <v>-2.7977040000002287</v>
      </c>
      <c r="Q266" s="747">
        <v>17803.384507999999</v>
      </c>
      <c r="R266" s="747">
        <v>2.6608046919999979</v>
      </c>
      <c r="S266" s="747">
        <v>-1.6786223999999565</v>
      </c>
      <c r="T266" s="747">
        <v>226076.8418999998</v>
      </c>
      <c r="U266" s="747">
        <v>69.387427200000303</v>
      </c>
      <c r="V266" s="747">
        <v>34.879236518136899</v>
      </c>
      <c r="W266" s="747">
        <v>0.36844723843199995</v>
      </c>
      <c r="X266" s="748">
        <v>47901.535084743409</v>
      </c>
      <c r="Y266" s="748">
        <v>90430.39280611655</v>
      </c>
      <c r="Z266" s="748">
        <v>282645.57088620012</v>
      </c>
      <c r="AA266" s="748">
        <v>180571.15221683373</v>
      </c>
      <c r="AB266" s="748">
        <v>270350.92052939301</v>
      </c>
      <c r="AC266" s="748">
        <v>182882.25834258224</v>
      </c>
      <c r="AD266" s="748">
        <v>182882.25834258224</v>
      </c>
      <c r="AE266" s="748">
        <v>340355.56828745315</v>
      </c>
      <c r="AF266" s="747">
        <v>18041.853897631474</v>
      </c>
      <c r="AG266" s="747">
        <v>112.2032700558849</v>
      </c>
      <c r="AH266" s="747">
        <v>29694.841790934301</v>
      </c>
      <c r="AI266" s="747">
        <v>21183.348855768199</v>
      </c>
      <c r="AJ266" s="747">
        <v>205.30014347044988</v>
      </c>
      <c r="AK266" s="747">
        <v>100.27743439257043</v>
      </c>
      <c r="AL266" s="747">
        <v>21183.348855768199</v>
      </c>
      <c r="AM266" s="747">
        <v>205.30014347044988</v>
      </c>
      <c r="AN266" s="747">
        <v>100.27743439257043</v>
      </c>
      <c r="AO266" s="747">
        <v>2.5543632842744324</v>
      </c>
      <c r="AP266" s="747">
        <v>-8.9134849440004101E-3</v>
      </c>
      <c r="AQ266" s="748">
        <v>11633.3568</v>
      </c>
      <c r="AR266" s="748">
        <v>8725.0175999999992</v>
      </c>
      <c r="AS266" s="748">
        <v>37808.409699999997</v>
      </c>
      <c r="AT266" s="748">
        <v>224478.7867862001</v>
      </c>
      <c r="AU266" s="747">
        <v>69951.349703164451</v>
      </c>
      <c r="AV266" s="747">
        <v>53.298054895575561</v>
      </c>
      <c r="AW266" s="747">
        <v>0</v>
      </c>
      <c r="AX266" s="747">
        <v>0</v>
      </c>
      <c r="AY266" s="747">
        <v>87.027574121740912</v>
      </c>
      <c r="AZ266" s="749">
        <v>0.56000000000000005</v>
      </c>
      <c r="BA266" s="750">
        <f t="shared" si="42"/>
        <v>5444.4383668163227</v>
      </c>
      <c r="BB266" s="750">
        <f t="shared" si="43"/>
        <v>4.1482827162236591</v>
      </c>
      <c r="BC266" s="751">
        <f t="shared" si="45"/>
        <v>34757.99287467642</v>
      </c>
      <c r="BD266" s="751">
        <f t="shared" si="46"/>
        <v>13177.933658066975</v>
      </c>
      <c r="BE266" s="751">
        <f t="shared" si="47"/>
        <v>221347.86519962456</v>
      </c>
      <c r="BF266" s="751">
        <f t="shared" si="48"/>
        <v>119007.7030878285</v>
      </c>
      <c r="BG266" s="752">
        <f t="shared" si="44"/>
        <v>12.848221430793613</v>
      </c>
      <c r="BH266" s="763">
        <f t="shared" ref="BH266:BH297" si="49">IF($BG266=0,0,BC266/$BG266)</f>
        <v>2705.2766067193688</v>
      </c>
      <c r="BI266" s="763">
        <f t="shared" ref="BI266:BI297" si="50">IF($BG266=0,0,BD266/$BG266)</f>
        <v>1025.6620909788442</v>
      </c>
      <c r="BJ266" s="763">
        <f t="shared" ref="BJ266:BJ297" si="51">IF($BG266=0,0,BE266/$BG266)</f>
        <v>17227.899316018582</v>
      </c>
      <c r="BK266" s="763">
        <f t="shared" ref="BK266:BK297" si="52">IF($BG266=0,0,BF266/$BG266)</f>
        <v>9262.5818856608548</v>
      </c>
    </row>
    <row r="267" spans="1:63">
      <c r="A267" s="669"/>
      <c r="B267" s="754">
        <v>2031</v>
      </c>
      <c r="C267" s="755" t="s">
        <v>13</v>
      </c>
      <c r="D267" s="755" t="s">
        <v>579</v>
      </c>
      <c r="E267" s="755" t="s">
        <v>580</v>
      </c>
      <c r="F267" s="755" t="s">
        <v>478</v>
      </c>
      <c r="G267" s="755" t="s">
        <v>45</v>
      </c>
      <c r="H267" s="755" t="s">
        <v>578</v>
      </c>
      <c r="I267" s="755" t="s">
        <v>51</v>
      </c>
      <c r="J267" s="755" t="s">
        <v>17</v>
      </c>
      <c r="K267" s="755"/>
      <c r="L267" s="755" t="s">
        <v>29</v>
      </c>
      <c r="M267" s="755" t="s">
        <v>412</v>
      </c>
      <c r="N267" s="756">
        <v>0</v>
      </c>
      <c r="O267" s="756">
        <v>0</v>
      </c>
      <c r="P267" s="756">
        <v>0</v>
      </c>
      <c r="Q267" s="756">
        <v>0</v>
      </c>
      <c r="R267" s="756">
        <v>0</v>
      </c>
      <c r="S267" s="756">
        <v>0</v>
      </c>
      <c r="T267" s="756">
        <v>0</v>
      </c>
      <c r="U267" s="756">
        <v>0</v>
      </c>
      <c r="V267" s="756">
        <v>0</v>
      </c>
      <c r="W267" s="756">
        <v>0</v>
      </c>
      <c r="X267" s="757">
        <v>0</v>
      </c>
      <c r="Y267" s="757">
        <v>0</v>
      </c>
      <c r="Z267" s="757">
        <v>1885.0402999999999</v>
      </c>
      <c r="AA267" s="757">
        <v>1885.0402999999999</v>
      </c>
      <c r="AB267" s="757">
        <v>1885.0402999999999</v>
      </c>
      <c r="AC267" s="757">
        <v>1885.0402999999999</v>
      </c>
      <c r="AD267" s="757">
        <v>1885.0402999999999</v>
      </c>
      <c r="AE267" s="757">
        <v>1885.0402999999999</v>
      </c>
      <c r="AF267" s="756">
        <v>0</v>
      </c>
      <c r="AG267" s="756">
        <v>0</v>
      </c>
      <c r="AH267" s="756">
        <v>0</v>
      </c>
      <c r="AI267" s="756">
        <v>0</v>
      </c>
      <c r="AJ267" s="756">
        <v>0</v>
      </c>
      <c r="AK267" s="756">
        <v>0</v>
      </c>
      <c r="AL267" s="756">
        <v>0</v>
      </c>
      <c r="AM267" s="756">
        <v>0</v>
      </c>
      <c r="AN267" s="756">
        <v>0</v>
      </c>
      <c r="AO267" s="756">
        <v>0</v>
      </c>
      <c r="AP267" s="756">
        <v>0</v>
      </c>
      <c r="AQ267" s="757">
        <v>1885.0402999999999</v>
      </c>
      <c r="AR267" s="757">
        <v>0</v>
      </c>
      <c r="AS267" s="757">
        <v>0</v>
      </c>
      <c r="AT267" s="757">
        <v>0</v>
      </c>
      <c r="AU267" s="756">
        <v>0</v>
      </c>
      <c r="AV267" s="756">
        <v>0</v>
      </c>
      <c r="AW267" s="756">
        <v>0</v>
      </c>
      <c r="AX267" s="756">
        <v>0</v>
      </c>
      <c r="AY267" s="756">
        <v>0</v>
      </c>
      <c r="AZ267" s="758">
        <v>0.56000000000000005</v>
      </c>
      <c r="BA267" s="759" t="str">
        <f t="shared" ref="BA267:BA297" si="53">IFERROR(($AU267-$AW267)/$BG267,"")</f>
        <v/>
      </c>
      <c r="BB267" s="759" t="str">
        <f t="shared" ref="BB267:BB297" si="54">IFERROR(($AV267-$AX267)/$BG267,"")</f>
        <v/>
      </c>
      <c r="BC267" s="760">
        <f t="shared" si="45"/>
        <v>0</v>
      </c>
      <c r="BD267" s="760">
        <f t="shared" si="46"/>
        <v>0</v>
      </c>
      <c r="BE267" s="760">
        <f t="shared" si="47"/>
        <v>1055.622568</v>
      </c>
      <c r="BF267" s="760">
        <f t="shared" si="48"/>
        <v>829.41773199999989</v>
      </c>
      <c r="BG267" s="761">
        <f t="shared" si="44"/>
        <v>0</v>
      </c>
      <c r="BH267" s="762">
        <f t="shared" si="49"/>
        <v>0</v>
      </c>
      <c r="BI267" s="762">
        <f t="shared" si="50"/>
        <v>0</v>
      </c>
      <c r="BJ267" s="762">
        <f t="shared" si="51"/>
        <v>0</v>
      </c>
      <c r="BK267" s="762">
        <f t="shared" si="52"/>
        <v>0</v>
      </c>
    </row>
    <row r="268" spans="1:63">
      <c r="A268" s="669"/>
      <c r="B268" s="745">
        <v>2031</v>
      </c>
      <c r="C268" s="746" t="s">
        <v>13</v>
      </c>
      <c r="D268" s="746" t="s">
        <v>581</v>
      </c>
      <c r="E268" s="746" t="s">
        <v>582</v>
      </c>
      <c r="F268" s="746" t="s">
        <v>478</v>
      </c>
      <c r="G268" s="746" t="s">
        <v>18</v>
      </c>
      <c r="H268" s="746" t="s">
        <v>583</v>
      </c>
      <c r="I268" s="746" t="s">
        <v>51</v>
      </c>
      <c r="J268" s="746" t="s">
        <v>489</v>
      </c>
      <c r="K268" s="746"/>
      <c r="L268" s="746" t="s">
        <v>29</v>
      </c>
      <c r="M268" s="746" t="s">
        <v>412</v>
      </c>
      <c r="N268" s="747">
        <v>275712.08236179984</v>
      </c>
      <c r="O268" s="747">
        <v>90.662489373857085</v>
      </c>
      <c r="P268" s="747">
        <v>2554.9927421199995</v>
      </c>
      <c r="Q268" s="747">
        <v>149156.36220172467</v>
      </c>
      <c r="R268" s="747">
        <v>52.036552141323277</v>
      </c>
      <c r="S268" s="747">
        <v>811.30065616599848</v>
      </c>
      <c r="T268" s="747">
        <v>2594825.8537254278</v>
      </c>
      <c r="U268" s="747">
        <v>8718.5730641099963</v>
      </c>
      <c r="V268" s="747">
        <v>592.88118547513614</v>
      </c>
      <c r="W268" s="747">
        <v>46.295622970424049</v>
      </c>
      <c r="X268" s="748">
        <v>525444.70011920808</v>
      </c>
      <c r="Y268" s="748">
        <v>1019930.918743217</v>
      </c>
      <c r="Z268" s="748">
        <v>889299.47724118771</v>
      </c>
      <c r="AA268" s="748">
        <v>1376612.7577561415</v>
      </c>
      <c r="AB268" s="748">
        <v>851925.78806573548</v>
      </c>
      <c r="AC268" s="748">
        <v>1392963.3331376689</v>
      </c>
      <c r="AD268" s="748">
        <v>1392963.3331376689</v>
      </c>
      <c r="AE268" s="748">
        <v>1576993.2198278622</v>
      </c>
      <c r="AF268" s="747">
        <v>246452.81349018848</v>
      </c>
      <c r="AG268" s="747">
        <v>18883.182032280121</v>
      </c>
      <c r="AH268" s="747">
        <v>257785.48606834671</v>
      </c>
      <c r="AI268" s="747">
        <v>308517.57119205594</v>
      </c>
      <c r="AJ268" s="747">
        <v>27170.096580904785</v>
      </c>
      <c r="AK268" s="747">
        <v>2651.3075155526644</v>
      </c>
      <c r="AL268" s="747">
        <v>308517.57119205594</v>
      </c>
      <c r="AM268" s="747">
        <v>27170.096580904785</v>
      </c>
      <c r="AN268" s="747">
        <v>2651.3075155526644</v>
      </c>
      <c r="AO268" s="747">
        <v>30.669629463044785</v>
      </c>
      <c r="AP268" s="747">
        <v>4.3080064842414538</v>
      </c>
      <c r="AQ268" s="748">
        <v>36602.512999999999</v>
      </c>
      <c r="AR268" s="748">
        <v>27451.884699999999</v>
      </c>
      <c r="AS268" s="748">
        <v>118958.16710000001</v>
      </c>
      <c r="AT268" s="748">
        <v>706286.91244118765</v>
      </c>
      <c r="AU268" s="747">
        <v>705185.87562887056</v>
      </c>
      <c r="AV268" s="747">
        <v>19881.556133255781</v>
      </c>
      <c r="AW268" s="747">
        <v>0</v>
      </c>
      <c r="AX268" s="747">
        <v>0</v>
      </c>
      <c r="AY268" s="747">
        <v>2323.2185283933968</v>
      </c>
      <c r="AZ268" s="749">
        <v>0.56000000000000005</v>
      </c>
      <c r="BA268" s="750">
        <f t="shared" si="53"/>
        <v>42783.877962392689</v>
      </c>
      <c r="BB268" s="750">
        <f t="shared" si="54"/>
        <v>1206.2210839789129</v>
      </c>
      <c r="BC268" s="751">
        <f t="shared" si="45"/>
        <v>393135.90421685606</v>
      </c>
      <c r="BD268" s="751">
        <f t="shared" si="46"/>
        <v>132308.79590235266</v>
      </c>
      <c r="BE268" s="751">
        <f t="shared" si="47"/>
        <v>1182264.3169456825</v>
      </c>
      <c r="BF268" s="751">
        <f t="shared" si="48"/>
        <v>394728.90288217936</v>
      </c>
      <c r="BG268" s="752">
        <f t="shared" si="44"/>
        <v>16.482514190245531</v>
      </c>
      <c r="BH268" s="763">
        <f t="shared" si="49"/>
        <v>23851.695177032921</v>
      </c>
      <c r="BI268" s="763">
        <f t="shared" si="50"/>
        <v>8027.2217196484471</v>
      </c>
      <c r="BJ268" s="763">
        <f t="shared" si="51"/>
        <v>71728.396729993707</v>
      </c>
      <c r="BK268" s="763">
        <f t="shared" si="52"/>
        <v>23948.342972808281</v>
      </c>
    </row>
    <row r="269" spans="1:63">
      <c r="A269" s="669"/>
      <c r="B269" s="754">
        <v>2031</v>
      </c>
      <c r="C269" s="755" t="s">
        <v>13</v>
      </c>
      <c r="D269" s="755" t="s">
        <v>584</v>
      </c>
      <c r="E269" s="755" t="s">
        <v>585</v>
      </c>
      <c r="F269" s="755" t="s">
        <v>478</v>
      </c>
      <c r="G269" s="755" t="s">
        <v>18</v>
      </c>
      <c r="H269" s="755" t="s">
        <v>583</v>
      </c>
      <c r="I269" s="755" t="s">
        <v>51</v>
      </c>
      <c r="J269" s="755" t="s">
        <v>17</v>
      </c>
      <c r="K269" s="755"/>
      <c r="L269" s="755" t="s">
        <v>29</v>
      </c>
      <c r="M269" s="755" t="s">
        <v>412</v>
      </c>
      <c r="N269" s="756">
        <v>0</v>
      </c>
      <c r="O269" s="756">
        <v>0</v>
      </c>
      <c r="P269" s="756">
        <v>0</v>
      </c>
      <c r="Q269" s="756">
        <v>0</v>
      </c>
      <c r="R269" s="756">
        <v>0</v>
      </c>
      <c r="S269" s="756">
        <v>0</v>
      </c>
      <c r="T269" s="756">
        <v>0</v>
      </c>
      <c r="U269" s="756">
        <v>0</v>
      </c>
      <c r="V269" s="756">
        <v>0</v>
      </c>
      <c r="W269" s="756">
        <v>0</v>
      </c>
      <c r="X269" s="757">
        <v>0</v>
      </c>
      <c r="Y269" s="757">
        <v>0</v>
      </c>
      <c r="Z269" s="757">
        <v>5708.6704</v>
      </c>
      <c r="AA269" s="757">
        <v>5708.6704</v>
      </c>
      <c r="AB269" s="757">
        <v>5708.6704</v>
      </c>
      <c r="AC269" s="757">
        <v>5708.6704</v>
      </c>
      <c r="AD269" s="757">
        <v>5708.6704</v>
      </c>
      <c r="AE269" s="757">
        <v>5708.6704</v>
      </c>
      <c r="AF269" s="756">
        <v>0</v>
      </c>
      <c r="AG269" s="756">
        <v>0</v>
      </c>
      <c r="AH269" s="756">
        <v>0</v>
      </c>
      <c r="AI269" s="756">
        <v>0</v>
      </c>
      <c r="AJ269" s="756">
        <v>0</v>
      </c>
      <c r="AK269" s="756">
        <v>0</v>
      </c>
      <c r="AL269" s="756">
        <v>0</v>
      </c>
      <c r="AM269" s="756">
        <v>0</v>
      </c>
      <c r="AN269" s="756">
        <v>0</v>
      </c>
      <c r="AO269" s="756">
        <v>0</v>
      </c>
      <c r="AP269" s="756">
        <v>0</v>
      </c>
      <c r="AQ269" s="757">
        <v>5708.6704</v>
      </c>
      <c r="AR269" s="757">
        <v>0</v>
      </c>
      <c r="AS269" s="757">
        <v>0</v>
      </c>
      <c r="AT269" s="757">
        <v>0</v>
      </c>
      <c r="AU269" s="756">
        <v>0</v>
      </c>
      <c r="AV269" s="756">
        <v>0</v>
      </c>
      <c r="AW269" s="756">
        <v>0</v>
      </c>
      <c r="AX269" s="756">
        <v>0</v>
      </c>
      <c r="AY269" s="756">
        <v>0</v>
      </c>
      <c r="AZ269" s="758">
        <v>0.56000000000000005</v>
      </c>
      <c r="BA269" s="759" t="str">
        <f t="shared" si="53"/>
        <v/>
      </c>
      <c r="BB269" s="759" t="str">
        <f t="shared" si="54"/>
        <v/>
      </c>
      <c r="BC269" s="760">
        <f t="shared" si="45"/>
        <v>0</v>
      </c>
      <c r="BD269" s="760">
        <f t="shared" si="46"/>
        <v>0</v>
      </c>
      <c r="BE269" s="760">
        <f t="shared" si="47"/>
        <v>3196.8554240000003</v>
      </c>
      <c r="BF269" s="760">
        <f t="shared" si="48"/>
        <v>2511.8149759999997</v>
      </c>
      <c r="BG269" s="761">
        <f t="shared" si="44"/>
        <v>0</v>
      </c>
      <c r="BH269" s="762">
        <f t="shared" si="49"/>
        <v>0</v>
      </c>
      <c r="BI269" s="762">
        <f t="shared" si="50"/>
        <v>0</v>
      </c>
      <c r="BJ269" s="762">
        <f t="shared" si="51"/>
        <v>0</v>
      </c>
      <c r="BK269" s="762">
        <f t="shared" si="52"/>
        <v>0</v>
      </c>
    </row>
    <row r="270" spans="1:63">
      <c r="A270" s="669"/>
      <c r="B270" s="745">
        <v>2031</v>
      </c>
      <c r="C270" s="746" t="s">
        <v>13</v>
      </c>
      <c r="D270" s="746" t="s">
        <v>586</v>
      </c>
      <c r="E270" s="746" t="s">
        <v>587</v>
      </c>
      <c r="F270" s="746" t="s">
        <v>478</v>
      </c>
      <c r="G270" s="746" t="s">
        <v>39</v>
      </c>
      <c r="H270" s="746" t="s">
        <v>588</v>
      </c>
      <c r="I270" s="746" t="s">
        <v>51</v>
      </c>
      <c r="J270" s="746" t="s">
        <v>489</v>
      </c>
      <c r="K270" s="746"/>
      <c r="L270" s="746" t="s">
        <v>29</v>
      </c>
      <c r="M270" s="746" t="s">
        <v>412</v>
      </c>
      <c r="N270" s="747">
        <v>28580.904351999954</v>
      </c>
      <c r="O270" s="747">
        <v>4.7842336359999962</v>
      </c>
      <c r="P270" s="747">
        <v>0</v>
      </c>
      <c r="Q270" s="747">
        <v>15712.600175999985</v>
      </c>
      <c r="R270" s="747">
        <v>2.7607032179999944</v>
      </c>
      <c r="S270" s="747">
        <v>0</v>
      </c>
      <c r="T270" s="747">
        <v>200212.98751999994</v>
      </c>
      <c r="U270" s="747">
        <v>0</v>
      </c>
      <c r="V270" s="747">
        <v>31.722234659211473</v>
      </c>
      <c r="W270" s="747">
        <v>0</v>
      </c>
      <c r="X270" s="748">
        <v>17022.51319810564</v>
      </c>
      <c r="Y270" s="748">
        <v>30825.452224713692</v>
      </c>
      <c r="Z270" s="748">
        <v>55239.867410120001</v>
      </c>
      <c r="AA270" s="748">
        <v>39283.439928662607</v>
      </c>
      <c r="AB270" s="748">
        <v>53238.986294322349</v>
      </c>
      <c r="AC270" s="748">
        <v>39726.756645829715</v>
      </c>
      <c r="AD270" s="748">
        <v>39726.756645829715</v>
      </c>
      <c r="AE270" s="748">
        <v>103026.20791084936</v>
      </c>
      <c r="AF270" s="747">
        <v>17247.455943705641</v>
      </c>
      <c r="AG270" s="747">
        <v>0</v>
      </c>
      <c r="AH270" s="747">
        <v>0</v>
      </c>
      <c r="AI270" s="747">
        <v>19919.883129374521</v>
      </c>
      <c r="AJ270" s="747">
        <v>0</v>
      </c>
      <c r="AK270" s="747">
        <v>0</v>
      </c>
      <c r="AL270" s="747">
        <v>19919.883129374521</v>
      </c>
      <c r="AM270" s="747">
        <v>0</v>
      </c>
      <c r="AN270" s="747">
        <v>0</v>
      </c>
      <c r="AO270" s="747">
        <v>2.3821346713982199</v>
      </c>
      <c r="AP270" s="747">
        <v>0</v>
      </c>
      <c r="AQ270" s="748">
        <v>2692.1401999999998</v>
      </c>
      <c r="AR270" s="748">
        <v>2019.1051</v>
      </c>
      <c r="AS270" s="748">
        <v>8749.4555999999993</v>
      </c>
      <c r="AT270" s="748">
        <v>41779.166510119998</v>
      </c>
      <c r="AU270" s="747">
        <v>49787.221616527015</v>
      </c>
      <c r="AV270" s="747">
        <v>0</v>
      </c>
      <c r="AW270" s="747">
        <v>0</v>
      </c>
      <c r="AX270" s="747">
        <v>0</v>
      </c>
      <c r="AY270" s="747">
        <v>0</v>
      </c>
      <c r="AZ270" s="749">
        <v>0.56000000000000005</v>
      </c>
      <c r="BA270" s="750">
        <f t="shared" si="53"/>
        <v>3907.272534236809</v>
      </c>
      <c r="BB270" s="750">
        <f t="shared" si="54"/>
        <v>0</v>
      </c>
      <c r="BC270" s="751">
        <f t="shared" si="45"/>
        <v>17247.455943705641</v>
      </c>
      <c r="BD270" s="751">
        <f t="shared" si="46"/>
        <v>0</v>
      </c>
      <c r="BE270" s="751">
        <f t="shared" si="47"/>
        <v>79601.053941347534</v>
      </c>
      <c r="BF270" s="751">
        <f t="shared" si="48"/>
        <v>23425.153969501829</v>
      </c>
      <c r="BG270" s="752">
        <f t="shared" si="44"/>
        <v>12.742193225651649</v>
      </c>
      <c r="BH270" s="763">
        <f t="shared" si="49"/>
        <v>1353.5704284396134</v>
      </c>
      <c r="BI270" s="763">
        <f t="shared" si="50"/>
        <v>0</v>
      </c>
      <c r="BJ270" s="763">
        <f t="shared" si="51"/>
        <v>6247.0449577785821</v>
      </c>
      <c r="BK270" s="763">
        <f t="shared" si="52"/>
        <v>1838.3926184971067</v>
      </c>
    </row>
    <row r="271" spans="1:63">
      <c r="A271" s="669"/>
      <c r="B271" s="754">
        <v>2031</v>
      </c>
      <c r="C271" s="755" t="s">
        <v>13</v>
      </c>
      <c r="D271" s="755" t="s">
        <v>589</v>
      </c>
      <c r="E271" s="755" t="s">
        <v>590</v>
      </c>
      <c r="F271" s="755" t="s">
        <v>478</v>
      </c>
      <c r="G271" s="755" t="s">
        <v>39</v>
      </c>
      <c r="H271" s="755" t="s">
        <v>588</v>
      </c>
      <c r="I271" s="755" t="s">
        <v>51</v>
      </c>
      <c r="J271" s="755" t="s">
        <v>17</v>
      </c>
      <c r="K271" s="755"/>
      <c r="L271" s="755" t="s">
        <v>29</v>
      </c>
      <c r="M271" s="755" t="s">
        <v>412</v>
      </c>
      <c r="N271" s="756">
        <v>0</v>
      </c>
      <c r="O271" s="756">
        <v>0</v>
      </c>
      <c r="P271" s="756">
        <v>0</v>
      </c>
      <c r="Q271" s="756">
        <v>0</v>
      </c>
      <c r="R271" s="756">
        <v>0</v>
      </c>
      <c r="S271" s="756">
        <v>0</v>
      </c>
      <c r="T271" s="756">
        <v>0</v>
      </c>
      <c r="U271" s="756">
        <v>0</v>
      </c>
      <c r="V271" s="756">
        <v>0</v>
      </c>
      <c r="W271" s="756">
        <v>0</v>
      </c>
      <c r="X271" s="757">
        <v>0</v>
      </c>
      <c r="Y271" s="757">
        <v>0</v>
      </c>
      <c r="Z271" s="757">
        <v>524.45029999999997</v>
      </c>
      <c r="AA271" s="757">
        <v>524.45029999999997</v>
      </c>
      <c r="AB271" s="757">
        <v>524.45029999999997</v>
      </c>
      <c r="AC271" s="757">
        <v>524.45029999999997</v>
      </c>
      <c r="AD271" s="757">
        <v>524.45029999999997</v>
      </c>
      <c r="AE271" s="757">
        <v>524.45029999999997</v>
      </c>
      <c r="AF271" s="756">
        <v>0</v>
      </c>
      <c r="AG271" s="756">
        <v>0</v>
      </c>
      <c r="AH271" s="756">
        <v>0</v>
      </c>
      <c r="AI271" s="756">
        <v>0</v>
      </c>
      <c r="AJ271" s="756">
        <v>0</v>
      </c>
      <c r="AK271" s="756">
        <v>0</v>
      </c>
      <c r="AL271" s="756">
        <v>0</v>
      </c>
      <c r="AM271" s="756">
        <v>0</v>
      </c>
      <c r="AN271" s="756">
        <v>0</v>
      </c>
      <c r="AO271" s="756">
        <v>0</v>
      </c>
      <c r="AP271" s="756">
        <v>0</v>
      </c>
      <c r="AQ271" s="757">
        <v>524.45029999999997</v>
      </c>
      <c r="AR271" s="757">
        <v>0</v>
      </c>
      <c r="AS271" s="757">
        <v>0</v>
      </c>
      <c r="AT271" s="757">
        <v>0</v>
      </c>
      <c r="AU271" s="756">
        <v>0</v>
      </c>
      <c r="AV271" s="756">
        <v>0</v>
      </c>
      <c r="AW271" s="756">
        <v>0</v>
      </c>
      <c r="AX271" s="756">
        <v>0</v>
      </c>
      <c r="AY271" s="756">
        <v>0</v>
      </c>
      <c r="AZ271" s="758">
        <v>0.56000000000000005</v>
      </c>
      <c r="BA271" s="759" t="str">
        <f t="shared" si="53"/>
        <v/>
      </c>
      <c r="BB271" s="759" t="str">
        <f t="shared" si="54"/>
        <v/>
      </c>
      <c r="BC271" s="760">
        <f t="shared" si="45"/>
        <v>0</v>
      </c>
      <c r="BD271" s="760">
        <f t="shared" si="46"/>
        <v>0</v>
      </c>
      <c r="BE271" s="760">
        <f t="shared" si="47"/>
        <v>293.69216800000004</v>
      </c>
      <c r="BF271" s="760">
        <f t="shared" si="48"/>
        <v>230.75813199999996</v>
      </c>
      <c r="BG271" s="761">
        <f t="shared" si="44"/>
        <v>0</v>
      </c>
      <c r="BH271" s="762">
        <f t="shared" si="49"/>
        <v>0</v>
      </c>
      <c r="BI271" s="762">
        <f t="shared" si="50"/>
        <v>0</v>
      </c>
      <c r="BJ271" s="762">
        <f t="shared" si="51"/>
        <v>0</v>
      </c>
      <c r="BK271" s="762">
        <f t="shared" si="52"/>
        <v>0</v>
      </c>
    </row>
    <row r="272" spans="1:63">
      <c r="A272" s="669"/>
      <c r="B272" s="745">
        <v>2031</v>
      </c>
      <c r="C272" s="746" t="s">
        <v>13</v>
      </c>
      <c r="D272" s="746" t="s">
        <v>591</v>
      </c>
      <c r="E272" s="746" t="s">
        <v>592</v>
      </c>
      <c r="F272" s="746" t="s">
        <v>478</v>
      </c>
      <c r="G272" s="746" t="s">
        <v>27</v>
      </c>
      <c r="H272" s="746" t="s">
        <v>593</v>
      </c>
      <c r="I272" s="746" t="s">
        <v>51</v>
      </c>
      <c r="J272" s="746" t="s">
        <v>489</v>
      </c>
      <c r="K272" s="746"/>
      <c r="L272" s="746" t="s">
        <v>29</v>
      </c>
      <c r="M272" s="746" t="s">
        <v>412</v>
      </c>
      <c r="N272" s="747">
        <v>56709.024066239923</v>
      </c>
      <c r="O272" s="747">
        <v>13.585844166439987</v>
      </c>
      <c r="P272" s="747">
        <v>810.36531840000009</v>
      </c>
      <c r="Q272" s="747">
        <v>32783.835070531946</v>
      </c>
      <c r="R272" s="747">
        <v>7.8489990271419989</v>
      </c>
      <c r="S272" s="747">
        <v>452.34925032000012</v>
      </c>
      <c r="T272" s="747">
        <v>487520.83502576977</v>
      </c>
      <c r="U272" s="747">
        <v>6155.8102082399973</v>
      </c>
      <c r="V272" s="747">
        <v>82.776313192350258</v>
      </c>
      <c r="W272" s="747">
        <v>32.687352205754379</v>
      </c>
      <c r="X272" s="748">
        <v>59093.101253122106</v>
      </c>
      <c r="Y272" s="748">
        <v>104325.96767698179</v>
      </c>
      <c r="Z272" s="748">
        <v>284090.74558779999</v>
      </c>
      <c r="AA272" s="748">
        <v>213375.54729320991</v>
      </c>
      <c r="AB272" s="748">
        <v>272796.67608808883</v>
      </c>
      <c r="AC272" s="748">
        <v>215822.23053791295</v>
      </c>
      <c r="AD272" s="748">
        <v>215822.23053791295</v>
      </c>
      <c r="AE272" s="748">
        <v>445718.38052943605</v>
      </c>
      <c r="AF272" s="747">
        <v>42339.412858876007</v>
      </c>
      <c r="AG272" s="747">
        <v>9563.5940036958236</v>
      </c>
      <c r="AH272" s="747">
        <v>7073.3952630481253</v>
      </c>
      <c r="AI272" s="747">
        <v>50910.545647329105</v>
      </c>
      <c r="AJ272" s="747">
        <v>14367.139477673312</v>
      </c>
      <c r="AK272" s="747">
        <v>372.88285048422745</v>
      </c>
      <c r="AL272" s="747">
        <v>50910.545647329105</v>
      </c>
      <c r="AM272" s="747">
        <v>14367.139477673312</v>
      </c>
      <c r="AN272" s="747">
        <v>372.88285048422745</v>
      </c>
      <c r="AO272" s="747">
        <v>5.1451350344029514</v>
      </c>
      <c r="AP272" s="747">
        <v>2.4019745191991992</v>
      </c>
      <c r="AQ272" s="748">
        <v>13845.2924</v>
      </c>
      <c r="AR272" s="748">
        <v>10383.969300000001</v>
      </c>
      <c r="AS272" s="748">
        <v>44997.200400000002</v>
      </c>
      <c r="AT272" s="748">
        <v>214864.28348779998</v>
      </c>
      <c r="AU272" s="747">
        <v>167005.59226294039</v>
      </c>
      <c r="AV272" s="747">
        <v>5916.1121784067927</v>
      </c>
      <c r="AW272" s="747">
        <v>0</v>
      </c>
      <c r="AX272" s="747">
        <v>0</v>
      </c>
      <c r="AY272" s="747">
        <v>322.89664430216857</v>
      </c>
      <c r="AZ272" s="749">
        <v>0.56000000000000005</v>
      </c>
      <c r="BA272" s="750">
        <f t="shared" si="53"/>
        <v>11511.766560290893</v>
      </c>
      <c r="BB272" s="750">
        <f t="shared" si="54"/>
        <v>407.80013063925367</v>
      </c>
      <c r="BC272" s="751">
        <f t="shared" si="45"/>
        <v>46623.410850485132</v>
      </c>
      <c r="BD272" s="751">
        <f t="shared" si="46"/>
        <v>12675.887919436998</v>
      </c>
      <c r="BE272" s="751">
        <f t="shared" si="47"/>
        <v>319771.73087227019</v>
      </c>
      <c r="BF272" s="751">
        <f t="shared" si="48"/>
        <v>125946.64965716586</v>
      </c>
      <c r="BG272" s="752">
        <f t="shared" si="44"/>
        <v>14.507381763544057</v>
      </c>
      <c r="BH272" s="763">
        <f t="shared" si="49"/>
        <v>3213.7715550883349</v>
      </c>
      <c r="BI272" s="763">
        <f t="shared" si="50"/>
        <v>873.75434975389817</v>
      </c>
      <c r="BJ272" s="763">
        <f t="shared" si="51"/>
        <v>22042.001519242578</v>
      </c>
      <c r="BK272" s="763">
        <f t="shared" si="52"/>
        <v>8681.5561698155743</v>
      </c>
    </row>
    <row r="273" spans="1:63">
      <c r="A273" s="669"/>
      <c r="B273" s="754">
        <v>2031</v>
      </c>
      <c r="C273" s="755" t="s">
        <v>13</v>
      </c>
      <c r="D273" s="755" t="s">
        <v>594</v>
      </c>
      <c r="E273" s="755" t="s">
        <v>595</v>
      </c>
      <c r="F273" s="755" t="s">
        <v>478</v>
      </c>
      <c r="G273" s="755" t="s">
        <v>27</v>
      </c>
      <c r="H273" s="755" t="s">
        <v>593</v>
      </c>
      <c r="I273" s="755" t="s">
        <v>51</v>
      </c>
      <c r="J273" s="755" t="s">
        <v>17</v>
      </c>
      <c r="K273" s="755"/>
      <c r="L273" s="755" t="s">
        <v>29</v>
      </c>
      <c r="M273" s="755" t="s">
        <v>412</v>
      </c>
      <c r="N273" s="756">
        <v>0</v>
      </c>
      <c r="O273" s="756">
        <v>0</v>
      </c>
      <c r="P273" s="756">
        <v>0</v>
      </c>
      <c r="Q273" s="756">
        <v>0</v>
      </c>
      <c r="R273" s="756">
        <v>0</v>
      </c>
      <c r="S273" s="756">
        <v>0</v>
      </c>
      <c r="T273" s="756">
        <v>0</v>
      </c>
      <c r="U273" s="756">
        <v>0</v>
      </c>
      <c r="V273" s="756">
        <v>0</v>
      </c>
      <c r="W273" s="756">
        <v>0</v>
      </c>
      <c r="X273" s="757">
        <v>0</v>
      </c>
      <c r="Y273" s="757">
        <v>0</v>
      </c>
      <c r="Z273" s="757">
        <v>1893.6903</v>
      </c>
      <c r="AA273" s="757">
        <v>1893.6903</v>
      </c>
      <c r="AB273" s="757">
        <v>1893.6903</v>
      </c>
      <c r="AC273" s="757">
        <v>1893.6903</v>
      </c>
      <c r="AD273" s="757">
        <v>1893.6903</v>
      </c>
      <c r="AE273" s="757">
        <v>1893.6903</v>
      </c>
      <c r="AF273" s="756">
        <v>0</v>
      </c>
      <c r="AG273" s="756">
        <v>0</v>
      </c>
      <c r="AH273" s="756">
        <v>0</v>
      </c>
      <c r="AI273" s="756">
        <v>0</v>
      </c>
      <c r="AJ273" s="756">
        <v>0</v>
      </c>
      <c r="AK273" s="756">
        <v>0</v>
      </c>
      <c r="AL273" s="756">
        <v>0</v>
      </c>
      <c r="AM273" s="756">
        <v>0</v>
      </c>
      <c r="AN273" s="756">
        <v>0</v>
      </c>
      <c r="AO273" s="756">
        <v>0</v>
      </c>
      <c r="AP273" s="756">
        <v>0</v>
      </c>
      <c r="AQ273" s="757">
        <v>1893.6903</v>
      </c>
      <c r="AR273" s="757">
        <v>0</v>
      </c>
      <c r="AS273" s="757">
        <v>0</v>
      </c>
      <c r="AT273" s="757">
        <v>0</v>
      </c>
      <c r="AU273" s="756">
        <v>0</v>
      </c>
      <c r="AV273" s="756">
        <v>0</v>
      </c>
      <c r="AW273" s="756">
        <v>0</v>
      </c>
      <c r="AX273" s="756">
        <v>0</v>
      </c>
      <c r="AY273" s="756">
        <v>0</v>
      </c>
      <c r="AZ273" s="758">
        <v>0.56000000000000005</v>
      </c>
      <c r="BA273" s="759" t="str">
        <f t="shared" si="53"/>
        <v/>
      </c>
      <c r="BB273" s="759" t="str">
        <f t="shared" si="54"/>
        <v/>
      </c>
      <c r="BC273" s="760">
        <f t="shared" si="45"/>
        <v>0</v>
      </c>
      <c r="BD273" s="760">
        <f t="shared" si="46"/>
        <v>0</v>
      </c>
      <c r="BE273" s="760">
        <f t="shared" si="47"/>
        <v>1060.4665680000001</v>
      </c>
      <c r="BF273" s="760">
        <f t="shared" si="48"/>
        <v>833.22373199999993</v>
      </c>
      <c r="BG273" s="761">
        <f t="shared" ref="BG273:BG297" si="55">IFERROR(($U273*99976.1+$T273*3412.14)/($S273*99976.1+$Q273*3412.14),0)</f>
        <v>0</v>
      </c>
      <c r="BH273" s="762">
        <f t="shared" si="49"/>
        <v>0</v>
      </c>
      <c r="BI273" s="762">
        <f t="shared" si="50"/>
        <v>0</v>
      </c>
      <c r="BJ273" s="762">
        <f t="shared" si="51"/>
        <v>0</v>
      </c>
      <c r="BK273" s="762">
        <f t="shared" si="52"/>
        <v>0</v>
      </c>
    </row>
    <row r="274" spans="1:63">
      <c r="A274" s="669"/>
      <c r="B274" s="745">
        <v>2031</v>
      </c>
      <c r="C274" s="746" t="s">
        <v>13</v>
      </c>
      <c r="D274" s="746" t="s">
        <v>596</v>
      </c>
      <c r="E274" s="746" t="s">
        <v>597</v>
      </c>
      <c r="F274" s="746" t="s">
        <v>478</v>
      </c>
      <c r="G274" s="746" t="s">
        <v>34</v>
      </c>
      <c r="H274" s="746" t="s">
        <v>598</v>
      </c>
      <c r="I274" s="746" t="s">
        <v>51</v>
      </c>
      <c r="J274" s="746" t="s">
        <v>489</v>
      </c>
      <c r="K274" s="746"/>
      <c r="L274" s="746" t="s">
        <v>29</v>
      </c>
      <c r="M274" s="746" t="s">
        <v>412</v>
      </c>
      <c r="N274" s="747">
        <v>915.45999999999799</v>
      </c>
      <c r="O274" s="747">
        <v>0.19856199999999999</v>
      </c>
      <c r="P274" s="747">
        <v>1516.3829999999998</v>
      </c>
      <c r="Q274" s="747">
        <v>496.49599999999998</v>
      </c>
      <c r="R274" s="747">
        <v>0.10142859999999999</v>
      </c>
      <c r="S274" s="747">
        <v>909.82979999999998</v>
      </c>
      <c r="T274" s="747">
        <v>6982.2479999999996</v>
      </c>
      <c r="U274" s="747">
        <v>13647.447</v>
      </c>
      <c r="V274" s="747">
        <v>0.85991181883879997</v>
      </c>
      <c r="W274" s="747">
        <v>72.467943570000003</v>
      </c>
      <c r="X274" s="748">
        <v>21862.241429795769</v>
      </c>
      <c r="Y274" s="748">
        <v>36592.915748881554</v>
      </c>
      <c r="Z274" s="748">
        <v>55239.868300000009</v>
      </c>
      <c r="AA274" s="748">
        <v>35296.373870134543</v>
      </c>
      <c r="AB274" s="748">
        <v>52974.051826925046</v>
      </c>
      <c r="AC274" s="748">
        <v>35680.415370794093</v>
      </c>
      <c r="AD274" s="748">
        <v>35680.415370794093</v>
      </c>
      <c r="AE274" s="748">
        <v>66908.01310416848</v>
      </c>
      <c r="AF274" s="747">
        <v>741.94846854304205</v>
      </c>
      <c r="AG274" s="747">
        <v>21074.509185252729</v>
      </c>
      <c r="AH274" s="747">
        <v>45.783775999999797</v>
      </c>
      <c r="AI274" s="747">
        <v>871.78189034759998</v>
      </c>
      <c r="AJ274" s="747">
        <v>31885.529677114129</v>
      </c>
      <c r="AK274" s="747">
        <v>0</v>
      </c>
      <c r="AL274" s="747">
        <v>871.78189034759998</v>
      </c>
      <c r="AM274" s="747">
        <v>31885.529677114129</v>
      </c>
      <c r="AN274" s="747">
        <v>0</v>
      </c>
      <c r="AO274" s="747">
        <v>6.1734345181599801E-2</v>
      </c>
      <c r="AP274" s="747">
        <v>4.8311962380000004</v>
      </c>
      <c r="AQ274" s="748">
        <v>2692.1401999999998</v>
      </c>
      <c r="AR274" s="748">
        <v>2019.1051</v>
      </c>
      <c r="AS274" s="748">
        <v>8749.4555999999993</v>
      </c>
      <c r="AT274" s="748">
        <v>41779.167400000006</v>
      </c>
      <c r="AU274" s="747">
        <v>1493.0117180011762</v>
      </c>
      <c r="AV274" s="747">
        <v>12440.94955924225</v>
      </c>
      <c r="AW274" s="747">
        <v>0</v>
      </c>
      <c r="AX274" s="747">
        <v>0</v>
      </c>
      <c r="AY274" s="747">
        <v>0</v>
      </c>
      <c r="AZ274" s="749">
        <v>0.56000000000000005</v>
      </c>
      <c r="BA274" s="750">
        <f t="shared" si="53"/>
        <v>99.647920639780608</v>
      </c>
      <c r="BB274" s="750">
        <f t="shared" si="54"/>
        <v>830.34495939696876</v>
      </c>
      <c r="BC274" s="751">
        <f t="shared" ref="BC274:BC297" si="56">$AF274+$AY274+$AW274+$AZ274*$AH274</f>
        <v>767.58738310304193</v>
      </c>
      <c r="BD274" s="751">
        <f t="shared" ref="BD274:BD297" si="57">$AG274+$AX274+(1-$AZ274)*$AH274</f>
        <v>21094.654046692729</v>
      </c>
      <c r="BE274" s="751">
        <f t="shared" ref="BE274:BE297" si="58">$AB274*$AZ274+$AU274</f>
        <v>31158.480741079205</v>
      </c>
      <c r="BF274" s="751">
        <f t="shared" ref="BF274:BF297" si="59">$AB274*(1-$AZ274)+$AV274</f>
        <v>35749.532363089267</v>
      </c>
      <c r="BG274" s="752">
        <f t="shared" si="55"/>
        <v>14.982868768514459</v>
      </c>
      <c r="BH274" s="763">
        <f t="shared" si="49"/>
        <v>51.231002217417654</v>
      </c>
      <c r="BI274" s="763">
        <f t="shared" si="50"/>
        <v>1407.9182279846032</v>
      </c>
      <c r="BJ274" s="763">
        <f t="shared" si="51"/>
        <v>2079.6071314831752</v>
      </c>
      <c r="BK274" s="763">
        <f t="shared" si="52"/>
        <v>2386.0271964882068</v>
      </c>
    </row>
    <row r="275" spans="1:63">
      <c r="A275" s="669"/>
      <c r="B275" s="754">
        <v>2031</v>
      </c>
      <c r="C275" s="755" t="s">
        <v>13</v>
      </c>
      <c r="D275" s="755" t="s">
        <v>599</v>
      </c>
      <c r="E275" s="755" t="s">
        <v>600</v>
      </c>
      <c r="F275" s="755" t="s">
        <v>478</v>
      </c>
      <c r="G275" s="755" t="s">
        <v>34</v>
      </c>
      <c r="H275" s="755" t="s">
        <v>598</v>
      </c>
      <c r="I275" s="755" t="s">
        <v>51</v>
      </c>
      <c r="J275" s="755" t="s">
        <v>17</v>
      </c>
      <c r="K275" s="755"/>
      <c r="L275" s="755" t="s">
        <v>29</v>
      </c>
      <c r="M275" s="755" t="s">
        <v>412</v>
      </c>
      <c r="N275" s="756">
        <v>0</v>
      </c>
      <c r="O275" s="756">
        <v>0</v>
      </c>
      <c r="P275" s="756">
        <v>0</v>
      </c>
      <c r="Q275" s="756">
        <v>0</v>
      </c>
      <c r="R275" s="756">
        <v>0</v>
      </c>
      <c r="S275" s="756">
        <v>0</v>
      </c>
      <c r="T275" s="756">
        <v>0</v>
      </c>
      <c r="U275" s="756">
        <v>0</v>
      </c>
      <c r="V275" s="756">
        <v>0</v>
      </c>
      <c r="W275" s="756">
        <v>0</v>
      </c>
      <c r="X275" s="757">
        <v>0</v>
      </c>
      <c r="Y275" s="757">
        <v>0</v>
      </c>
      <c r="Z275" s="757">
        <v>524.45029999999997</v>
      </c>
      <c r="AA275" s="757">
        <v>524.45029999999997</v>
      </c>
      <c r="AB275" s="757">
        <v>524.45029999999997</v>
      </c>
      <c r="AC275" s="757">
        <v>524.45029999999997</v>
      </c>
      <c r="AD275" s="757">
        <v>524.45029999999997</v>
      </c>
      <c r="AE275" s="757">
        <v>524.45029999999997</v>
      </c>
      <c r="AF275" s="756">
        <v>0</v>
      </c>
      <c r="AG275" s="756">
        <v>0</v>
      </c>
      <c r="AH275" s="756">
        <v>0</v>
      </c>
      <c r="AI275" s="756">
        <v>0</v>
      </c>
      <c r="AJ275" s="756">
        <v>0</v>
      </c>
      <c r="AK275" s="756">
        <v>0</v>
      </c>
      <c r="AL275" s="756">
        <v>0</v>
      </c>
      <c r="AM275" s="756">
        <v>0</v>
      </c>
      <c r="AN275" s="756">
        <v>0</v>
      </c>
      <c r="AO275" s="756">
        <v>0</v>
      </c>
      <c r="AP275" s="756">
        <v>0</v>
      </c>
      <c r="AQ275" s="757">
        <v>524.45029999999997</v>
      </c>
      <c r="AR275" s="757">
        <v>0</v>
      </c>
      <c r="AS275" s="757">
        <v>0</v>
      </c>
      <c r="AT275" s="757">
        <v>0</v>
      </c>
      <c r="AU275" s="756">
        <v>0</v>
      </c>
      <c r="AV275" s="756">
        <v>0</v>
      </c>
      <c r="AW275" s="756">
        <v>0</v>
      </c>
      <c r="AX275" s="756">
        <v>0</v>
      </c>
      <c r="AY275" s="756">
        <v>0</v>
      </c>
      <c r="AZ275" s="758">
        <v>0.56000000000000005</v>
      </c>
      <c r="BA275" s="759" t="str">
        <f t="shared" si="53"/>
        <v/>
      </c>
      <c r="BB275" s="759" t="str">
        <f t="shared" si="54"/>
        <v/>
      </c>
      <c r="BC275" s="760">
        <f t="shared" si="56"/>
        <v>0</v>
      </c>
      <c r="BD275" s="760">
        <f t="shared" si="57"/>
        <v>0</v>
      </c>
      <c r="BE275" s="760">
        <f t="shared" si="58"/>
        <v>293.69216800000004</v>
      </c>
      <c r="BF275" s="760">
        <f t="shared" si="59"/>
        <v>230.75813199999996</v>
      </c>
      <c r="BG275" s="761">
        <f t="shared" si="55"/>
        <v>0</v>
      </c>
      <c r="BH275" s="762">
        <f t="shared" si="49"/>
        <v>0</v>
      </c>
      <c r="BI275" s="762">
        <f t="shared" si="50"/>
        <v>0</v>
      </c>
      <c r="BJ275" s="762">
        <f t="shared" si="51"/>
        <v>0</v>
      </c>
      <c r="BK275" s="762">
        <f t="shared" si="52"/>
        <v>0</v>
      </c>
    </row>
    <row r="276" spans="1:63">
      <c r="A276" s="669"/>
      <c r="B276" s="745">
        <v>2031</v>
      </c>
      <c r="C276" s="746" t="s">
        <v>13</v>
      </c>
      <c r="D276" s="746" t="s">
        <v>601</v>
      </c>
      <c r="E276" s="746" t="s">
        <v>602</v>
      </c>
      <c r="F276" s="746" t="s">
        <v>478</v>
      </c>
      <c r="G276" s="746" t="s">
        <v>45</v>
      </c>
      <c r="H276" s="746" t="s">
        <v>603</v>
      </c>
      <c r="I276" s="746" t="s">
        <v>51</v>
      </c>
      <c r="J276" s="746" t="s">
        <v>489</v>
      </c>
      <c r="K276" s="746"/>
      <c r="L276" s="746" t="s">
        <v>29</v>
      </c>
      <c r="M276" s="746" t="s">
        <v>412</v>
      </c>
      <c r="N276" s="747">
        <v>10964.826599999969</v>
      </c>
      <c r="O276" s="747">
        <v>4.497110799999998</v>
      </c>
      <c r="P276" s="747">
        <v>67.2012</v>
      </c>
      <c r="Q276" s="747">
        <v>5856.7563599999949</v>
      </c>
      <c r="R276" s="747">
        <v>2.5574621799999977</v>
      </c>
      <c r="S276" s="747">
        <v>40.320720000000001</v>
      </c>
      <c r="T276" s="747">
        <v>85726.346159999928</v>
      </c>
      <c r="U276" s="747">
        <v>571.28543999999999</v>
      </c>
      <c r="V276" s="747">
        <v>12.394679063240654</v>
      </c>
      <c r="W276" s="747">
        <v>3.0335256864</v>
      </c>
      <c r="X276" s="748">
        <v>16193.798130997329</v>
      </c>
      <c r="Y276" s="748">
        <v>31074.870088580807</v>
      </c>
      <c r="Z276" s="748">
        <v>173611.01133399992</v>
      </c>
      <c r="AA276" s="748">
        <v>115473.41646429901</v>
      </c>
      <c r="AB276" s="748">
        <v>166366.22022652507</v>
      </c>
      <c r="AC276" s="748">
        <v>116907.5320794451</v>
      </c>
      <c r="AD276" s="748">
        <v>116907.5320794451</v>
      </c>
      <c r="AE276" s="748">
        <v>196553.4508438842</v>
      </c>
      <c r="AF276" s="747">
        <v>7098.9259272284698</v>
      </c>
      <c r="AG276" s="747">
        <v>876.59315536091708</v>
      </c>
      <c r="AH276" s="747">
        <v>8217.1476273744011</v>
      </c>
      <c r="AI276" s="747">
        <v>8577.5471071668544</v>
      </c>
      <c r="AJ276" s="747">
        <v>1334.3276861294858</v>
      </c>
      <c r="AK276" s="747">
        <v>23.86747093748404</v>
      </c>
      <c r="AL276" s="747">
        <v>8577.5471071668544</v>
      </c>
      <c r="AM276" s="747">
        <v>1334.3276861294858</v>
      </c>
      <c r="AN276" s="747">
        <v>23.86747093748404</v>
      </c>
      <c r="AO276" s="747">
        <v>0.83765943395425091</v>
      </c>
      <c r="AP276" s="747">
        <v>0.21410302319999996</v>
      </c>
      <c r="AQ276" s="748">
        <v>8461.0120000000006</v>
      </c>
      <c r="AR276" s="748">
        <v>6345.759</v>
      </c>
      <c r="AS276" s="748">
        <v>27498.289100000002</v>
      </c>
      <c r="AT276" s="748">
        <v>131305.95123399995</v>
      </c>
      <c r="AU276" s="747">
        <v>29658.915487913251</v>
      </c>
      <c r="AV276" s="747">
        <v>528.31512944569488</v>
      </c>
      <c r="AW276" s="747">
        <v>0</v>
      </c>
      <c r="AX276" s="747">
        <v>0</v>
      </c>
      <c r="AY276" s="747">
        <v>19.876649833542281</v>
      </c>
      <c r="AZ276" s="749">
        <v>0.56000000000000005</v>
      </c>
      <c r="BA276" s="750">
        <f t="shared" si="53"/>
        <v>2037.2222985348239</v>
      </c>
      <c r="BB276" s="750">
        <f t="shared" si="54"/>
        <v>36.289100415647326</v>
      </c>
      <c r="BC276" s="751">
        <f t="shared" si="56"/>
        <v>11720.405248391678</v>
      </c>
      <c r="BD276" s="751">
        <f t="shared" si="57"/>
        <v>4492.138111405653</v>
      </c>
      <c r="BE276" s="751">
        <f t="shared" si="58"/>
        <v>122823.9988147673</v>
      </c>
      <c r="BF276" s="751">
        <f t="shared" si="59"/>
        <v>73729.452029116714</v>
      </c>
      <c r="BG276" s="752">
        <f t="shared" si="55"/>
        <v>14.558507193468296</v>
      </c>
      <c r="BH276" s="763">
        <f t="shared" si="49"/>
        <v>805.05542859848038</v>
      </c>
      <c r="BI276" s="763">
        <f t="shared" si="50"/>
        <v>308.55760495973516</v>
      </c>
      <c r="BJ276" s="763">
        <f t="shared" si="51"/>
        <v>8436.5791892366924</v>
      </c>
      <c r="BK276" s="763">
        <f t="shared" si="52"/>
        <v>5064.3552288242563</v>
      </c>
    </row>
    <row r="277" spans="1:63">
      <c r="A277" s="669"/>
      <c r="B277" s="754">
        <v>2031</v>
      </c>
      <c r="C277" s="755" t="s">
        <v>13</v>
      </c>
      <c r="D277" s="755" t="s">
        <v>604</v>
      </c>
      <c r="E277" s="755" t="s">
        <v>605</v>
      </c>
      <c r="F277" s="755" t="s">
        <v>478</v>
      </c>
      <c r="G277" s="755" t="s">
        <v>45</v>
      </c>
      <c r="H277" s="755" t="s">
        <v>603</v>
      </c>
      <c r="I277" s="755" t="s">
        <v>51</v>
      </c>
      <c r="J277" s="755" t="s">
        <v>17</v>
      </c>
      <c r="K277" s="755"/>
      <c r="L277" s="755" t="s">
        <v>29</v>
      </c>
      <c r="M277" s="755" t="s">
        <v>412</v>
      </c>
      <c r="N277" s="756">
        <v>0</v>
      </c>
      <c r="O277" s="756">
        <v>0</v>
      </c>
      <c r="P277" s="756">
        <v>0</v>
      </c>
      <c r="Q277" s="756">
        <v>0</v>
      </c>
      <c r="R277" s="756">
        <v>0</v>
      </c>
      <c r="S277" s="756">
        <v>0</v>
      </c>
      <c r="T277" s="756">
        <v>0</v>
      </c>
      <c r="U277" s="756">
        <v>0</v>
      </c>
      <c r="V277" s="756">
        <v>0</v>
      </c>
      <c r="W277" s="756">
        <v>0</v>
      </c>
      <c r="X277" s="757">
        <v>0</v>
      </c>
      <c r="Y277" s="757">
        <v>0</v>
      </c>
      <c r="Z277" s="757">
        <v>1232.6803</v>
      </c>
      <c r="AA277" s="757">
        <v>1232.6803</v>
      </c>
      <c r="AB277" s="757">
        <v>1232.6803</v>
      </c>
      <c r="AC277" s="757">
        <v>1232.6803</v>
      </c>
      <c r="AD277" s="757">
        <v>1232.6803</v>
      </c>
      <c r="AE277" s="757">
        <v>1232.6803</v>
      </c>
      <c r="AF277" s="756">
        <v>0</v>
      </c>
      <c r="AG277" s="756">
        <v>0</v>
      </c>
      <c r="AH277" s="756">
        <v>0</v>
      </c>
      <c r="AI277" s="756">
        <v>0</v>
      </c>
      <c r="AJ277" s="756">
        <v>0</v>
      </c>
      <c r="AK277" s="756">
        <v>0</v>
      </c>
      <c r="AL277" s="756">
        <v>0</v>
      </c>
      <c r="AM277" s="756">
        <v>0</v>
      </c>
      <c r="AN277" s="756">
        <v>0</v>
      </c>
      <c r="AO277" s="756">
        <v>0</v>
      </c>
      <c r="AP277" s="756">
        <v>0</v>
      </c>
      <c r="AQ277" s="757">
        <v>1232.6803</v>
      </c>
      <c r="AR277" s="757">
        <v>0</v>
      </c>
      <c r="AS277" s="757">
        <v>0</v>
      </c>
      <c r="AT277" s="757">
        <v>0</v>
      </c>
      <c r="AU277" s="756">
        <v>0</v>
      </c>
      <c r="AV277" s="756">
        <v>0</v>
      </c>
      <c r="AW277" s="756">
        <v>0</v>
      </c>
      <c r="AX277" s="756">
        <v>0</v>
      </c>
      <c r="AY277" s="756">
        <v>0</v>
      </c>
      <c r="AZ277" s="758">
        <v>0.56000000000000005</v>
      </c>
      <c r="BA277" s="759" t="str">
        <f t="shared" si="53"/>
        <v/>
      </c>
      <c r="BB277" s="759" t="str">
        <f t="shared" si="54"/>
        <v/>
      </c>
      <c r="BC277" s="760">
        <f t="shared" si="56"/>
        <v>0</v>
      </c>
      <c r="BD277" s="760">
        <f t="shared" si="57"/>
        <v>0</v>
      </c>
      <c r="BE277" s="760">
        <f t="shared" si="58"/>
        <v>690.30096800000001</v>
      </c>
      <c r="BF277" s="760">
        <f t="shared" si="59"/>
        <v>542.37933199999998</v>
      </c>
      <c r="BG277" s="761">
        <f t="shared" si="55"/>
        <v>0</v>
      </c>
      <c r="BH277" s="762">
        <f t="shared" si="49"/>
        <v>0</v>
      </c>
      <c r="BI277" s="762">
        <f t="shared" si="50"/>
        <v>0</v>
      </c>
      <c r="BJ277" s="762">
        <f t="shared" si="51"/>
        <v>0</v>
      </c>
      <c r="BK277" s="762">
        <f t="shared" si="52"/>
        <v>0</v>
      </c>
    </row>
    <row r="278" spans="1:63">
      <c r="A278" s="669"/>
      <c r="B278" s="745">
        <v>2031</v>
      </c>
      <c r="C278" s="746" t="s">
        <v>13</v>
      </c>
      <c r="D278" s="746" t="s">
        <v>606</v>
      </c>
      <c r="E278" s="746" t="s">
        <v>607</v>
      </c>
      <c r="F278" s="746" t="s">
        <v>478</v>
      </c>
      <c r="G278" s="746" t="s">
        <v>18</v>
      </c>
      <c r="H278" s="746" t="s">
        <v>608</v>
      </c>
      <c r="I278" s="746" t="s">
        <v>51</v>
      </c>
      <c r="J278" s="746" t="s">
        <v>489</v>
      </c>
      <c r="K278" s="746"/>
      <c r="L278" s="746" t="s">
        <v>29</v>
      </c>
      <c r="M278" s="746" t="s">
        <v>412</v>
      </c>
      <c r="N278" s="747">
        <v>0</v>
      </c>
      <c r="O278" s="747">
        <v>0</v>
      </c>
      <c r="P278" s="747">
        <v>0</v>
      </c>
      <c r="Q278" s="747">
        <v>0</v>
      </c>
      <c r="R278" s="747">
        <v>0</v>
      </c>
      <c r="S278" s="747">
        <v>0</v>
      </c>
      <c r="T278" s="747">
        <v>0</v>
      </c>
      <c r="U278" s="747">
        <v>0</v>
      </c>
      <c r="V278" s="747">
        <v>0</v>
      </c>
      <c r="W278" s="747">
        <v>0</v>
      </c>
      <c r="X278" s="748">
        <v>0</v>
      </c>
      <c r="Y278" s="748">
        <v>0</v>
      </c>
      <c r="Z278" s="748">
        <v>0</v>
      </c>
      <c r="AA278" s="748">
        <v>0</v>
      </c>
      <c r="AB278" s="748">
        <v>0</v>
      </c>
      <c r="AC278" s="748">
        <v>0</v>
      </c>
      <c r="AD278" s="748">
        <v>0</v>
      </c>
      <c r="AE278" s="748">
        <v>0</v>
      </c>
      <c r="AF278" s="747">
        <v>0</v>
      </c>
      <c r="AG278" s="747">
        <v>0</v>
      </c>
      <c r="AH278" s="747">
        <v>0</v>
      </c>
      <c r="AI278" s="747">
        <v>0</v>
      </c>
      <c r="AJ278" s="747">
        <v>0</v>
      </c>
      <c r="AK278" s="747">
        <v>0</v>
      </c>
      <c r="AL278" s="747">
        <v>0</v>
      </c>
      <c r="AM278" s="747">
        <v>0</v>
      </c>
      <c r="AN278" s="747">
        <v>0</v>
      </c>
      <c r="AO278" s="747">
        <v>0</v>
      </c>
      <c r="AP278" s="747">
        <v>0</v>
      </c>
      <c r="AQ278" s="748">
        <v>0</v>
      </c>
      <c r="AR278" s="748">
        <v>0</v>
      </c>
      <c r="AS278" s="748">
        <v>0</v>
      </c>
      <c r="AT278" s="748">
        <v>0</v>
      </c>
      <c r="AU278" s="747">
        <v>0</v>
      </c>
      <c r="AV278" s="747">
        <v>0</v>
      </c>
      <c r="AW278" s="747">
        <v>0</v>
      </c>
      <c r="AX278" s="747">
        <v>0</v>
      </c>
      <c r="AY278" s="747">
        <v>0</v>
      </c>
      <c r="AZ278" s="749">
        <v>0.56000000000000005</v>
      </c>
      <c r="BA278" s="750" t="str">
        <f t="shared" si="53"/>
        <v/>
      </c>
      <c r="BB278" s="750" t="str">
        <f t="shared" si="54"/>
        <v/>
      </c>
      <c r="BC278" s="751">
        <f t="shared" si="56"/>
        <v>0</v>
      </c>
      <c r="BD278" s="751">
        <f t="shared" si="57"/>
        <v>0</v>
      </c>
      <c r="BE278" s="751">
        <f t="shared" si="58"/>
        <v>0</v>
      </c>
      <c r="BF278" s="751">
        <f t="shared" si="59"/>
        <v>0</v>
      </c>
      <c r="BG278" s="752">
        <f t="shared" si="55"/>
        <v>0</v>
      </c>
      <c r="BH278" s="763">
        <f t="shared" si="49"/>
        <v>0</v>
      </c>
      <c r="BI278" s="763">
        <f t="shared" si="50"/>
        <v>0</v>
      </c>
      <c r="BJ278" s="763">
        <f t="shared" si="51"/>
        <v>0</v>
      </c>
      <c r="BK278" s="763">
        <f t="shared" si="52"/>
        <v>0</v>
      </c>
    </row>
    <row r="279" spans="1:63">
      <c r="A279" s="669"/>
      <c r="B279" s="754">
        <v>2031</v>
      </c>
      <c r="C279" s="755" t="s">
        <v>13</v>
      </c>
      <c r="D279" s="755" t="s">
        <v>609</v>
      </c>
      <c r="E279" s="755" t="s">
        <v>610</v>
      </c>
      <c r="F279" s="755" t="s">
        <v>478</v>
      </c>
      <c r="G279" s="755" t="s">
        <v>18</v>
      </c>
      <c r="H279" s="755" t="s">
        <v>608</v>
      </c>
      <c r="I279" s="755" t="s">
        <v>51</v>
      </c>
      <c r="J279" s="755" t="s">
        <v>17</v>
      </c>
      <c r="K279" s="755"/>
      <c r="L279" s="755" t="s">
        <v>29</v>
      </c>
      <c r="M279" s="755" t="s">
        <v>412</v>
      </c>
      <c r="N279" s="756">
        <v>0</v>
      </c>
      <c r="O279" s="756">
        <v>0</v>
      </c>
      <c r="P279" s="756">
        <v>0</v>
      </c>
      <c r="Q279" s="756">
        <v>0</v>
      </c>
      <c r="R279" s="756">
        <v>0</v>
      </c>
      <c r="S279" s="756">
        <v>0</v>
      </c>
      <c r="T279" s="756">
        <v>0</v>
      </c>
      <c r="U279" s="756">
        <v>0</v>
      </c>
      <c r="V279" s="756">
        <v>0</v>
      </c>
      <c r="W279" s="756">
        <v>0</v>
      </c>
      <c r="X279" s="757">
        <v>0</v>
      </c>
      <c r="Y279" s="757">
        <v>0</v>
      </c>
      <c r="Z279" s="757">
        <v>0</v>
      </c>
      <c r="AA279" s="757">
        <v>0</v>
      </c>
      <c r="AB279" s="757">
        <v>0</v>
      </c>
      <c r="AC279" s="757">
        <v>0</v>
      </c>
      <c r="AD279" s="757">
        <v>0</v>
      </c>
      <c r="AE279" s="757">
        <v>0</v>
      </c>
      <c r="AF279" s="756">
        <v>0</v>
      </c>
      <c r="AG279" s="756">
        <v>0</v>
      </c>
      <c r="AH279" s="756">
        <v>0</v>
      </c>
      <c r="AI279" s="756">
        <v>0</v>
      </c>
      <c r="AJ279" s="756">
        <v>0</v>
      </c>
      <c r="AK279" s="756">
        <v>0</v>
      </c>
      <c r="AL279" s="756">
        <v>0</v>
      </c>
      <c r="AM279" s="756">
        <v>0</v>
      </c>
      <c r="AN279" s="756">
        <v>0</v>
      </c>
      <c r="AO279" s="756">
        <v>0</v>
      </c>
      <c r="AP279" s="756">
        <v>0</v>
      </c>
      <c r="AQ279" s="757">
        <v>0</v>
      </c>
      <c r="AR279" s="757">
        <v>0</v>
      </c>
      <c r="AS279" s="757">
        <v>0</v>
      </c>
      <c r="AT279" s="757">
        <v>0</v>
      </c>
      <c r="AU279" s="756">
        <v>0</v>
      </c>
      <c r="AV279" s="756">
        <v>0</v>
      </c>
      <c r="AW279" s="756">
        <v>0</v>
      </c>
      <c r="AX279" s="756">
        <v>0</v>
      </c>
      <c r="AY279" s="756">
        <v>0</v>
      </c>
      <c r="AZ279" s="758">
        <v>0.56000000000000005</v>
      </c>
      <c r="BA279" s="759" t="str">
        <f t="shared" si="53"/>
        <v/>
      </c>
      <c r="BB279" s="759" t="str">
        <f t="shared" si="54"/>
        <v/>
      </c>
      <c r="BC279" s="760">
        <f t="shared" si="56"/>
        <v>0</v>
      </c>
      <c r="BD279" s="760">
        <f t="shared" si="57"/>
        <v>0</v>
      </c>
      <c r="BE279" s="760">
        <f t="shared" si="58"/>
        <v>0</v>
      </c>
      <c r="BF279" s="760">
        <f t="shared" si="59"/>
        <v>0</v>
      </c>
      <c r="BG279" s="761">
        <f t="shared" si="55"/>
        <v>0</v>
      </c>
      <c r="BH279" s="762">
        <f t="shared" si="49"/>
        <v>0</v>
      </c>
      <c r="BI279" s="762">
        <f t="shared" si="50"/>
        <v>0</v>
      </c>
      <c r="BJ279" s="762">
        <f t="shared" si="51"/>
        <v>0</v>
      </c>
      <c r="BK279" s="762">
        <f t="shared" si="52"/>
        <v>0</v>
      </c>
    </row>
    <row r="280" spans="1:63">
      <c r="A280" s="669"/>
      <c r="B280" s="745">
        <v>2031</v>
      </c>
      <c r="C280" s="746" t="s">
        <v>13</v>
      </c>
      <c r="D280" s="746" t="s">
        <v>611</v>
      </c>
      <c r="E280" s="746" t="s">
        <v>612</v>
      </c>
      <c r="F280" s="746" t="s">
        <v>613</v>
      </c>
      <c r="G280" s="746" t="s">
        <v>18</v>
      </c>
      <c r="H280" s="746" t="s">
        <v>614</v>
      </c>
      <c r="I280" s="746" t="s">
        <v>51</v>
      </c>
      <c r="J280" s="746" t="s">
        <v>489</v>
      </c>
      <c r="K280" s="746"/>
      <c r="L280" s="746" t="s">
        <v>29</v>
      </c>
      <c r="M280" s="746" t="s">
        <v>412</v>
      </c>
      <c r="N280" s="747">
        <v>-113726.69957727018</v>
      </c>
      <c r="O280" s="747">
        <v>0</v>
      </c>
      <c r="P280" s="747">
        <v>17616.695078558474</v>
      </c>
      <c r="Q280" s="747">
        <v>-110451.3769784977</v>
      </c>
      <c r="R280" s="747">
        <v>0</v>
      </c>
      <c r="S280" s="747">
        <v>17136.452128098463</v>
      </c>
      <c r="T280" s="747">
        <v>-1250737.7640155666</v>
      </c>
      <c r="U280" s="747">
        <v>210907.5895456849</v>
      </c>
      <c r="V280" s="747">
        <v>-263.8768405580484</v>
      </c>
      <c r="W280" s="747">
        <v>1119.9193004875856</v>
      </c>
      <c r="X280" s="748">
        <v>758360.47530088737</v>
      </c>
      <c r="Y280" s="748">
        <v>791944.27133680508</v>
      </c>
      <c r="Z280" s="748">
        <v>996423.9738830002</v>
      </c>
      <c r="AA280" s="748">
        <v>1223840.9358616183</v>
      </c>
      <c r="AB280" s="748">
        <v>1102759.6905700483</v>
      </c>
      <c r="AC280" s="748">
        <v>1249749.4215769281</v>
      </c>
      <c r="AD280" s="748">
        <v>1249749.4215769281</v>
      </c>
      <c r="AE280" s="748">
        <v>1335252.0273020801</v>
      </c>
      <c r="AF280" s="747">
        <v>-63299.900288944023</v>
      </c>
      <c r="AG280" s="747">
        <v>442188.09714268812</v>
      </c>
      <c r="AH280" s="747">
        <v>514200.27291814896</v>
      </c>
      <c r="AI280" s="747">
        <v>-73267.34953429774</v>
      </c>
      <c r="AJ280" s="747">
        <v>655531.82660942408</v>
      </c>
      <c r="AK280" s="747">
        <v>0</v>
      </c>
      <c r="AL280" s="747">
        <v>-73267.34953429774</v>
      </c>
      <c r="AM280" s="747">
        <v>655531.82660942408</v>
      </c>
      <c r="AN280" s="747">
        <v>0</v>
      </c>
      <c r="AO280" s="747">
        <v>-20.89481627119083</v>
      </c>
      <c r="AP280" s="747">
        <v>90.994560800202862</v>
      </c>
      <c r="AQ280" s="748">
        <v>31889.858</v>
      </c>
      <c r="AR280" s="748">
        <v>20020</v>
      </c>
      <c r="AS280" s="748">
        <v>324899.66600000003</v>
      </c>
      <c r="AT280" s="748">
        <v>619614.44988300011</v>
      </c>
      <c r="AU280" s="747">
        <v>-225769.53737661598</v>
      </c>
      <c r="AV280" s="747">
        <v>458261.87410864595</v>
      </c>
      <c r="AW280" s="747">
        <v>182510.07635369076</v>
      </c>
      <c r="AX280" s="747">
        <v>0</v>
      </c>
      <c r="AY280" s="747">
        <v>0</v>
      </c>
      <c r="AZ280" s="749">
        <v>0.56000000000000005</v>
      </c>
      <c r="BA280" s="750">
        <f t="shared" si="53"/>
        <v>-32441.892072546994</v>
      </c>
      <c r="BB280" s="750">
        <f t="shared" si="54"/>
        <v>36413.481743460943</v>
      </c>
      <c r="BC280" s="751">
        <f t="shared" si="56"/>
        <v>407162.3288989102</v>
      </c>
      <c r="BD280" s="751">
        <f t="shared" si="57"/>
        <v>668436.21722667362</v>
      </c>
      <c r="BE280" s="751">
        <f t="shared" si="58"/>
        <v>391775.88934261113</v>
      </c>
      <c r="BF280" s="751">
        <f t="shared" si="59"/>
        <v>943476.13795946713</v>
      </c>
      <c r="BG280" s="752">
        <f t="shared" si="55"/>
        <v>12.584950742617181</v>
      </c>
      <c r="BH280" s="763">
        <f t="shared" si="49"/>
        <v>32353.112636357942</v>
      </c>
      <c r="BI280" s="763">
        <f t="shared" si="50"/>
        <v>53113.931941196046</v>
      </c>
      <c r="BJ280" s="763">
        <f t="shared" si="51"/>
        <v>31130.506376629404</v>
      </c>
      <c r="BK280" s="763">
        <f t="shared" si="52"/>
        <v>74968.599977472841</v>
      </c>
    </row>
    <row r="281" spans="1:63">
      <c r="A281" s="669"/>
      <c r="B281" s="754">
        <v>2031</v>
      </c>
      <c r="C281" s="755" t="s">
        <v>13</v>
      </c>
      <c r="D281" s="755" t="s">
        <v>615</v>
      </c>
      <c r="E281" s="755" t="s">
        <v>616</v>
      </c>
      <c r="F281" s="755" t="s">
        <v>613</v>
      </c>
      <c r="G281" s="755" t="s">
        <v>18</v>
      </c>
      <c r="H281" s="755" t="s">
        <v>614</v>
      </c>
      <c r="I281" s="755" t="s">
        <v>51</v>
      </c>
      <c r="J281" s="755" t="s">
        <v>17</v>
      </c>
      <c r="K281" s="755"/>
      <c r="L281" s="755" t="s">
        <v>29</v>
      </c>
      <c r="M281" s="755" t="s">
        <v>412</v>
      </c>
      <c r="N281" s="756">
        <v>0</v>
      </c>
      <c r="O281" s="756">
        <v>0</v>
      </c>
      <c r="P281" s="756">
        <v>0</v>
      </c>
      <c r="Q281" s="756">
        <v>0</v>
      </c>
      <c r="R281" s="756">
        <v>0</v>
      </c>
      <c r="S281" s="756">
        <v>0</v>
      </c>
      <c r="T281" s="756">
        <v>0</v>
      </c>
      <c r="U281" s="756">
        <v>0</v>
      </c>
      <c r="V281" s="756">
        <v>0</v>
      </c>
      <c r="W281" s="756">
        <v>0</v>
      </c>
      <c r="X281" s="757">
        <v>0</v>
      </c>
      <c r="Y281" s="757">
        <v>0</v>
      </c>
      <c r="Z281" s="757">
        <v>7901.1320999999998</v>
      </c>
      <c r="AA281" s="757">
        <v>7901.1320999999998</v>
      </c>
      <c r="AB281" s="757">
        <v>7901.1320999999998</v>
      </c>
      <c r="AC281" s="757">
        <v>7901.1320999999998</v>
      </c>
      <c r="AD281" s="757">
        <v>7901.1320999999998</v>
      </c>
      <c r="AE281" s="757">
        <v>7901.1320999999998</v>
      </c>
      <c r="AF281" s="756">
        <v>0</v>
      </c>
      <c r="AG281" s="756">
        <v>0</v>
      </c>
      <c r="AH281" s="756">
        <v>0</v>
      </c>
      <c r="AI281" s="756">
        <v>0</v>
      </c>
      <c r="AJ281" s="756">
        <v>0</v>
      </c>
      <c r="AK281" s="756">
        <v>0</v>
      </c>
      <c r="AL281" s="756">
        <v>0</v>
      </c>
      <c r="AM281" s="756">
        <v>0</v>
      </c>
      <c r="AN281" s="756">
        <v>0</v>
      </c>
      <c r="AO281" s="756">
        <v>0</v>
      </c>
      <c r="AP281" s="756">
        <v>0</v>
      </c>
      <c r="AQ281" s="757">
        <v>7901.1320999999998</v>
      </c>
      <c r="AR281" s="757">
        <v>0</v>
      </c>
      <c r="AS281" s="757">
        <v>0</v>
      </c>
      <c r="AT281" s="757">
        <v>0</v>
      </c>
      <c r="AU281" s="756">
        <v>0</v>
      </c>
      <c r="AV281" s="756">
        <v>0</v>
      </c>
      <c r="AW281" s="756">
        <v>0</v>
      </c>
      <c r="AX281" s="756">
        <v>0</v>
      </c>
      <c r="AY281" s="756">
        <v>0</v>
      </c>
      <c r="AZ281" s="758">
        <v>0.56000000000000005</v>
      </c>
      <c r="BA281" s="759" t="str">
        <f t="shared" si="53"/>
        <v/>
      </c>
      <c r="BB281" s="759" t="str">
        <f t="shared" si="54"/>
        <v/>
      </c>
      <c r="BC281" s="760">
        <f t="shared" si="56"/>
        <v>0</v>
      </c>
      <c r="BD281" s="760">
        <f t="shared" si="57"/>
        <v>0</v>
      </c>
      <c r="BE281" s="760">
        <f t="shared" si="58"/>
        <v>4424.6339760000001</v>
      </c>
      <c r="BF281" s="760">
        <f t="shared" si="59"/>
        <v>3476.4981239999993</v>
      </c>
      <c r="BG281" s="761">
        <f t="shared" si="55"/>
        <v>0</v>
      </c>
      <c r="BH281" s="762">
        <f t="shared" si="49"/>
        <v>0</v>
      </c>
      <c r="BI281" s="762">
        <f t="shared" si="50"/>
        <v>0</v>
      </c>
      <c r="BJ281" s="762">
        <f t="shared" si="51"/>
        <v>0</v>
      </c>
      <c r="BK281" s="762">
        <f t="shared" si="52"/>
        <v>0</v>
      </c>
    </row>
    <row r="282" spans="1:63">
      <c r="A282" s="669"/>
      <c r="B282" s="745">
        <v>2031</v>
      </c>
      <c r="C282" s="746" t="s">
        <v>13</v>
      </c>
      <c r="D282" s="746" t="s">
        <v>617</v>
      </c>
      <c r="E282" s="746" t="s">
        <v>618</v>
      </c>
      <c r="F282" s="746" t="s">
        <v>478</v>
      </c>
      <c r="G282" s="746" t="s">
        <v>27</v>
      </c>
      <c r="H282" s="746"/>
      <c r="I282" s="746" t="s">
        <v>46</v>
      </c>
      <c r="J282" s="746" t="s">
        <v>489</v>
      </c>
      <c r="K282" s="746"/>
      <c r="L282" s="746" t="s">
        <v>20</v>
      </c>
      <c r="M282" s="746" t="s">
        <v>412</v>
      </c>
      <c r="N282" s="747">
        <v>3101545.1394000002</v>
      </c>
      <c r="O282" s="747">
        <v>473.71861799999999</v>
      </c>
      <c r="P282" s="747">
        <v>7170.7880753999998</v>
      </c>
      <c r="Q282" s="747">
        <v>2946467.8824300002</v>
      </c>
      <c r="R282" s="747">
        <v>450.03268709999998</v>
      </c>
      <c r="S282" s="747">
        <v>6812.24867163</v>
      </c>
      <c r="T282" s="747">
        <v>33241579.214714099</v>
      </c>
      <c r="U282" s="747">
        <v>76854.699553542203</v>
      </c>
      <c r="V282" s="747">
        <v>4749.8452443204696</v>
      </c>
      <c r="W282" s="747">
        <v>408.098454629309</v>
      </c>
      <c r="X282" s="748">
        <v>2540964.7289906498</v>
      </c>
      <c r="Y282" s="748">
        <v>2674699.7147269999</v>
      </c>
      <c r="Z282" s="748">
        <v>1837753.2179999999</v>
      </c>
      <c r="AA282" s="748">
        <v>2190207.3982969499</v>
      </c>
      <c r="AB282" s="748">
        <v>1805919.05565435</v>
      </c>
      <c r="AC282" s="748">
        <v>2204532.3057784601</v>
      </c>
      <c r="AD282" s="748">
        <v>2204532.3057784601</v>
      </c>
      <c r="AE282" s="748">
        <v>13308497.5837203</v>
      </c>
      <c r="AF282" s="747">
        <v>2376465.1684475499</v>
      </c>
      <c r="AG282" s="747">
        <v>164499.5605431</v>
      </c>
      <c r="AH282" s="747">
        <v>0</v>
      </c>
      <c r="AI282" s="747">
        <v>2698297.3428518199</v>
      </c>
      <c r="AJ282" s="747">
        <v>237742.47893890899</v>
      </c>
      <c r="AK282" s="747">
        <v>0</v>
      </c>
      <c r="AL282" s="747">
        <v>2698297.3428518199</v>
      </c>
      <c r="AM282" s="747">
        <v>237742.47893890899</v>
      </c>
      <c r="AN282" s="747">
        <v>0</v>
      </c>
      <c r="AO282" s="747">
        <v>390.79445494851399</v>
      </c>
      <c r="AP282" s="747">
        <v>36.173040446355301</v>
      </c>
      <c r="AQ282" s="748">
        <v>251005.73800000001</v>
      </c>
      <c r="AR282" s="748">
        <v>99913.303599999999</v>
      </c>
      <c r="AS282" s="748">
        <v>597837.39939999999</v>
      </c>
      <c r="AT282" s="748">
        <v>888996.777</v>
      </c>
      <c r="AU282" s="747">
        <v>11410854.7177597</v>
      </c>
      <c r="AV282" s="747">
        <v>91723.810306253305</v>
      </c>
      <c r="AW282" s="747">
        <v>0</v>
      </c>
      <c r="AX282" s="747">
        <v>0</v>
      </c>
      <c r="AY282" s="747">
        <v>0</v>
      </c>
      <c r="AZ282" s="749">
        <v>0.56000000000000005</v>
      </c>
      <c r="BA282" s="750">
        <f t="shared" si="53"/>
        <v>1011435.6095955705</v>
      </c>
      <c r="BB282" s="750">
        <f t="shared" si="54"/>
        <v>8130.217261213882</v>
      </c>
      <c r="BC282" s="751">
        <f t="shared" si="56"/>
        <v>2376465.1684475499</v>
      </c>
      <c r="BD282" s="751">
        <f t="shared" si="57"/>
        <v>164499.5605431</v>
      </c>
      <c r="BE282" s="751">
        <f t="shared" si="58"/>
        <v>12422169.388926137</v>
      </c>
      <c r="BF282" s="751">
        <f t="shared" si="59"/>
        <v>886328.19479416718</v>
      </c>
      <c r="BG282" s="752">
        <f t="shared" si="55"/>
        <v>11.28184000000001</v>
      </c>
      <c r="BH282" s="763">
        <f t="shared" si="49"/>
        <v>210645.17564932207</v>
      </c>
      <c r="BI282" s="763">
        <f t="shared" si="50"/>
        <v>14580.915927109396</v>
      </c>
      <c r="BJ282" s="763">
        <f t="shared" si="51"/>
        <v>1101076.5432700806</v>
      </c>
      <c r="BK282" s="763">
        <f t="shared" si="52"/>
        <v>78562.379434043251</v>
      </c>
    </row>
    <row r="283" spans="1:63">
      <c r="A283" s="669"/>
      <c r="B283" s="754">
        <v>2031</v>
      </c>
      <c r="C283" s="755" t="s">
        <v>13</v>
      </c>
      <c r="D283" s="755" t="s">
        <v>619</v>
      </c>
      <c r="E283" s="755" t="s">
        <v>620</v>
      </c>
      <c r="F283" s="755" t="s">
        <v>478</v>
      </c>
      <c r="G283" s="755" t="s">
        <v>27</v>
      </c>
      <c r="H283" s="755"/>
      <c r="I283" s="755" t="s">
        <v>46</v>
      </c>
      <c r="J283" s="755" t="s">
        <v>489</v>
      </c>
      <c r="K283" s="755"/>
      <c r="L283" s="755" t="s">
        <v>20</v>
      </c>
      <c r="M283" s="755" t="s">
        <v>412</v>
      </c>
      <c r="N283" s="756">
        <v>3723064.28165854</v>
      </c>
      <c r="O283" s="756">
        <v>544.06585343404697</v>
      </c>
      <c r="P283" s="756">
        <v>4512.1059205398597</v>
      </c>
      <c r="Q283" s="756">
        <v>3475537.8421181901</v>
      </c>
      <c r="R283" s="756">
        <v>507.89385279482599</v>
      </c>
      <c r="S283" s="756">
        <v>4212.1203632551296</v>
      </c>
      <c r="T283" s="756">
        <v>52133067.631772801</v>
      </c>
      <c r="U283" s="756">
        <v>63181.805448826999</v>
      </c>
      <c r="V283" s="756">
        <v>4344.5009504098698</v>
      </c>
      <c r="W283" s="756">
        <v>335.49538693327099</v>
      </c>
      <c r="X283" s="757">
        <v>2754503.7140586898</v>
      </c>
      <c r="Y283" s="757">
        <v>2950678.3863005298</v>
      </c>
      <c r="Z283" s="757">
        <v>2000155.3293999999</v>
      </c>
      <c r="AA283" s="757">
        <v>3289451.25021799</v>
      </c>
      <c r="AB283" s="757">
        <v>1971764.9251400901</v>
      </c>
      <c r="AC283" s="757">
        <v>3313557.9881165801</v>
      </c>
      <c r="AD283" s="757">
        <v>3313557.9881165801</v>
      </c>
      <c r="AE283" s="757">
        <v>18852687.391084801</v>
      </c>
      <c r="AF283" s="756">
        <v>2623168.1072033602</v>
      </c>
      <c r="AG283" s="756">
        <v>130787.220588956</v>
      </c>
      <c r="AH283" s="756">
        <v>0</v>
      </c>
      <c r="AI283" s="756">
        <v>3047915.4081664099</v>
      </c>
      <c r="AJ283" s="756">
        <v>195484.88273218999</v>
      </c>
      <c r="AK283" s="756">
        <v>940.38362639733498</v>
      </c>
      <c r="AL283" s="756">
        <v>3047915.4081664099</v>
      </c>
      <c r="AM283" s="756">
        <v>195484.88273218999</v>
      </c>
      <c r="AN283" s="756">
        <v>940.38362639733498</v>
      </c>
      <c r="AO283" s="756">
        <v>304.40850199034799</v>
      </c>
      <c r="AP283" s="756">
        <v>22.366359128884799</v>
      </c>
      <c r="AQ283" s="757">
        <v>185328.77340000001</v>
      </c>
      <c r="AR283" s="757">
        <v>111448.3036</v>
      </c>
      <c r="AS283" s="757">
        <v>903230.43550000002</v>
      </c>
      <c r="AT283" s="757">
        <v>800147.81689999998</v>
      </c>
      <c r="AU283" s="756">
        <v>16810063.176304702</v>
      </c>
      <c r="AV283" s="756">
        <v>70859.289640044197</v>
      </c>
      <c r="AW283" s="756">
        <v>0</v>
      </c>
      <c r="AX283" s="756">
        <v>0</v>
      </c>
      <c r="AY283" s="756">
        <v>810.54426846977503</v>
      </c>
      <c r="AZ283" s="758">
        <v>0.56000000000000005</v>
      </c>
      <c r="BA283" s="759">
        <f t="shared" si="53"/>
        <v>1120670.8784203143</v>
      </c>
      <c r="BB283" s="759">
        <f t="shared" si="54"/>
        <v>4723.9526426696175</v>
      </c>
      <c r="BC283" s="760">
        <f t="shared" si="56"/>
        <v>2623978.65147183</v>
      </c>
      <c r="BD283" s="760">
        <f t="shared" si="57"/>
        <v>130787.220588956</v>
      </c>
      <c r="BE283" s="760">
        <f t="shared" si="58"/>
        <v>17914251.534383152</v>
      </c>
      <c r="BF283" s="760">
        <f t="shared" si="59"/>
        <v>938435.85670168372</v>
      </c>
      <c r="BG283" s="761">
        <f t="shared" si="55"/>
        <v>14.999999999999988</v>
      </c>
      <c r="BH283" s="762">
        <f t="shared" si="49"/>
        <v>174931.91009812214</v>
      </c>
      <c r="BI283" s="762">
        <f t="shared" si="50"/>
        <v>8719.1480392637404</v>
      </c>
      <c r="BJ283" s="762">
        <f t="shared" si="51"/>
        <v>1194283.4356255445</v>
      </c>
      <c r="BK283" s="762">
        <f t="shared" si="52"/>
        <v>62562.390446778969</v>
      </c>
    </row>
    <row r="284" spans="1:63">
      <c r="A284" s="669"/>
      <c r="B284" s="745">
        <v>2031</v>
      </c>
      <c r="C284" s="746" t="s">
        <v>13</v>
      </c>
      <c r="D284" s="746" t="s">
        <v>621</v>
      </c>
      <c r="E284" s="746" t="s">
        <v>622</v>
      </c>
      <c r="F284" s="746" t="s">
        <v>478</v>
      </c>
      <c r="G284" s="746" t="s">
        <v>27</v>
      </c>
      <c r="H284" s="746"/>
      <c r="I284" s="746" t="s">
        <v>46</v>
      </c>
      <c r="J284" s="746" t="s">
        <v>489</v>
      </c>
      <c r="K284" s="746"/>
      <c r="L284" s="746" t="s">
        <v>20</v>
      </c>
      <c r="M284" s="746" t="s">
        <v>412</v>
      </c>
      <c r="N284" s="747">
        <v>3638593.0249848901</v>
      </c>
      <c r="O284" s="747">
        <v>442.47447470823801</v>
      </c>
      <c r="P284" s="747">
        <v>551021.77406209405</v>
      </c>
      <c r="Q284" s="747">
        <v>2135538.6396508701</v>
      </c>
      <c r="R284" s="747">
        <v>259.69415411677801</v>
      </c>
      <c r="S284" s="747">
        <v>332729.81458231597</v>
      </c>
      <c r="T284" s="747">
        <v>24479850.269409101</v>
      </c>
      <c r="U284" s="747">
        <v>3814108.4829422501</v>
      </c>
      <c r="V284" s="747">
        <v>4083.90740173523</v>
      </c>
      <c r="W284" s="747">
        <v>20252.9160444234</v>
      </c>
      <c r="X284" s="748">
        <v>10086549.29208</v>
      </c>
      <c r="Y284" s="748">
        <v>16796383.341273502</v>
      </c>
      <c r="Z284" s="748">
        <v>6183970.0920000002</v>
      </c>
      <c r="AA284" s="748">
        <v>6766977.4947890202</v>
      </c>
      <c r="AB284" s="748">
        <v>6125456.3646691497</v>
      </c>
      <c r="AC284" s="748">
        <v>6803116.4963033898</v>
      </c>
      <c r="AD284" s="748">
        <v>6803116.4963033898</v>
      </c>
      <c r="AE284" s="748">
        <v>18972044.507858399</v>
      </c>
      <c r="AF284" s="747">
        <v>1968453.04457386</v>
      </c>
      <c r="AG284" s="747">
        <v>8151782.3874775302</v>
      </c>
      <c r="AH284" s="747">
        <v>0</v>
      </c>
      <c r="AI284" s="747">
        <v>2242065.0259370902</v>
      </c>
      <c r="AJ284" s="747">
        <v>11799774.7305471</v>
      </c>
      <c r="AK284" s="747">
        <v>332.68195750050597</v>
      </c>
      <c r="AL284" s="747">
        <v>2242065.0259370902</v>
      </c>
      <c r="AM284" s="747">
        <v>11799774.7305471</v>
      </c>
      <c r="AN284" s="747">
        <v>332.68195750050597</v>
      </c>
      <c r="AO284" s="747">
        <v>328.24797974681502</v>
      </c>
      <c r="AP284" s="747">
        <v>1766.7953154321001</v>
      </c>
      <c r="AQ284" s="748">
        <v>416084.32189999998</v>
      </c>
      <c r="AR284" s="748">
        <v>94396.303599999999</v>
      </c>
      <c r="AS284" s="748">
        <v>3090575.5065000001</v>
      </c>
      <c r="AT284" s="748">
        <v>2582913.96</v>
      </c>
      <c r="AU284" s="747">
        <v>8332234.6826462196</v>
      </c>
      <c r="AV284" s="747">
        <v>4514353.4605429797</v>
      </c>
      <c r="AW284" s="747">
        <v>0</v>
      </c>
      <c r="AX284" s="747">
        <v>0</v>
      </c>
      <c r="AY284" s="747">
        <v>291.92170625144098</v>
      </c>
      <c r="AZ284" s="749">
        <v>0.56000000000000005</v>
      </c>
      <c r="BA284" s="750">
        <f t="shared" si="53"/>
        <v>726875.73345437937</v>
      </c>
      <c r="BB284" s="750">
        <f t="shared" si="54"/>
        <v>393816.79797602247</v>
      </c>
      <c r="BC284" s="751">
        <f t="shared" si="56"/>
        <v>1968744.9662801113</v>
      </c>
      <c r="BD284" s="751">
        <f t="shared" si="57"/>
        <v>8151782.3874775302</v>
      </c>
      <c r="BE284" s="751">
        <f t="shared" si="58"/>
        <v>11762490.246860944</v>
      </c>
      <c r="BF284" s="751">
        <f t="shared" si="59"/>
        <v>7209554.2609974053</v>
      </c>
      <c r="BG284" s="752">
        <f t="shared" si="55"/>
        <v>11.463079999999989</v>
      </c>
      <c r="BH284" s="763">
        <f t="shared" si="49"/>
        <v>171746.59570378234</v>
      </c>
      <c r="BI284" s="763">
        <f t="shared" si="50"/>
        <v>711133.69072514004</v>
      </c>
      <c r="BJ284" s="763">
        <f t="shared" si="51"/>
        <v>1026119.5286834738</v>
      </c>
      <c r="BK284" s="763">
        <f t="shared" si="52"/>
        <v>628936.92279888235</v>
      </c>
    </row>
    <row r="285" spans="1:63">
      <c r="A285" s="669"/>
      <c r="B285" s="754">
        <v>2031</v>
      </c>
      <c r="C285" s="755" t="s">
        <v>13</v>
      </c>
      <c r="D285" s="755" t="s">
        <v>623</v>
      </c>
      <c r="E285" s="755" t="s">
        <v>624</v>
      </c>
      <c r="F285" s="755" t="s">
        <v>478</v>
      </c>
      <c r="G285" s="755" t="s">
        <v>27</v>
      </c>
      <c r="H285" s="755"/>
      <c r="I285" s="755" t="s">
        <v>46</v>
      </c>
      <c r="J285" s="755" t="s">
        <v>489</v>
      </c>
      <c r="K285" s="755"/>
      <c r="L285" s="755" t="s">
        <v>20</v>
      </c>
      <c r="M285" s="755" t="s">
        <v>412</v>
      </c>
      <c r="N285" s="756">
        <v>3594978.1521000001</v>
      </c>
      <c r="O285" s="756">
        <v>335.95837632000001</v>
      </c>
      <c r="P285" s="756">
        <v>80821.671201000005</v>
      </c>
      <c r="Q285" s="756">
        <v>3415229.2444950002</v>
      </c>
      <c r="R285" s="756">
        <v>319.16045750400002</v>
      </c>
      <c r="S285" s="756">
        <v>76780.587640950005</v>
      </c>
      <c r="T285" s="756">
        <v>27145478.348232798</v>
      </c>
      <c r="U285" s="756">
        <v>610279.90514299704</v>
      </c>
      <c r="V285" s="756">
        <v>3932.73160328218</v>
      </c>
      <c r="W285" s="756">
        <v>3240.58629630931</v>
      </c>
      <c r="X285" s="757">
        <v>3441337.95609533</v>
      </c>
      <c r="Y285" s="757">
        <v>3622461.0064161299</v>
      </c>
      <c r="Z285" s="757">
        <v>1702501.9780999999</v>
      </c>
      <c r="AA285" s="757">
        <v>2346153.45454435</v>
      </c>
      <c r="AB285" s="757">
        <v>1670593.8326421799</v>
      </c>
      <c r="AC285" s="757">
        <v>2363862.2816050602</v>
      </c>
      <c r="AD285" s="757">
        <v>2363862.2816050602</v>
      </c>
      <c r="AE285" s="757">
        <v>12036495.8367911</v>
      </c>
      <c r="AF285" s="756">
        <v>2089471.0782876899</v>
      </c>
      <c r="AG285" s="756">
        <v>1351866.87780763</v>
      </c>
      <c r="AH285" s="756">
        <v>0</v>
      </c>
      <c r="AI285" s="756">
        <v>2292851.6397126401</v>
      </c>
      <c r="AJ285" s="756">
        <v>1896455.61740882</v>
      </c>
      <c r="AK285" s="756">
        <v>0</v>
      </c>
      <c r="AL285" s="756">
        <v>2292851.6397126401</v>
      </c>
      <c r="AM285" s="756">
        <v>1896455.61740882</v>
      </c>
      <c r="AN285" s="756">
        <v>0</v>
      </c>
      <c r="AO285" s="756">
        <v>452.96697754123898</v>
      </c>
      <c r="AP285" s="756">
        <v>407.704920373444</v>
      </c>
      <c r="AQ285" s="757">
        <v>233003.56690000001</v>
      </c>
      <c r="AR285" s="757">
        <v>92453.303599999999</v>
      </c>
      <c r="AS285" s="757">
        <v>485982.28759999998</v>
      </c>
      <c r="AT285" s="757">
        <v>891062.82</v>
      </c>
      <c r="AU285" s="756">
        <v>9614389.8352898508</v>
      </c>
      <c r="AV285" s="756">
        <v>751512.16885905201</v>
      </c>
      <c r="AW285" s="756">
        <v>0</v>
      </c>
      <c r="AX285" s="756">
        <v>0</v>
      </c>
      <c r="AY285" s="756">
        <v>0</v>
      </c>
      <c r="AZ285" s="758">
        <v>0.56000000000000005</v>
      </c>
      <c r="BA285" s="759">
        <f t="shared" si="53"/>
        <v>1209606.4365576005</v>
      </c>
      <c r="BB285" s="759">
        <f t="shared" si="54"/>
        <v>94549.313287322773</v>
      </c>
      <c r="BC285" s="760">
        <f t="shared" si="56"/>
        <v>2089471.0782876899</v>
      </c>
      <c r="BD285" s="760">
        <f t="shared" si="57"/>
        <v>1351866.87780763</v>
      </c>
      <c r="BE285" s="760">
        <f t="shared" si="58"/>
        <v>10549922.381569471</v>
      </c>
      <c r="BF285" s="760">
        <f t="shared" si="59"/>
        <v>1486573.4552216111</v>
      </c>
      <c r="BG285" s="761">
        <f t="shared" si="55"/>
        <v>7.9483620000000066</v>
      </c>
      <c r="BH285" s="762">
        <f t="shared" si="49"/>
        <v>262880.71407513751</v>
      </c>
      <c r="BI285" s="762">
        <f t="shared" si="50"/>
        <v>170081.19129546804</v>
      </c>
      <c r="BJ285" s="762">
        <f t="shared" si="51"/>
        <v>1327307.7373136077</v>
      </c>
      <c r="BK285" s="762">
        <f t="shared" si="52"/>
        <v>187028.90673847139</v>
      </c>
    </row>
    <row r="286" spans="1:63">
      <c r="A286" s="669"/>
      <c r="B286" s="745">
        <v>2031</v>
      </c>
      <c r="C286" s="746" t="s">
        <v>13</v>
      </c>
      <c r="D286" s="746" t="s">
        <v>625</v>
      </c>
      <c r="E286" s="746" t="s">
        <v>626</v>
      </c>
      <c r="F286" s="746" t="s">
        <v>478</v>
      </c>
      <c r="G286" s="746" t="s">
        <v>18</v>
      </c>
      <c r="H286" s="746"/>
      <c r="I286" s="746" t="s">
        <v>46</v>
      </c>
      <c r="J286" s="746" t="s">
        <v>17</v>
      </c>
      <c r="K286" s="746"/>
      <c r="L286" s="746" t="s">
        <v>29</v>
      </c>
      <c r="M286" s="746" t="s">
        <v>412</v>
      </c>
      <c r="N286" s="747">
        <v>0</v>
      </c>
      <c r="O286" s="747">
        <v>0</v>
      </c>
      <c r="P286" s="747">
        <v>0</v>
      </c>
      <c r="Q286" s="747">
        <v>0</v>
      </c>
      <c r="R286" s="747">
        <v>0</v>
      </c>
      <c r="S286" s="747">
        <v>0</v>
      </c>
      <c r="T286" s="747">
        <v>0</v>
      </c>
      <c r="U286" s="747">
        <v>0</v>
      </c>
      <c r="V286" s="747">
        <v>0</v>
      </c>
      <c r="W286" s="747">
        <v>0</v>
      </c>
      <c r="X286" s="748">
        <v>0</v>
      </c>
      <c r="Y286" s="748">
        <v>0</v>
      </c>
      <c r="Z286" s="748">
        <v>1076048.9668000001</v>
      </c>
      <c r="AA286" s="748">
        <v>1076048.9668000001</v>
      </c>
      <c r="AB286" s="748">
        <v>1076048.9668000001</v>
      </c>
      <c r="AC286" s="748">
        <v>1076048.9668000001</v>
      </c>
      <c r="AD286" s="748">
        <v>1076048.9668000001</v>
      </c>
      <c r="AE286" s="748">
        <v>1076048.9668000001</v>
      </c>
      <c r="AF286" s="747">
        <v>0</v>
      </c>
      <c r="AG286" s="747">
        <v>0</v>
      </c>
      <c r="AH286" s="747">
        <v>0</v>
      </c>
      <c r="AI286" s="747">
        <v>0</v>
      </c>
      <c r="AJ286" s="747">
        <v>0</v>
      </c>
      <c r="AK286" s="747">
        <v>0</v>
      </c>
      <c r="AL286" s="747">
        <v>0</v>
      </c>
      <c r="AM286" s="747">
        <v>0</v>
      </c>
      <c r="AN286" s="747">
        <v>0</v>
      </c>
      <c r="AO286" s="747">
        <v>0</v>
      </c>
      <c r="AP286" s="747">
        <v>0</v>
      </c>
      <c r="AQ286" s="748">
        <v>253623.71479999999</v>
      </c>
      <c r="AR286" s="748">
        <v>104537.51820000001</v>
      </c>
      <c r="AS286" s="748">
        <v>651887.73380000005</v>
      </c>
      <c r="AT286" s="748">
        <v>66000</v>
      </c>
      <c r="AU286" s="747">
        <v>0</v>
      </c>
      <c r="AV286" s="747">
        <v>0</v>
      </c>
      <c r="AW286" s="747">
        <v>0</v>
      </c>
      <c r="AX286" s="747">
        <v>0</v>
      </c>
      <c r="AY286" s="747">
        <v>0</v>
      </c>
      <c r="AZ286" s="749">
        <v>0.56000000000000005</v>
      </c>
      <c r="BA286" s="750" t="str">
        <f t="shared" si="53"/>
        <v/>
      </c>
      <c r="BB286" s="750" t="str">
        <f t="shared" si="54"/>
        <v/>
      </c>
      <c r="BC286" s="751">
        <f t="shared" si="56"/>
        <v>0</v>
      </c>
      <c r="BD286" s="751">
        <f t="shared" si="57"/>
        <v>0</v>
      </c>
      <c r="BE286" s="751">
        <f t="shared" si="58"/>
        <v>602587.42140800005</v>
      </c>
      <c r="BF286" s="751">
        <f t="shared" si="59"/>
        <v>473461.54539199994</v>
      </c>
      <c r="BG286" s="752">
        <f t="shared" si="55"/>
        <v>0</v>
      </c>
      <c r="BH286" s="763">
        <f t="shared" si="49"/>
        <v>0</v>
      </c>
      <c r="BI286" s="763">
        <f t="shared" si="50"/>
        <v>0</v>
      </c>
      <c r="BJ286" s="763">
        <f t="shared" si="51"/>
        <v>0</v>
      </c>
      <c r="BK286" s="763">
        <f t="shared" si="52"/>
        <v>0</v>
      </c>
    </row>
    <row r="287" spans="1:63">
      <c r="A287" s="669"/>
      <c r="B287" s="754">
        <v>2031</v>
      </c>
      <c r="C287" s="755" t="s">
        <v>13</v>
      </c>
      <c r="D287" s="755" t="s">
        <v>627</v>
      </c>
      <c r="E287" s="755" t="s">
        <v>628</v>
      </c>
      <c r="F287" s="755" t="s">
        <v>478</v>
      </c>
      <c r="G287" s="755" t="s">
        <v>54</v>
      </c>
      <c r="H287" s="755"/>
      <c r="I287" s="755" t="s">
        <v>46</v>
      </c>
      <c r="J287" s="755" t="s">
        <v>17</v>
      </c>
      <c r="K287" s="755"/>
      <c r="L287" s="755" t="s">
        <v>347</v>
      </c>
      <c r="M287" s="755" t="s">
        <v>412</v>
      </c>
      <c r="N287" s="756">
        <v>0</v>
      </c>
      <c r="O287" s="756">
        <v>0</v>
      </c>
      <c r="P287" s="756">
        <v>0</v>
      </c>
      <c r="Q287" s="756">
        <v>0</v>
      </c>
      <c r="R287" s="756">
        <v>0</v>
      </c>
      <c r="S287" s="756">
        <v>0</v>
      </c>
      <c r="T287" s="756">
        <v>0</v>
      </c>
      <c r="U287" s="756">
        <v>0</v>
      </c>
      <c r="V287" s="756">
        <v>0</v>
      </c>
      <c r="W287" s="756">
        <v>0</v>
      </c>
      <c r="X287" s="757">
        <v>0</v>
      </c>
      <c r="Y287" s="757">
        <v>0</v>
      </c>
      <c r="Z287" s="757">
        <v>163795.3651</v>
      </c>
      <c r="AA287" s="757">
        <v>163795.3651</v>
      </c>
      <c r="AB287" s="757">
        <v>163795.3651</v>
      </c>
      <c r="AC287" s="757">
        <v>163795.3651</v>
      </c>
      <c r="AD287" s="757">
        <v>163795.3651</v>
      </c>
      <c r="AE287" s="757">
        <v>163795.3651</v>
      </c>
      <c r="AF287" s="756">
        <v>0</v>
      </c>
      <c r="AG287" s="756">
        <v>0</v>
      </c>
      <c r="AH287" s="756">
        <v>0</v>
      </c>
      <c r="AI287" s="756">
        <v>0</v>
      </c>
      <c r="AJ287" s="756">
        <v>0</v>
      </c>
      <c r="AK287" s="756">
        <v>0</v>
      </c>
      <c r="AL287" s="756">
        <v>0</v>
      </c>
      <c r="AM287" s="756">
        <v>0</v>
      </c>
      <c r="AN287" s="756">
        <v>0</v>
      </c>
      <c r="AO287" s="756">
        <v>0</v>
      </c>
      <c r="AP287" s="756">
        <v>0</v>
      </c>
      <c r="AQ287" s="757">
        <v>163795.3651</v>
      </c>
      <c r="AR287" s="757">
        <v>0</v>
      </c>
      <c r="AS287" s="757">
        <v>0</v>
      </c>
      <c r="AT287" s="757">
        <v>0</v>
      </c>
      <c r="AU287" s="756">
        <v>0</v>
      </c>
      <c r="AV287" s="756">
        <v>0</v>
      </c>
      <c r="AW287" s="756">
        <v>0</v>
      </c>
      <c r="AX287" s="756">
        <v>0</v>
      </c>
      <c r="AY287" s="756">
        <v>0</v>
      </c>
      <c r="AZ287" s="758">
        <v>0.56000000000000005</v>
      </c>
      <c r="BA287" s="759" t="str">
        <f t="shared" si="53"/>
        <v/>
      </c>
      <c r="BB287" s="759" t="str">
        <f t="shared" si="54"/>
        <v/>
      </c>
      <c r="BC287" s="760">
        <f t="shared" si="56"/>
        <v>0</v>
      </c>
      <c r="BD287" s="760">
        <f t="shared" si="57"/>
        <v>0</v>
      </c>
      <c r="BE287" s="760">
        <f t="shared" si="58"/>
        <v>91725.404456000004</v>
      </c>
      <c r="BF287" s="760">
        <f t="shared" si="59"/>
        <v>72069.960643999992</v>
      </c>
      <c r="BG287" s="761">
        <f t="shared" si="55"/>
        <v>0</v>
      </c>
      <c r="BH287" s="762">
        <f t="shared" si="49"/>
        <v>0</v>
      </c>
      <c r="BI287" s="762">
        <f t="shared" si="50"/>
        <v>0</v>
      </c>
      <c r="BJ287" s="762">
        <f t="shared" si="51"/>
        <v>0</v>
      </c>
      <c r="BK287" s="762">
        <f t="shared" si="52"/>
        <v>0</v>
      </c>
    </row>
    <row r="288" spans="1:63">
      <c r="A288" s="669"/>
      <c r="B288" s="745">
        <v>2031</v>
      </c>
      <c r="C288" s="746" t="s">
        <v>13</v>
      </c>
      <c r="D288" s="746" t="s">
        <v>629</v>
      </c>
      <c r="E288" s="746" t="s">
        <v>630</v>
      </c>
      <c r="F288" s="746" t="s">
        <v>478</v>
      </c>
      <c r="G288" s="746" t="s">
        <v>54</v>
      </c>
      <c r="H288" s="746"/>
      <c r="I288" s="746" t="s">
        <v>46</v>
      </c>
      <c r="J288" s="746" t="s">
        <v>17</v>
      </c>
      <c r="K288" s="746"/>
      <c r="L288" s="746" t="s">
        <v>36</v>
      </c>
      <c r="M288" s="746" t="s">
        <v>412</v>
      </c>
      <c r="N288" s="747">
        <v>0</v>
      </c>
      <c r="O288" s="747">
        <v>0</v>
      </c>
      <c r="P288" s="747">
        <v>0</v>
      </c>
      <c r="Q288" s="747">
        <v>0</v>
      </c>
      <c r="R288" s="747">
        <v>0</v>
      </c>
      <c r="S288" s="747">
        <v>0</v>
      </c>
      <c r="T288" s="747">
        <v>0</v>
      </c>
      <c r="U288" s="747">
        <v>0</v>
      </c>
      <c r="V288" s="747">
        <v>0</v>
      </c>
      <c r="W288" s="747">
        <v>0</v>
      </c>
      <c r="X288" s="748">
        <v>0</v>
      </c>
      <c r="Y288" s="748">
        <v>0</v>
      </c>
      <c r="Z288" s="748">
        <v>9368.5105999999996</v>
      </c>
      <c r="AA288" s="748">
        <v>9368.5105999999996</v>
      </c>
      <c r="AB288" s="748">
        <v>9368.5105999999996</v>
      </c>
      <c r="AC288" s="748">
        <v>9368.5105999999996</v>
      </c>
      <c r="AD288" s="748">
        <v>9368.5105999999996</v>
      </c>
      <c r="AE288" s="748">
        <v>9368.5105999999996</v>
      </c>
      <c r="AF288" s="747">
        <v>0</v>
      </c>
      <c r="AG288" s="747">
        <v>0</v>
      </c>
      <c r="AH288" s="747">
        <v>0</v>
      </c>
      <c r="AI288" s="747">
        <v>0</v>
      </c>
      <c r="AJ288" s="747">
        <v>0</v>
      </c>
      <c r="AK288" s="747">
        <v>0</v>
      </c>
      <c r="AL288" s="747">
        <v>0</v>
      </c>
      <c r="AM288" s="747">
        <v>0</v>
      </c>
      <c r="AN288" s="747">
        <v>0</v>
      </c>
      <c r="AO288" s="747">
        <v>0</v>
      </c>
      <c r="AP288" s="747">
        <v>0</v>
      </c>
      <c r="AQ288" s="748">
        <v>9368.5105999999996</v>
      </c>
      <c r="AR288" s="748">
        <v>0</v>
      </c>
      <c r="AS288" s="748">
        <v>0</v>
      </c>
      <c r="AT288" s="748">
        <v>0</v>
      </c>
      <c r="AU288" s="747">
        <v>0</v>
      </c>
      <c r="AV288" s="747">
        <v>0</v>
      </c>
      <c r="AW288" s="747">
        <v>0</v>
      </c>
      <c r="AX288" s="747">
        <v>0</v>
      </c>
      <c r="AY288" s="747">
        <v>0</v>
      </c>
      <c r="AZ288" s="749">
        <v>0.56000000000000005</v>
      </c>
      <c r="BA288" s="750" t="str">
        <f t="shared" si="53"/>
        <v/>
      </c>
      <c r="BB288" s="750" t="str">
        <f t="shared" si="54"/>
        <v/>
      </c>
      <c r="BC288" s="751">
        <f t="shared" si="56"/>
        <v>0</v>
      </c>
      <c r="BD288" s="751">
        <f t="shared" si="57"/>
        <v>0</v>
      </c>
      <c r="BE288" s="751">
        <f t="shared" si="58"/>
        <v>5246.3659360000001</v>
      </c>
      <c r="BF288" s="751">
        <f t="shared" si="59"/>
        <v>4122.1446639999995</v>
      </c>
      <c r="BG288" s="752">
        <f t="shared" si="55"/>
        <v>0</v>
      </c>
      <c r="BH288" s="763">
        <f t="shared" si="49"/>
        <v>0</v>
      </c>
      <c r="BI288" s="763">
        <f t="shared" si="50"/>
        <v>0</v>
      </c>
      <c r="BJ288" s="763">
        <f t="shared" si="51"/>
        <v>0</v>
      </c>
      <c r="BK288" s="763">
        <f t="shared" si="52"/>
        <v>0</v>
      </c>
    </row>
    <row r="289" spans="1:63">
      <c r="A289" s="669"/>
      <c r="B289" s="754">
        <v>2031</v>
      </c>
      <c r="C289" s="755" t="s">
        <v>13</v>
      </c>
      <c r="D289" s="755" t="s">
        <v>631</v>
      </c>
      <c r="E289" s="755" t="s">
        <v>632</v>
      </c>
      <c r="F289" s="755" t="s">
        <v>478</v>
      </c>
      <c r="G289" s="755" t="s">
        <v>54</v>
      </c>
      <c r="H289" s="755"/>
      <c r="I289" s="755" t="s">
        <v>46</v>
      </c>
      <c r="J289" s="755" t="s">
        <v>17</v>
      </c>
      <c r="K289" s="755"/>
      <c r="L289" s="755" t="s">
        <v>29</v>
      </c>
      <c r="M289" s="755" t="s">
        <v>412</v>
      </c>
      <c r="N289" s="756">
        <v>0</v>
      </c>
      <c r="O289" s="756">
        <v>0</v>
      </c>
      <c r="P289" s="756">
        <v>0</v>
      </c>
      <c r="Q289" s="756">
        <v>0</v>
      </c>
      <c r="R289" s="756">
        <v>0</v>
      </c>
      <c r="S289" s="756">
        <v>0</v>
      </c>
      <c r="T289" s="756">
        <v>0</v>
      </c>
      <c r="U289" s="756">
        <v>0</v>
      </c>
      <c r="V289" s="756">
        <v>0</v>
      </c>
      <c r="W289" s="756">
        <v>0</v>
      </c>
      <c r="X289" s="757">
        <v>0</v>
      </c>
      <c r="Y289" s="757">
        <v>0</v>
      </c>
      <c r="Z289" s="757">
        <v>363396.40279999998</v>
      </c>
      <c r="AA289" s="757">
        <v>363396.40279999998</v>
      </c>
      <c r="AB289" s="757">
        <v>363396.40279999998</v>
      </c>
      <c r="AC289" s="757">
        <v>363396.40279999998</v>
      </c>
      <c r="AD289" s="757">
        <v>363396.40279999998</v>
      </c>
      <c r="AE289" s="757">
        <v>363396.40279999998</v>
      </c>
      <c r="AF289" s="756">
        <v>0</v>
      </c>
      <c r="AG289" s="756">
        <v>0</v>
      </c>
      <c r="AH289" s="756">
        <v>0</v>
      </c>
      <c r="AI289" s="756">
        <v>0</v>
      </c>
      <c r="AJ289" s="756">
        <v>0</v>
      </c>
      <c r="AK289" s="756">
        <v>0</v>
      </c>
      <c r="AL289" s="756">
        <v>0</v>
      </c>
      <c r="AM289" s="756">
        <v>0</v>
      </c>
      <c r="AN289" s="756">
        <v>0</v>
      </c>
      <c r="AO289" s="756">
        <v>0</v>
      </c>
      <c r="AP289" s="756">
        <v>0</v>
      </c>
      <c r="AQ289" s="757">
        <v>363396.40279999998</v>
      </c>
      <c r="AR289" s="757">
        <v>0</v>
      </c>
      <c r="AS289" s="757">
        <v>0</v>
      </c>
      <c r="AT289" s="757">
        <v>0</v>
      </c>
      <c r="AU289" s="756">
        <v>0</v>
      </c>
      <c r="AV289" s="756">
        <v>0</v>
      </c>
      <c r="AW289" s="756">
        <v>0</v>
      </c>
      <c r="AX289" s="756">
        <v>0</v>
      </c>
      <c r="AY289" s="756">
        <v>0</v>
      </c>
      <c r="AZ289" s="758">
        <v>0.56000000000000005</v>
      </c>
      <c r="BA289" s="759" t="str">
        <f t="shared" si="53"/>
        <v/>
      </c>
      <c r="BB289" s="759" t="str">
        <f t="shared" si="54"/>
        <v/>
      </c>
      <c r="BC289" s="760">
        <f t="shared" si="56"/>
        <v>0</v>
      </c>
      <c r="BD289" s="760">
        <f t="shared" si="57"/>
        <v>0</v>
      </c>
      <c r="BE289" s="760">
        <f t="shared" si="58"/>
        <v>203501.985568</v>
      </c>
      <c r="BF289" s="760">
        <f t="shared" si="59"/>
        <v>159894.41723199998</v>
      </c>
      <c r="BG289" s="761">
        <f t="shared" si="55"/>
        <v>0</v>
      </c>
      <c r="BH289" s="762">
        <f t="shared" si="49"/>
        <v>0</v>
      </c>
      <c r="BI289" s="762">
        <f t="shared" si="50"/>
        <v>0</v>
      </c>
      <c r="BJ289" s="762">
        <f t="shared" si="51"/>
        <v>0</v>
      </c>
      <c r="BK289" s="762">
        <f t="shared" si="52"/>
        <v>0</v>
      </c>
    </row>
    <row r="290" spans="1:63">
      <c r="A290" s="669"/>
      <c r="B290" s="745">
        <v>2031</v>
      </c>
      <c r="C290" s="746" t="s">
        <v>13</v>
      </c>
      <c r="D290" s="746" t="s">
        <v>633</v>
      </c>
      <c r="E290" s="746" t="s">
        <v>634</v>
      </c>
      <c r="F290" s="746" t="s">
        <v>478</v>
      </c>
      <c r="G290" s="746" t="s">
        <v>54</v>
      </c>
      <c r="H290" s="746"/>
      <c r="I290" s="746" t="s">
        <v>46</v>
      </c>
      <c r="J290" s="746" t="s">
        <v>17</v>
      </c>
      <c r="K290" s="746"/>
      <c r="L290" s="746" t="s">
        <v>20</v>
      </c>
      <c r="M290" s="746" t="s">
        <v>412</v>
      </c>
      <c r="N290" s="747">
        <v>0</v>
      </c>
      <c r="O290" s="747">
        <v>0</v>
      </c>
      <c r="P290" s="747">
        <v>0</v>
      </c>
      <c r="Q290" s="747">
        <v>0</v>
      </c>
      <c r="R290" s="747">
        <v>0</v>
      </c>
      <c r="S290" s="747">
        <v>0</v>
      </c>
      <c r="T290" s="747">
        <v>0</v>
      </c>
      <c r="U290" s="747">
        <v>0</v>
      </c>
      <c r="V290" s="747">
        <v>0</v>
      </c>
      <c r="W290" s="747">
        <v>0</v>
      </c>
      <c r="X290" s="748">
        <v>0</v>
      </c>
      <c r="Y290" s="748">
        <v>0</v>
      </c>
      <c r="Z290" s="748">
        <v>2261937.6878</v>
      </c>
      <c r="AA290" s="748">
        <v>2261937.6878</v>
      </c>
      <c r="AB290" s="748">
        <v>2261937.6878</v>
      </c>
      <c r="AC290" s="748">
        <v>2261937.6878</v>
      </c>
      <c r="AD290" s="748">
        <v>2261937.6878</v>
      </c>
      <c r="AE290" s="748">
        <v>2261937.6878</v>
      </c>
      <c r="AF290" s="747">
        <v>0</v>
      </c>
      <c r="AG290" s="747">
        <v>0</v>
      </c>
      <c r="AH290" s="747">
        <v>0</v>
      </c>
      <c r="AI290" s="747">
        <v>0</v>
      </c>
      <c r="AJ290" s="747">
        <v>0</v>
      </c>
      <c r="AK290" s="747">
        <v>0</v>
      </c>
      <c r="AL290" s="747">
        <v>0</v>
      </c>
      <c r="AM290" s="747">
        <v>0</v>
      </c>
      <c r="AN290" s="747">
        <v>0</v>
      </c>
      <c r="AO290" s="747">
        <v>0</v>
      </c>
      <c r="AP290" s="747">
        <v>0</v>
      </c>
      <c r="AQ290" s="748">
        <v>2261937.6878</v>
      </c>
      <c r="AR290" s="748">
        <v>0</v>
      </c>
      <c r="AS290" s="748">
        <v>0</v>
      </c>
      <c r="AT290" s="748">
        <v>0</v>
      </c>
      <c r="AU290" s="747">
        <v>0</v>
      </c>
      <c r="AV290" s="747">
        <v>0</v>
      </c>
      <c r="AW290" s="747">
        <v>0</v>
      </c>
      <c r="AX290" s="747">
        <v>0</v>
      </c>
      <c r="AY290" s="747">
        <v>0</v>
      </c>
      <c r="AZ290" s="749">
        <v>0.56000000000000005</v>
      </c>
      <c r="BA290" s="750" t="str">
        <f t="shared" si="53"/>
        <v/>
      </c>
      <c r="BB290" s="750" t="str">
        <f t="shared" si="54"/>
        <v/>
      </c>
      <c r="BC290" s="751">
        <f t="shared" si="56"/>
        <v>0</v>
      </c>
      <c r="BD290" s="751">
        <f t="shared" si="57"/>
        <v>0</v>
      </c>
      <c r="BE290" s="751">
        <f t="shared" si="58"/>
        <v>1266685.1051680001</v>
      </c>
      <c r="BF290" s="751">
        <f t="shared" si="59"/>
        <v>995252.58263199986</v>
      </c>
      <c r="BG290" s="752">
        <f t="shared" si="55"/>
        <v>0</v>
      </c>
      <c r="BH290" s="763">
        <f t="shared" si="49"/>
        <v>0</v>
      </c>
      <c r="BI290" s="763">
        <f t="shared" si="50"/>
        <v>0</v>
      </c>
      <c r="BJ290" s="763">
        <f t="shared" si="51"/>
        <v>0</v>
      </c>
      <c r="BK290" s="763">
        <f t="shared" si="52"/>
        <v>0</v>
      </c>
    </row>
    <row r="291" spans="1:63">
      <c r="A291" s="669"/>
      <c r="B291" s="754">
        <v>2031</v>
      </c>
      <c r="C291" s="755" t="s">
        <v>13</v>
      </c>
      <c r="D291" s="755" t="s">
        <v>635</v>
      </c>
      <c r="E291" s="755" t="s">
        <v>636</v>
      </c>
      <c r="F291" s="755" t="s">
        <v>478</v>
      </c>
      <c r="G291" s="755" t="s">
        <v>18</v>
      </c>
      <c r="H291" s="755" t="s">
        <v>637</v>
      </c>
      <c r="I291" s="755" t="s">
        <v>40</v>
      </c>
      <c r="J291" s="755" t="s">
        <v>33</v>
      </c>
      <c r="K291" s="755"/>
      <c r="L291" s="755" t="s">
        <v>29</v>
      </c>
      <c r="M291" s="755" t="s">
        <v>638</v>
      </c>
      <c r="N291" s="756">
        <v>0</v>
      </c>
      <c r="O291" s="756">
        <v>0</v>
      </c>
      <c r="P291" s="756">
        <v>0</v>
      </c>
      <c r="Q291" s="756">
        <v>0</v>
      </c>
      <c r="R291" s="756">
        <v>0</v>
      </c>
      <c r="S291" s="756">
        <v>0</v>
      </c>
      <c r="T291" s="756">
        <v>0</v>
      </c>
      <c r="U291" s="756">
        <v>0</v>
      </c>
      <c r="V291" s="756">
        <v>0</v>
      </c>
      <c r="W291" s="756">
        <v>0</v>
      </c>
      <c r="X291" s="757">
        <v>0</v>
      </c>
      <c r="Y291" s="757">
        <v>0</v>
      </c>
      <c r="Z291" s="757">
        <v>648377.25120000006</v>
      </c>
      <c r="AA291" s="757">
        <v>648377.25119999901</v>
      </c>
      <c r="AB291" s="757">
        <v>648377.25119999901</v>
      </c>
      <c r="AC291" s="757">
        <v>648377.25119999901</v>
      </c>
      <c r="AD291" s="757">
        <v>648377.25119999901</v>
      </c>
      <c r="AE291" s="757">
        <v>648377.25119999901</v>
      </c>
      <c r="AF291" s="756">
        <v>0</v>
      </c>
      <c r="AG291" s="756">
        <v>0</v>
      </c>
      <c r="AH291" s="756">
        <v>0</v>
      </c>
      <c r="AI291" s="756">
        <v>0</v>
      </c>
      <c r="AJ291" s="756">
        <v>0</v>
      </c>
      <c r="AK291" s="756">
        <v>0</v>
      </c>
      <c r="AL291" s="756">
        <v>0</v>
      </c>
      <c r="AM291" s="756">
        <v>0</v>
      </c>
      <c r="AN291" s="756">
        <v>0</v>
      </c>
      <c r="AO291" s="756">
        <v>0</v>
      </c>
      <c r="AP291" s="756">
        <v>0</v>
      </c>
      <c r="AQ291" s="757">
        <v>16754.284800000001</v>
      </c>
      <c r="AR291" s="757">
        <v>34720</v>
      </c>
      <c r="AS291" s="757">
        <v>138102.9664</v>
      </c>
      <c r="AT291" s="757">
        <v>458800</v>
      </c>
      <c r="AU291" s="756">
        <v>0</v>
      </c>
      <c r="AV291" s="756">
        <v>0</v>
      </c>
      <c r="AW291" s="756">
        <v>0</v>
      </c>
      <c r="AX291" s="756">
        <v>0</v>
      </c>
      <c r="AY291" s="756">
        <v>0</v>
      </c>
      <c r="AZ291" s="758">
        <v>0.56000000000000005</v>
      </c>
      <c r="BA291" s="759" t="str">
        <f t="shared" si="53"/>
        <v/>
      </c>
      <c r="BB291" s="759" t="str">
        <f t="shared" si="54"/>
        <v/>
      </c>
      <c r="BC291" s="760">
        <f t="shared" si="56"/>
        <v>0</v>
      </c>
      <c r="BD291" s="760">
        <f t="shared" si="57"/>
        <v>0</v>
      </c>
      <c r="BE291" s="760">
        <f t="shared" si="58"/>
        <v>363091.26067199948</v>
      </c>
      <c r="BF291" s="760">
        <f t="shared" si="59"/>
        <v>285285.99052799953</v>
      </c>
      <c r="BG291" s="761">
        <f t="shared" si="55"/>
        <v>0</v>
      </c>
      <c r="BH291" s="762">
        <f t="shared" si="49"/>
        <v>0</v>
      </c>
      <c r="BI291" s="762">
        <f t="shared" si="50"/>
        <v>0</v>
      </c>
      <c r="BJ291" s="762">
        <f t="shared" si="51"/>
        <v>0</v>
      </c>
      <c r="BK291" s="762">
        <f t="shared" si="52"/>
        <v>0</v>
      </c>
    </row>
    <row r="292" spans="1:63">
      <c r="A292" s="669"/>
      <c r="B292" s="745">
        <v>2031</v>
      </c>
      <c r="C292" s="746" t="s">
        <v>13</v>
      </c>
      <c r="D292" s="746" t="s">
        <v>639</v>
      </c>
      <c r="E292" s="746" t="s">
        <v>640</v>
      </c>
      <c r="F292" s="746" t="s">
        <v>478</v>
      </c>
      <c r="G292" s="746" t="s">
        <v>18</v>
      </c>
      <c r="H292" s="746" t="s">
        <v>637</v>
      </c>
      <c r="I292" s="746" t="s">
        <v>40</v>
      </c>
      <c r="J292" s="746" t="s">
        <v>17</v>
      </c>
      <c r="K292" s="746"/>
      <c r="L292" s="746" t="s">
        <v>29</v>
      </c>
      <c r="M292" s="746" t="s">
        <v>638</v>
      </c>
      <c r="N292" s="747">
        <v>0</v>
      </c>
      <c r="O292" s="747">
        <v>0</v>
      </c>
      <c r="P292" s="747">
        <v>0</v>
      </c>
      <c r="Q292" s="747">
        <v>0</v>
      </c>
      <c r="R292" s="747">
        <v>0</v>
      </c>
      <c r="S292" s="747">
        <v>0</v>
      </c>
      <c r="T292" s="747">
        <v>0</v>
      </c>
      <c r="U292" s="747">
        <v>0</v>
      </c>
      <c r="V292" s="747">
        <v>0</v>
      </c>
      <c r="W292" s="747">
        <v>0</v>
      </c>
      <c r="X292" s="748">
        <v>0</v>
      </c>
      <c r="Y292" s="748">
        <v>0</v>
      </c>
      <c r="Z292" s="748">
        <v>5889.1121000000003</v>
      </c>
      <c r="AA292" s="748">
        <v>5889.1121000000003</v>
      </c>
      <c r="AB292" s="748">
        <v>5889.1121000000003</v>
      </c>
      <c r="AC292" s="748">
        <v>5889.1121000000003</v>
      </c>
      <c r="AD292" s="748">
        <v>5889.1121000000003</v>
      </c>
      <c r="AE292" s="748">
        <v>5889.1121000000003</v>
      </c>
      <c r="AF292" s="747">
        <v>0</v>
      </c>
      <c r="AG292" s="747">
        <v>0</v>
      </c>
      <c r="AH292" s="747">
        <v>0</v>
      </c>
      <c r="AI292" s="747">
        <v>0</v>
      </c>
      <c r="AJ292" s="747">
        <v>0</v>
      </c>
      <c r="AK292" s="747">
        <v>0</v>
      </c>
      <c r="AL292" s="747">
        <v>0</v>
      </c>
      <c r="AM292" s="747">
        <v>0</v>
      </c>
      <c r="AN292" s="747">
        <v>0</v>
      </c>
      <c r="AO292" s="747">
        <v>0</v>
      </c>
      <c r="AP292" s="747">
        <v>0</v>
      </c>
      <c r="AQ292" s="748">
        <v>5889.1121000000003</v>
      </c>
      <c r="AR292" s="748">
        <v>0</v>
      </c>
      <c r="AS292" s="748">
        <v>0</v>
      </c>
      <c r="AT292" s="748">
        <v>0</v>
      </c>
      <c r="AU292" s="747">
        <v>0</v>
      </c>
      <c r="AV292" s="747">
        <v>0</v>
      </c>
      <c r="AW292" s="747">
        <v>0</v>
      </c>
      <c r="AX292" s="747">
        <v>0</v>
      </c>
      <c r="AY292" s="747">
        <v>0</v>
      </c>
      <c r="AZ292" s="749">
        <v>0.56000000000000005</v>
      </c>
      <c r="BA292" s="750" t="str">
        <f t="shared" si="53"/>
        <v/>
      </c>
      <c r="BB292" s="750" t="str">
        <f t="shared" si="54"/>
        <v/>
      </c>
      <c r="BC292" s="751">
        <f t="shared" si="56"/>
        <v>0</v>
      </c>
      <c r="BD292" s="751">
        <f t="shared" si="57"/>
        <v>0</v>
      </c>
      <c r="BE292" s="751">
        <f t="shared" si="58"/>
        <v>3297.9027760000004</v>
      </c>
      <c r="BF292" s="751">
        <f t="shared" si="59"/>
        <v>2591.2093239999999</v>
      </c>
      <c r="BG292" s="752">
        <f t="shared" si="55"/>
        <v>0</v>
      </c>
      <c r="BH292" s="763">
        <f t="shared" si="49"/>
        <v>0</v>
      </c>
      <c r="BI292" s="763">
        <f t="shared" si="50"/>
        <v>0</v>
      </c>
      <c r="BJ292" s="763">
        <f t="shared" si="51"/>
        <v>0</v>
      </c>
      <c r="BK292" s="763">
        <f t="shared" si="52"/>
        <v>0</v>
      </c>
    </row>
    <row r="293" spans="1:63">
      <c r="A293" s="669"/>
      <c r="B293" s="754">
        <v>2031</v>
      </c>
      <c r="C293" s="755" t="s">
        <v>13</v>
      </c>
      <c r="D293" s="755" t="s">
        <v>641</v>
      </c>
      <c r="E293" s="755" t="s">
        <v>642</v>
      </c>
      <c r="F293" s="755" t="s">
        <v>478</v>
      </c>
      <c r="G293" s="755" t="s">
        <v>18</v>
      </c>
      <c r="H293" s="755"/>
      <c r="I293" s="755" t="s">
        <v>46</v>
      </c>
      <c r="J293" s="755" t="s">
        <v>489</v>
      </c>
      <c r="K293" s="755"/>
      <c r="L293" s="755" t="s">
        <v>20</v>
      </c>
      <c r="M293" s="755" t="s">
        <v>412</v>
      </c>
      <c r="N293" s="756">
        <v>49803.930269999997</v>
      </c>
      <c r="O293" s="756">
        <v>22.674026699999999</v>
      </c>
      <c r="P293" s="756">
        <v>11586.74012</v>
      </c>
      <c r="Q293" s="756">
        <v>47592.745334658597</v>
      </c>
      <c r="R293" s="756">
        <v>21.667349797378701</v>
      </c>
      <c r="S293" s="756">
        <v>11072.314349500301</v>
      </c>
      <c r="T293" s="756">
        <v>680119.36793040496</v>
      </c>
      <c r="U293" s="756">
        <v>158227.80098009901</v>
      </c>
      <c r="V293" s="756">
        <v>189.11725741321001</v>
      </c>
      <c r="W293" s="756">
        <v>840.18962320432297</v>
      </c>
      <c r="X293" s="757">
        <v>348057.846469677</v>
      </c>
      <c r="Y293" s="757">
        <v>364228.804066877</v>
      </c>
      <c r="Z293" s="757">
        <v>327329.11190000002</v>
      </c>
      <c r="AA293" s="757">
        <v>440961.46159217699</v>
      </c>
      <c r="AB293" s="757">
        <v>377527.93422194902</v>
      </c>
      <c r="AC293" s="757">
        <v>443665.96279571601</v>
      </c>
      <c r="AD293" s="757">
        <v>443665.96279571601</v>
      </c>
      <c r="AE293" s="757">
        <v>776477.07764831604</v>
      </c>
      <c r="AF293" s="756">
        <v>75228.139170565206</v>
      </c>
      <c r="AG293" s="756">
        <v>329377.39827940002</v>
      </c>
      <c r="AH293" s="756">
        <v>0</v>
      </c>
      <c r="AI293" s="756">
        <v>88384.504293185804</v>
      </c>
      <c r="AJ293" s="756">
        <v>489144.47124698502</v>
      </c>
      <c r="AK293" s="756">
        <v>0</v>
      </c>
      <c r="AL293" s="756">
        <v>88384.504293185804</v>
      </c>
      <c r="AM293" s="756">
        <v>489144.47124698502</v>
      </c>
      <c r="AN293" s="756">
        <v>0</v>
      </c>
      <c r="AO293" s="756">
        <v>12.2634273391864</v>
      </c>
      <c r="AP293" s="756">
        <v>58.7939891958464</v>
      </c>
      <c r="AQ293" s="757">
        <v>46058.222500000003</v>
      </c>
      <c r="AR293" s="757">
        <v>17737.303599999999</v>
      </c>
      <c r="AS293" s="757">
        <v>86235.885500000004</v>
      </c>
      <c r="AT293" s="757">
        <v>177297.7003</v>
      </c>
      <c r="AU293" s="756">
        <v>220210.22201282901</v>
      </c>
      <c r="AV293" s="756">
        <v>178738.92141353799</v>
      </c>
      <c r="AW293" s="756">
        <v>0</v>
      </c>
      <c r="AX293" s="756">
        <v>0</v>
      </c>
      <c r="AY293" s="756">
        <v>0</v>
      </c>
      <c r="AZ293" s="758">
        <v>0.56000000000000005</v>
      </c>
      <c r="BA293" s="759">
        <f t="shared" si="53"/>
        <v>15409.661172033611</v>
      </c>
      <c r="BB293" s="759">
        <f t="shared" si="54"/>
        <v>12507.621998932016</v>
      </c>
      <c r="BC293" s="760">
        <f t="shared" si="56"/>
        <v>75228.139170565206</v>
      </c>
      <c r="BD293" s="760">
        <f t="shared" si="57"/>
        <v>329377.39827940002</v>
      </c>
      <c r="BE293" s="760">
        <f t="shared" si="58"/>
        <v>431625.86517712049</v>
      </c>
      <c r="BF293" s="760">
        <f t="shared" si="59"/>
        <v>344851.2124711955</v>
      </c>
      <c r="BG293" s="761">
        <f t="shared" si="55"/>
        <v>14.290399999999993</v>
      </c>
      <c r="BH293" s="762">
        <f t="shared" si="49"/>
        <v>5264.2430702125375</v>
      </c>
      <c r="BI293" s="762">
        <f t="shared" si="50"/>
        <v>23048.857854181842</v>
      </c>
      <c r="BJ293" s="762">
        <f t="shared" si="51"/>
        <v>30203.903681990756</v>
      </c>
      <c r="BK293" s="762">
        <f t="shared" si="52"/>
        <v>24131.66968532691</v>
      </c>
    </row>
    <row r="294" spans="1:63">
      <c r="A294" s="669"/>
      <c r="B294" s="745">
        <v>2031</v>
      </c>
      <c r="C294" s="746" t="s">
        <v>13</v>
      </c>
      <c r="D294" s="746" t="s">
        <v>643</v>
      </c>
      <c r="E294" s="746" t="s">
        <v>644</v>
      </c>
      <c r="F294" s="746" t="s">
        <v>478</v>
      </c>
      <c r="G294" s="746" t="s">
        <v>27</v>
      </c>
      <c r="H294" s="746"/>
      <c r="I294" s="746" t="s">
        <v>46</v>
      </c>
      <c r="J294" s="746" t="s">
        <v>489</v>
      </c>
      <c r="K294" s="746"/>
      <c r="L294" s="746" t="s">
        <v>20</v>
      </c>
      <c r="M294" s="746" t="s">
        <v>412</v>
      </c>
      <c r="N294" s="747">
        <v>3164955.9704999998</v>
      </c>
      <c r="O294" s="747">
        <v>472.45469400000002</v>
      </c>
      <c r="P294" s="747">
        <v>0</v>
      </c>
      <c r="Q294" s="747">
        <v>3006708.1719749998</v>
      </c>
      <c r="R294" s="747">
        <v>448.83195929999999</v>
      </c>
      <c r="S294" s="747">
        <v>0</v>
      </c>
      <c r="T294" s="747">
        <v>39841348.779369801</v>
      </c>
      <c r="U294" s="747">
        <v>0</v>
      </c>
      <c r="V294" s="747">
        <v>5533.8783258739504</v>
      </c>
      <c r="W294" s="747">
        <v>0</v>
      </c>
      <c r="X294" s="748">
        <v>2692047.57244875</v>
      </c>
      <c r="Y294" s="748">
        <v>2833734.28678816</v>
      </c>
      <c r="Z294" s="748">
        <v>2073522.8702</v>
      </c>
      <c r="AA294" s="748">
        <v>2130118.50971585</v>
      </c>
      <c r="AB294" s="748">
        <v>2032195.28158539</v>
      </c>
      <c r="AC294" s="748">
        <v>2144088.6401995602</v>
      </c>
      <c r="AD294" s="748">
        <v>2144088.6401995602</v>
      </c>
      <c r="AE294" s="748">
        <v>15235694.6247578</v>
      </c>
      <c r="AF294" s="747">
        <v>2692047.57244875</v>
      </c>
      <c r="AG294" s="747">
        <v>0</v>
      </c>
      <c r="AH294" s="747">
        <v>0</v>
      </c>
      <c r="AI294" s="747">
        <v>3110205.6183468499</v>
      </c>
      <c r="AJ294" s="747">
        <v>0</v>
      </c>
      <c r="AK294" s="747">
        <v>0</v>
      </c>
      <c r="AL294" s="747">
        <v>3110205.6183468499</v>
      </c>
      <c r="AM294" s="747">
        <v>0</v>
      </c>
      <c r="AN294" s="747">
        <v>0</v>
      </c>
      <c r="AO294" s="747">
        <v>398.784214911302</v>
      </c>
      <c r="AP294" s="747">
        <v>0</v>
      </c>
      <c r="AQ294" s="748">
        <v>278892.6495</v>
      </c>
      <c r="AR294" s="748">
        <v>109053.3036</v>
      </c>
      <c r="AS294" s="748">
        <v>531467.92310000001</v>
      </c>
      <c r="AT294" s="748">
        <v>1154108.9939999999</v>
      </c>
      <c r="AU294" s="747">
        <v>13203499.343172399</v>
      </c>
      <c r="AV294" s="747">
        <v>0</v>
      </c>
      <c r="AW294" s="747">
        <v>0</v>
      </c>
      <c r="AX294" s="747">
        <v>0</v>
      </c>
      <c r="AY294" s="747">
        <v>0</v>
      </c>
      <c r="AZ294" s="749">
        <v>0.56000000000000005</v>
      </c>
      <c r="BA294" s="750">
        <f t="shared" si="53"/>
        <v>996428.85068036453</v>
      </c>
      <c r="BB294" s="750">
        <f t="shared" si="54"/>
        <v>0</v>
      </c>
      <c r="BC294" s="751">
        <f t="shared" si="56"/>
        <v>2692047.57244875</v>
      </c>
      <c r="BD294" s="751">
        <f t="shared" si="57"/>
        <v>0</v>
      </c>
      <c r="BE294" s="751">
        <f t="shared" si="58"/>
        <v>14341528.700860217</v>
      </c>
      <c r="BF294" s="751">
        <f t="shared" si="59"/>
        <v>894165.92389757151</v>
      </c>
      <c r="BG294" s="752">
        <f t="shared" si="55"/>
        <v>13.250820000000012</v>
      </c>
      <c r="BH294" s="763">
        <f t="shared" si="49"/>
        <v>203160.82872220344</v>
      </c>
      <c r="BI294" s="763">
        <f t="shared" si="50"/>
        <v>0</v>
      </c>
      <c r="BJ294" s="763">
        <f t="shared" si="51"/>
        <v>1082312.5437414593</v>
      </c>
      <c r="BK294" s="763">
        <f t="shared" si="52"/>
        <v>67480.044548003119</v>
      </c>
    </row>
    <row r="295" spans="1:63">
      <c r="A295" s="669"/>
      <c r="B295" s="754">
        <v>2031</v>
      </c>
      <c r="C295" s="755" t="s">
        <v>13</v>
      </c>
      <c r="D295" s="755" t="s">
        <v>645</v>
      </c>
      <c r="E295" s="755" t="s">
        <v>646</v>
      </c>
      <c r="F295" s="755" t="s">
        <v>647</v>
      </c>
      <c r="G295" s="755" t="s">
        <v>27</v>
      </c>
      <c r="H295" s="755" t="s">
        <v>648</v>
      </c>
      <c r="I295" s="755" t="s">
        <v>40</v>
      </c>
      <c r="J295" s="755" t="s">
        <v>489</v>
      </c>
      <c r="K295" s="755"/>
      <c r="L295" s="755" t="s">
        <v>20</v>
      </c>
      <c r="M295" s="755" t="s">
        <v>638</v>
      </c>
      <c r="N295" s="756">
        <v>-68326.075999999957</v>
      </c>
      <c r="O295" s="756">
        <v>11.686264589999997</v>
      </c>
      <c r="P295" s="756">
        <v>22991.378601099979</v>
      </c>
      <c r="Q295" s="756">
        <v>-87130.90749999987</v>
      </c>
      <c r="R295" s="756">
        <v>5.8431322949999984</v>
      </c>
      <c r="S295" s="756">
        <v>22991.38107265997</v>
      </c>
      <c r="T295" s="756">
        <v>-1836642.3074999985</v>
      </c>
      <c r="U295" s="756">
        <v>459827.63998989965</v>
      </c>
      <c r="V295" s="756">
        <v>-243.53520254216951</v>
      </c>
      <c r="W295" s="756">
        <v>2441.6847683463643</v>
      </c>
      <c r="X295" s="757">
        <v>753483.78345980309</v>
      </c>
      <c r="Y295" s="757">
        <v>776804.987625379</v>
      </c>
      <c r="Z295" s="757">
        <v>711383.22950000002</v>
      </c>
      <c r="AA295" s="757">
        <v>797077.67544283823</v>
      </c>
      <c r="AB295" s="757">
        <v>864694.30262109556</v>
      </c>
      <c r="AC295" s="757">
        <v>841353.70481544838</v>
      </c>
      <c r="AD295" s="757">
        <v>841353.70481544838</v>
      </c>
      <c r="AE295" s="757">
        <v>1488912.0966357836</v>
      </c>
      <c r="AF295" s="756">
        <v>35782.899880473524</v>
      </c>
      <c r="AG295" s="756">
        <v>881635.03964748618</v>
      </c>
      <c r="AH295" s="756">
        <v>0</v>
      </c>
      <c r="AI295" s="756">
        <v>43992.675724954213</v>
      </c>
      <c r="AJ295" s="756">
        <v>1427274.3125698562</v>
      </c>
      <c r="AK295" s="756">
        <v>0</v>
      </c>
      <c r="AL295" s="756">
        <v>43992.675724954213</v>
      </c>
      <c r="AM295" s="756">
        <v>1427274.3125698562</v>
      </c>
      <c r="AN295" s="756">
        <v>0</v>
      </c>
      <c r="AO295" s="756">
        <v>-11.461510285669055</v>
      </c>
      <c r="AP295" s="756">
        <v>122.08423349582449</v>
      </c>
      <c r="AQ295" s="757">
        <v>85365.986699999994</v>
      </c>
      <c r="AR295" s="757">
        <v>56910.6584</v>
      </c>
      <c r="AS295" s="757">
        <v>377030.5184</v>
      </c>
      <c r="AT295" s="757">
        <v>192076.06599999999</v>
      </c>
      <c r="AU295" s="756">
        <v>119058.29634144872</v>
      </c>
      <c r="AV295" s="756">
        <v>505159.49767323904</v>
      </c>
      <c r="AW295" s="756">
        <v>655342.92041468155</v>
      </c>
      <c r="AX295" s="756">
        <v>0</v>
      </c>
      <c r="AY295" s="756">
        <v>0</v>
      </c>
      <c r="AZ295" s="758">
        <v>0.56000000000000005</v>
      </c>
      <c r="BA295" s="759">
        <f t="shared" si="53"/>
        <v>-27030.894376579789</v>
      </c>
      <c r="BB295" s="759">
        <f t="shared" si="54"/>
        <v>25462.063262635642</v>
      </c>
      <c r="BC295" s="760">
        <f t="shared" si="56"/>
        <v>691125.82029515505</v>
      </c>
      <c r="BD295" s="760">
        <f t="shared" si="57"/>
        <v>881635.03964748618</v>
      </c>
      <c r="BE295" s="760">
        <f t="shared" si="58"/>
        <v>603287.10580926226</v>
      </c>
      <c r="BF295" s="760">
        <f t="shared" si="59"/>
        <v>885624.99082652107</v>
      </c>
      <c r="BG295" s="761">
        <f t="shared" si="55"/>
        <v>19.839692190794938</v>
      </c>
      <c r="BH295" s="762">
        <f t="shared" si="49"/>
        <v>34835.511239222658</v>
      </c>
      <c r="BI295" s="762">
        <f t="shared" si="50"/>
        <v>44437.939418059126</v>
      </c>
      <c r="BJ295" s="762">
        <f t="shared" si="51"/>
        <v>30408.087988843425</v>
      </c>
      <c r="BK295" s="762">
        <f t="shared" si="52"/>
        <v>44639.048948422009</v>
      </c>
    </row>
    <row r="296" spans="1:63">
      <c r="A296" s="669"/>
      <c r="B296" s="745">
        <v>2031</v>
      </c>
      <c r="C296" s="746" t="s">
        <v>13</v>
      </c>
      <c r="D296" s="746" t="s">
        <v>649</v>
      </c>
      <c r="E296" s="746" t="s">
        <v>650</v>
      </c>
      <c r="F296" s="746" t="s">
        <v>647</v>
      </c>
      <c r="G296" s="746" t="s">
        <v>27</v>
      </c>
      <c r="H296" s="746" t="s">
        <v>648</v>
      </c>
      <c r="I296" s="746" t="s">
        <v>40</v>
      </c>
      <c r="J296" s="746" t="s">
        <v>17</v>
      </c>
      <c r="K296" s="746"/>
      <c r="L296" s="746" t="s">
        <v>20</v>
      </c>
      <c r="M296" s="746" t="s">
        <v>638</v>
      </c>
      <c r="N296" s="747">
        <v>0</v>
      </c>
      <c r="O296" s="747">
        <v>0</v>
      </c>
      <c r="P296" s="747">
        <v>0</v>
      </c>
      <c r="Q296" s="747">
        <v>0</v>
      </c>
      <c r="R296" s="747">
        <v>0</v>
      </c>
      <c r="S296" s="747">
        <v>0</v>
      </c>
      <c r="T296" s="747">
        <v>0</v>
      </c>
      <c r="U296" s="747">
        <v>0</v>
      </c>
      <c r="V296" s="747">
        <v>0</v>
      </c>
      <c r="W296" s="747">
        <v>0</v>
      </c>
      <c r="X296" s="748">
        <v>0</v>
      </c>
      <c r="Y296" s="748">
        <v>0</v>
      </c>
      <c r="Z296" s="748">
        <v>6195.6921000000002</v>
      </c>
      <c r="AA296" s="748">
        <v>6195.6921000000002</v>
      </c>
      <c r="AB296" s="748">
        <v>6195.6921000000002</v>
      </c>
      <c r="AC296" s="748">
        <v>6195.6921000000002</v>
      </c>
      <c r="AD296" s="748">
        <v>6195.6921000000002</v>
      </c>
      <c r="AE296" s="748">
        <v>6195.6921000000002</v>
      </c>
      <c r="AF296" s="747">
        <v>0</v>
      </c>
      <c r="AG296" s="747">
        <v>0</v>
      </c>
      <c r="AH296" s="747">
        <v>0</v>
      </c>
      <c r="AI296" s="747">
        <v>0</v>
      </c>
      <c r="AJ296" s="747">
        <v>0</v>
      </c>
      <c r="AK296" s="747">
        <v>0</v>
      </c>
      <c r="AL296" s="747">
        <v>0</v>
      </c>
      <c r="AM296" s="747">
        <v>0</v>
      </c>
      <c r="AN296" s="747">
        <v>0</v>
      </c>
      <c r="AO296" s="747">
        <v>0</v>
      </c>
      <c r="AP296" s="747">
        <v>0</v>
      </c>
      <c r="AQ296" s="748">
        <v>6195.6921000000002</v>
      </c>
      <c r="AR296" s="748">
        <v>0</v>
      </c>
      <c r="AS296" s="748">
        <v>0</v>
      </c>
      <c r="AT296" s="748">
        <v>0</v>
      </c>
      <c r="AU296" s="747">
        <v>0</v>
      </c>
      <c r="AV296" s="747">
        <v>0</v>
      </c>
      <c r="AW296" s="747">
        <v>0</v>
      </c>
      <c r="AX296" s="747">
        <v>0</v>
      </c>
      <c r="AY296" s="747">
        <v>0</v>
      </c>
      <c r="AZ296" s="749">
        <v>0.56000000000000005</v>
      </c>
      <c r="BA296" s="750" t="str">
        <f t="shared" si="53"/>
        <v/>
      </c>
      <c r="BB296" s="750" t="str">
        <f t="shared" si="54"/>
        <v/>
      </c>
      <c r="BC296" s="751">
        <f t="shared" si="56"/>
        <v>0</v>
      </c>
      <c r="BD296" s="751">
        <f t="shared" si="57"/>
        <v>0</v>
      </c>
      <c r="BE296" s="751">
        <f t="shared" si="58"/>
        <v>3469.5875760000004</v>
      </c>
      <c r="BF296" s="751">
        <f t="shared" si="59"/>
        <v>2726.1045239999999</v>
      </c>
      <c r="BG296" s="752">
        <f t="shared" si="55"/>
        <v>0</v>
      </c>
      <c r="BH296" s="763">
        <f t="shared" si="49"/>
        <v>0</v>
      </c>
      <c r="BI296" s="763">
        <f t="shared" si="50"/>
        <v>0</v>
      </c>
      <c r="BJ296" s="763">
        <f t="shared" si="51"/>
        <v>0</v>
      </c>
      <c r="BK296" s="763">
        <f t="shared" si="52"/>
        <v>0</v>
      </c>
    </row>
    <row r="297" spans="1:63">
      <c r="A297" s="669"/>
      <c r="B297" s="764">
        <v>2031</v>
      </c>
      <c r="C297" s="765" t="s">
        <v>13</v>
      </c>
      <c r="D297" s="765" t="s">
        <v>651</v>
      </c>
      <c r="E297" s="765" t="s">
        <v>652</v>
      </c>
      <c r="F297" s="765" t="s">
        <v>478</v>
      </c>
      <c r="G297" s="765" t="s">
        <v>50</v>
      </c>
      <c r="H297" s="765"/>
      <c r="I297" s="765" t="s">
        <v>46</v>
      </c>
      <c r="J297" s="765" t="s">
        <v>482</v>
      </c>
      <c r="K297" s="765"/>
      <c r="L297" s="765" t="s">
        <v>29</v>
      </c>
      <c r="M297" s="765" t="s">
        <v>638</v>
      </c>
      <c r="N297" s="756">
        <v>0</v>
      </c>
      <c r="O297" s="756">
        <v>0</v>
      </c>
      <c r="P297" s="756">
        <v>0</v>
      </c>
      <c r="Q297" s="756">
        <v>0</v>
      </c>
      <c r="R297" s="756">
        <v>0</v>
      </c>
      <c r="S297" s="756">
        <v>0</v>
      </c>
      <c r="T297" s="756">
        <v>0</v>
      </c>
      <c r="U297" s="756">
        <v>0</v>
      </c>
      <c r="V297" s="756">
        <v>0</v>
      </c>
      <c r="W297" s="756">
        <v>0</v>
      </c>
      <c r="X297" s="766">
        <v>0</v>
      </c>
      <c r="Y297" s="766">
        <v>0</v>
      </c>
      <c r="Z297" s="766">
        <v>137301.83499999999</v>
      </c>
      <c r="AA297" s="766">
        <v>137301.83499999999</v>
      </c>
      <c r="AB297" s="766">
        <v>137301.83499999999</v>
      </c>
      <c r="AC297" s="766">
        <v>137301.83499999999</v>
      </c>
      <c r="AD297" s="766">
        <v>137301.83499999999</v>
      </c>
      <c r="AE297" s="766">
        <v>137301.83499999999</v>
      </c>
      <c r="AF297" s="756">
        <v>0</v>
      </c>
      <c r="AG297" s="756">
        <v>0</v>
      </c>
      <c r="AH297" s="756">
        <v>0</v>
      </c>
      <c r="AI297" s="756">
        <v>0</v>
      </c>
      <c r="AJ297" s="756">
        <v>0</v>
      </c>
      <c r="AK297" s="756">
        <v>0</v>
      </c>
      <c r="AL297" s="756">
        <v>0</v>
      </c>
      <c r="AM297" s="756">
        <v>0</v>
      </c>
      <c r="AN297" s="756">
        <v>0</v>
      </c>
      <c r="AO297" s="756">
        <v>0</v>
      </c>
      <c r="AP297" s="756">
        <v>0</v>
      </c>
      <c r="AQ297" s="766">
        <v>137301.83499999999</v>
      </c>
      <c r="AR297" s="766">
        <v>0</v>
      </c>
      <c r="AS297" s="766">
        <v>0</v>
      </c>
      <c r="AT297" s="766">
        <v>0</v>
      </c>
      <c r="AU297" s="756">
        <v>0</v>
      </c>
      <c r="AV297" s="756">
        <v>0</v>
      </c>
      <c r="AW297" s="756">
        <v>0</v>
      </c>
      <c r="AX297" s="756">
        <v>0</v>
      </c>
      <c r="AY297" s="756">
        <v>0</v>
      </c>
      <c r="AZ297" s="758">
        <v>0.56000000000000005</v>
      </c>
      <c r="BA297" s="759" t="str">
        <f t="shared" si="53"/>
        <v/>
      </c>
      <c r="BB297" s="759" t="str">
        <f t="shared" si="54"/>
        <v/>
      </c>
      <c r="BC297" s="760">
        <f t="shared" si="56"/>
        <v>0</v>
      </c>
      <c r="BD297" s="760">
        <f t="shared" si="57"/>
        <v>0</v>
      </c>
      <c r="BE297" s="760">
        <f t="shared" si="58"/>
        <v>76889.027600000001</v>
      </c>
      <c r="BF297" s="760">
        <f t="shared" si="59"/>
        <v>60412.807399999991</v>
      </c>
      <c r="BG297" s="761">
        <f t="shared" si="55"/>
        <v>0</v>
      </c>
      <c r="BH297" s="762">
        <f t="shared" si="49"/>
        <v>0</v>
      </c>
      <c r="BI297" s="762">
        <f t="shared" si="50"/>
        <v>0</v>
      </c>
      <c r="BJ297" s="762">
        <f t="shared" si="51"/>
        <v>0</v>
      </c>
      <c r="BK297" s="762">
        <f t="shared" si="52"/>
        <v>0</v>
      </c>
    </row>
    <row r="298" spans="1:63">
      <c r="A298" s="669"/>
      <c r="B298" s="919" t="s">
        <v>653</v>
      </c>
      <c r="C298" s="919"/>
      <c r="D298" s="919"/>
      <c r="E298" s="919"/>
      <c r="F298" s="919"/>
      <c r="G298" s="669"/>
      <c r="H298" s="669"/>
      <c r="I298" s="669"/>
      <c r="J298" s="669"/>
      <c r="K298" s="669"/>
      <c r="L298" s="669"/>
      <c r="M298" s="669"/>
      <c r="N298" s="669"/>
      <c r="O298" s="669"/>
      <c r="P298" s="669"/>
      <c r="Q298" s="669"/>
      <c r="R298" s="669"/>
      <c r="S298" s="669"/>
      <c r="T298" s="669"/>
      <c r="U298" s="669"/>
      <c r="V298" s="669"/>
      <c r="W298" s="669"/>
      <c r="X298" s="669"/>
      <c r="Y298" s="669"/>
      <c r="Z298" s="669"/>
      <c r="AA298" s="669"/>
      <c r="AB298" s="669"/>
      <c r="AC298" s="669"/>
      <c r="AD298" s="669"/>
      <c r="AE298" s="669"/>
      <c r="AF298" s="669"/>
      <c r="AG298" s="669"/>
      <c r="AH298" s="669"/>
      <c r="AI298" s="669"/>
      <c r="AJ298" s="669"/>
      <c r="AK298" s="669"/>
      <c r="AL298" s="669"/>
      <c r="AM298" s="669"/>
      <c r="AN298" s="669"/>
      <c r="AO298" s="669"/>
      <c r="AP298" s="669"/>
      <c r="AQ298" s="669"/>
      <c r="AR298" s="669"/>
      <c r="AS298" s="669"/>
      <c r="AT298" s="669"/>
      <c r="AU298" s="669"/>
      <c r="AV298" s="669"/>
      <c r="AW298" s="669"/>
      <c r="AX298" s="669"/>
      <c r="AY298" s="669"/>
      <c r="AZ298" s="669"/>
      <c r="BA298" s="669"/>
      <c r="BB298" s="669"/>
      <c r="BC298" s="669"/>
      <c r="BD298" s="669"/>
      <c r="BE298" s="669"/>
      <c r="BF298" s="669"/>
      <c r="BG298" s="669"/>
      <c r="BH298" s="767"/>
      <c r="BI298" s="767"/>
      <c r="BJ298" s="767"/>
      <c r="BK298" s="767"/>
    </row>
    <row r="299" spans="1:63" ht="18" customHeight="1">
      <c r="A299" s="669"/>
      <c r="B299" s="919"/>
      <c r="C299" s="919"/>
      <c r="D299" s="919"/>
      <c r="E299" s="919"/>
      <c r="F299" s="919"/>
      <c r="G299" s="669"/>
      <c r="H299" s="669"/>
      <c r="I299" s="669"/>
      <c r="J299" s="669"/>
      <c r="K299" s="669"/>
      <c r="L299" s="669"/>
      <c r="M299" s="669"/>
      <c r="N299" s="669"/>
      <c r="O299" s="669"/>
      <c r="P299" s="669"/>
      <c r="Q299" s="669"/>
      <c r="R299" s="669"/>
      <c r="S299" s="669"/>
      <c r="T299" s="669"/>
      <c r="U299" s="669"/>
      <c r="V299" s="669"/>
      <c r="W299" s="669"/>
      <c r="X299" s="669"/>
      <c r="Y299" s="669"/>
      <c r="Z299" s="669"/>
      <c r="AA299" s="669"/>
      <c r="AB299" s="669"/>
      <c r="AC299" s="669"/>
      <c r="AD299" s="669"/>
      <c r="AE299" s="669"/>
      <c r="AF299" s="669"/>
      <c r="AG299" s="669"/>
      <c r="AH299" s="669"/>
      <c r="AI299" s="669"/>
      <c r="AJ299" s="669"/>
      <c r="AK299" s="669"/>
      <c r="AL299" s="669"/>
      <c r="AM299" s="669"/>
      <c r="AN299" s="669"/>
      <c r="AO299" s="669"/>
      <c r="AP299" s="669"/>
      <c r="AQ299" s="669"/>
      <c r="AR299" s="669"/>
      <c r="AS299" s="669"/>
      <c r="AT299" s="669"/>
      <c r="AU299" s="669"/>
      <c r="AV299" s="669"/>
      <c r="AW299" s="669"/>
      <c r="AX299" s="669"/>
      <c r="AY299" s="669"/>
      <c r="AZ299" s="669"/>
      <c r="BA299" s="669"/>
      <c r="BB299" s="669"/>
      <c r="BC299" s="669"/>
      <c r="BD299" s="669"/>
      <c r="BE299" s="669"/>
      <c r="BF299" s="669"/>
      <c r="BG299" s="669"/>
      <c r="BH299" s="767"/>
      <c r="BI299" s="767"/>
      <c r="BJ299" s="767"/>
      <c r="BK299" s="767"/>
    </row>
    <row r="300" spans="1:63">
      <c r="A300" s="669"/>
      <c r="B300" s="919" t="s">
        <v>654</v>
      </c>
      <c r="C300" s="919"/>
      <c r="D300" s="919"/>
      <c r="E300" s="919"/>
      <c r="F300" s="919"/>
      <c r="G300" s="669"/>
      <c r="H300" s="669"/>
      <c r="I300" s="669"/>
      <c r="J300" s="669"/>
      <c r="K300" s="669"/>
      <c r="L300" s="669"/>
      <c r="M300" s="669"/>
      <c r="N300" s="669"/>
      <c r="O300" s="669"/>
      <c r="P300" s="669"/>
      <c r="Q300" s="669"/>
      <c r="R300" s="669"/>
      <c r="S300" s="669"/>
      <c r="T300" s="669"/>
      <c r="U300" s="669"/>
      <c r="V300" s="669"/>
      <c r="W300" s="669"/>
      <c r="X300" s="669"/>
      <c r="Y300" s="669"/>
      <c r="Z300" s="669"/>
      <c r="AA300" s="669"/>
      <c r="AB300" s="669"/>
      <c r="AC300" s="669"/>
      <c r="AD300" s="669"/>
      <c r="AE300" s="669"/>
      <c r="AF300" s="669"/>
      <c r="AG300" s="669"/>
      <c r="AH300" s="669"/>
      <c r="AI300" s="669"/>
      <c r="AJ300" s="669"/>
      <c r="AK300" s="669"/>
      <c r="AL300" s="669"/>
      <c r="AM300" s="669"/>
      <c r="AN300" s="669"/>
      <c r="AO300" s="669"/>
      <c r="AP300" s="669"/>
      <c r="AQ300" s="669"/>
      <c r="AR300" s="669"/>
      <c r="AS300" s="669"/>
      <c r="AT300" s="669"/>
      <c r="AU300" s="669"/>
      <c r="AV300" s="669"/>
      <c r="AW300" s="669"/>
      <c r="AX300" s="669"/>
      <c r="AY300" s="669"/>
      <c r="AZ300" s="669"/>
      <c r="BA300" s="669"/>
      <c r="BB300" s="669"/>
      <c r="BC300" s="669"/>
      <c r="BD300" s="669"/>
      <c r="BE300" s="669"/>
      <c r="BF300" s="669"/>
      <c r="BG300" s="669"/>
      <c r="BH300" s="669"/>
      <c r="BI300" s="669"/>
      <c r="BJ300" s="669"/>
      <c r="BK300" s="669"/>
    </row>
    <row r="301" spans="1:63" ht="30" customHeight="1">
      <c r="A301" s="669"/>
      <c r="B301" s="919"/>
      <c r="C301" s="919"/>
      <c r="D301" s="919"/>
      <c r="E301" s="919"/>
      <c r="F301" s="919"/>
      <c r="G301" s="669"/>
      <c r="H301" s="669"/>
      <c r="I301" s="669"/>
      <c r="J301" s="669"/>
      <c r="K301" s="669"/>
      <c r="L301" s="669"/>
      <c r="M301" s="669"/>
      <c r="N301" s="669"/>
      <c r="O301" s="669"/>
      <c r="P301" s="669"/>
      <c r="Q301" s="669"/>
      <c r="R301" s="669"/>
      <c r="S301" s="669"/>
      <c r="T301" s="669"/>
      <c r="U301" s="669"/>
      <c r="V301" s="669"/>
      <c r="W301" s="669"/>
      <c r="X301" s="669"/>
      <c r="Y301" s="669"/>
      <c r="Z301" s="669"/>
      <c r="AA301" s="669"/>
      <c r="AB301" s="669"/>
      <c r="AC301" s="669"/>
      <c r="AD301" s="669"/>
      <c r="AE301" s="669"/>
      <c r="AF301" s="669"/>
      <c r="AG301" s="669"/>
      <c r="AH301" s="669"/>
      <c r="AI301" s="669"/>
      <c r="AJ301" s="669"/>
      <c r="AK301" s="669"/>
      <c r="AL301" s="669"/>
      <c r="AM301" s="669"/>
      <c r="AN301" s="669"/>
      <c r="AO301" s="669"/>
      <c r="AP301" s="669"/>
      <c r="AQ301" s="669"/>
      <c r="AR301" s="669"/>
      <c r="AS301" s="669"/>
      <c r="AT301" s="669"/>
      <c r="AU301" s="669"/>
      <c r="AV301" s="669"/>
      <c r="AW301" s="669"/>
      <c r="AX301" s="669"/>
      <c r="AY301" s="669"/>
      <c r="AZ301" s="669"/>
      <c r="BA301" s="669"/>
      <c r="BB301" s="669"/>
      <c r="BC301" s="669"/>
      <c r="BD301" s="669"/>
      <c r="BE301" s="669"/>
      <c r="BF301" s="669"/>
      <c r="BG301" s="669"/>
      <c r="BH301" s="669"/>
      <c r="BI301" s="669"/>
      <c r="BJ301" s="669"/>
      <c r="BK301" s="669"/>
    </row>
    <row r="302" spans="1:63">
      <c r="A302" s="669"/>
      <c r="B302" s="669"/>
      <c r="C302" s="669"/>
      <c r="D302" s="669"/>
      <c r="E302" s="669"/>
      <c r="F302" s="669"/>
      <c r="G302" s="669"/>
      <c r="H302" s="669"/>
      <c r="I302" s="669"/>
      <c r="J302" s="669"/>
      <c r="K302" s="669"/>
      <c r="L302" s="669"/>
      <c r="M302" s="669"/>
      <c r="N302" s="669"/>
      <c r="O302" s="669"/>
      <c r="P302" s="669"/>
      <c r="Q302" s="669"/>
      <c r="R302" s="669"/>
      <c r="S302" s="669"/>
      <c r="T302" s="669"/>
      <c r="U302" s="669"/>
      <c r="V302" s="669"/>
      <c r="W302" s="669"/>
      <c r="X302" s="669"/>
      <c r="Y302" s="669"/>
      <c r="Z302" s="669"/>
      <c r="AA302" s="669"/>
      <c r="AB302" s="669"/>
      <c r="AC302" s="669"/>
      <c r="AD302" s="669"/>
      <c r="AE302" s="669"/>
      <c r="AF302" s="669"/>
      <c r="AG302" s="669"/>
      <c r="AH302" s="669"/>
      <c r="AI302" s="669"/>
      <c r="AJ302" s="669"/>
      <c r="AK302" s="669"/>
      <c r="AL302" s="669"/>
      <c r="AM302" s="669"/>
      <c r="AN302" s="669"/>
      <c r="AO302" s="669"/>
      <c r="AP302" s="669"/>
      <c r="AQ302" s="669"/>
      <c r="AR302" s="669"/>
      <c r="AS302" s="669"/>
      <c r="AT302" s="669"/>
      <c r="AU302" s="669"/>
      <c r="AV302" s="669"/>
      <c r="AW302" s="669"/>
      <c r="AX302" s="669"/>
      <c r="AY302" s="669"/>
      <c r="AZ302" s="669"/>
      <c r="BA302" s="669"/>
      <c r="BB302" s="669"/>
      <c r="BC302" s="669"/>
      <c r="BD302" s="669"/>
      <c r="BE302" s="669"/>
      <c r="BF302" s="669"/>
      <c r="BG302" s="669"/>
      <c r="BH302" s="669"/>
      <c r="BI302" s="669"/>
      <c r="BJ302" s="669"/>
      <c r="BK302" s="669"/>
    </row>
    <row r="303" spans="1:63">
      <c r="A303" s="669"/>
      <c r="B303" s="669"/>
      <c r="C303" s="669"/>
      <c r="D303" s="669"/>
      <c r="E303" s="669"/>
      <c r="F303" s="669"/>
      <c r="G303" s="669"/>
      <c r="H303" s="669"/>
      <c r="I303" s="669"/>
      <c r="J303" s="669"/>
      <c r="K303" s="669"/>
      <c r="L303" s="669"/>
      <c r="M303" s="669"/>
      <c r="N303" s="669"/>
      <c r="O303" s="669"/>
      <c r="P303" s="669"/>
      <c r="Q303" s="669"/>
      <c r="R303" s="669"/>
      <c r="S303" s="669"/>
      <c r="T303" s="669"/>
      <c r="U303" s="669"/>
      <c r="V303" s="669"/>
      <c r="W303" s="669"/>
      <c r="X303" s="669"/>
      <c r="Y303" s="669"/>
      <c r="Z303" s="669"/>
      <c r="AA303" s="669"/>
      <c r="AB303" s="669"/>
      <c r="AC303" s="669"/>
      <c r="AD303" s="669"/>
      <c r="AE303" s="669"/>
      <c r="AF303" s="669"/>
      <c r="AG303" s="669"/>
      <c r="AH303" s="669"/>
      <c r="AI303" s="669"/>
      <c r="AJ303" s="669"/>
      <c r="AK303" s="669"/>
      <c r="AL303" s="669"/>
      <c r="AM303" s="669"/>
      <c r="AN303" s="669"/>
      <c r="AO303" s="669"/>
      <c r="AP303" s="669"/>
      <c r="AQ303" s="669"/>
      <c r="AR303" s="669"/>
      <c r="AS303" s="669"/>
      <c r="AT303" s="669"/>
      <c r="AU303" s="669"/>
      <c r="AV303" s="669"/>
      <c r="AW303" s="669"/>
      <c r="AX303" s="669"/>
      <c r="AY303" s="669"/>
      <c r="AZ303" s="669"/>
      <c r="BA303" s="669"/>
      <c r="BB303" s="669"/>
      <c r="BC303" s="669"/>
      <c r="BD303" s="669"/>
      <c r="BE303" s="669"/>
      <c r="BF303" s="669"/>
      <c r="BG303" s="669"/>
      <c r="BH303" s="669"/>
      <c r="BI303" s="669"/>
      <c r="BJ303" s="669"/>
      <c r="BK303" s="669"/>
    </row>
    <row r="304" spans="1:63" ht="30" customHeight="1">
      <c r="A304" s="669"/>
      <c r="B304" s="669"/>
      <c r="C304" s="669"/>
      <c r="D304" s="669"/>
      <c r="E304" s="669"/>
      <c r="F304" s="669"/>
      <c r="G304" s="669"/>
      <c r="H304" s="669"/>
      <c r="I304" s="669"/>
      <c r="J304" s="669"/>
      <c r="K304" s="669"/>
      <c r="L304" s="669"/>
      <c r="M304" s="669"/>
      <c r="N304" s="669"/>
      <c r="O304" s="669"/>
      <c r="P304" s="669"/>
      <c r="Q304" s="669"/>
      <c r="R304" s="669"/>
      <c r="S304" s="669"/>
      <c r="T304" s="669"/>
      <c r="U304" s="669"/>
      <c r="V304" s="669"/>
      <c r="W304" s="669"/>
      <c r="X304" s="669"/>
      <c r="Y304" s="669"/>
      <c r="Z304" s="669"/>
      <c r="AA304" s="669"/>
      <c r="AB304" s="669"/>
      <c r="AC304" s="669"/>
      <c r="AD304" s="669"/>
      <c r="AE304" s="669"/>
      <c r="AF304" s="669"/>
      <c r="AG304" s="669"/>
      <c r="AH304" s="669"/>
      <c r="AI304" s="669"/>
      <c r="AJ304" s="669"/>
      <c r="AK304" s="669"/>
      <c r="AL304" s="669"/>
      <c r="AM304" s="669"/>
      <c r="AN304" s="669"/>
      <c r="AO304" s="669"/>
      <c r="AP304" s="669"/>
      <c r="AQ304" s="669"/>
      <c r="AR304" s="669"/>
      <c r="AS304" s="669"/>
      <c r="AT304" s="669"/>
      <c r="AU304" s="669"/>
      <c r="AV304" s="669"/>
      <c r="AW304" s="669"/>
      <c r="AX304" s="669"/>
      <c r="AY304" s="669"/>
      <c r="AZ304" s="669"/>
      <c r="BA304" s="669"/>
      <c r="BB304" s="669"/>
      <c r="BC304" s="669"/>
      <c r="BD304" s="669"/>
      <c r="BE304" s="669"/>
      <c r="BF304" s="669"/>
      <c r="BG304" s="669"/>
      <c r="BH304" s="669"/>
      <c r="BI304" s="669"/>
      <c r="BJ304" s="669"/>
      <c r="BK304" s="669"/>
    </row>
    <row r="305" spans="1:63">
      <c r="A305" s="669"/>
      <c r="B305" s="669"/>
      <c r="C305" s="669"/>
      <c r="D305" s="669"/>
      <c r="E305" s="669"/>
      <c r="F305" s="669"/>
      <c r="G305" s="669"/>
      <c r="H305" s="669"/>
      <c r="I305" s="669"/>
      <c r="J305" s="669"/>
      <c r="K305" s="669"/>
      <c r="L305" s="669"/>
      <c r="M305" s="669"/>
      <c r="N305" s="669"/>
      <c r="O305" s="669"/>
      <c r="P305" s="669"/>
      <c r="Q305" s="669"/>
      <c r="R305" s="669"/>
      <c r="S305" s="669"/>
      <c r="T305" s="669"/>
      <c r="U305" s="669"/>
      <c r="V305" s="669"/>
      <c r="W305" s="669"/>
      <c r="X305" s="669"/>
      <c r="Y305" s="669"/>
      <c r="Z305" s="669"/>
      <c r="AA305" s="669"/>
      <c r="AB305" s="669"/>
      <c r="AC305" s="669"/>
      <c r="AD305" s="669"/>
      <c r="AE305" s="669"/>
      <c r="AF305" s="669"/>
      <c r="AG305" s="669"/>
      <c r="AH305" s="669"/>
      <c r="AI305" s="669"/>
      <c r="AJ305" s="669"/>
      <c r="AK305" s="669"/>
      <c r="AL305" s="669"/>
      <c r="AM305" s="669"/>
      <c r="AN305" s="669"/>
      <c r="AO305" s="669"/>
      <c r="AP305" s="669"/>
      <c r="AQ305" s="669"/>
      <c r="AR305" s="669"/>
      <c r="AS305" s="669"/>
      <c r="AT305" s="669"/>
      <c r="AU305" s="669"/>
      <c r="AV305" s="669"/>
      <c r="AW305" s="669"/>
      <c r="AX305" s="669"/>
      <c r="AY305" s="669"/>
      <c r="AZ305" s="669"/>
      <c r="BA305" s="669"/>
      <c r="BB305" s="669"/>
      <c r="BC305" s="669"/>
      <c r="BD305" s="669"/>
      <c r="BE305" s="669"/>
      <c r="BF305" s="669"/>
      <c r="BG305" s="669"/>
      <c r="BH305" s="669"/>
      <c r="BI305" s="669"/>
      <c r="BJ305" s="669"/>
      <c r="BK305" s="669"/>
    </row>
    <row r="306" spans="1:63">
      <c r="A306" s="669"/>
      <c r="B306" s="669"/>
      <c r="C306" s="669"/>
      <c r="D306" s="669"/>
      <c r="E306" s="669"/>
      <c r="F306" s="669"/>
      <c r="G306" s="669"/>
      <c r="H306" s="669"/>
      <c r="I306" s="669"/>
      <c r="J306" s="669"/>
      <c r="K306" s="669"/>
      <c r="L306" s="669"/>
      <c r="M306" s="669"/>
      <c r="N306" s="669"/>
      <c r="O306" s="669"/>
      <c r="P306" s="669"/>
      <c r="Q306" s="669"/>
      <c r="R306" s="669"/>
      <c r="S306" s="669"/>
      <c r="T306" s="669"/>
      <c r="U306" s="669"/>
      <c r="V306" s="669"/>
      <c r="W306" s="669"/>
      <c r="X306" s="669"/>
      <c r="Y306" s="669"/>
      <c r="Z306" s="669"/>
      <c r="AA306" s="669"/>
      <c r="AB306" s="669"/>
      <c r="AC306" s="669"/>
      <c r="AD306" s="669"/>
      <c r="AE306" s="669"/>
      <c r="AF306" s="669"/>
      <c r="AG306" s="669"/>
      <c r="AH306" s="669"/>
      <c r="AI306" s="669"/>
      <c r="AJ306" s="669"/>
      <c r="AK306" s="669"/>
      <c r="AL306" s="669"/>
      <c r="AM306" s="669"/>
      <c r="AN306" s="669"/>
      <c r="AO306" s="669"/>
      <c r="AP306" s="669"/>
      <c r="AQ306" s="669"/>
      <c r="AR306" s="669"/>
      <c r="AS306" s="669"/>
      <c r="AT306" s="669"/>
      <c r="AU306" s="669"/>
      <c r="AV306" s="669"/>
      <c r="AW306" s="669"/>
      <c r="AX306" s="669"/>
      <c r="AY306" s="669"/>
      <c r="AZ306" s="669"/>
      <c r="BA306" s="669"/>
      <c r="BB306" s="669"/>
      <c r="BC306" s="669"/>
      <c r="BD306" s="669"/>
      <c r="BE306" s="669"/>
      <c r="BF306" s="669"/>
      <c r="BG306" s="669"/>
      <c r="BH306" s="669"/>
      <c r="BI306" s="669"/>
      <c r="BJ306" s="669"/>
      <c r="BK306" s="669"/>
    </row>
    <row r="307" spans="1:63">
      <c r="A307" s="669"/>
      <c r="B307" s="669"/>
      <c r="C307" s="669"/>
      <c r="D307" s="669"/>
      <c r="E307" s="669"/>
      <c r="F307" s="669"/>
      <c r="G307" s="669"/>
      <c r="H307" s="669"/>
      <c r="I307" s="669"/>
      <c r="J307" s="669"/>
      <c r="K307" s="669"/>
      <c r="L307" s="669"/>
      <c r="M307" s="669"/>
      <c r="N307" s="669"/>
      <c r="O307" s="669"/>
      <c r="P307" s="669"/>
      <c r="Q307" s="669"/>
      <c r="R307" s="669"/>
      <c r="S307" s="669"/>
      <c r="T307" s="669"/>
      <c r="U307" s="669"/>
      <c r="V307" s="669"/>
      <c r="W307" s="669"/>
      <c r="X307" s="669"/>
      <c r="Y307" s="669"/>
      <c r="Z307" s="669"/>
      <c r="AA307" s="669"/>
      <c r="AB307" s="669"/>
      <c r="AC307" s="669"/>
      <c r="AD307" s="669"/>
      <c r="AE307" s="669"/>
      <c r="AF307" s="669"/>
      <c r="AG307" s="669"/>
      <c r="AH307" s="669"/>
      <c r="AI307" s="669"/>
      <c r="AJ307" s="669"/>
      <c r="AK307" s="669"/>
      <c r="AL307" s="669"/>
      <c r="AM307" s="669"/>
      <c r="AN307" s="669"/>
      <c r="AO307" s="669"/>
      <c r="AP307" s="669"/>
      <c r="AQ307" s="669"/>
      <c r="AR307" s="669"/>
      <c r="AS307" s="669"/>
      <c r="AT307" s="669"/>
      <c r="AU307" s="669"/>
      <c r="AV307" s="669"/>
      <c r="AW307" s="669"/>
      <c r="AX307" s="669"/>
      <c r="AY307" s="669"/>
      <c r="AZ307" s="669"/>
      <c r="BA307" s="669"/>
      <c r="BB307" s="669"/>
      <c r="BC307" s="669"/>
      <c r="BD307" s="669"/>
      <c r="BE307" s="669"/>
      <c r="BF307" s="669"/>
      <c r="BG307" s="669"/>
      <c r="BH307" s="669"/>
      <c r="BI307" s="669"/>
      <c r="BJ307" s="669"/>
      <c r="BK307" s="669"/>
    </row>
    <row r="308" spans="1:63">
      <c r="A308" s="669"/>
      <c r="B308" s="669"/>
      <c r="C308" s="669"/>
      <c r="D308" s="669"/>
      <c r="E308" s="669"/>
      <c r="F308" s="669"/>
      <c r="G308" s="669"/>
      <c r="H308" s="669"/>
      <c r="I308" s="669"/>
      <c r="J308" s="669"/>
      <c r="K308" s="669"/>
      <c r="L308" s="669"/>
      <c r="M308" s="669"/>
      <c r="N308" s="669"/>
      <c r="O308" s="669"/>
      <c r="P308" s="669"/>
      <c r="Q308" s="669"/>
      <c r="R308" s="669"/>
      <c r="S308" s="669"/>
      <c r="T308" s="669"/>
      <c r="U308" s="669"/>
      <c r="V308" s="669"/>
      <c r="W308" s="669"/>
      <c r="X308" s="669"/>
      <c r="Y308" s="669"/>
      <c r="Z308" s="669"/>
      <c r="AA308" s="669"/>
      <c r="AB308" s="669"/>
      <c r="AC308" s="669"/>
      <c r="AD308" s="669"/>
      <c r="AE308" s="669"/>
      <c r="AF308" s="669"/>
      <c r="AG308" s="669"/>
      <c r="AH308" s="669"/>
      <c r="AI308" s="669"/>
      <c r="AJ308" s="669"/>
      <c r="AK308" s="669"/>
      <c r="AL308" s="669"/>
      <c r="AM308" s="669"/>
      <c r="AN308" s="669"/>
      <c r="AO308" s="669"/>
      <c r="AP308" s="669"/>
      <c r="AQ308" s="669"/>
      <c r="AR308" s="669"/>
      <c r="AS308" s="669"/>
      <c r="AT308" s="669"/>
      <c r="AU308" s="669"/>
      <c r="AV308" s="669"/>
      <c r="AW308" s="669"/>
      <c r="AX308" s="669"/>
      <c r="AY308" s="669"/>
      <c r="AZ308" s="669"/>
      <c r="BA308" s="669"/>
      <c r="BB308" s="669"/>
      <c r="BC308" s="669"/>
      <c r="BD308" s="669"/>
      <c r="BE308" s="669"/>
      <c r="BF308" s="669"/>
      <c r="BG308" s="669"/>
      <c r="BH308" s="669"/>
      <c r="BI308" s="669"/>
      <c r="BJ308" s="669"/>
      <c r="BK308" s="669"/>
    </row>
    <row r="309" spans="1:63">
      <c r="A309" s="669"/>
      <c r="B309" s="669"/>
      <c r="C309" s="669"/>
      <c r="D309" s="669"/>
      <c r="E309" s="669"/>
      <c r="F309" s="669"/>
      <c r="G309" s="669"/>
      <c r="H309" s="669"/>
      <c r="I309" s="669"/>
      <c r="J309" s="669"/>
      <c r="K309" s="669"/>
      <c r="L309" s="669"/>
      <c r="M309" s="669"/>
      <c r="N309" s="669"/>
      <c r="O309" s="669"/>
      <c r="P309" s="669"/>
      <c r="Q309" s="669"/>
      <c r="R309" s="669"/>
      <c r="S309" s="669"/>
      <c r="T309" s="669"/>
      <c r="U309" s="669"/>
      <c r="V309" s="669"/>
      <c r="W309" s="669"/>
      <c r="X309" s="669"/>
      <c r="Y309" s="669"/>
      <c r="Z309" s="669"/>
      <c r="AA309" s="669"/>
      <c r="AB309" s="669"/>
      <c r="AC309" s="669"/>
      <c r="AD309" s="669"/>
      <c r="AE309" s="669"/>
      <c r="AF309" s="669"/>
      <c r="AG309" s="669"/>
      <c r="AH309" s="669"/>
      <c r="AI309" s="669"/>
      <c r="AJ309" s="669"/>
      <c r="AK309" s="669"/>
      <c r="AL309" s="669"/>
      <c r="AM309" s="669"/>
      <c r="AN309" s="669"/>
      <c r="AO309" s="669"/>
      <c r="AP309" s="669"/>
      <c r="AQ309" s="669"/>
      <c r="AR309" s="669"/>
      <c r="AS309" s="669"/>
      <c r="AT309" s="669"/>
      <c r="AU309" s="669"/>
      <c r="AV309" s="669"/>
      <c r="AW309" s="669"/>
      <c r="AX309" s="669"/>
      <c r="AY309" s="669"/>
      <c r="AZ309" s="669"/>
      <c r="BA309" s="669"/>
      <c r="BB309" s="669"/>
      <c r="BC309" s="669"/>
      <c r="BD309" s="669"/>
      <c r="BE309" s="669"/>
      <c r="BF309" s="669"/>
      <c r="BG309" s="669"/>
      <c r="BH309" s="669"/>
      <c r="BI309" s="669"/>
      <c r="BJ309" s="669"/>
      <c r="BK309" s="669"/>
    </row>
    <row r="310" spans="1:63">
      <c r="A310" s="669"/>
      <c r="B310" s="669"/>
      <c r="C310" s="669"/>
      <c r="D310" s="669"/>
      <c r="E310" s="669"/>
      <c r="F310" s="669"/>
      <c r="G310" s="669"/>
      <c r="H310" s="669"/>
      <c r="I310" s="669"/>
      <c r="J310" s="669"/>
      <c r="K310" s="669"/>
      <c r="L310" s="669"/>
      <c r="M310" s="669"/>
      <c r="N310" s="669"/>
      <c r="O310" s="669"/>
      <c r="P310" s="669"/>
      <c r="Q310" s="669"/>
      <c r="R310" s="669"/>
      <c r="S310" s="669"/>
      <c r="T310" s="669"/>
      <c r="U310" s="669"/>
      <c r="V310" s="669"/>
      <c r="W310" s="669"/>
      <c r="X310" s="669"/>
      <c r="Y310" s="669"/>
      <c r="Z310" s="669"/>
      <c r="AA310" s="669"/>
      <c r="AB310" s="669"/>
      <c r="AC310" s="669"/>
      <c r="AD310" s="669"/>
      <c r="AE310" s="669"/>
      <c r="AF310" s="669"/>
      <c r="AG310" s="669"/>
      <c r="AH310" s="669"/>
      <c r="AI310" s="669"/>
      <c r="AJ310" s="669"/>
      <c r="AK310" s="669"/>
      <c r="AL310" s="669"/>
      <c r="AM310" s="669"/>
      <c r="AN310" s="669"/>
      <c r="AO310" s="669"/>
      <c r="AP310" s="669"/>
      <c r="AQ310" s="669"/>
      <c r="AR310" s="669"/>
      <c r="AS310" s="669"/>
      <c r="AT310" s="669"/>
      <c r="AU310" s="669"/>
      <c r="AV310" s="669"/>
      <c r="AW310" s="669"/>
      <c r="AX310" s="669"/>
      <c r="AY310" s="669"/>
      <c r="AZ310" s="669"/>
      <c r="BA310" s="669"/>
      <c r="BB310" s="669"/>
      <c r="BC310" s="669"/>
      <c r="BD310" s="669"/>
      <c r="BE310" s="669"/>
      <c r="BF310" s="669"/>
      <c r="BG310" s="669"/>
      <c r="BH310" s="669"/>
      <c r="BI310" s="669"/>
      <c r="BJ310" s="669"/>
      <c r="BK310" s="669"/>
    </row>
    <row r="311" spans="1:63">
      <c r="A311" s="669"/>
      <c r="B311" s="669"/>
      <c r="C311" s="669"/>
      <c r="D311" s="669"/>
      <c r="E311" s="669"/>
      <c r="F311" s="669"/>
      <c r="G311" s="669"/>
      <c r="H311" s="669"/>
      <c r="I311" s="669"/>
      <c r="J311" s="669"/>
      <c r="K311" s="669"/>
      <c r="L311" s="669"/>
      <c r="M311" s="669"/>
      <c r="N311" s="669"/>
      <c r="O311" s="669"/>
      <c r="P311" s="669"/>
      <c r="Q311" s="669"/>
      <c r="R311" s="669"/>
      <c r="S311" s="669"/>
      <c r="T311" s="669"/>
      <c r="U311" s="669"/>
      <c r="V311" s="669"/>
      <c r="W311" s="669"/>
      <c r="X311" s="669"/>
      <c r="Y311" s="669"/>
      <c r="Z311" s="669"/>
      <c r="AA311" s="669"/>
      <c r="AB311" s="669"/>
      <c r="AC311" s="669"/>
      <c r="AD311" s="669"/>
      <c r="AE311" s="669"/>
      <c r="AF311" s="669"/>
      <c r="AG311" s="669"/>
      <c r="AH311" s="669"/>
      <c r="AI311" s="669"/>
      <c r="AJ311" s="669"/>
      <c r="AK311" s="669"/>
      <c r="AL311" s="669"/>
      <c r="AM311" s="669"/>
      <c r="AN311" s="669"/>
      <c r="AO311" s="669"/>
      <c r="AP311" s="669"/>
      <c r="AQ311" s="669"/>
      <c r="AR311" s="669"/>
      <c r="AS311" s="669"/>
      <c r="AT311" s="669"/>
      <c r="AU311" s="669"/>
      <c r="AV311" s="669"/>
      <c r="AW311" s="669"/>
      <c r="AX311" s="669"/>
      <c r="AY311" s="669"/>
      <c r="AZ311" s="669"/>
      <c r="BA311" s="669"/>
      <c r="BB311" s="669"/>
      <c r="BC311" s="669"/>
      <c r="BD311" s="669"/>
      <c r="BE311" s="669"/>
      <c r="BF311" s="669"/>
      <c r="BG311" s="669"/>
      <c r="BH311" s="669"/>
      <c r="BI311" s="669"/>
      <c r="BJ311" s="669"/>
      <c r="BK311" s="669"/>
    </row>
    <row r="312" spans="1:63">
      <c r="A312" s="669"/>
      <c r="B312" s="669"/>
      <c r="C312" s="669"/>
      <c r="D312" s="669"/>
      <c r="E312" s="669"/>
      <c r="F312" s="669"/>
      <c r="G312" s="669"/>
      <c r="H312" s="669"/>
      <c r="I312" s="669"/>
      <c r="J312" s="669"/>
      <c r="K312" s="669"/>
      <c r="L312" s="669"/>
      <c r="M312" s="669"/>
      <c r="N312" s="669"/>
      <c r="O312" s="669"/>
      <c r="P312" s="669"/>
      <c r="Q312" s="669"/>
      <c r="R312" s="669"/>
      <c r="S312" s="669"/>
      <c r="T312" s="669"/>
      <c r="U312" s="669"/>
      <c r="V312" s="669"/>
      <c r="W312" s="669"/>
      <c r="X312" s="669"/>
      <c r="Y312" s="669"/>
      <c r="Z312" s="669"/>
      <c r="AA312" s="669"/>
      <c r="AB312" s="669"/>
      <c r="AC312" s="669"/>
      <c r="AD312" s="669"/>
      <c r="AE312" s="669"/>
      <c r="AF312" s="669"/>
      <c r="AG312" s="669"/>
      <c r="AH312" s="669"/>
      <c r="AI312" s="669"/>
      <c r="AJ312" s="669"/>
      <c r="AK312" s="669"/>
      <c r="AL312" s="669"/>
      <c r="AM312" s="669"/>
      <c r="AN312" s="669"/>
      <c r="AO312" s="669"/>
      <c r="AP312" s="669"/>
      <c r="AQ312" s="669"/>
      <c r="AR312" s="669"/>
      <c r="AS312" s="669"/>
      <c r="AT312" s="669"/>
      <c r="AU312" s="669"/>
      <c r="AV312" s="669"/>
      <c r="AW312" s="669"/>
      <c r="AX312" s="669"/>
      <c r="AY312" s="669"/>
      <c r="AZ312" s="669"/>
      <c r="BA312" s="669"/>
      <c r="BB312" s="669"/>
      <c r="BC312" s="669"/>
      <c r="BD312" s="669"/>
      <c r="BE312" s="669"/>
      <c r="BF312" s="669"/>
      <c r="BG312" s="669"/>
      <c r="BH312" s="669"/>
      <c r="BI312" s="669"/>
      <c r="BJ312" s="669"/>
      <c r="BK312" s="669"/>
    </row>
  </sheetData>
  <autoFilter ref="B9:BG301" xr:uid="{43BBC05A-9D3F-4419-BD0E-06D39F2DBDD0}"/>
  <mergeCells count="9">
    <mergeCell ref="B300:F301"/>
    <mergeCell ref="B298:F299"/>
    <mergeCell ref="C2:H2"/>
    <mergeCell ref="AZ6:AZ7"/>
    <mergeCell ref="N5:AY5"/>
    <mergeCell ref="AZ5:BG5"/>
    <mergeCell ref="B5:M5"/>
    <mergeCell ref="C3:H3"/>
    <mergeCell ref="B4:E4"/>
  </mergeCells>
  <pageMargins left="0.25" right="0.25" top="0.75" bottom="0.75" header="0.3" footer="0.3"/>
  <pageSetup paperSize="17" scale="39" fitToWidth="3" fitToHeight="3" orientation="landscape"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70CF-C439-40EB-BE26-909BD515B347}">
  <sheetPr codeName="Sheet10">
    <tabColor theme="4"/>
    <pageSetUpPr fitToPage="1"/>
  </sheetPr>
  <dimension ref="A2:CF61"/>
  <sheetViews>
    <sheetView showGridLines="0" topLeftCell="T11" zoomScaleNormal="100" workbookViewId="0">
      <selection activeCell="C2" sqref="C2"/>
    </sheetView>
  </sheetViews>
  <sheetFormatPr defaultColWidth="11.125" defaultRowHeight="12.75"/>
  <cols>
    <col min="1" max="2" width="3.5" style="341" customWidth="1"/>
    <col min="3" max="3" width="21.75" style="341" customWidth="1"/>
    <col min="4" max="4" width="23.75" style="341" customWidth="1"/>
    <col min="5" max="5" width="64.75" style="342" customWidth="1"/>
    <col min="6" max="6" width="43.125" style="342" customWidth="1"/>
    <col min="7" max="7" width="9.75" style="341" bestFit="1" customWidth="1"/>
    <col min="8" max="8" width="16.75" style="341" bestFit="1" customWidth="1"/>
    <col min="9" max="9" width="17.25" style="341" bestFit="1" customWidth="1"/>
    <col min="10" max="10" width="17.125" style="341" bestFit="1" customWidth="1"/>
    <col min="11" max="11" width="17.625" style="341" bestFit="1" customWidth="1"/>
    <col min="12" max="12" width="9.5" style="341" bestFit="1" customWidth="1"/>
    <col min="13" max="13" width="16.25" style="341" customWidth="1"/>
    <col min="14" max="14" width="15.125" style="341" customWidth="1"/>
    <col min="15" max="15" width="16.125" style="341" customWidth="1"/>
    <col min="16" max="16" width="15.125" style="341" customWidth="1"/>
    <col min="17" max="17" width="12.625" style="341" customWidth="1"/>
    <col min="18" max="20" width="12.625" style="322" customWidth="1"/>
    <col min="21" max="21" width="13.25" style="322" customWidth="1"/>
    <col min="22" max="36" width="12.625" style="322" customWidth="1"/>
    <col min="37" max="37" width="11" style="322" customWidth="1"/>
    <col min="38" max="38" width="13.25" style="322" bestFit="1" customWidth="1"/>
    <col min="39" max="84" width="11" style="322" customWidth="1"/>
    <col min="85" max="16384" width="11.125" style="341"/>
  </cols>
  <sheetData>
    <row r="2" spans="1:39" ht="30.6" customHeight="1">
      <c r="C2" s="332" t="s">
        <v>58</v>
      </c>
      <c r="D2" s="343"/>
      <c r="E2" s="910" t="s">
        <v>82</v>
      </c>
      <c r="F2" s="910"/>
      <c r="G2" s="910"/>
      <c r="H2" s="910"/>
      <c r="I2" s="910"/>
      <c r="J2" s="911"/>
      <c r="M2" s="344"/>
      <c r="N2" s="344"/>
      <c r="O2" s="344"/>
      <c r="P2" s="344"/>
      <c r="Q2" s="344"/>
      <c r="R2" s="344"/>
      <c r="S2" s="344"/>
      <c r="T2" s="344"/>
      <c r="U2" s="344"/>
      <c r="V2" s="344"/>
      <c r="W2" s="344"/>
      <c r="X2" s="344"/>
      <c r="Y2" s="344"/>
      <c r="Z2" s="344"/>
      <c r="AA2" s="344"/>
      <c r="AB2" s="344"/>
      <c r="AC2" s="344"/>
    </row>
    <row r="3" spans="1:39" ht="45.75" customHeight="1" thickBot="1">
      <c r="C3" s="467" t="s">
        <v>102</v>
      </c>
      <c r="D3" s="509"/>
      <c r="E3" s="912" t="s">
        <v>655</v>
      </c>
      <c r="F3" s="912"/>
      <c r="G3" s="912"/>
      <c r="H3" s="912"/>
      <c r="I3" s="912"/>
      <c r="J3" s="913"/>
    </row>
    <row r="4" spans="1:39" ht="13.5" thickBot="1"/>
    <row r="5" spans="1:39" s="345" customFormat="1" ht="22.5" customHeight="1">
      <c r="C5" s="346" t="s">
        <v>104</v>
      </c>
      <c r="D5" s="347"/>
      <c r="E5" s="200" t="str">
        <f>'Read Me'!B10</f>
        <v>SDG&amp;E</v>
      </c>
      <c r="F5" s="344"/>
      <c r="G5" s="344"/>
      <c r="H5" s="344"/>
      <c r="I5" s="344"/>
      <c r="J5" s="344"/>
      <c r="K5" s="344"/>
      <c r="L5" s="344"/>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9"/>
      <c r="AL5" s="341"/>
      <c r="AM5" s="349"/>
    </row>
    <row r="6" spans="1:39" s="350" customFormat="1" ht="16.5" customHeight="1" thickBot="1">
      <c r="C6" s="510" t="s">
        <v>105</v>
      </c>
      <c r="D6" s="511"/>
      <c r="E6" s="485" t="str">
        <f>'Read Me'!B11</f>
        <v>2028-2035</v>
      </c>
      <c r="F6" s="344"/>
      <c r="G6" s="344"/>
      <c r="H6" s="344"/>
      <c r="I6" s="344"/>
      <c r="J6" s="344"/>
      <c r="K6" s="344"/>
      <c r="L6" s="344"/>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9"/>
      <c r="AL6" s="341"/>
      <c r="AM6" s="349"/>
    </row>
    <row r="7" spans="1:39" ht="36.75" customHeight="1">
      <c r="E7" s="351"/>
      <c r="F7" s="351"/>
      <c r="G7" s="344"/>
      <c r="H7" s="344"/>
      <c r="I7" s="344"/>
      <c r="J7" s="344"/>
      <c r="K7" s="344"/>
      <c r="L7" s="344"/>
      <c r="M7" s="348"/>
      <c r="N7" s="348"/>
      <c r="O7" s="348"/>
      <c r="P7" s="348"/>
      <c r="Q7" s="348"/>
      <c r="R7" s="348"/>
      <c r="S7" s="348"/>
      <c r="T7" s="341"/>
      <c r="U7" s="341"/>
      <c r="V7" s="341"/>
      <c r="W7" s="341"/>
      <c r="X7" s="955"/>
      <c r="Y7" s="955"/>
      <c r="Z7" s="955"/>
      <c r="AA7" s="955"/>
      <c r="AB7" s="348"/>
      <c r="AC7" s="348"/>
      <c r="AD7" s="348"/>
      <c r="AE7" s="348"/>
      <c r="AF7" s="341"/>
      <c r="AG7" s="341"/>
      <c r="AH7" s="341"/>
      <c r="AI7" s="341"/>
      <c r="AJ7" s="341"/>
      <c r="AK7" s="349"/>
      <c r="AL7" s="341"/>
      <c r="AM7" s="349"/>
    </row>
    <row r="8" spans="1:39" ht="55.15" customHeight="1">
      <c r="A8" s="349"/>
      <c r="B8" s="349"/>
      <c r="C8" s="351" t="s">
        <v>656</v>
      </c>
      <c r="D8" s="351"/>
      <c r="E8" s="351"/>
      <c r="F8" s="348"/>
      <c r="G8" s="344"/>
      <c r="H8" s="344"/>
      <c r="I8" s="344"/>
      <c r="J8" s="344"/>
      <c r="K8" s="344"/>
      <c r="L8" s="344"/>
      <c r="M8" s="956" t="s">
        <v>657</v>
      </c>
      <c r="N8" s="956"/>
      <c r="O8" s="956"/>
      <c r="P8" s="956"/>
      <c r="Q8" s="348"/>
      <c r="R8" s="348"/>
      <c r="W8" s="352"/>
      <c r="X8" s="348"/>
      <c r="Y8" s="348"/>
      <c r="Z8" s="348"/>
      <c r="AA8" s="348"/>
      <c r="AB8" s="348"/>
      <c r="AC8" s="348"/>
      <c r="AD8" s="348"/>
      <c r="AE8" s="348"/>
      <c r="AF8" s="341"/>
      <c r="AG8" s="341"/>
      <c r="AH8" s="341"/>
      <c r="AI8" s="341"/>
      <c r="AJ8" s="341"/>
      <c r="AK8" s="349"/>
      <c r="AL8" s="341"/>
      <c r="AM8" s="349"/>
    </row>
    <row r="9" spans="1:39" ht="13.5" thickBot="1">
      <c r="A9" s="349"/>
      <c r="B9" s="349"/>
      <c r="C9" s="348"/>
      <c r="D9" s="348"/>
      <c r="E9" s="348"/>
      <c r="F9" s="348"/>
      <c r="G9" s="348"/>
      <c r="H9" s="348"/>
      <c r="I9" s="348"/>
      <c r="J9" s="348"/>
      <c r="K9" s="348"/>
      <c r="L9" s="768" t="s">
        <v>658</v>
      </c>
      <c r="M9" s="768" t="s">
        <v>659</v>
      </c>
      <c r="N9" s="768" t="s">
        <v>660</v>
      </c>
      <c r="O9" s="768" t="s">
        <v>661</v>
      </c>
      <c r="P9" s="768" t="s">
        <v>662</v>
      </c>
      <c r="Q9" s="348"/>
      <c r="R9" s="348"/>
      <c r="W9" s="768"/>
      <c r="X9" s="341"/>
      <c r="Y9" s="341"/>
      <c r="Z9" s="341"/>
      <c r="AA9" s="341"/>
      <c r="AB9" s="341"/>
      <c r="AC9" s="341"/>
      <c r="AD9" s="341"/>
      <c r="AE9" s="341"/>
      <c r="AF9" s="341"/>
      <c r="AG9" s="341"/>
      <c r="AH9" s="341"/>
      <c r="AI9" s="341"/>
      <c r="AJ9" s="341"/>
      <c r="AK9" s="349"/>
      <c r="AL9" s="341"/>
      <c r="AM9" s="349"/>
    </row>
    <row r="10" spans="1:39" s="354" customFormat="1" ht="107.1" customHeight="1" thickBot="1">
      <c r="A10" s="349"/>
      <c r="B10" s="349"/>
      <c r="C10" s="353"/>
      <c r="D10" s="353"/>
      <c r="E10" s="946" t="s">
        <v>421</v>
      </c>
      <c r="F10" s="950" t="s">
        <v>11</v>
      </c>
      <c r="G10" s="946" t="s">
        <v>663</v>
      </c>
      <c r="H10" s="948" t="s">
        <v>664</v>
      </c>
      <c r="I10" s="948" t="s">
        <v>665</v>
      </c>
      <c r="J10" s="948" t="s">
        <v>666</v>
      </c>
      <c r="K10" s="948" t="s">
        <v>667</v>
      </c>
      <c r="L10" s="941" t="s">
        <v>668</v>
      </c>
      <c r="M10" s="943" t="s">
        <v>669</v>
      </c>
      <c r="N10" s="944"/>
      <c r="O10" s="944"/>
      <c r="P10" s="945"/>
      <c r="Q10" s="934" t="s">
        <v>670</v>
      </c>
      <c r="R10" s="935"/>
      <c r="S10" s="935"/>
      <c r="T10" s="936"/>
      <c r="U10" s="934" t="s">
        <v>671</v>
      </c>
      <c r="V10" s="935"/>
      <c r="W10" s="935"/>
      <c r="X10" s="936"/>
      <c r="Y10" s="934" t="s">
        <v>672</v>
      </c>
      <c r="Z10" s="935"/>
      <c r="AA10" s="935"/>
      <c r="AB10" s="936"/>
      <c r="AC10" s="934" t="s">
        <v>673</v>
      </c>
      <c r="AD10" s="935"/>
      <c r="AE10" s="935"/>
      <c r="AF10" s="936"/>
      <c r="AG10" s="934" t="s">
        <v>674</v>
      </c>
      <c r="AH10" s="935"/>
      <c r="AI10" s="935"/>
      <c r="AJ10" s="936"/>
      <c r="AK10" s="349"/>
      <c r="AL10" s="341"/>
      <c r="AM10" s="349"/>
    </row>
    <row r="11" spans="1:39" s="360" customFormat="1" ht="35.85" customHeight="1" thickBot="1">
      <c r="A11" s="349"/>
      <c r="B11" s="349"/>
      <c r="C11" s="353"/>
      <c r="D11" s="353"/>
      <c r="E11" s="947"/>
      <c r="F11" s="951"/>
      <c r="G11" s="947"/>
      <c r="H11" s="949"/>
      <c r="I11" s="949"/>
      <c r="J11" s="949"/>
      <c r="K11" s="949"/>
      <c r="L11" s="942"/>
      <c r="M11" s="355" t="s">
        <v>16</v>
      </c>
      <c r="N11" s="356" t="s">
        <v>13</v>
      </c>
      <c r="O11" s="356" t="s">
        <v>25</v>
      </c>
      <c r="P11" s="357" t="s">
        <v>277</v>
      </c>
      <c r="Q11" s="358" t="s">
        <v>16</v>
      </c>
      <c r="R11" s="356" t="s">
        <v>13</v>
      </c>
      <c r="S11" s="356" t="s">
        <v>25</v>
      </c>
      <c r="T11" s="359" t="s">
        <v>277</v>
      </c>
      <c r="U11" s="358" t="s">
        <v>16</v>
      </c>
      <c r="V11" s="356" t="s">
        <v>13</v>
      </c>
      <c r="W11" s="356" t="s">
        <v>25</v>
      </c>
      <c r="X11" s="359" t="s">
        <v>277</v>
      </c>
      <c r="Y11" s="358" t="s">
        <v>16</v>
      </c>
      <c r="Z11" s="356" t="s">
        <v>13</v>
      </c>
      <c r="AA11" s="356" t="s">
        <v>25</v>
      </c>
      <c r="AB11" s="359" t="s">
        <v>277</v>
      </c>
      <c r="AC11" s="358" t="s">
        <v>16</v>
      </c>
      <c r="AD11" s="356" t="s">
        <v>13</v>
      </c>
      <c r="AE11" s="356" t="s">
        <v>25</v>
      </c>
      <c r="AF11" s="359" t="s">
        <v>277</v>
      </c>
      <c r="AG11" s="358" t="s">
        <v>16</v>
      </c>
      <c r="AH11" s="356" t="s">
        <v>13</v>
      </c>
      <c r="AI11" s="356" t="s">
        <v>25</v>
      </c>
      <c r="AJ11" s="359" t="s">
        <v>277</v>
      </c>
      <c r="AK11" s="349"/>
      <c r="AL11" s="389" t="s">
        <v>675</v>
      </c>
      <c r="AM11" s="349"/>
    </row>
    <row r="12" spans="1:39" s="345" customFormat="1">
      <c r="A12" s="349"/>
      <c r="B12" s="349"/>
      <c r="C12" s="361"/>
      <c r="D12" s="361"/>
      <c r="E12" s="512" t="s">
        <v>676</v>
      </c>
      <c r="F12" s="513" t="s">
        <v>36</v>
      </c>
      <c r="G12" s="952" t="s">
        <v>16</v>
      </c>
      <c r="H12" s="514">
        <v>2200000</v>
      </c>
      <c r="I12" s="514">
        <v>2200000</v>
      </c>
      <c r="J12" s="514">
        <v>2200000</v>
      </c>
      <c r="K12" s="514">
        <v>2200000</v>
      </c>
      <c r="L12" s="515">
        <v>0.8</v>
      </c>
      <c r="M12" s="516">
        <f>$L12*$R$42+(1-$L12)*$S$42</f>
        <v>0.31486000000000003</v>
      </c>
      <c r="N12" s="516">
        <f>$L12*$R$43+(1-$L12)*$S$43</f>
        <v>9.9199999999999997E-2</v>
      </c>
      <c r="O12" s="516">
        <f>$L12*$R$44+(1-$L12)*$S$44</f>
        <v>0.49752000000000002</v>
      </c>
      <c r="P12" s="516">
        <f>$L12*$R$45+(1-$L12)*$S$45</f>
        <v>8.8419999999999985E-2</v>
      </c>
      <c r="Q12" s="514">
        <f>U12+Y12+AC12+AG12</f>
        <v>46759.130972197308</v>
      </c>
      <c r="R12" s="514">
        <f t="shared" ref="R12:R30" si="0">V12+Z12+AD12+AH12</f>
        <v>12707.766900000001</v>
      </c>
      <c r="S12" s="514">
        <f t="shared" ref="S12:S30" si="1">W12+AA12+AE12+AI12</f>
        <v>0</v>
      </c>
      <c r="T12" s="514">
        <f t="shared" ref="T12:T30" si="2">X12+AB12+AF12+AJ12</f>
        <v>160000</v>
      </c>
      <c r="U12" s="514">
        <v>11136.707662663277</v>
      </c>
      <c r="V12" s="514">
        <v>3084.0176000000001</v>
      </c>
      <c r="W12" s="514">
        <v>0</v>
      </c>
      <c r="X12" s="514">
        <v>40000</v>
      </c>
      <c r="Y12" s="514">
        <v>11484.854632560477</v>
      </c>
      <c r="Z12" s="514">
        <v>3164.8525</v>
      </c>
      <c r="AA12" s="514">
        <v>0</v>
      </c>
      <c r="AB12" s="514">
        <v>40000</v>
      </c>
      <c r="AC12" s="514">
        <v>11846.057113828823</v>
      </c>
      <c r="AD12" s="514">
        <v>3213.7347</v>
      </c>
      <c r="AE12" s="514">
        <v>0</v>
      </c>
      <c r="AF12" s="514">
        <v>40000</v>
      </c>
      <c r="AG12" s="514">
        <v>12291.511563144733</v>
      </c>
      <c r="AH12" s="514">
        <v>3245.1621</v>
      </c>
      <c r="AI12" s="514">
        <v>0</v>
      </c>
      <c r="AJ12" s="517">
        <v>40000</v>
      </c>
      <c r="AK12" s="349"/>
      <c r="AL12" s="387">
        <f>SUM(H12:K12)*N12</f>
        <v>872960</v>
      </c>
      <c r="AM12" s="349"/>
    </row>
    <row r="13" spans="1:39" s="345" customFormat="1">
      <c r="A13" s="349"/>
      <c r="B13" s="349"/>
      <c r="C13" s="361"/>
      <c r="D13" s="361"/>
      <c r="E13" s="512" t="s">
        <v>677</v>
      </c>
      <c r="F13" s="513" t="s">
        <v>20</v>
      </c>
      <c r="G13" s="953"/>
      <c r="H13" s="514">
        <v>7693312.4400000004</v>
      </c>
      <c r="I13" s="514">
        <v>9430512.0099999998</v>
      </c>
      <c r="J13" s="514">
        <v>9926854.75</v>
      </c>
      <c r="K13" s="514">
        <v>7817398.1299999999</v>
      </c>
      <c r="L13" s="515">
        <v>1</v>
      </c>
      <c r="M13" s="516">
        <f>$L13*$R$42+(1-$L13)*$S$42</f>
        <v>0.28710000000000002</v>
      </c>
      <c r="N13" s="516">
        <f>$L13*$R$43+(1-$L13)*$S$43</f>
        <v>9.0999999999999998E-2</v>
      </c>
      <c r="O13" s="516">
        <f>$L13*$R$44+(1-$L13)*$S$44</f>
        <v>0.62190000000000001</v>
      </c>
      <c r="P13" s="516">
        <f>$L13*$R$45+(1-$L13)*$S$45</f>
        <v>0</v>
      </c>
      <c r="Q13" s="514">
        <f t="shared" ref="Q13:Q30" si="3">U13+Y13+AC13+AG13</f>
        <v>801728.46240633819</v>
      </c>
      <c r="R13" s="514">
        <f t="shared" si="0"/>
        <v>26646.366900000001</v>
      </c>
      <c r="S13" s="514">
        <f t="shared" si="1"/>
        <v>0</v>
      </c>
      <c r="T13" s="514">
        <f t="shared" si="2"/>
        <v>0</v>
      </c>
      <c r="U13" s="514">
        <v>189563.94599609231</v>
      </c>
      <c r="V13" s="514">
        <v>5974.5576000000001</v>
      </c>
      <c r="W13" s="514">
        <v>0</v>
      </c>
      <c r="X13" s="514">
        <v>0</v>
      </c>
      <c r="Y13" s="514">
        <v>196619.56381469581</v>
      </c>
      <c r="Z13" s="514">
        <v>7084.6525000000001</v>
      </c>
      <c r="AA13" s="514">
        <v>0</v>
      </c>
      <c r="AB13" s="514">
        <v>0</v>
      </c>
      <c r="AC13" s="514">
        <v>203939.76730149693</v>
      </c>
      <c r="AD13" s="514">
        <v>7391.4647000000004</v>
      </c>
      <c r="AE13" s="514">
        <v>0</v>
      </c>
      <c r="AF13" s="514">
        <v>0</v>
      </c>
      <c r="AG13" s="514">
        <v>211605.18529405311</v>
      </c>
      <c r="AH13" s="514">
        <v>6195.6921000000002</v>
      </c>
      <c r="AI13" s="514">
        <v>0</v>
      </c>
      <c r="AJ13" s="517">
        <v>0</v>
      </c>
      <c r="AK13" s="349"/>
      <c r="AL13" s="387">
        <f t="shared" ref="AL13:AL30" si="4">SUM(H13:K13)*N13</f>
        <v>3172995.0370299998</v>
      </c>
      <c r="AM13" s="349"/>
    </row>
    <row r="14" spans="1:39" s="345" customFormat="1">
      <c r="A14" s="349"/>
      <c r="B14" s="349"/>
      <c r="C14" s="361"/>
      <c r="D14" s="361"/>
      <c r="E14" s="512" t="s">
        <v>678</v>
      </c>
      <c r="F14" s="513" t="s">
        <v>29</v>
      </c>
      <c r="G14" s="953"/>
      <c r="H14" s="514">
        <v>10954816</v>
      </c>
      <c r="I14" s="514">
        <v>10267036</v>
      </c>
      <c r="J14" s="514">
        <v>10165831</v>
      </c>
      <c r="K14" s="514">
        <v>10949714</v>
      </c>
      <c r="L14" s="515">
        <v>1</v>
      </c>
      <c r="M14" s="516">
        <f>$L14*$R$42+(1-$L14)*$S$42</f>
        <v>0.28710000000000002</v>
      </c>
      <c r="N14" s="516">
        <f>$L14*$R$43+(1-$L14)*$S$43</f>
        <v>9.0999999999999998E-2</v>
      </c>
      <c r="O14" s="516">
        <f>$L14*$R$44+(1-$L14)*$S$44</f>
        <v>0.62190000000000001</v>
      </c>
      <c r="P14" s="516">
        <f>$L14*$R$45+(1-$L14)*$S$45</f>
        <v>0</v>
      </c>
      <c r="Q14" s="514">
        <f t="shared" si="3"/>
        <v>801728.46240633819</v>
      </c>
      <c r="R14" s="514">
        <f t="shared" si="0"/>
        <v>30731.136899999998</v>
      </c>
      <c r="S14" s="514">
        <f t="shared" si="1"/>
        <v>0</v>
      </c>
      <c r="T14" s="514">
        <f t="shared" si="2"/>
        <v>0</v>
      </c>
      <c r="U14" s="514">
        <v>189563.94599609234</v>
      </c>
      <c r="V14" s="514">
        <v>7754.9975999999997</v>
      </c>
      <c r="W14" s="514">
        <v>0</v>
      </c>
      <c r="X14" s="514">
        <v>0</v>
      </c>
      <c r="Y14" s="514">
        <v>196619.56381469581</v>
      </c>
      <c r="Z14" s="514">
        <v>7550.9324999999999</v>
      </c>
      <c r="AA14" s="514">
        <v>0</v>
      </c>
      <c r="AB14" s="514">
        <v>0</v>
      </c>
      <c r="AC14" s="514">
        <v>203939.76730149693</v>
      </c>
      <c r="AD14" s="514">
        <v>7524.0747000000001</v>
      </c>
      <c r="AE14" s="514">
        <v>0</v>
      </c>
      <c r="AF14" s="514">
        <v>0</v>
      </c>
      <c r="AG14" s="514">
        <v>211605.18529405308</v>
      </c>
      <c r="AH14" s="514">
        <v>7901.1320999999998</v>
      </c>
      <c r="AI14" s="514">
        <v>0</v>
      </c>
      <c r="AJ14" s="517">
        <v>0</v>
      </c>
      <c r="AK14" s="349"/>
      <c r="AL14" s="387">
        <f t="shared" si="4"/>
        <v>3852703.1269999999</v>
      </c>
      <c r="AM14" s="349"/>
    </row>
    <row r="15" spans="1:39" s="345" customFormat="1">
      <c r="A15" s="349"/>
      <c r="B15" s="349"/>
      <c r="C15" s="362"/>
      <c r="D15" s="362"/>
      <c r="E15" s="512" t="s">
        <v>679</v>
      </c>
      <c r="F15" s="513" t="s">
        <v>29</v>
      </c>
      <c r="G15" s="953"/>
      <c r="H15" s="514">
        <v>13355724</v>
      </c>
      <c r="I15" s="514">
        <v>14209484</v>
      </c>
      <c r="J15" s="514">
        <v>15276684</v>
      </c>
      <c r="K15" s="514">
        <v>17272364</v>
      </c>
      <c r="L15" s="515">
        <v>1</v>
      </c>
      <c r="M15" s="516">
        <f>$L15*$R$42+(1-$L15)*$S$42</f>
        <v>0.28710000000000002</v>
      </c>
      <c r="N15" s="516">
        <f>$L15*$R$43+(1-$L15)*$S$43</f>
        <v>9.0999999999999998E-2</v>
      </c>
      <c r="O15" s="516">
        <f>$L15*$R$44+(1-$L15)*$S$44</f>
        <v>0.62190000000000001</v>
      </c>
      <c r="P15" s="516">
        <f>$L15*$R$45+(1-$L15)*$S$45</f>
        <v>0</v>
      </c>
      <c r="Q15" s="514">
        <f t="shared" si="3"/>
        <v>682757.95449299028</v>
      </c>
      <c r="R15" s="514">
        <f t="shared" si="0"/>
        <v>36999.168600000005</v>
      </c>
      <c r="S15" s="514">
        <f t="shared" si="1"/>
        <v>0</v>
      </c>
      <c r="T15" s="514">
        <f t="shared" si="2"/>
        <v>528000</v>
      </c>
      <c r="U15" s="514">
        <v>160369.77449005298</v>
      </c>
      <c r="V15" s="514">
        <v>8178.2235000000001</v>
      </c>
      <c r="W15" s="514">
        <v>0</v>
      </c>
      <c r="X15" s="514">
        <v>132000</v>
      </c>
      <c r="Y15" s="514">
        <v>165365.30359591503</v>
      </c>
      <c r="Z15" s="514">
        <v>8834.4160000000011</v>
      </c>
      <c r="AA15" s="514">
        <v>0</v>
      </c>
      <c r="AB15" s="514">
        <v>132000</v>
      </c>
      <c r="AC15" s="514">
        <v>174531.61642388545</v>
      </c>
      <c r="AD15" s="514">
        <v>9418.7075000000004</v>
      </c>
      <c r="AE15" s="514">
        <v>0</v>
      </c>
      <c r="AF15" s="514">
        <v>132000</v>
      </c>
      <c r="AG15" s="514">
        <v>182491.25998313681</v>
      </c>
      <c r="AH15" s="514">
        <v>10567.821599999999</v>
      </c>
      <c r="AI15" s="514">
        <v>0</v>
      </c>
      <c r="AJ15" s="517">
        <v>132000</v>
      </c>
      <c r="AK15" s="349"/>
      <c r="AL15" s="387">
        <f t="shared" si="4"/>
        <v>5470397.2960000001</v>
      </c>
      <c r="AM15" s="349"/>
    </row>
    <row r="16" spans="1:39" s="345" customFormat="1">
      <c r="A16" s="349"/>
      <c r="B16" s="349"/>
      <c r="C16" s="362"/>
      <c r="D16" s="362"/>
      <c r="E16" s="512" t="s">
        <v>680</v>
      </c>
      <c r="F16" s="513" t="s">
        <v>29</v>
      </c>
      <c r="G16" s="953"/>
      <c r="H16" s="514">
        <v>8984276</v>
      </c>
      <c r="I16" s="514">
        <v>8130515.9900000002</v>
      </c>
      <c r="J16" s="514">
        <v>7063316</v>
      </c>
      <c r="K16" s="514">
        <v>5727636</v>
      </c>
      <c r="L16" s="515">
        <v>0.8</v>
      </c>
      <c r="M16" s="516">
        <f>$L16*$R$42+(1-$L16)*$S$42</f>
        <v>0.31486000000000003</v>
      </c>
      <c r="N16" s="516">
        <f>$L16*$R$43+(1-$L16)*$S$43</f>
        <v>9.9199999999999997E-2</v>
      </c>
      <c r="O16" s="516">
        <f>$L16*$R$44+(1-$L16)*$S$44</f>
        <v>0.49752000000000002</v>
      </c>
      <c r="P16" s="516">
        <f>$L16*$R$45+(1-$L16)*$S$45</f>
        <v>8.8419999999999985E-2</v>
      </c>
      <c r="Q16" s="514">
        <f t="shared" si="3"/>
        <v>567701.2042970917</v>
      </c>
      <c r="R16" s="514">
        <f t="shared" si="0"/>
        <v>21477.6482</v>
      </c>
      <c r="S16" s="514">
        <f t="shared" si="1"/>
        <v>0</v>
      </c>
      <c r="T16" s="514">
        <f t="shared" si="2"/>
        <v>0</v>
      </c>
      <c r="U16" s="514">
        <v>134809.47908139415</v>
      </c>
      <c r="V16" s="514">
        <v>6233.8135000000002</v>
      </c>
      <c r="W16" s="514">
        <v>0</v>
      </c>
      <c r="X16" s="514">
        <v>0</v>
      </c>
      <c r="Y16" s="514">
        <v>139413.43997474783</v>
      </c>
      <c r="Z16" s="514">
        <v>5854.3760000000002</v>
      </c>
      <c r="AA16" s="514">
        <v>0</v>
      </c>
      <c r="AB16" s="514">
        <v>0</v>
      </c>
      <c r="AC16" s="514">
        <v>144200.54139234545</v>
      </c>
      <c r="AD16" s="514">
        <v>5214.1875</v>
      </c>
      <c r="AE16" s="514">
        <v>0</v>
      </c>
      <c r="AF16" s="514">
        <v>0</v>
      </c>
      <c r="AG16" s="514">
        <v>149277.74384860427</v>
      </c>
      <c r="AH16" s="514">
        <v>4175.2711999999992</v>
      </c>
      <c r="AI16" s="514">
        <v>0</v>
      </c>
      <c r="AJ16" s="517">
        <v>0</v>
      </c>
      <c r="AK16" s="349"/>
      <c r="AL16" s="387">
        <f t="shared" si="4"/>
        <v>2966649.8038079999</v>
      </c>
      <c r="AM16" s="349"/>
    </row>
    <row r="17" spans="1:39" s="345" customFormat="1">
      <c r="A17" s="349"/>
      <c r="B17" s="349"/>
      <c r="C17" s="361"/>
      <c r="D17" s="361"/>
      <c r="E17" s="512" t="s">
        <v>681</v>
      </c>
      <c r="F17" s="513" t="s">
        <v>41</v>
      </c>
      <c r="G17" s="953"/>
      <c r="H17" s="514">
        <v>3998447</v>
      </c>
      <c r="I17" s="514">
        <v>3998447</v>
      </c>
      <c r="J17" s="514">
        <v>3998447</v>
      </c>
      <c r="K17" s="514">
        <v>3998447</v>
      </c>
      <c r="L17" s="515">
        <v>0.8</v>
      </c>
      <c r="M17" s="516">
        <f>$L17*$R$53+(1-$L17)*$S$53</f>
        <v>0.45318000000000003</v>
      </c>
      <c r="N17" s="516">
        <f>TRUNC($L17*$R$56+(1-$L17)*$S$56,4)</f>
        <v>8.3299999999999999E-2</v>
      </c>
      <c r="O17" s="516">
        <f>$L17*$R$54+(1-$L17)*$S$54</f>
        <v>0.36288000000000004</v>
      </c>
      <c r="P17" s="516">
        <f>$L17*$R$55+(1-$L17)*$S$55</f>
        <v>0.10057999999999997</v>
      </c>
      <c r="Q17" s="514">
        <f t="shared" si="3"/>
        <v>10101156.322727807</v>
      </c>
      <c r="R17" s="514">
        <f t="shared" si="0"/>
        <v>256634.3063</v>
      </c>
      <c r="S17" s="514">
        <f t="shared" si="1"/>
        <v>248439</v>
      </c>
      <c r="T17" s="514">
        <f t="shared" si="2"/>
        <v>45456</v>
      </c>
      <c r="U17" s="514">
        <v>2465141.5533144148</v>
      </c>
      <c r="V17" s="514">
        <v>61413.534099999997</v>
      </c>
      <c r="W17" s="514">
        <v>59383</v>
      </c>
      <c r="X17" s="514">
        <v>11364</v>
      </c>
      <c r="Y17" s="514">
        <v>2502997.2381308931</v>
      </c>
      <c r="Z17" s="514">
        <v>63238.108399999997</v>
      </c>
      <c r="AA17" s="514">
        <v>61167</v>
      </c>
      <c r="AB17" s="514">
        <v>11364</v>
      </c>
      <c r="AC17" s="514">
        <v>2544960.3972195494</v>
      </c>
      <c r="AD17" s="514">
        <v>65064.948199999999</v>
      </c>
      <c r="AE17" s="514">
        <v>62999</v>
      </c>
      <c r="AF17" s="514">
        <v>11364</v>
      </c>
      <c r="AG17" s="514">
        <v>2588057.1340629505</v>
      </c>
      <c r="AH17" s="514">
        <v>66917.715599999996</v>
      </c>
      <c r="AI17" s="514">
        <v>64890</v>
      </c>
      <c r="AJ17" s="517">
        <v>11364</v>
      </c>
      <c r="AK17" s="349"/>
      <c r="AL17" s="387">
        <f t="shared" si="4"/>
        <v>1332282.5404000001</v>
      </c>
      <c r="AM17" s="349"/>
    </row>
    <row r="18" spans="1:39" s="345" customFormat="1">
      <c r="A18" s="349"/>
      <c r="B18" s="349"/>
      <c r="C18" s="361"/>
      <c r="D18" s="361"/>
      <c r="E18" s="512" t="s">
        <v>682</v>
      </c>
      <c r="F18" s="513" t="s">
        <v>41</v>
      </c>
      <c r="G18" s="953"/>
      <c r="H18" s="514">
        <v>8399584</v>
      </c>
      <c r="I18" s="514">
        <v>8399584</v>
      </c>
      <c r="J18" s="514">
        <v>8399584</v>
      </c>
      <c r="K18" s="514">
        <v>8399584</v>
      </c>
      <c r="L18" s="515">
        <v>0.8</v>
      </c>
      <c r="M18" s="516">
        <f>$L18*$R$53+(1-$L18)*$S$53</f>
        <v>0.45318000000000003</v>
      </c>
      <c r="N18" s="516">
        <f>TRUNC($L18*$R$56+(1-$L18)*$S$56,4)</f>
        <v>8.3299999999999999E-2</v>
      </c>
      <c r="O18" s="516">
        <f>$L18*$R$54+(1-$L18)*$S$54</f>
        <v>0.36288000000000004</v>
      </c>
      <c r="P18" s="516">
        <f>$L18*$R$55+(1-$L18)*$S$55</f>
        <v>0.10057999999999997</v>
      </c>
      <c r="Q18" s="514">
        <f t="shared" si="3"/>
        <v>3074645.5177548933</v>
      </c>
      <c r="R18" s="514">
        <f t="shared" si="0"/>
        <v>321825.9326</v>
      </c>
      <c r="S18" s="514">
        <f t="shared" si="1"/>
        <v>248439</v>
      </c>
      <c r="T18" s="514">
        <f t="shared" si="2"/>
        <v>96592</v>
      </c>
      <c r="U18" s="514">
        <v>722977.31213341118</v>
      </c>
      <c r="V18" s="514">
        <v>77074.234599999996</v>
      </c>
      <c r="W18" s="514">
        <v>59383</v>
      </c>
      <c r="X18" s="514">
        <v>24148</v>
      </c>
      <c r="Y18" s="514">
        <v>753761.2852452501</v>
      </c>
      <c r="Z18" s="514">
        <v>79349.012000000002</v>
      </c>
      <c r="AA18" s="514">
        <v>61167</v>
      </c>
      <c r="AB18" s="514">
        <v>24148</v>
      </c>
      <c r="AC18" s="514">
        <v>780363.26811205945</v>
      </c>
      <c r="AD18" s="514">
        <v>81581.790600000008</v>
      </c>
      <c r="AE18" s="514">
        <v>62999</v>
      </c>
      <c r="AF18" s="514">
        <v>24148</v>
      </c>
      <c r="AG18" s="514">
        <v>817543.65226417268</v>
      </c>
      <c r="AH18" s="514">
        <v>83820.895399999994</v>
      </c>
      <c r="AI18" s="514">
        <v>64890</v>
      </c>
      <c r="AJ18" s="517">
        <v>24148</v>
      </c>
      <c r="AK18" s="349"/>
      <c r="AL18" s="387">
        <f t="shared" si="4"/>
        <v>2798741.3887999998</v>
      </c>
      <c r="AM18" s="349"/>
    </row>
    <row r="19" spans="1:39" s="345" customFormat="1">
      <c r="A19" s="349"/>
      <c r="B19" s="349"/>
      <c r="C19" s="361"/>
      <c r="D19" s="361"/>
      <c r="E19" s="512" t="s">
        <v>683</v>
      </c>
      <c r="F19" s="513" t="s">
        <v>41</v>
      </c>
      <c r="G19" s="953"/>
      <c r="H19" s="514">
        <v>5088827</v>
      </c>
      <c r="I19" s="514">
        <v>5088827</v>
      </c>
      <c r="J19" s="514">
        <v>5088827</v>
      </c>
      <c r="K19" s="514">
        <v>5088827</v>
      </c>
      <c r="L19" s="515">
        <v>0.8</v>
      </c>
      <c r="M19" s="516">
        <f>$L19*$R$53+(1-$L19)*$S$53</f>
        <v>0.45318000000000003</v>
      </c>
      <c r="N19" s="516">
        <f>TRUNC($L19*$R$56+(1-$L19)*$S$56,4)</f>
        <v>8.3299999999999999E-2</v>
      </c>
      <c r="O19" s="516">
        <f>$L19*$R$54+(1-$L19)*$S$54</f>
        <v>0.36288000000000004</v>
      </c>
      <c r="P19" s="516">
        <f>$L19*$R$55+(1-$L19)*$S$55</f>
        <v>0.10057999999999997</v>
      </c>
      <c r="Q19" s="514">
        <f t="shared" si="3"/>
        <v>1201080.3304687582</v>
      </c>
      <c r="R19" s="514">
        <f t="shared" si="0"/>
        <v>250417.59019999998</v>
      </c>
      <c r="S19" s="514">
        <f t="shared" si="1"/>
        <v>227269</v>
      </c>
      <c r="T19" s="514">
        <f t="shared" si="2"/>
        <v>57952</v>
      </c>
      <c r="U19" s="514">
        <v>284770.90092566831</v>
      </c>
      <c r="V19" s="514">
        <v>59946.922699999996</v>
      </c>
      <c r="W19" s="514">
        <v>54323</v>
      </c>
      <c r="X19" s="514">
        <v>14488</v>
      </c>
      <c r="Y19" s="514">
        <v>294837.87055413087</v>
      </c>
      <c r="Z19" s="514">
        <v>61722.652900000001</v>
      </c>
      <c r="AA19" s="514">
        <v>55954</v>
      </c>
      <c r="AB19" s="514">
        <v>14488</v>
      </c>
      <c r="AC19" s="514">
        <v>305282.35154366092</v>
      </c>
      <c r="AD19" s="514">
        <v>63484.8482</v>
      </c>
      <c r="AE19" s="514">
        <v>57631</v>
      </c>
      <c r="AF19" s="514">
        <v>14488</v>
      </c>
      <c r="AG19" s="514">
        <v>316189.20744529815</v>
      </c>
      <c r="AH19" s="514">
        <v>65263.166400000002</v>
      </c>
      <c r="AI19" s="514">
        <v>59361</v>
      </c>
      <c r="AJ19" s="517">
        <v>14488</v>
      </c>
      <c r="AK19" s="349"/>
      <c r="AL19" s="387">
        <f t="shared" si="4"/>
        <v>1695597.1564</v>
      </c>
      <c r="AM19" s="349"/>
    </row>
    <row r="20" spans="1:39" s="345" customFormat="1">
      <c r="A20" s="349"/>
      <c r="B20" s="349"/>
      <c r="C20" s="361"/>
      <c r="D20" s="361"/>
      <c r="E20" s="512" t="s">
        <v>684</v>
      </c>
      <c r="F20" s="513" t="s">
        <v>20</v>
      </c>
      <c r="G20" s="953"/>
      <c r="H20" s="514">
        <v>2328050</v>
      </c>
      <c r="I20" s="514">
        <v>2328050</v>
      </c>
      <c r="J20" s="514">
        <v>2328050</v>
      </c>
      <c r="K20" s="514">
        <v>2328050</v>
      </c>
      <c r="L20" s="515">
        <v>0.8</v>
      </c>
      <c r="M20" s="516">
        <f t="shared" ref="M20:M30" si="5">$L20*$R$42+(1-$L20)*$S$42</f>
        <v>0.31486000000000003</v>
      </c>
      <c r="N20" s="516">
        <f t="shared" ref="N20:N30" si="6">$L20*$R$43+(1-$L20)*$S$43</f>
        <v>9.9199999999999997E-2</v>
      </c>
      <c r="O20" s="516">
        <f t="shared" ref="O20:O30" si="7">$L20*$R$44+(1-$L20)*$S$44</f>
        <v>0.49752000000000002</v>
      </c>
      <c r="P20" s="516">
        <f t="shared" ref="P20:P30" si="8">$L20*$R$45+(1-$L20)*$S$45</f>
        <v>8.8419999999999985E-2</v>
      </c>
      <c r="Q20" s="514">
        <f t="shared" si="3"/>
        <v>724183.32689422858</v>
      </c>
      <c r="R20" s="514">
        <f t="shared" si="0"/>
        <v>13015.2369</v>
      </c>
      <c r="S20" s="514">
        <f t="shared" si="1"/>
        <v>0</v>
      </c>
      <c r="T20" s="514">
        <f t="shared" si="2"/>
        <v>164000</v>
      </c>
      <c r="U20" s="514">
        <v>167397.28816922265</v>
      </c>
      <c r="V20" s="514">
        <v>3160.2175999999999</v>
      </c>
      <c r="W20" s="514">
        <v>0</v>
      </c>
      <c r="X20" s="514">
        <v>41000</v>
      </c>
      <c r="Y20" s="514">
        <v>182630.37161149347</v>
      </c>
      <c r="Z20" s="514">
        <v>3242.6624999999999</v>
      </c>
      <c r="AA20" s="514">
        <v>0</v>
      </c>
      <c r="AB20" s="514">
        <v>41000</v>
      </c>
      <c r="AC20" s="514">
        <v>194949.80032218489</v>
      </c>
      <c r="AD20" s="514">
        <v>3291.1947</v>
      </c>
      <c r="AE20" s="514">
        <v>0</v>
      </c>
      <c r="AF20" s="514">
        <v>41000</v>
      </c>
      <c r="AG20" s="514">
        <v>179205.86679132757</v>
      </c>
      <c r="AH20" s="514">
        <v>3321.1621</v>
      </c>
      <c r="AI20" s="514">
        <v>0</v>
      </c>
      <c r="AJ20" s="517">
        <v>41000</v>
      </c>
      <c r="AK20" s="349"/>
      <c r="AL20" s="387">
        <f t="shared" si="4"/>
        <v>923770.24</v>
      </c>
      <c r="AM20" s="349"/>
    </row>
    <row r="21" spans="1:39" s="345" customFormat="1">
      <c r="A21" s="349"/>
      <c r="B21" s="349"/>
      <c r="C21" s="361"/>
      <c r="D21" s="361"/>
      <c r="E21" s="512" t="s">
        <v>685</v>
      </c>
      <c r="F21" s="513" t="s">
        <v>29</v>
      </c>
      <c r="G21" s="953"/>
      <c r="H21" s="514">
        <v>1100000</v>
      </c>
      <c r="I21" s="514">
        <v>1100000</v>
      </c>
      <c r="J21" s="514">
        <v>1100000</v>
      </c>
      <c r="K21" s="514">
        <v>1100000</v>
      </c>
      <c r="L21" s="515">
        <v>0.8</v>
      </c>
      <c r="M21" s="516">
        <f t="shared" si="5"/>
        <v>0.31486000000000003</v>
      </c>
      <c r="N21" s="516">
        <f t="shared" si="6"/>
        <v>9.9199999999999997E-2</v>
      </c>
      <c r="O21" s="516">
        <f t="shared" si="7"/>
        <v>0.49752000000000002</v>
      </c>
      <c r="P21" s="516">
        <f t="shared" si="8"/>
        <v>8.8419999999999985E-2</v>
      </c>
      <c r="Q21" s="514">
        <f t="shared" si="3"/>
        <v>36467.703009403624</v>
      </c>
      <c r="R21" s="514">
        <f t="shared" si="0"/>
        <v>10066.4869</v>
      </c>
      <c r="S21" s="514">
        <f t="shared" si="1"/>
        <v>0</v>
      </c>
      <c r="T21" s="514">
        <f t="shared" si="2"/>
        <v>80000</v>
      </c>
      <c r="U21" s="514">
        <v>8680.2182710859397</v>
      </c>
      <c r="V21" s="514">
        <v>2429.4176000000002</v>
      </c>
      <c r="W21" s="514">
        <v>0</v>
      </c>
      <c r="X21" s="514">
        <v>20000</v>
      </c>
      <c r="Y21" s="514">
        <v>8952.6963000016622</v>
      </c>
      <c r="Z21" s="514">
        <v>2496.4625000000001</v>
      </c>
      <c r="AA21" s="514">
        <v>0</v>
      </c>
      <c r="AB21" s="514">
        <v>20000</v>
      </c>
      <c r="AC21" s="514">
        <v>9235.3922550017269</v>
      </c>
      <c r="AD21" s="514">
        <v>2548.3247000000001</v>
      </c>
      <c r="AE21" s="514">
        <v>0</v>
      </c>
      <c r="AF21" s="514">
        <v>20000</v>
      </c>
      <c r="AG21" s="514">
        <v>9599.396183314293</v>
      </c>
      <c r="AH21" s="514">
        <v>2592.2820999999999</v>
      </c>
      <c r="AI21" s="514">
        <v>0</v>
      </c>
      <c r="AJ21" s="517">
        <v>20000</v>
      </c>
      <c r="AK21" s="349"/>
      <c r="AL21" s="387">
        <f t="shared" si="4"/>
        <v>436480</v>
      </c>
      <c r="AM21" s="349"/>
    </row>
    <row r="22" spans="1:39" s="345" customFormat="1">
      <c r="A22" s="349"/>
      <c r="B22" s="349"/>
      <c r="C22" s="361"/>
      <c r="D22" s="361"/>
      <c r="E22" s="512" t="s">
        <v>686</v>
      </c>
      <c r="F22" s="518" t="s">
        <v>20</v>
      </c>
      <c r="G22" s="952" t="s">
        <v>25</v>
      </c>
      <c r="H22" s="519">
        <v>0</v>
      </c>
      <c r="I22" s="514">
        <v>0</v>
      </c>
      <c r="J22" s="514">
        <v>0</v>
      </c>
      <c r="K22" s="514">
        <v>0</v>
      </c>
      <c r="L22" s="515">
        <v>0.8</v>
      </c>
      <c r="M22" s="516">
        <f t="shared" si="5"/>
        <v>0.31486000000000003</v>
      </c>
      <c r="N22" s="516">
        <f t="shared" si="6"/>
        <v>9.9199999999999997E-2</v>
      </c>
      <c r="O22" s="516">
        <f t="shared" si="7"/>
        <v>0.49752000000000002</v>
      </c>
      <c r="P22" s="516">
        <f t="shared" si="8"/>
        <v>8.8419999999999985E-2</v>
      </c>
      <c r="Q22" s="514">
        <f t="shared" si="3"/>
        <v>0</v>
      </c>
      <c r="R22" s="514">
        <f t="shared" si="0"/>
        <v>0</v>
      </c>
      <c r="S22" s="514">
        <f t="shared" si="1"/>
        <v>0</v>
      </c>
      <c r="T22" s="514">
        <f t="shared" si="2"/>
        <v>0</v>
      </c>
      <c r="U22" s="514"/>
      <c r="V22" s="514">
        <v>0</v>
      </c>
      <c r="W22" s="514">
        <v>0</v>
      </c>
      <c r="X22" s="514">
        <v>0</v>
      </c>
      <c r="Y22" s="514"/>
      <c r="Z22" s="514">
        <v>0</v>
      </c>
      <c r="AA22" s="514">
        <v>0</v>
      </c>
      <c r="AB22" s="514">
        <v>0</v>
      </c>
      <c r="AC22" s="514"/>
      <c r="AD22" s="514">
        <v>0</v>
      </c>
      <c r="AE22" s="514">
        <v>0</v>
      </c>
      <c r="AF22" s="514">
        <v>0</v>
      </c>
      <c r="AG22" s="514"/>
      <c r="AH22" s="514">
        <v>0</v>
      </c>
      <c r="AI22" s="514">
        <v>0</v>
      </c>
      <c r="AJ22" s="517">
        <v>0</v>
      </c>
      <c r="AK22" s="349"/>
      <c r="AL22" s="387">
        <f t="shared" si="4"/>
        <v>0</v>
      </c>
      <c r="AM22" s="349"/>
    </row>
    <row r="23" spans="1:39" s="345" customFormat="1">
      <c r="A23" s="349"/>
      <c r="B23" s="349"/>
      <c r="C23" s="361"/>
      <c r="D23" s="361"/>
      <c r="E23" s="512" t="s">
        <v>687</v>
      </c>
      <c r="F23" s="518" t="s">
        <v>20</v>
      </c>
      <c r="G23" s="953"/>
      <c r="H23" s="519">
        <v>0</v>
      </c>
      <c r="I23" s="514">
        <v>0</v>
      </c>
      <c r="J23" s="514">
        <v>0</v>
      </c>
      <c r="K23" s="514">
        <v>0</v>
      </c>
      <c r="L23" s="515">
        <v>1</v>
      </c>
      <c r="M23" s="516">
        <f t="shared" si="5"/>
        <v>0.28710000000000002</v>
      </c>
      <c r="N23" s="516">
        <f t="shared" si="6"/>
        <v>9.0999999999999998E-2</v>
      </c>
      <c r="O23" s="516">
        <f t="shared" si="7"/>
        <v>0.62190000000000001</v>
      </c>
      <c r="P23" s="516">
        <f t="shared" si="8"/>
        <v>0</v>
      </c>
      <c r="Q23" s="514">
        <f t="shared" si="3"/>
        <v>0</v>
      </c>
      <c r="R23" s="514">
        <f t="shared" si="0"/>
        <v>0</v>
      </c>
      <c r="S23" s="514">
        <f t="shared" si="1"/>
        <v>0</v>
      </c>
      <c r="T23" s="514">
        <f t="shared" si="2"/>
        <v>0</v>
      </c>
      <c r="U23" s="514"/>
      <c r="V23" s="514">
        <v>0</v>
      </c>
      <c r="W23" s="514">
        <v>0</v>
      </c>
      <c r="X23" s="514">
        <v>0</v>
      </c>
      <c r="Y23" s="514"/>
      <c r="Z23" s="514">
        <v>0</v>
      </c>
      <c r="AA23" s="514">
        <v>0</v>
      </c>
      <c r="AB23" s="514">
        <v>0</v>
      </c>
      <c r="AC23" s="514"/>
      <c r="AD23" s="514">
        <v>0</v>
      </c>
      <c r="AE23" s="514">
        <v>0</v>
      </c>
      <c r="AF23" s="514">
        <v>0</v>
      </c>
      <c r="AG23" s="514"/>
      <c r="AH23" s="514">
        <v>0</v>
      </c>
      <c r="AI23" s="514">
        <v>0</v>
      </c>
      <c r="AJ23" s="517">
        <v>0</v>
      </c>
      <c r="AK23" s="349"/>
      <c r="AL23" s="387">
        <f t="shared" si="4"/>
        <v>0</v>
      </c>
      <c r="AM23" s="349"/>
    </row>
    <row r="24" spans="1:39" s="345" customFormat="1">
      <c r="A24" s="349"/>
      <c r="B24" s="349"/>
      <c r="C24" s="361"/>
      <c r="D24" s="361"/>
      <c r="E24" s="512" t="s">
        <v>688</v>
      </c>
      <c r="F24" s="518" t="s">
        <v>29</v>
      </c>
      <c r="G24" s="953"/>
      <c r="H24" s="519">
        <v>17000000</v>
      </c>
      <c r="I24" s="514">
        <v>17000000</v>
      </c>
      <c r="J24" s="514">
        <v>17000000</v>
      </c>
      <c r="K24" s="514">
        <v>17000000</v>
      </c>
      <c r="L24" s="520">
        <v>1</v>
      </c>
      <c r="M24" s="516">
        <f t="shared" si="5"/>
        <v>0.28710000000000002</v>
      </c>
      <c r="N24" s="516">
        <f t="shared" si="6"/>
        <v>9.0999999999999998E-2</v>
      </c>
      <c r="O24" s="516">
        <f t="shared" si="7"/>
        <v>0.62190000000000001</v>
      </c>
      <c r="P24" s="516">
        <f t="shared" si="8"/>
        <v>0</v>
      </c>
      <c r="Q24" s="514">
        <f t="shared" si="3"/>
        <v>146643.10009044886</v>
      </c>
      <c r="R24" s="514">
        <f t="shared" si="0"/>
        <v>410299.348</v>
      </c>
      <c r="S24" s="514">
        <f t="shared" si="1"/>
        <v>7540369</v>
      </c>
      <c r="T24" s="514">
        <f t="shared" si="2"/>
        <v>0</v>
      </c>
      <c r="U24" s="514">
        <v>34762.714638354671</v>
      </c>
      <c r="V24" s="514">
        <v>98402.365900000004</v>
      </c>
      <c r="W24" s="514">
        <v>1863799</v>
      </c>
      <c r="X24" s="514">
        <v>0</v>
      </c>
      <c r="Y24" s="514">
        <v>35985.448815930758</v>
      </c>
      <c r="Z24" s="514">
        <v>101271.64969999999</v>
      </c>
      <c r="AA24" s="514">
        <v>1877715</v>
      </c>
      <c r="AB24" s="514">
        <v>0</v>
      </c>
      <c r="AC24" s="514">
        <v>37254.035525165949</v>
      </c>
      <c r="AD24" s="514">
        <v>103983.24589999999</v>
      </c>
      <c r="AE24" s="514">
        <v>1892047</v>
      </c>
      <c r="AF24" s="514">
        <v>0</v>
      </c>
      <c r="AG24" s="514">
        <v>38640.901110997467</v>
      </c>
      <c r="AH24" s="514">
        <v>106642.0865</v>
      </c>
      <c r="AI24" s="514">
        <v>1906808</v>
      </c>
      <c r="AJ24" s="517">
        <v>0</v>
      </c>
      <c r="AK24" s="349"/>
      <c r="AL24" s="387">
        <f t="shared" si="4"/>
        <v>6188000</v>
      </c>
      <c r="AM24" s="349"/>
    </row>
    <row r="25" spans="1:39" s="345" customFormat="1">
      <c r="A25" s="349"/>
      <c r="B25" s="349"/>
      <c r="C25" s="361"/>
      <c r="D25" s="361"/>
      <c r="E25" s="512" t="s">
        <v>689</v>
      </c>
      <c r="F25" s="518" t="s">
        <v>20</v>
      </c>
      <c r="G25" s="954"/>
      <c r="H25" s="519">
        <v>4299168</v>
      </c>
      <c r="I25" s="514">
        <v>4992631</v>
      </c>
      <c r="J25" s="514">
        <v>5266700</v>
      </c>
      <c r="K25" s="514">
        <v>5278305</v>
      </c>
      <c r="L25" s="520">
        <v>0.8</v>
      </c>
      <c r="M25" s="516">
        <f t="shared" si="5"/>
        <v>0.31486000000000003</v>
      </c>
      <c r="N25" s="516">
        <f t="shared" si="6"/>
        <v>9.9199999999999997E-2</v>
      </c>
      <c r="O25" s="516">
        <f t="shared" si="7"/>
        <v>0.49752000000000002</v>
      </c>
      <c r="P25" s="516">
        <f t="shared" si="8"/>
        <v>8.8419999999999985E-2</v>
      </c>
      <c r="Q25" s="514">
        <f t="shared" si="3"/>
        <v>111887.35473389625</v>
      </c>
      <c r="R25" s="514">
        <f t="shared" si="0"/>
        <v>19335.9869</v>
      </c>
      <c r="S25" s="514">
        <f t="shared" si="1"/>
        <v>582704</v>
      </c>
      <c r="T25" s="514">
        <f t="shared" si="2"/>
        <v>352000</v>
      </c>
      <c r="U25" s="514">
        <v>26507.066936890638</v>
      </c>
      <c r="V25" s="514">
        <v>4333.1976000000004</v>
      </c>
      <c r="W25" s="514">
        <v>139304</v>
      </c>
      <c r="X25" s="514">
        <v>88000</v>
      </c>
      <c r="Y25" s="514">
        <v>27448.05179077404</v>
      </c>
      <c r="Z25" s="514">
        <v>4861.7425000000003</v>
      </c>
      <c r="AA25" s="514">
        <v>143468</v>
      </c>
      <c r="AB25" s="514">
        <v>88000</v>
      </c>
      <c r="AC25" s="514">
        <v>28424.323576678071</v>
      </c>
      <c r="AD25" s="514">
        <v>5068.8347000000003</v>
      </c>
      <c r="AE25" s="514">
        <v>147757</v>
      </c>
      <c r="AF25" s="514">
        <v>88000</v>
      </c>
      <c r="AG25" s="514">
        <v>29507.9124295535</v>
      </c>
      <c r="AH25" s="514">
        <v>5072.2120999999997</v>
      </c>
      <c r="AI25" s="514">
        <v>152175</v>
      </c>
      <c r="AJ25" s="517">
        <v>88000</v>
      </c>
      <c r="AK25" s="349"/>
      <c r="AL25" s="387">
        <f t="shared" si="4"/>
        <v>1967810.9568</v>
      </c>
      <c r="AM25" s="349"/>
    </row>
    <row r="26" spans="1:39" s="345" customFormat="1">
      <c r="A26" s="349"/>
      <c r="B26" s="349"/>
      <c r="C26" s="361"/>
      <c r="D26" s="361"/>
      <c r="E26" s="512" t="s">
        <v>690</v>
      </c>
      <c r="F26" s="513" t="s">
        <v>29</v>
      </c>
      <c r="G26" s="952" t="s">
        <v>277</v>
      </c>
      <c r="H26" s="514">
        <v>3750000</v>
      </c>
      <c r="I26" s="514">
        <v>3750000</v>
      </c>
      <c r="J26" s="514">
        <v>3750000</v>
      </c>
      <c r="K26" s="514">
        <v>3750000</v>
      </c>
      <c r="L26" s="520">
        <v>0</v>
      </c>
      <c r="M26" s="516">
        <f t="shared" si="5"/>
        <v>0.4259</v>
      </c>
      <c r="N26" s="516">
        <f t="shared" si="6"/>
        <v>0.13200000000000001</v>
      </c>
      <c r="O26" s="516">
        <f t="shared" si="7"/>
        <v>0</v>
      </c>
      <c r="P26" s="516">
        <f t="shared" si="8"/>
        <v>0.44209999999999999</v>
      </c>
      <c r="Q26" s="514">
        <f t="shared" si="3"/>
        <v>129303.61744016246</v>
      </c>
      <c r="R26" s="514">
        <f t="shared" si="0"/>
        <v>52914.992599999998</v>
      </c>
      <c r="S26" s="514">
        <f t="shared" si="1"/>
        <v>0</v>
      </c>
      <c r="T26" s="514">
        <f t="shared" si="2"/>
        <v>1520000</v>
      </c>
      <c r="U26" s="514">
        <v>30664.202830329206</v>
      </c>
      <c r="V26" s="514">
        <v>12871.882900000001</v>
      </c>
      <c r="W26" s="514">
        <v>0</v>
      </c>
      <c r="X26" s="514">
        <v>380000</v>
      </c>
      <c r="Y26" s="514">
        <v>31733.242815104339</v>
      </c>
      <c r="Z26" s="514">
        <v>12987.813599999999</v>
      </c>
      <c r="AA26" s="514">
        <v>0</v>
      </c>
      <c r="AB26" s="514">
        <v>380000</v>
      </c>
      <c r="AC26" s="514">
        <v>32842.371799308537</v>
      </c>
      <c r="AD26" s="514">
        <v>13272.9576</v>
      </c>
      <c r="AE26" s="514">
        <v>0</v>
      </c>
      <c r="AF26" s="514">
        <v>380000</v>
      </c>
      <c r="AG26" s="514">
        <v>34063.799995420391</v>
      </c>
      <c r="AH26" s="514">
        <v>13782.3385</v>
      </c>
      <c r="AI26" s="514">
        <v>0</v>
      </c>
      <c r="AJ26" s="517">
        <v>380000</v>
      </c>
      <c r="AK26" s="349"/>
      <c r="AL26" s="387">
        <f t="shared" si="4"/>
        <v>1980000</v>
      </c>
      <c r="AM26" s="349"/>
    </row>
    <row r="27" spans="1:39" s="345" customFormat="1">
      <c r="A27" s="349"/>
      <c r="B27" s="349"/>
      <c r="C27" s="361"/>
      <c r="D27" s="361"/>
      <c r="E27" s="512" t="s">
        <v>691</v>
      </c>
      <c r="F27" s="513" t="s">
        <v>20</v>
      </c>
      <c r="G27" s="953"/>
      <c r="H27" s="514">
        <v>19000000</v>
      </c>
      <c r="I27" s="514">
        <v>19000000</v>
      </c>
      <c r="J27" s="514">
        <v>19000000</v>
      </c>
      <c r="K27" s="514">
        <v>19000000</v>
      </c>
      <c r="L27" s="520">
        <v>0.4</v>
      </c>
      <c r="M27" s="516">
        <f t="shared" si="5"/>
        <v>0.37037999999999999</v>
      </c>
      <c r="N27" s="516">
        <f t="shared" si="6"/>
        <v>0.11560000000000001</v>
      </c>
      <c r="O27" s="516">
        <f t="shared" si="7"/>
        <v>0.24876000000000001</v>
      </c>
      <c r="P27" s="516">
        <f t="shared" si="8"/>
        <v>0.26526</v>
      </c>
      <c r="Q27" s="514">
        <f t="shared" si="3"/>
        <v>111887.35473389625</v>
      </c>
      <c r="R27" s="514">
        <f t="shared" si="0"/>
        <v>60589.516900000002</v>
      </c>
      <c r="S27" s="514">
        <f t="shared" si="1"/>
        <v>0</v>
      </c>
      <c r="T27" s="514">
        <f t="shared" si="2"/>
        <v>2000000</v>
      </c>
      <c r="U27" s="514">
        <v>26507.066936890638</v>
      </c>
      <c r="V27" s="514">
        <v>14950.667600000001</v>
      </c>
      <c r="W27" s="514">
        <v>0</v>
      </c>
      <c r="X27" s="514">
        <v>500000</v>
      </c>
      <c r="Y27" s="514">
        <v>27448.05179077404</v>
      </c>
      <c r="Z27" s="514">
        <v>15281.6525</v>
      </c>
      <c r="AA27" s="514">
        <v>0</v>
      </c>
      <c r="AB27" s="514">
        <v>500000</v>
      </c>
      <c r="AC27" s="514">
        <v>28424.323576678071</v>
      </c>
      <c r="AD27" s="514">
        <v>15276.4647</v>
      </c>
      <c r="AE27" s="514">
        <v>0</v>
      </c>
      <c r="AF27" s="514">
        <v>500000</v>
      </c>
      <c r="AG27" s="514">
        <v>29507.9124295535</v>
      </c>
      <c r="AH27" s="514">
        <v>15080.732099999999</v>
      </c>
      <c r="AI27" s="514">
        <v>0</v>
      </c>
      <c r="AJ27" s="517">
        <v>500000</v>
      </c>
      <c r="AK27" s="349"/>
      <c r="AL27" s="387">
        <f t="shared" si="4"/>
        <v>8785600</v>
      </c>
      <c r="AM27" s="349"/>
    </row>
    <row r="28" spans="1:39" s="345" customFormat="1">
      <c r="A28" s="349"/>
      <c r="B28" s="349"/>
      <c r="C28" s="361"/>
      <c r="D28" s="361"/>
      <c r="E28" s="512" t="s">
        <v>692</v>
      </c>
      <c r="F28" s="513" t="s">
        <v>20</v>
      </c>
      <c r="G28" s="954"/>
      <c r="H28" s="514">
        <v>21000000</v>
      </c>
      <c r="I28" s="514">
        <v>21000000</v>
      </c>
      <c r="J28" s="514">
        <v>21000000</v>
      </c>
      <c r="K28" s="514">
        <v>21000000</v>
      </c>
      <c r="L28" s="520">
        <v>0.4</v>
      </c>
      <c r="M28" s="516">
        <f t="shared" si="5"/>
        <v>0.37037999999999999</v>
      </c>
      <c r="N28" s="516">
        <f t="shared" si="6"/>
        <v>0.11560000000000001</v>
      </c>
      <c r="O28" s="516">
        <f t="shared" si="7"/>
        <v>0.24876000000000001</v>
      </c>
      <c r="P28" s="516">
        <f t="shared" si="8"/>
        <v>0.26526</v>
      </c>
      <c r="Q28" s="514">
        <f t="shared" si="3"/>
        <v>111887.35473389625</v>
      </c>
      <c r="R28" s="514">
        <f t="shared" si="0"/>
        <v>66185.766899999988</v>
      </c>
      <c r="S28" s="514">
        <f t="shared" si="1"/>
        <v>0</v>
      </c>
      <c r="T28" s="514">
        <f t="shared" si="2"/>
        <v>2000000</v>
      </c>
      <c r="U28" s="514">
        <v>26507.066936890638</v>
      </c>
      <c r="V28" s="514">
        <v>16337.597599999999</v>
      </c>
      <c r="W28" s="514">
        <v>0</v>
      </c>
      <c r="X28" s="514">
        <v>500000</v>
      </c>
      <c r="Y28" s="514">
        <v>27448.05179077404</v>
      </c>
      <c r="Z28" s="514">
        <v>16697.822499999998</v>
      </c>
      <c r="AA28" s="514">
        <v>0</v>
      </c>
      <c r="AB28" s="514">
        <v>500000</v>
      </c>
      <c r="AC28" s="514">
        <v>28424.323576678071</v>
      </c>
      <c r="AD28" s="514">
        <v>16686.314699999999</v>
      </c>
      <c r="AE28" s="514">
        <v>0</v>
      </c>
      <c r="AF28" s="514">
        <v>500000</v>
      </c>
      <c r="AG28" s="514">
        <v>29507.9124295535</v>
      </c>
      <c r="AH28" s="514">
        <v>16464.0321</v>
      </c>
      <c r="AI28" s="514">
        <v>0</v>
      </c>
      <c r="AJ28" s="517">
        <v>500000</v>
      </c>
      <c r="AK28" s="349"/>
      <c r="AL28" s="387">
        <f t="shared" si="4"/>
        <v>9710400</v>
      </c>
      <c r="AM28" s="349"/>
    </row>
    <row r="29" spans="1:39" s="345" customFormat="1">
      <c r="A29" s="349"/>
      <c r="B29" s="349"/>
      <c r="C29" s="361"/>
      <c r="D29" s="361"/>
      <c r="E29" s="512" t="s">
        <v>693</v>
      </c>
      <c r="F29" s="513" t="s">
        <v>29</v>
      </c>
      <c r="G29" s="363" t="s">
        <v>13</v>
      </c>
      <c r="H29" s="514">
        <v>6900000</v>
      </c>
      <c r="I29" s="514">
        <v>6900000</v>
      </c>
      <c r="J29" s="514">
        <v>6900000</v>
      </c>
      <c r="K29" s="514">
        <v>6900000</v>
      </c>
      <c r="L29" s="520">
        <v>0.8</v>
      </c>
      <c r="M29" s="516">
        <f t="shared" si="5"/>
        <v>0.31486000000000003</v>
      </c>
      <c r="N29" s="516">
        <f t="shared" si="6"/>
        <v>9.9199999999999997E-2</v>
      </c>
      <c r="O29" s="516">
        <f t="shared" si="7"/>
        <v>0.49752000000000002</v>
      </c>
      <c r="P29" s="516">
        <f t="shared" si="8"/>
        <v>8.8419999999999985E-2</v>
      </c>
      <c r="Q29" s="514">
        <f t="shared" si="3"/>
        <v>111887.35473389625</v>
      </c>
      <c r="R29" s="514">
        <f t="shared" si="0"/>
        <v>1261531.6358</v>
      </c>
      <c r="S29" s="514">
        <f t="shared" si="1"/>
        <v>0</v>
      </c>
      <c r="T29" s="514">
        <f t="shared" si="2"/>
        <v>496000</v>
      </c>
      <c r="U29" s="514">
        <v>26507.066936890638</v>
      </c>
      <c r="V29" s="514">
        <v>304452.50900000002</v>
      </c>
      <c r="W29" s="514">
        <v>0</v>
      </c>
      <c r="X29" s="514">
        <v>124000</v>
      </c>
      <c r="Y29" s="514">
        <v>27448.05179077404</v>
      </c>
      <c r="Z29" s="514">
        <v>311895.95140000002</v>
      </c>
      <c r="AA29" s="514">
        <v>0</v>
      </c>
      <c r="AB29" s="514">
        <v>124000</v>
      </c>
      <c r="AC29" s="514">
        <v>28424.323576678071</v>
      </c>
      <c r="AD29" s="514">
        <v>319573.75040000002</v>
      </c>
      <c r="AE29" s="514">
        <v>0</v>
      </c>
      <c r="AF29" s="514">
        <v>124000</v>
      </c>
      <c r="AG29" s="514">
        <v>29507.9124295535</v>
      </c>
      <c r="AH29" s="514">
        <v>325609.42499999999</v>
      </c>
      <c r="AI29" s="514">
        <v>0</v>
      </c>
      <c r="AJ29" s="517">
        <v>124000</v>
      </c>
      <c r="AK29" s="349"/>
      <c r="AL29" s="387">
        <f t="shared" si="4"/>
        <v>2737920</v>
      </c>
      <c r="AM29" s="349"/>
    </row>
    <row r="30" spans="1:39" s="345" customFormat="1">
      <c r="A30" s="349"/>
      <c r="B30" s="349"/>
      <c r="C30" s="361"/>
      <c r="D30" s="361"/>
      <c r="E30" s="512" t="s">
        <v>694</v>
      </c>
      <c r="F30" s="513" t="s">
        <v>29</v>
      </c>
      <c r="G30" s="521" t="s">
        <v>695</v>
      </c>
      <c r="H30" s="514">
        <v>4639214</v>
      </c>
      <c r="I30" s="514">
        <v>5269578</v>
      </c>
      <c r="J30" s="514">
        <v>5891594</v>
      </c>
      <c r="K30" s="514">
        <v>6536061</v>
      </c>
      <c r="L30" s="520">
        <v>0.8</v>
      </c>
      <c r="M30" s="516">
        <f t="shared" si="5"/>
        <v>0.31486000000000003</v>
      </c>
      <c r="N30" s="516">
        <f t="shared" si="6"/>
        <v>9.9199999999999997E-2</v>
      </c>
      <c r="O30" s="516">
        <f t="shared" si="7"/>
        <v>0.49752000000000002</v>
      </c>
      <c r="P30" s="516">
        <f t="shared" si="8"/>
        <v>8.8419999999999985E-2</v>
      </c>
      <c r="Q30" s="514">
        <f t="shared" si="3"/>
        <v>106160.09785889625</v>
      </c>
      <c r="R30" s="514">
        <f t="shared" si="0"/>
        <v>21074.3969</v>
      </c>
      <c r="S30" s="514">
        <f t="shared" si="1"/>
        <v>0</v>
      </c>
      <c r="T30" s="514">
        <f t="shared" si="2"/>
        <v>328000</v>
      </c>
      <c r="U30" s="514">
        <v>25092.929436890638</v>
      </c>
      <c r="V30" s="514">
        <v>4585.6476000000002</v>
      </c>
      <c r="W30" s="514">
        <v>0</v>
      </c>
      <c r="X30" s="514">
        <v>82000</v>
      </c>
      <c r="Y30" s="514">
        <v>26033.914290774039</v>
      </c>
      <c r="Z30" s="514">
        <v>5088.1225000000004</v>
      </c>
      <c r="AA30" s="514">
        <v>0</v>
      </c>
      <c r="AB30" s="514">
        <v>82000</v>
      </c>
      <c r="AC30" s="514">
        <v>27010.18607667807</v>
      </c>
      <c r="AD30" s="514">
        <v>5511.5146999999997</v>
      </c>
      <c r="AE30" s="514">
        <v>0</v>
      </c>
      <c r="AF30" s="514">
        <v>82000</v>
      </c>
      <c r="AG30" s="514">
        <v>28023.0680545535</v>
      </c>
      <c r="AH30" s="514">
        <v>5889.1121000000003</v>
      </c>
      <c r="AI30" s="514">
        <v>0</v>
      </c>
      <c r="AJ30" s="517">
        <v>82000</v>
      </c>
      <c r="AK30" s="349"/>
      <c r="AL30" s="387">
        <f t="shared" si="4"/>
        <v>2215775.5424000002</v>
      </c>
      <c r="AM30" s="349"/>
    </row>
    <row r="31" spans="1:39" s="374" customFormat="1" ht="13.5" thickBot="1">
      <c r="A31" s="349"/>
      <c r="B31" s="349"/>
      <c r="C31" s="361"/>
      <c r="D31" s="361"/>
      <c r="E31" s="364" t="s">
        <v>204</v>
      </c>
      <c r="F31" s="365"/>
      <c r="G31" s="366"/>
      <c r="H31" s="367">
        <f>SUM(H12:H30)</f>
        <v>140691418.44</v>
      </c>
      <c r="I31" s="367">
        <f>SUM(I12:I30)</f>
        <v>143064665</v>
      </c>
      <c r="J31" s="367">
        <f>SUM(J12:J30)</f>
        <v>144355887.75</v>
      </c>
      <c r="K31" s="367">
        <f>SUM(K12:K30)</f>
        <v>144346386.13</v>
      </c>
      <c r="L31" s="368"/>
      <c r="M31" s="369"/>
      <c r="N31" s="370"/>
      <c r="O31" s="371"/>
      <c r="P31" s="372"/>
      <c r="Q31" s="373">
        <f t="shared" ref="Q31:AJ31" si="9">SUM(Q12:Q30)</f>
        <v>18867864.649755135</v>
      </c>
      <c r="R31" s="373">
        <f t="shared" si="9"/>
        <v>2872453.2843999998</v>
      </c>
      <c r="S31" s="373">
        <f t="shared" si="9"/>
        <v>8847220</v>
      </c>
      <c r="T31" s="373">
        <f t="shared" si="9"/>
        <v>7828000</v>
      </c>
      <c r="U31" s="373">
        <f t="shared" si="9"/>
        <v>4530959.2406932348</v>
      </c>
      <c r="V31" s="373">
        <f t="shared" si="9"/>
        <v>691183.80460000003</v>
      </c>
      <c r="W31" s="373">
        <f t="shared" si="9"/>
        <v>2176192</v>
      </c>
      <c r="X31" s="373">
        <f t="shared" si="9"/>
        <v>1957000</v>
      </c>
      <c r="Y31" s="373">
        <f t="shared" si="9"/>
        <v>4656227.0007592887</v>
      </c>
      <c r="Z31" s="373">
        <f t="shared" si="9"/>
        <v>710622.88250000007</v>
      </c>
      <c r="AA31" s="373">
        <f t="shared" si="9"/>
        <v>2199471</v>
      </c>
      <c r="AB31" s="373">
        <f t="shared" si="9"/>
        <v>1957000</v>
      </c>
      <c r="AC31" s="373">
        <f t="shared" si="9"/>
        <v>4784052.846693377</v>
      </c>
      <c r="AD31" s="373">
        <f t="shared" si="9"/>
        <v>728106.3581999999</v>
      </c>
      <c r="AE31" s="373">
        <f t="shared" si="9"/>
        <v>2223433</v>
      </c>
      <c r="AF31" s="373">
        <f t="shared" si="9"/>
        <v>1957000</v>
      </c>
      <c r="AG31" s="373">
        <f t="shared" si="9"/>
        <v>4896625.5616092402</v>
      </c>
      <c r="AH31" s="373">
        <f t="shared" si="9"/>
        <v>742540.23910000012</v>
      </c>
      <c r="AI31" s="373">
        <f t="shared" si="9"/>
        <v>2248124</v>
      </c>
      <c r="AJ31" s="373">
        <f t="shared" si="9"/>
        <v>1957000</v>
      </c>
      <c r="AK31" s="349"/>
      <c r="AL31" s="522">
        <f>SUM(AL12:AL30)</f>
        <v>57108083.088637993</v>
      </c>
      <c r="AM31" s="349"/>
    </row>
    <row r="32" spans="1:39" s="345" customFormat="1" ht="8.25" customHeight="1">
      <c r="A32" s="349"/>
      <c r="B32" s="349"/>
      <c r="C32" s="353"/>
      <c r="D32" s="353"/>
      <c r="E32" s="352"/>
      <c r="F32" s="352"/>
      <c r="G32" s="350"/>
      <c r="H32" s="350"/>
      <c r="I32" s="350"/>
      <c r="J32" s="350"/>
      <c r="K32" s="350"/>
      <c r="L32" s="350"/>
      <c r="R32" s="375"/>
      <c r="S32" s="375"/>
      <c r="T32" s="375"/>
      <c r="U32" s="375"/>
      <c r="V32" s="375"/>
      <c r="W32" s="375"/>
      <c r="X32" s="375"/>
      <c r="Y32" s="375"/>
      <c r="Z32" s="375"/>
      <c r="AA32" s="375"/>
      <c r="AB32" s="375"/>
      <c r="AC32" s="375"/>
      <c r="AD32" s="375"/>
      <c r="AE32" s="375"/>
      <c r="AF32" s="375"/>
      <c r="AG32" s="375"/>
      <c r="AH32" s="375"/>
      <c r="AI32" s="375"/>
      <c r="AJ32" s="375"/>
      <c r="AK32" s="349"/>
      <c r="AL32" s="341"/>
      <c r="AM32" s="349"/>
    </row>
    <row r="33" spans="3:39" s="349" customFormat="1">
      <c r="C33" s="348"/>
      <c r="D33" s="348"/>
      <c r="E33" s="376" t="s">
        <v>696</v>
      </c>
      <c r="F33" s="377"/>
      <c r="G33" s="378"/>
      <c r="H33" s="378"/>
      <c r="I33" s="378"/>
      <c r="J33" s="378"/>
      <c r="K33" s="378"/>
      <c r="L33" s="378"/>
      <c r="M33" s="378"/>
      <c r="Q33" s="403"/>
      <c r="R33" s="403"/>
      <c r="S33" s="403"/>
      <c r="T33" s="403"/>
      <c r="U33" s="403"/>
      <c r="V33" s="403"/>
      <c r="W33" s="403"/>
      <c r="X33" s="403"/>
      <c r="Y33" s="403"/>
      <c r="Z33" s="403"/>
      <c r="AA33" s="403"/>
      <c r="AB33" s="403"/>
      <c r="AC33" s="403"/>
      <c r="AD33" s="403"/>
      <c r="AE33" s="403"/>
      <c r="AF33" s="403"/>
      <c r="AG33" s="403"/>
      <c r="AH33" s="403"/>
      <c r="AI33" s="403"/>
      <c r="AJ33" s="403"/>
      <c r="AL33" s="341"/>
    </row>
    <row r="34" spans="3:39" s="349" customFormat="1">
      <c r="C34" s="348"/>
      <c r="D34" s="348"/>
      <c r="E34" s="377" t="s">
        <v>697</v>
      </c>
      <c r="F34" s="377"/>
      <c r="G34" s="378"/>
      <c r="H34" s="378"/>
      <c r="I34" s="378"/>
      <c r="J34" s="378"/>
      <c r="K34" s="378"/>
      <c r="L34" s="378"/>
      <c r="M34" s="378"/>
      <c r="AL34" s="341"/>
    </row>
    <row r="35" spans="3:39" s="349" customFormat="1">
      <c r="C35" s="348"/>
      <c r="D35" s="348"/>
      <c r="E35" s="937" t="s">
        <v>698</v>
      </c>
      <c r="F35" s="938"/>
      <c r="G35" s="938"/>
      <c r="H35" s="938"/>
      <c r="I35" s="938"/>
      <c r="J35" s="938"/>
      <c r="K35" s="938"/>
      <c r="L35" s="938"/>
      <c r="M35" s="938"/>
      <c r="N35" s="938"/>
      <c r="O35" s="938"/>
      <c r="P35" s="938"/>
      <c r="Q35" s="938"/>
      <c r="R35" s="938"/>
      <c r="S35" s="938"/>
      <c r="AL35" s="341"/>
    </row>
    <row r="36" spans="3:39" s="349" customFormat="1">
      <c r="C36" s="348"/>
      <c r="D36" s="348"/>
      <c r="E36" s="938"/>
      <c r="F36" s="938"/>
      <c r="G36" s="938"/>
      <c r="H36" s="938"/>
      <c r="I36" s="938"/>
      <c r="J36" s="938"/>
      <c r="K36" s="938"/>
      <c r="L36" s="938"/>
      <c r="M36" s="938"/>
      <c r="N36" s="938"/>
      <c r="O36" s="938"/>
      <c r="P36" s="938"/>
      <c r="Q36" s="938"/>
      <c r="R36" s="938"/>
      <c r="S36" s="938"/>
      <c r="AL36" s="341"/>
    </row>
    <row r="37" spans="3:39" s="345" customFormat="1" ht="15.6" customHeight="1">
      <c r="C37" s="348"/>
      <c r="D37" s="348"/>
      <c r="T37" s="379"/>
      <c r="U37" s="379"/>
      <c r="V37" s="379"/>
      <c r="W37" s="379"/>
      <c r="X37" s="379"/>
      <c r="Y37" s="379"/>
      <c r="Z37" s="379"/>
      <c r="AA37" s="379"/>
      <c r="AB37" s="379"/>
      <c r="AC37" s="379"/>
      <c r="AD37" s="379"/>
      <c r="AE37" s="379"/>
      <c r="AF37" s="379"/>
      <c r="AG37" s="379"/>
      <c r="AH37" s="379"/>
      <c r="AI37" s="379"/>
      <c r="AJ37" s="379"/>
      <c r="AK37" s="379"/>
      <c r="AL37" s="388"/>
      <c r="AM37" s="379"/>
    </row>
    <row r="38" spans="3:39" s="349" customFormat="1" ht="36" customHeight="1">
      <c r="C38" s="348"/>
      <c r="D38" s="348"/>
      <c r="AL38" s="341"/>
    </row>
    <row r="39" spans="3:39" ht="13.5" thickBot="1">
      <c r="C39" s="348"/>
      <c r="D39" s="348"/>
      <c r="R39" s="341"/>
      <c r="S39" s="341"/>
      <c r="T39" s="341"/>
      <c r="U39" s="349"/>
      <c r="V39" s="341"/>
      <c r="W39" s="341"/>
      <c r="X39" s="341"/>
      <c r="Y39" s="341"/>
      <c r="Z39" s="341"/>
      <c r="AA39" s="341"/>
      <c r="AB39" s="341"/>
      <c r="AC39" s="341"/>
      <c r="AD39" s="341"/>
      <c r="AE39" s="341"/>
      <c r="AF39" s="341"/>
      <c r="AG39" s="341"/>
      <c r="AH39" s="341"/>
      <c r="AI39" s="341"/>
      <c r="AJ39" s="341"/>
      <c r="AK39" s="341"/>
      <c r="AL39" s="341"/>
      <c r="AM39" s="341"/>
    </row>
    <row r="40" spans="3:39" ht="13.5" thickBot="1">
      <c r="O40" s="939" t="s">
        <v>699</v>
      </c>
      <c r="P40" s="940"/>
      <c r="Q40" s="940"/>
      <c r="R40" s="940"/>
      <c r="S40" s="940"/>
      <c r="T40" s="341"/>
      <c r="U40" s="349"/>
      <c r="V40" s="341"/>
      <c r="W40" s="341"/>
      <c r="X40" s="341"/>
      <c r="Y40" s="341"/>
      <c r="Z40" s="341"/>
      <c r="AA40" s="341"/>
      <c r="AB40" s="341"/>
      <c r="AC40" s="341"/>
      <c r="AD40" s="341"/>
      <c r="AE40" s="341"/>
      <c r="AF40" s="341"/>
      <c r="AG40" s="341"/>
      <c r="AH40" s="341"/>
      <c r="AI40" s="341"/>
      <c r="AJ40" s="341"/>
      <c r="AK40" s="341"/>
      <c r="AL40" s="341"/>
      <c r="AM40" s="341"/>
    </row>
    <row r="41" spans="3:39" ht="38.25">
      <c r="O41" s="380" t="s">
        <v>370</v>
      </c>
      <c r="P41" s="381" t="s">
        <v>700</v>
      </c>
      <c r="Q41" s="381" t="s">
        <v>701</v>
      </c>
      <c r="R41" s="381" t="s">
        <v>702</v>
      </c>
      <c r="S41" s="382" t="s">
        <v>703</v>
      </c>
      <c r="T41" s="383" t="s">
        <v>704</v>
      </c>
      <c r="U41" s="384" t="s">
        <v>705</v>
      </c>
      <c r="V41" s="341"/>
      <c r="W41" s="341"/>
      <c r="X41" s="341"/>
      <c r="Y41" s="341"/>
      <c r="Z41" s="341"/>
      <c r="AA41" s="341"/>
      <c r="AB41" s="341"/>
      <c r="AC41" s="341"/>
      <c r="AD41" s="341"/>
      <c r="AE41" s="341"/>
      <c r="AF41" s="341"/>
      <c r="AG41" s="341"/>
      <c r="AH41" s="341"/>
      <c r="AI41" s="341"/>
      <c r="AJ41" s="341"/>
      <c r="AK41" s="341"/>
      <c r="AL41" s="341"/>
      <c r="AM41" s="341"/>
    </row>
    <row r="42" spans="3:39">
      <c r="O42" s="523" t="s">
        <v>16</v>
      </c>
      <c r="P42" s="524">
        <v>0.8</v>
      </c>
      <c r="Q42" s="524">
        <v>0.2</v>
      </c>
      <c r="R42" s="524">
        <v>0.28710000000000002</v>
      </c>
      <c r="S42" s="525">
        <v>0.4259</v>
      </c>
      <c r="T42" s="526">
        <v>0.2</v>
      </c>
      <c r="U42" s="527"/>
      <c r="V42" s="341"/>
      <c r="W42" s="341"/>
      <c r="X42" s="341"/>
      <c r="Y42" s="341"/>
      <c r="Z42" s="341"/>
      <c r="AA42" s="341"/>
      <c r="AB42" s="341"/>
      <c r="AC42" s="341"/>
      <c r="AD42" s="341"/>
      <c r="AE42" s="341"/>
      <c r="AF42" s="341"/>
      <c r="AG42" s="341"/>
      <c r="AH42" s="341"/>
      <c r="AI42" s="341"/>
      <c r="AJ42" s="341"/>
      <c r="AK42" s="341"/>
      <c r="AL42" s="341"/>
      <c r="AM42" s="341"/>
    </row>
    <row r="43" spans="3:39">
      <c r="O43" s="523" t="s">
        <v>13</v>
      </c>
      <c r="P43" s="524">
        <v>0.9</v>
      </c>
      <c r="Q43" s="524">
        <v>0.1</v>
      </c>
      <c r="R43" s="524">
        <v>9.0999999999999998E-2</v>
      </c>
      <c r="S43" s="525">
        <v>0.13200000000000001</v>
      </c>
      <c r="T43" s="526">
        <v>0.2</v>
      </c>
      <c r="U43" s="528">
        <f>AL31/'8 Cap &amp; Target '!G27</f>
        <v>0.20631711994098612</v>
      </c>
      <c r="V43" s="341"/>
      <c r="W43" s="341"/>
      <c r="X43" s="341"/>
      <c r="Y43" s="341"/>
      <c r="Z43" s="341"/>
      <c r="AA43" s="341"/>
      <c r="AB43" s="341"/>
      <c r="AC43" s="341"/>
      <c r="AD43" s="341"/>
      <c r="AE43" s="341"/>
      <c r="AF43" s="341"/>
      <c r="AG43" s="341"/>
      <c r="AH43" s="341"/>
      <c r="AI43" s="341"/>
      <c r="AJ43" s="341"/>
      <c r="AK43" s="341"/>
      <c r="AL43" s="341"/>
      <c r="AM43" s="341"/>
    </row>
    <row r="44" spans="3:39">
      <c r="O44" s="523" t="s">
        <v>25</v>
      </c>
      <c r="P44" s="524">
        <v>1</v>
      </c>
      <c r="Q44" s="524">
        <v>0</v>
      </c>
      <c r="R44" s="524">
        <v>0.62190000000000001</v>
      </c>
      <c r="S44" s="525">
        <v>0</v>
      </c>
      <c r="T44" s="526">
        <v>0.2</v>
      </c>
      <c r="U44" s="527"/>
      <c r="V44" s="341"/>
      <c r="W44" s="341"/>
      <c r="X44" s="341"/>
      <c r="Y44" s="341"/>
      <c r="Z44" s="341"/>
      <c r="AA44" s="341"/>
      <c r="AB44" s="341"/>
      <c r="AC44" s="341"/>
      <c r="AD44" s="341"/>
      <c r="AE44" s="341"/>
      <c r="AF44" s="341"/>
      <c r="AG44" s="341"/>
      <c r="AH44" s="341"/>
      <c r="AI44" s="341"/>
      <c r="AJ44" s="341"/>
      <c r="AK44" s="341"/>
      <c r="AL44" s="341"/>
      <c r="AM44" s="341"/>
    </row>
    <row r="45" spans="3:39" ht="13.5" thickBot="1">
      <c r="O45" s="529" t="s">
        <v>32</v>
      </c>
      <c r="P45" s="530">
        <v>0</v>
      </c>
      <c r="Q45" s="530">
        <v>1</v>
      </c>
      <c r="R45" s="530">
        <v>0</v>
      </c>
      <c r="S45" s="531">
        <v>0.44209999999999999</v>
      </c>
      <c r="T45" s="532">
        <v>0.1</v>
      </c>
      <c r="U45" s="533"/>
      <c r="V45" s="341"/>
      <c r="W45" s="341"/>
      <c r="X45" s="341"/>
      <c r="Y45" s="341"/>
      <c r="Z45" s="341"/>
      <c r="AA45" s="341"/>
      <c r="AB45" s="341"/>
      <c r="AC45" s="341"/>
      <c r="AD45" s="341"/>
      <c r="AE45" s="341"/>
      <c r="AF45" s="341"/>
      <c r="AG45" s="341"/>
      <c r="AH45" s="341"/>
      <c r="AI45" s="341"/>
      <c r="AJ45" s="341"/>
      <c r="AK45" s="341"/>
      <c r="AL45" s="341"/>
      <c r="AM45" s="341"/>
    </row>
    <row r="46" spans="3:39">
      <c r="R46" s="341"/>
      <c r="S46" s="341"/>
      <c r="T46" s="341"/>
      <c r="U46" s="341"/>
      <c r="V46" s="341"/>
      <c r="W46" s="341"/>
      <c r="X46" s="341"/>
      <c r="Y46" s="341"/>
      <c r="Z46" s="341"/>
      <c r="AA46" s="341"/>
      <c r="AB46" s="341"/>
      <c r="AC46" s="341"/>
      <c r="AD46" s="341"/>
      <c r="AE46" s="341"/>
      <c r="AF46" s="341"/>
      <c r="AG46" s="341"/>
      <c r="AH46" s="341"/>
      <c r="AI46" s="341"/>
      <c r="AJ46" s="341"/>
      <c r="AK46" s="341"/>
      <c r="AL46" s="341"/>
      <c r="AM46" s="341"/>
    </row>
    <row r="47" spans="3:39">
      <c r="O47" s="341" t="s">
        <v>706</v>
      </c>
      <c r="R47" s="341"/>
      <c r="S47" s="341"/>
      <c r="T47" s="341"/>
      <c r="U47" s="341"/>
      <c r="V47" s="341"/>
      <c r="W47" s="341"/>
      <c r="X47" s="341"/>
      <c r="Y47" s="341"/>
      <c r="Z47" s="341"/>
      <c r="AA47" s="341"/>
      <c r="AB47" s="341"/>
      <c r="AC47" s="341"/>
      <c r="AD47" s="341"/>
      <c r="AE47" s="341"/>
      <c r="AF47" s="341"/>
      <c r="AG47" s="341"/>
      <c r="AH47" s="341"/>
      <c r="AI47" s="341"/>
      <c r="AJ47" s="341"/>
      <c r="AK47" s="341"/>
      <c r="AL47" s="341"/>
      <c r="AM47" s="341"/>
    </row>
    <row r="48" spans="3:39">
      <c r="O48" s="341" t="s">
        <v>707</v>
      </c>
      <c r="R48" s="341"/>
      <c r="S48" s="341"/>
      <c r="T48" s="341"/>
      <c r="U48" s="341"/>
      <c r="V48" s="341"/>
      <c r="W48" s="341"/>
      <c r="X48" s="341"/>
      <c r="Y48" s="341"/>
      <c r="Z48" s="341"/>
      <c r="AA48" s="341"/>
      <c r="AB48" s="341"/>
      <c r="AC48" s="341"/>
      <c r="AD48" s="341"/>
      <c r="AE48" s="341"/>
      <c r="AF48" s="341"/>
      <c r="AG48" s="341"/>
      <c r="AH48" s="341"/>
      <c r="AI48" s="341"/>
      <c r="AJ48" s="341"/>
      <c r="AK48" s="341"/>
      <c r="AL48" s="341"/>
      <c r="AM48" s="341"/>
    </row>
    <row r="49" spans="15:39" ht="13.5" thickBot="1">
      <c r="R49" s="341"/>
      <c r="S49" s="341"/>
      <c r="T49" s="341"/>
      <c r="U49" s="341"/>
      <c r="V49" s="341"/>
      <c r="W49" s="341"/>
      <c r="X49" s="341"/>
      <c r="Y49" s="341"/>
      <c r="Z49" s="341"/>
      <c r="AA49" s="341"/>
      <c r="AB49" s="341"/>
      <c r="AC49" s="341"/>
      <c r="AD49" s="341"/>
      <c r="AE49" s="341"/>
      <c r="AF49" s="341"/>
      <c r="AG49" s="341"/>
      <c r="AH49" s="341"/>
      <c r="AI49" s="341"/>
      <c r="AJ49" s="341"/>
      <c r="AK49" s="341"/>
      <c r="AL49" s="341"/>
      <c r="AM49" s="341"/>
    </row>
    <row r="50" spans="15:39" ht="13.5" thickBot="1">
      <c r="O50" s="957" t="s">
        <v>708</v>
      </c>
      <c r="P50" s="958"/>
      <c r="Q50" s="958"/>
      <c r="R50" s="958"/>
      <c r="S50" s="958"/>
      <c r="T50" s="959"/>
      <c r="U50" s="341"/>
      <c r="V50" s="341"/>
      <c r="W50" s="341"/>
      <c r="X50" s="341"/>
      <c r="Y50" s="341"/>
      <c r="Z50" s="341"/>
      <c r="AA50" s="341"/>
      <c r="AB50" s="341"/>
      <c r="AC50" s="341"/>
      <c r="AD50" s="341"/>
      <c r="AE50" s="341"/>
      <c r="AF50" s="341"/>
      <c r="AG50" s="341"/>
      <c r="AH50" s="341"/>
      <c r="AI50" s="341"/>
      <c r="AJ50" s="341"/>
      <c r="AK50" s="341"/>
      <c r="AL50" s="341"/>
      <c r="AM50" s="341"/>
    </row>
    <row r="51" spans="15:39">
      <c r="O51" s="960" t="s">
        <v>370</v>
      </c>
      <c r="P51" s="962" t="s">
        <v>700</v>
      </c>
      <c r="Q51" s="962" t="s">
        <v>701</v>
      </c>
      <c r="R51" s="962" t="s">
        <v>702</v>
      </c>
      <c r="S51" s="964" t="s">
        <v>703</v>
      </c>
      <c r="T51" s="385" t="s">
        <v>709</v>
      </c>
      <c r="U51" s="341"/>
      <c r="V51" s="341"/>
      <c r="W51" s="341"/>
      <c r="X51" s="341"/>
      <c r="Y51" s="341"/>
      <c r="Z51" s="341"/>
      <c r="AA51" s="341"/>
      <c r="AB51" s="341"/>
      <c r="AC51" s="341"/>
      <c r="AD51" s="341"/>
      <c r="AE51" s="341"/>
      <c r="AF51" s="341"/>
      <c r="AG51" s="341"/>
      <c r="AH51" s="341"/>
      <c r="AI51" s="341"/>
      <c r="AJ51" s="341"/>
      <c r="AK51" s="341"/>
      <c r="AL51" s="341"/>
      <c r="AM51" s="341"/>
    </row>
    <row r="52" spans="15:39" ht="51">
      <c r="O52" s="961"/>
      <c r="P52" s="963"/>
      <c r="Q52" s="963"/>
      <c r="R52" s="963"/>
      <c r="S52" s="965"/>
      <c r="T52" s="386" t="s">
        <v>710</v>
      </c>
      <c r="U52" s="341"/>
      <c r="V52" s="341"/>
      <c r="W52" s="341"/>
      <c r="X52" s="341"/>
      <c r="Y52" s="341"/>
      <c r="Z52" s="341"/>
      <c r="AA52" s="341"/>
      <c r="AB52" s="341"/>
      <c r="AC52" s="341"/>
      <c r="AD52" s="341"/>
      <c r="AE52" s="341"/>
      <c r="AF52" s="341"/>
      <c r="AG52" s="341"/>
      <c r="AH52" s="341"/>
      <c r="AI52" s="341"/>
      <c r="AJ52" s="341"/>
      <c r="AK52" s="341"/>
      <c r="AL52" s="341"/>
      <c r="AM52" s="341"/>
    </row>
    <row r="53" spans="15:39">
      <c r="O53" s="534" t="s">
        <v>16</v>
      </c>
      <c r="P53" s="535">
        <v>0.8</v>
      </c>
      <c r="Q53" s="535">
        <v>0.2</v>
      </c>
      <c r="R53" s="536">
        <v>0.4536</v>
      </c>
      <c r="S53" s="536">
        <v>0.45150000000000001</v>
      </c>
      <c r="T53" s="537">
        <v>0.45319999999999999</v>
      </c>
      <c r="U53" s="341"/>
      <c r="V53" s="341"/>
      <c r="W53" s="341"/>
      <c r="X53" s="341"/>
      <c r="Y53" s="341"/>
      <c r="Z53" s="341"/>
      <c r="AA53" s="341"/>
      <c r="AB53" s="341"/>
      <c r="AC53" s="341"/>
      <c r="AD53" s="341"/>
      <c r="AE53" s="341"/>
      <c r="AF53" s="341"/>
      <c r="AG53" s="341"/>
      <c r="AH53" s="341"/>
      <c r="AI53" s="341"/>
      <c r="AJ53" s="341"/>
      <c r="AK53" s="341"/>
      <c r="AL53" s="341"/>
      <c r="AM53" s="341"/>
    </row>
    <row r="54" spans="15:39">
      <c r="O54" s="534" t="s">
        <v>25</v>
      </c>
      <c r="P54" s="535">
        <v>0.9</v>
      </c>
      <c r="Q54" s="535">
        <v>0.1</v>
      </c>
      <c r="R54" s="536">
        <v>0.4536</v>
      </c>
      <c r="S54" s="536">
        <v>0</v>
      </c>
      <c r="T54" s="537">
        <v>0.36280000000000001</v>
      </c>
      <c r="U54" s="341"/>
      <c r="V54" s="341"/>
      <c r="W54" s="341"/>
      <c r="X54" s="341"/>
      <c r="Y54" s="341"/>
      <c r="Z54" s="341"/>
      <c r="AA54" s="341"/>
      <c r="AB54" s="341"/>
      <c r="AC54" s="341"/>
      <c r="AD54" s="341"/>
      <c r="AE54" s="341"/>
      <c r="AF54" s="341"/>
      <c r="AG54" s="341"/>
      <c r="AH54" s="341"/>
      <c r="AI54" s="341"/>
      <c r="AJ54" s="341"/>
      <c r="AK54" s="341"/>
      <c r="AL54" s="341"/>
      <c r="AM54" s="341"/>
    </row>
    <row r="55" spans="15:39">
      <c r="O55" s="534" t="s">
        <v>277</v>
      </c>
      <c r="P55" s="535">
        <v>1</v>
      </c>
      <c r="Q55" s="535">
        <v>0</v>
      </c>
      <c r="R55" s="536">
        <v>0</v>
      </c>
      <c r="S55" s="536">
        <v>0.50290000000000001</v>
      </c>
      <c r="T55" s="537">
        <v>0.10059999999999999</v>
      </c>
      <c r="U55" s="341"/>
      <c r="V55" s="341"/>
      <c r="W55" s="341"/>
      <c r="X55" s="341"/>
      <c r="Y55" s="341"/>
      <c r="Z55" s="341"/>
      <c r="AA55" s="341"/>
      <c r="AB55" s="341"/>
      <c r="AC55" s="341"/>
      <c r="AD55" s="341"/>
      <c r="AE55" s="341"/>
      <c r="AF55" s="341"/>
      <c r="AG55" s="341"/>
      <c r="AH55" s="341"/>
      <c r="AI55" s="341"/>
      <c r="AJ55" s="341"/>
      <c r="AK55" s="341"/>
      <c r="AL55" s="341"/>
      <c r="AM55" s="341"/>
    </row>
    <row r="56" spans="15:39" ht="13.5" thickBot="1">
      <c r="O56" s="538" t="s">
        <v>13</v>
      </c>
      <c r="P56" s="539">
        <v>0</v>
      </c>
      <c r="Q56" s="539">
        <v>1</v>
      </c>
      <c r="R56" s="540">
        <v>9.2799999999999994E-2</v>
      </c>
      <c r="S56" s="540">
        <v>4.5600000000000002E-2</v>
      </c>
      <c r="T56" s="541">
        <v>8.3299999999999999E-2</v>
      </c>
      <c r="U56" s="341"/>
      <c r="V56" s="341"/>
      <c r="W56" s="341"/>
      <c r="X56" s="341"/>
      <c r="Y56" s="341"/>
      <c r="Z56" s="341"/>
      <c r="AA56" s="341"/>
      <c r="AB56" s="341"/>
      <c r="AC56" s="341"/>
      <c r="AD56" s="341"/>
      <c r="AE56" s="341"/>
      <c r="AF56" s="341"/>
      <c r="AG56" s="341"/>
      <c r="AH56" s="341"/>
      <c r="AI56" s="341"/>
      <c r="AJ56" s="341"/>
      <c r="AK56" s="341"/>
      <c r="AL56" s="341"/>
      <c r="AM56" s="341"/>
    </row>
    <row r="57" spans="15:39">
      <c r="R57" s="341"/>
      <c r="S57" s="341"/>
      <c r="T57" s="341"/>
      <c r="U57" s="341"/>
      <c r="V57" s="341"/>
      <c r="W57" s="341"/>
      <c r="X57" s="341"/>
      <c r="Y57" s="341"/>
      <c r="Z57" s="341"/>
      <c r="AA57" s="341"/>
      <c r="AB57" s="341"/>
      <c r="AC57" s="341"/>
      <c r="AD57" s="341"/>
      <c r="AE57" s="341"/>
      <c r="AF57" s="341"/>
      <c r="AG57" s="341"/>
      <c r="AH57" s="341"/>
      <c r="AI57" s="341"/>
      <c r="AJ57" s="341"/>
      <c r="AK57" s="341"/>
      <c r="AL57" s="341"/>
      <c r="AM57" s="341"/>
    </row>
    <row r="58" spans="15:39">
      <c r="R58" s="341"/>
      <c r="S58" s="341"/>
      <c r="T58" s="341"/>
      <c r="U58" s="341"/>
      <c r="V58" s="341"/>
      <c r="W58" s="341"/>
      <c r="X58" s="341"/>
      <c r="Y58" s="341"/>
      <c r="Z58" s="341"/>
      <c r="AA58" s="341"/>
      <c r="AB58" s="341"/>
      <c r="AC58" s="341"/>
      <c r="AD58" s="341"/>
      <c r="AE58" s="341"/>
      <c r="AF58" s="341"/>
      <c r="AG58" s="341"/>
      <c r="AH58" s="341"/>
      <c r="AI58" s="341"/>
      <c r="AJ58" s="341"/>
      <c r="AK58" s="341"/>
      <c r="AL58" s="341"/>
      <c r="AM58" s="341"/>
    </row>
    <row r="59" spans="15:39">
      <c r="R59" s="341"/>
      <c r="S59" s="341"/>
      <c r="T59" s="341"/>
      <c r="U59" s="341"/>
      <c r="V59" s="341"/>
      <c r="W59" s="341"/>
      <c r="X59" s="341"/>
      <c r="Y59" s="341"/>
      <c r="Z59" s="341"/>
      <c r="AA59" s="341"/>
      <c r="AB59" s="341"/>
      <c r="AC59" s="341"/>
      <c r="AD59" s="341"/>
      <c r="AE59" s="341"/>
      <c r="AF59" s="341"/>
      <c r="AG59" s="341"/>
      <c r="AH59" s="341"/>
      <c r="AI59" s="341"/>
      <c r="AJ59" s="341"/>
      <c r="AK59" s="341"/>
      <c r="AL59" s="341"/>
      <c r="AM59" s="341"/>
    </row>
    <row r="60" spans="15:39">
      <c r="R60" s="341"/>
      <c r="S60" s="341"/>
      <c r="T60" s="341"/>
      <c r="U60" s="341"/>
      <c r="V60" s="341"/>
      <c r="W60" s="341"/>
      <c r="X60" s="341"/>
      <c r="Y60" s="341"/>
      <c r="Z60" s="341"/>
      <c r="AA60" s="341"/>
      <c r="AB60" s="341"/>
      <c r="AC60" s="341"/>
      <c r="AD60" s="341"/>
      <c r="AE60" s="341"/>
      <c r="AF60" s="341"/>
      <c r="AG60" s="341"/>
      <c r="AH60" s="341"/>
      <c r="AI60" s="341"/>
      <c r="AJ60" s="341"/>
      <c r="AK60" s="341"/>
      <c r="AL60" s="341"/>
      <c r="AM60" s="341"/>
    </row>
    <row r="61" spans="15:39">
      <c r="R61" s="341"/>
      <c r="S61" s="341"/>
      <c r="T61" s="341"/>
      <c r="U61" s="341"/>
      <c r="V61" s="341"/>
      <c r="W61" s="341"/>
      <c r="X61" s="341"/>
      <c r="Y61" s="341"/>
      <c r="Z61" s="341"/>
      <c r="AA61" s="341"/>
      <c r="AB61" s="341"/>
      <c r="AC61" s="341"/>
      <c r="AD61" s="341"/>
      <c r="AE61" s="341"/>
      <c r="AF61" s="341"/>
      <c r="AG61" s="341"/>
      <c r="AH61" s="341"/>
      <c r="AI61" s="341"/>
      <c r="AJ61" s="341"/>
      <c r="AK61" s="341"/>
      <c r="AL61" s="341"/>
      <c r="AM61" s="341"/>
    </row>
  </sheetData>
  <mergeCells count="29">
    <mergeCell ref="O50:T50"/>
    <mergeCell ref="O51:O52"/>
    <mergeCell ref="P51:P52"/>
    <mergeCell ref="Q51:Q52"/>
    <mergeCell ref="R51:R52"/>
    <mergeCell ref="S51:S52"/>
    <mergeCell ref="G12:G21"/>
    <mergeCell ref="G26:G28"/>
    <mergeCell ref="X7:AA7"/>
    <mergeCell ref="M8:P8"/>
    <mergeCell ref="U10:X10"/>
    <mergeCell ref="Y10:AB10"/>
    <mergeCell ref="G22:G25"/>
    <mergeCell ref="E2:J2"/>
    <mergeCell ref="E3:J3"/>
    <mergeCell ref="AG10:AJ10"/>
    <mergeCell ref="E35:S36"/>
    <mergeCell ref="O40:S40"/>
    <mergeCell ref="L10:L11"/>
    <mergeCell ref="M10:P10"/>
    <mergeCell ref="E10:E11"/>
    <mergeCell ref="G10:G11"/>
    <mergeCell ref="H10:H11"/>
    <mergeCell ref="I10:I11"/>
    <mergeCell ref="J10:J11"/>
    <mergeCell ref="F10:F11"/>
    <mergeCell ref="K10:K11"/>
    <mergeCell ref="Q10:T10"/>
    <mergeCell ref="AC10:AF10"/>
  </mergeCells>
  <pageMargins left="0.25" right="0.25" top="0.75" bottom="0.75" header="0.3" footer="0.3"/>
  <pageSetup paperSize="17" scale="58" fitToWidth="0" orientation="landscape" r:id="rId1"/>
  <headerFooter>
    <oddFooter>&amp;C&amp;A</oddFooter>
  </headerFooter>
  <ignoredErrors>
    <ignoredError sqref="AL13:AL31"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DF768BD-BA90-4FFC-886D-98C5ED8DD48D}">
          <x14:formula1>
            <xm:f>'Read Me'!$K$10:$K$14</xm:f>
          </x14:formula1>
          <xm:sqref>F12:F30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9B18-D756-48CD-9354-6265C0B13FA6}">
  <sheetPr codeName="Sheet12">
    <tabColor theme="4"/>
    <pageSetUpPr fitToPage="1"/>
  </sheetPr>
  <dimension ref="B1:BD70"/>
  <sheetViews>
    <sheetView showGridLines="0" zoomScaleNormal="100" workbookViewId="0">
      <pane ySplit="8" topLeftCell="A9" activePane="bottomLeft" state="frozen"/>
      <selection pane="bottomLeft" activeCell="B1" sqref="B1"/>
    </sheetView>
  </sheetViews>
  <sheetFormatPr defaultColWidth="8.125" defaultRowHeight="15"/>
  <cols>
    <col min="1" max="1" width="2.75" style="40" customWidth="1"/>
    <col min="2" max="3" width="13.125" style="40" customWidth="1"/>
    <col min="4" max="4" width="27.125" style="40" customWidth="1"/>
    <col min="5" max="5" width="15.625" style="40" customWidth="1"/>
    <col min="6" max="6" width="15.625" style="41" customWidth="1"/>
    <col min="7" max="10" width="15.625" style="40" customWidth="1"/>
    <col min="11" max="11" width="6.125" style="40" customWidth="1"/>
    <col min="12" max="12" width="53.75" style="41" customWidth="1"/>
    <col min="13" max="13" width="11.125" style="40" customWidth="1"/>
    <col min="14" max="14" width="14.125" style="40" customWidth="1"/>
    <col min="15" max="16" width="11.125" style="40" customWidth="1"/>
    <col min="17" max="17" width="25.625" style="40" customWidth="1"/>
    <col min="18" max="18" width="13.125" style="41" customWidth="1"/>
    <col min="19" max="19" width="11.125" style="40" customWidth="1"/>
    <col min="20" max="20" width="14.125" style="40" customWidth="1"/>
    <col min="21" max="22" width="11.125" style="40" customWidth="1"/>
    <col min="23" max="23" width="25.625" style="40" customWidth="1"/>
    <col min="24" max="24" width="13.125" style="41" customWidth="1"/>
    <col min="25" max="25" width="11.125" style="40" customWidth="1"/>
    <col min="26" max="26" width="14.125" style="40" customWidth="1"/>
    <col min="27" max="28" width="11.125" style="40" customWidth="1"/>
    <col min="29" max="29" width="25.625" style="40" customWidth="1"/>
    <col min="30" max="30" width="13.125" style="41" customWidth="1"/>
    <col min="31" max="31" width="11.125" style="40" customWidth="1"/>
    <col min="32" max="32" width="14.125" style="40" customWidth="1"/>
    <col min="33" max="34" width="11.125" style="40" customWidth="1"/>
    <col min="35" max="35" width="25.625" style="40" customWidth="1"/>
    <col min="36" max="36" width="13.125" style="41" customWidth="1"/>
    <col min="37" max="37" width="11.125" style="40" customWidth="1"/>
    <col min="38" max="38" width="14.125" style="40" customWidth="1"/>
    <col min="39" max="40" width="11.125" style="40" customWidth="1"/>
    <col min="41" max="41" width="25.625" style="40" customWidth="1"/>
    <col min="42" max="42" width="13.125" style="41" customWidth="1"/>
    <col min="43" max="43" width="11.125" style="40" customWidth="1"/>
    <col min="44" max="44" width="14.125" style="40" customWidth="1"/>
    <col min="45" max="46" width="11.125" style="40" customWidth="1"/>
    <col min="47" max="47" width="25.625" style="40" customWidth="1"/>
    <col min="48" max="48" width="13.125" style="41" customWidth="1"/>
    <col min="49" max="49" width="11.125" style="40" customWidth="1"/>
    <col min="50" max="50" width="14.125" style="40" customWidth="1"/>
    <col min="51" max="52" width="11.125" style="40" customWidth="1"/>
    <col min="53" max="53" width="2.125" style="40" customWidth="1"/>
    <col min="54" max="54" width="255.625" style="42" bestFit="1" customWidth="1"/>
    <col min="55" max="55" width="12.625" style="40" customWidth="1"/>
    <col min="56" max="56" width="19.625" style="94" bestFit="1" customWidth="1"/>
    <col min="57" max="57" width="11.125" style="40" customWidth="1"/>
    <col min="58" max="58" width="21.125" style="40" bestFit="1" customWidth="1"/>
    <col min="59" max="59" width="11.5" style="40" bestFit="1" customWidth="1"/>
    <col min="60" max="16384" width="8.125" style="40"/>
  </cols>
  <sheetData>
    <row r="1" spans="2:12" ht="15.75" thickBot="1">
      <c r="B1" s="736"/>
      <c r="C1" s="736"/>
      <c r="D1" s="736"/>
      <c r="E1" s="736"/>
      <c r="F1" s="769"/>
      <c r="G1" s="736"/>
      <c r="H1" s="736"/>
      <c r="I1" s="736"/>
      <c r="J1" s="736"/>
      <c r="K1" s="736"/>
      <c r="L1" s="769"/>
    </row>
    <row r="2" spans="2:12" ht="46.5" customHeight="1" thickBot="1">
      <c r="B2" s="87" t="s">
        <v>58</v>
      </c>
      <c r="C2" s="966" t="s">
        <v>711</v>
      </c>
      <c r="D2" s="966"/>
      <c r="E2" s="966"/>
      <c r="F2" s="966"/>
      <c r="G2" s="966"/>
      <c r="H2" s="966"/>
      <c r="I2" s="967"/>
      <c r="J2" s="736"/>
      <c r="K2" s="736"/>
      <c r="L2" s="769"/>
    </row>
    <row r="3" spans="2:12" ht="15.75" thickBot="1">
      <c r="B3" s="736"/>
      <c r="C3" s="736"/>
      <c r="D3" s="736"/>
      <c r="E3" s="736"/>
      <c r="F3" s="769"/>
      <c r="G3" s="736"/>
      <c r="H3" s="736"/>
      <c r="I3" s="736"/>
      <c r="J3" s="736"/>
      <c r="K3" s="736"/>
      <c r="L3" s="769"/>
    </row>
    <row r="4" spans="2:12">
      <c r="B4" s="968" t="s">
        <v>104</v>
      </c>
      <c r="C4" s="969"/>
      <c r="D4" s="201" t="str">
        <f>'Read Me'!B10</f>
        <v>SDG&amp;E</v>
      </c>
      <c r="E4" s="736"/>
      <c r="F4" s="736"/>
      <c r="G4" s="736"/>
      <c r="H4" s="736"/>
      <c r="I4" s="736"/>
      <c r="J4" s="736"/>
      <c r="K4" s="736"/>
      <c r="L4" s="769"/>
    </row>
    <row r="5" spans="2:12" ht="15.75" thickBot="1">
      <c r="B5" s="970" t="s">
        <v>105</v>
      </c>
      <c r="C5" s="971"/>
      <c r="D5" s="542" t="str">
        <f>'Read Me'!B11</f>
        <v>2028-2035</v>
      </c>
      <c r="E5" s="736"/>
      <c r="F5" s="769"/>
      <c r="G5" s="736"/>
      <c r="H5" s="736"/>
      <c r="I5" s="736"/>
      <c r="J5" s="736"/>
      <c r="K5" s="736"/>
      <c r="L5" s="769"/>
    </row>
    <row r="6" spans="2:12">
      <c r="B6" s="88" t="s">
        <v>712</v>
      </c>
      <c r="C6" s="88"/>
      <c r="D6" s="88"/>
      <c r="E6" s="4"/>
      <c r="F6" s="88"/>
      <c r="G6" s="736"/>
      <c r="H6" s="736"/>
      <c r="I6" s="736"/>
      <c r="J6" s="736"/>
      <c r="K6" s="736"/>
      <c r="L6" s="769"/>
    </row>
    <row r="7" spans="2:12" ht="8.25" customHeight="1" thickBot="1">
      <c r="B7" s="736"/>
      <c r="C7" s="736"/>
      <c r="D7" s="736"/>
      <c r="E7" s="736"/>
      <c r="F7" s="769"/>
      <c r="G7" s="736"/>
      <c r="H7" s="736"/>
      <c r="I7" s="736"/>
      <c r="J7" s="736"/>
      <c r="K7" s="736"/>
      <c r="L7" s="769"/>
    </row>
    <row r="8" spans="2:12" ht="73.5" customHeight="1">
      <c r="B8" s="202" t="s">
        <v>713</v>
      </c>
      <c r="C8" s="203" t="s">
        <v>186</v>
      </c>
      <c r="D8" s="204" t="s">
        <v>714</v>
      </c>
      <c r="E8" s="205" t="s">
        <v>715</v>
      </c>
      <c r="F8" s="206" t="s">
        <v>716</v>
      </c>
      <c r="G8" s="205" t="s">
        <v>717</v>
      </c>
      <c r="H8" s="205" t="s">
        <v>718</v>
      </c>
      <c r="I8" s="206" t="s">
        <v>719</v>
      </c>
      <c r="J8" s="207" t="s">
        <v>720</v>
      </c>
      <c r="K8" s="736"/>
      <c r="L8" s="208" t="s">
        <v>102</v>
      </c>
    </row>
    <row r="9" spans="2:12">
      <c r="B9" s="770">
        <v>1</v>
      </c>
      <c r="C9" s="771">
        <v>2028</v>
      </c>
      <c r="D9" s="772" t="str">
        <f>'Read Me'!B10</f>
        <v>SDG&amp;E</v>
      </c>
      <c r="E9" s="543">
        <f>'3.1 Funding Category'!D10+'3.1 Funding Category'!D18-'3.1 Funding Category'!D74-'3.1 Funding Category'!D82</f>
        <v>65690973.977083668</v>
      </c>
      <c r="F9" s="544">
        <f>'3.1 Funding Category'!D26</f>
        <v>99200</v>
      </c>
      <c r="G9" s="543">
        <f>'3.1 Funding Category'!D74</f>
        <v>1094849.57</v>
      </c>
      <c r="H9" s="543">
        <f>'3.1 Funding Category'!D82</f>
        <v>1642274.3475999997</v>
      </c>
      <c r="I9" s="544">
        <f>'3.1 Funding Category'!D66</f>
        <v>0</v>
      </c>
      <c r="J9" s="545">
        <f t="shared" ref="J9:J16" si="0">SUM(E9:I9)</f>
        <v>68527297.894683674</v>
      </c>
      <c r="K9" s="736"/>
      <c r="L9" s="773"/>
    </row>
    <row r="10" spans="2:12">
      <c r="B10" s="770">
        <v>2</v>
      </c>
      <c r="C10" s="771">
        <v>2028</v>
      </c>
      <c r="D10" s="772" t="s">
        <v>721</v>
      </c>
      <c r="E10" s="546">
        <v>0</v>
      </c>
      <c r="F10" s="546">
        <v>0</v>
      </c>
      <c r="G10" s="547">
        <v>0</v>
      </c>
      <c r="H10" s="547">
        <v>0</v>
      </c>
      <c r="I10" s="546">
        <v>0</v>
      </c>
      <c r="J10" s="545">
        <f t="shared" si="0"/>
        <v>0</v>
      </c>
      <c r="K10" s="736"/>
      <c r="L10" s="773" t="s">
        <v>722</v>
      </c>
    </row>
    <row r="11" spans="2:12">
      <c r="B11" s="770">
        <v>3</v>
      </c>
      <c r="C11" s="771">
        <v>2028</v>
      </c>
      <c r="D11" s="772" t="s">
        <v>276</v>
      </c>
      <c r="E11" s="546">
        <v>39649687</v>
      </c>
      <c r="F11" s="546">
        <v>0</v>
      </c>
      <c r="G11" s="547">
        <v>1570134</v>
      </c>
      <c r="H11" s="547">
        <v>0</v>
      </c>
      <c r="I11" s="546">
        <v>0</v>
      </c>
      <c r="J11" s="545">
        <f t="shared" si="0"/>
        <v>41219821</v>
      </c>
      <c r="K11" s="736"/>
      <c r="L11" s="773" t="s">
        <v>722</v>
      </c>
    </row>
    <row r="12" spans="2:12">
      <c r="B12" s="770">
        <v>4</v>
      </c>
      <c r="C12" s="771">
        <v>2028</v>
      </c>
      <c r="D12" s="772" t="s">
        <v>723</v>
      </c>
      <c r="E12" s="546">
        <v>0</v>
      </c>
      <c r="F12" s="546">
        <v>0</v>
      </c>
      <c r="G12" s="547">
        <v>0</v>
      </c>
      <c r="H12" s="547">
        <v>0</v>
      </c>
      <c r="I12" s="546">
        <v>0</v>
      </c>
      <c r="J12" s="545">
        <f t="shared" si="0"/>
        <v>0</v>
      </c>
      <c r="K12" s="736"/>
      <c r="L12" s="773" t="s">
        <v>722</v>
      </c>
    </row>
    <row r="13" spans="2:12">
      <c r="B13" s="770">
        <v>5</v>
      </c>
      <c r="C13" s="771">
        <v>2028</v>
      </c>
      <c r="D13" s="772" t="s">
        <v>724</v>
      </c>
      <c r="E13" s="546">
        <v>0</v>
      </c>
      <c r="F13" s="546">
        <v>0</v>
      </c>
      <c r="G13" s="547">
        <v>0</v>
      </c>
      <c r="H13" s="547">
        <v>0</v>
      </c>
      <c r="I13" s="546">
        <v>0</v>
      </c>
      <c r="J13" s="545">
        <f t="shared" si="0"/>
        <v>0</v>
      </c>
      <c r="K13" s="736"/>
      <c r="L13" s="773" t="s">
        <v>722</v>
      </c>
    </row>
    <row r="14" spans="2:12">
      <c r="B14" s="770">
        <v>6</v>
      </c>
      <c r="C14" s="771">
        <v>2028</v>
      </c>
      <c r="D14" s="772" t="s">
        <v>725</v>
      </c>
      <c r="E14" s="546">
        <v>0</v>
      </c>
      <c r="F14" s="546">
        <v>0</v>
      </c>
      <c r="G14" s="547">
        <v>0</v>
      </c>
      <c r="H14" s="547">
        <v>0</v>
      </c>
      <c r="I14" s="546">
        <v>0</v>
      </c>
      <c r="J14" s="545">
        <f t="shared" si="0"/>
        <v>0</v>
      </c>
      <c r="K14" s="736"/>
      <c r="L14" s="773" t="s">
        <v>722</v>
      </c>
    </row>
    <row r="15" spans="2:12">
      <c r="B15" s="770">
        <v>7</v>
      </c>
      <c r="C15" s="771">
        <v>2028</v>
      </c>
      <c r="D15" s="772" t="s">
        <v>726</v>
      </c>
      <c r="E15" s="546">
        <v>0</v>
      </c>
      <c r="F15" s="546">
        <v>0</v>
      </c>
      <c r="G15" s="547">
        <v>0</v>
      </c>
      <c r="H15" s="547">
        <v>0</v>
      </c>
      <c r="I15" s="546">
        <v>0</v>
      </c>
      <c r="J15" s="545">
        <f t="shared" si="0"/>
        <v>0</v>
      </c>
      <c r="K15" s="736"/>
      <c r="L15" s="773" t="s">
        <v>722</v>
      </c>
    </row>
    <row r="16" spans="2:12">
      <c r="B16" s="770">
        <v>8</v>
      </c>
      <c r="C16" s="771">
        <v>2028</v>
      </c>
      <c r="D16" s="772" t="s">
        <v>727</v>
      </c>
      <c r="E16" s="546">
        <v>0</v>
      </c>
      <c r="F16" s="546">
        <v>0</v>
      </c>
      <c r="G16" s="547">
        <v>0</v>
      </c>
      <c r="H16" s="547">
        <v>0</v>
      </c>
      <c r="I16" s="546">
        <v>0</v>
      </c>
      <c r="J16" s="545">
        <f t="shared" si="0"/>
        <v>0</v>
      </c>
      <c r="K16" s="736"/>
      <c r="L16" s="773" t="s">
        <v>722</v>
      </c>
    </row>
    <row r="17" spans="2:12">
      <c r="B17" s="770">
        <v>9</v>
      </c>
      <c r="C17" s="771">
        <v>2028</v>
      </c>
      <c r="D17" s="548" t="s">
        <v>728</v>
      </c>
      <c r="E17" s="549">
        <f>SUM(E10:E16)</f>
        <v>39649687</v>
      </c>
      <c r="F17" s="549">
        <f t="shared" ref="F17:J17" si="1">SUM(F10:F16)</f>
        <v>0</v>
      </c>
      <c r="G17" s="549">
        <f t="shared" si="1"/>
        <v>1570134</v>
      </c>
      <c r="H17" s="549">
        <f t="shared" si="1"/>
        <v>0</v>
      </c>
      <c r="I17" s="549">
        <f t="shared" si="1"/>
        <v>0</v>
      </c>
      <c r="J17" s="550">
        <f t="shared" si="1"/>
        <v>41219821</v>
      </c>
      <c r="K17" s="736"/>
      <c r="L17" s="773" t="s">
        <v>729</v>
      </c>
    </row>
    <row r="18" spans="2:12">
      <c r="B18" s="770">
        <v>10</v>
      </c>
      <c r="C18" s="771">
        <v>2028</v>
      </c>
      <c r="D18" s="774" t="s">
        <v>730</v>
      </c>
      <c r="E18" s="546">
        <v>0</v>
      </c>
      <c r="F18" s="546">
        <v>0</v>
      </c>
      <c r="G18" s="547">
        <v>0</v>
      </c>
      <c r="H18" s="547">
        <v>0</v>
      </c>
      <c r="I18" s="546">
        <v>0</v>
      </c>
      <c r="J18" s="545">
        <f>SUM(E18:I18)</f>
        <v>0</v>
      </c>
      <c r="K18" s="736"/>
      <c r="L18" s="773" t="s">
        <v>722</v>
      </c>
    </row>
    <row r="19" spans="2:12">
      <c r="B19" s="770">
        <v>11</v>
      </c>
      <c r="C19" s="771">
        <v>2028</v>
      </c>
      <c r="D19" s="774" t="s">
        <v>731</v>
      </c>
      <c r="E19" s="546">
        <v>0</v>
      </c>
      <c r="F19" s="546">
        <v>0</v>
      </c>
      <c r="G19" s="547">
        <v>0</v>
      </c>
      <c r="H19" s="547">
        <v>0</v>
      </c>
      <c r="I19" s="546">
        <v>0</v>
      </c>
      <c r="J19" s="545">
        <f>SUM(E19:I19)</f>
        <v>0</v>
      </c>
      <c r="K19" s="736"/>
      <c r="L19" s="773" t="s">
        <v>722</v>
      </c>
    </row>
    <row r="20" spans="2:12">
      <c r="B20" s="770">
        <v>12</v>
      </c>
      <c r="C20" s="771">
        <v>2028</v>
      </c>
      <c r="D20" s="548" t="s">
        <v>732</v>
      </c>
      <c r="E20" s="549">
        <f>SUM(E18:E19)</f>
        <v>0</v>
      </c>
      <c r="F20" s="549">
        <f>SUM(F18:F19)</f>
        <v>0</v>
      </c>
      <c r="G20" s="549">
        <f>SUM(G18:G19)</f>
        <v>0</v>
      </c>
      <c r="H20" s="549">
        <f>SUM(H18:H19)</f>
        <v>0</v>
      </c>
      <c r="I20" s="549">
        <f>SUM(I18:I19)</f>
        <v>0</v>
      </c>
      <c r="J20" s="550">
        <f>SUM(E20:I20)</f>
        <v>0</v>
      </c>
      <c r="K20" s="736"/>
      <c r="L20" s="773" t="s">
        <v>733</v>
      </c>
    </row>
    <row r="21" spans="2:12" ht="45.75" thickBot="1">
      <c r="B21" s="775">
        <v>13</v>
      </c>
      <c r="C21" s="776">
        <v>2028</v>
      </c>
      <c r="D21" s="97" t="s">
        <v>734</v>
      </c>
      <c r="E21" s="288">
        <f t="shared" ref="E21:J21" si="2">E9+E17+E20</f>
        <v>105340660.97708367</v>
      </c>
      <c r="F21" s="288">
        <f t="shared" si="2"/>
        <v>99200</v>
      </c>
      <c r="G21" s="288">
        <f t="shared" si="2"/>
        <v>2664983.5700000003</v>
      </c>
      <c r="H21" s="288">
        <f t="shared" si="2"/>
        <v>1642274.3475999997</v>
      </c>
      <c r="I21" s="288">
        <f t="shared" si="2"/>
        <v>0</v>
      </c>
      <c r="J21" s="289">
        <f t="shared" si="2"/>
        <v>109747118.89468367</v>
      </c>
      <c r="K21" s="736"/>
      <c r="L21" s="773" t="s">
        <v>735</v>
      </c>
    </row>
    <row r="22" spans="2:12" ht="15.75" thickTop="1">
      <c r="B22" s="777">
        <v>1</v>
      </c>
      <c r="C22" s="778">
        <v>2029</v>
      </c>
      <c r="D22" s="779" t="str">
        <f>D9</f>
        <v>SDG&amp;E</v>
      </c>
      <c r="E22" s="284">
        <f>'3.1 Funding Category'!D11+'3.1 Funding Category'!D19-'3.1 Funding Category'!D75-'3.1 Funding Category'!D83</f>
        <v>65050178.366021149</v>
      </c>
      <c r="F22" s="290">
        <f>'3.1 Funding Category'!D27</f>
        <v>99200</v>
      </c>
      <c r="G22" s="284">
        <f>'3.1 Funding Category'!D75</f>
        <v>1084169.6399999999</v>
      </c>
      <c r="H22" s="284">
        <f>'3.1 Funding Category'!D83</f>
        <v>1626254.4572000003</v>
      </c>
      <c r="I22" s="544">
        <f>'3.1 Funding Category'!D67</f>
        <v>0</v>
      </c>
      <c r="J22" s="285">
        <f t="shared" ref="J22:J29" si="3">SUM(E22:I22)</f>
        <v>67859802.463221148</v>
      </c>
      <c r="K22" s="736"/>
      <c r="L22" s="773"/>
    </row>
    <row r="23" spans="2:12">
      <c r="B23" s="770">
        <v>2</v>
      </c>
      <c r="C23" s="771">
        <v>2029</v>
      </c>
      <c r="D23" s="772" t="s">
        <v>721</v>
      </c>
      <c r="E23" s="546">
        <v>0</v>
      </c>
      <c r="F23" s="546">
        <v>0</v>
      </c>
      <c r="G23" s="547">
        <v>0</v>
      </c>
      <c r="H23" s="547">
        <v>0</v>
      </c>
      <c r="I23" s="546">
        <v>0</v>
      </c>
      <c r="J23" s="545">
        <f t="shared" si="3"/>
        <v>0</v>
      </c>
      <c r="K23" s="736"/>
      <c r="L23" s="773" t="s">
        <v>722</v>
      </c>
    </row>
    <row r="24" spans="2:12">
      <c r="B24" s="770">
        <v>3</v>
      </c>
      <c r="C24" s="771">
        <v>2029</v>
      </c>
      <c r="D24" s="772" t="s">
        <v>276</v>
      </c>
      <c r="E24" s="546">
        <v>41251378</v>
      </c>
      <c r="F24" s="546">
        <v>0</v>
      </c>
      <c r="G24" s="547">
        <v>1617238</v>
      </c>
      <c r="H24" s="547">
        <v>0</v>
      </c>
      <c r="I24" s="546">
        <v>0</v>
      </c>
      <c r="J24" s="545">
        <f t="shared" si="3"/>
        <v>42868616</v>
      </c>
      <c r="K24" s="736"/>
      <c r="L24" s="773" t="s">
        <v>722</v>
      </c>
    </row>
    <row r="25" spans="2:12">
      <c r="B25" s="770">
        <v>4</v>
      </c>
      <c r="C25" s="771">
        <v>2029</v>
      </c>
      <c r="D25" s="772" t="s">
        <v>723</v>
      </c>
      <c r="E25" s="546">
        <v>0</v>
      </c>
      <c r="F25" s="546">
        <v>0</v>
      </c>
      <c r="G25" s="547">
        <v>0</v>
      </c>
      <c r="H25" s="547">
        <v>0</v>
      </c>
      <c r="I25" s="546">
        <v>0</v>
      </c>
      <c r="J25" s="545">
        <f t="shared" si="3"/>
        <v>0</v>
      </c>
      <c r="K25" s="736"/>
      <c r="L25" s="773" t="s">
        <v>722</v>
      </c>
    </row>
    <row r="26" spans="2:12">
      <c r="B26" s="770">
        <v>5</v>
      </c>
      <c r="C26" s="771">
        <v>2029</v>
      </c>
      <c r="D26" s="772" t="s">
        <v>724</v>
      </c>
      <c r="E26" s="546">
        <v>0</v>
      </c>
      <c r="F26" s="546">
        <v>0</v>
      </c>
      <c r="G26" s="547">
        <v>0</v>
      </c>
      <c r="H26" s="547">
        <v>0</v>
      </c>
      <c r="I26" s="546">
        <v>0</v>
      </c>
      <c r="J26" s="545">
        <f t="shared" si="3"/>
        <v>0</v>
      </c>
      <c r="K26" s="736"/>
      <c r="L26" s="773" t="s">
        <v>722</v>
      </c>
    </row>
    <row r="27" spans="2:12">
      <c r="B27" s="770">
        <v>6</v>
      </c>
      <c r="C27" s="771">
        <v>2029</v>
      </c>
      <c r="D27" s="772" t="s">
        <v>725</v>
      </c>
      <c r="E27" s="546">
        <v>0</v>
      </c>
      <c r="F27" s="546">
        <v>0</v>
      </c>
      <c r="G27" s="547">
        <v>0</v>
      </c>
      <c r="H27" s="547">
        <v>0</v>
      </c>
      <c r="I27" s="546">
        <v>0</v>
      </c>
      <c r="J27" s="545">
        <f t="shared" si="3"/>
        <v>0</v>
      </c>
      <c r="K27" s="736"/>
      <c r="L27" s="773" t="s">
        <v>722</v>
      </c>
    </row>
    <row r="28" spans="2:12">
      <c r="B28" s="770">
        <v>7</v>
      </c>
      <c r="C28" s="771">
        <v>2029</v>
      </c>
      <c r="D28" s="772" t="s">
        <v>726</v>
      </c>
      <c r="E28" s="546">
        <v>0</v>
      </c>
      <c r="F28" s="546">
        <v>0</v>
      </c>
      <c r="G28" s="547">
        <v>0</v>
      </c>
      <c r="H28" s="547">
        <v>0</v>
      </c>
      <c r="I28" s="546">
        <v>0</v>
      </c>
      <c r="J28" s="545">
        <f t="shared" si="3"/>
        <v>0</v>
      </c>
      <c r="K28" s="736"/>
      <c r="L28" s="773" t="s">
        <v>722</v>
      </c>
    </row>
    <row r="29" spans="2:12">
      <c r="B29" s="770">
        <v>8</v>
      </c>
      <c r="C29" s="771">
        <v>2029</v>
      </c>
      <c r="D29" s="772" t="s">
        <v>727</v>
      </c>
      <c r="E29" s="546">
        <v>0</v>
      </c>
      <c r="F29" s="546">
        <v>0</v>
      </c>
      <c r="G29" s="547">
        <v>0</v>
      </c>
      <c r="H29" s="547">
        <v>0</v>
      </c>
      <c r="I29" s="546">
        <v>0</v>
      </c>
      <c r="J29" s="545">
        <f t="shared" si="3"/>
        <v>0</v>
      </c>
      <c r="K29" s="736"/>
      <c r="L29" s="773" t="s">
        <v>722</v>
      </c>
    </row>
    <row r="30" spans="2:12">
      <c r="B30" s="770">
        <v>9</v>
      </c>
      <c r="C30" s="771">
        <v>2029</v>
      </c>
      <c r="D30" s="548" t="s">
        <v>728</v>
      </c>
      <c r="E30" s="549">
        <f t="shared" ref="E30:J30" si="4">SUM(E23:E29)</f>
        <v>41251378</v>
      </c>
      <c r="F30" s="549">
        <f t="shared" si="4"/>
        <v>0</v>
      </c>
      <c r="G30" s="549">
        <f t="shared" si="4"/>
        <v>1617238</v>
      </c>
      <c r="H30" s="549">
        <f t="shared" si="4"/>
        <v>0</v>
      </c>
      <c r="I30" s="549">
        <f t="shared" si="4"/>
        <v>0</v>
      </c>
      <c r="J30" s="550">
        <f t="shared" si="4"/>
        <v>42868616</v>
      </c>
      <c r="K30" s="736"/>
      <c r="L30" s="773" t="s">
        <v>729</v>
      </c>
    </row>
    <row r="31" spans="2:12">
      <c r="B31" s="770">
        <v>10</v>
      </c>
      <c r="C31" s="771">
        <v>2029</v>
      </c>
      <c r="D31" s="774" t="s">
        <v>730</v>
      </c>
      <c r="E31" s="546">
        <v>0</v>
      </c>
      <c r="F31" s="546">
        <v>0</v>
      </c>
      <c r="G31" s="547">
        <v>0</v>
      </c>
      <c r="H31" s="547">
        <v>0</v>
      </c>
      <c r="I31" s="546">
        <v>0</v>
      </c>
      <c r="J31" s="545">
        <f>SUM(E31:I31)</f>
        <v>0</v>
      </c>
      <c r="K31" s="736"/>
      <c r="L31" s="773" t="s">
        <v>722</v>
      </c>
    </row>
    <row r="32" spans="2:12">
      <c r="B32" s="770">
        <v>11</v>
      </c>
      <c r="C32" s="771">
        <v>2029</v>
      </c>
      <c r="D32" s="774" t="s">
        <v>731</v>
      </c>
      <c r="E32" s="546">
        <v>0</v>
      </c>
      <c r="F32" s="546">
        <v>0</v>
      </c>
      <c r="G32" s="547">
        <v>0</v>
      </c>
      <c r="H32" s="547">
        <v>0</v>
      </c>
      <c r="I32" s="546">
        <v>0</v>
      </c>
      <c r="J32" s="545">
        <f>SUM(E32:I32)</f>
        <v>0</v>
      </c>
      <c r="K32" s="736"/>
      <c r="L32" s="773" t="s">
        <v>722</v>
      </c>
    </row>
    <row r="33" spans="2:12">
      <c r="B33" s="770">
        <v>12</v>
      </c>
      <c r="C33" s="771">
        <v>2029</v>
      </c>
      <c r="D33" s="548" t="s">
        <v>732</v>
      </c>
      <c r="E33" s="549">
        <f>SUM(E31:E32)</f>
        <v>0</v>
      </c>
      <c r="F33" s="549">
        <f>SUM(F31:F32)</f>
        <v>0</v>
      </c>
      <c r="G33" s="549">
        <f>SUM(G31:G32)</f>
        <v>0</v>
      </c>
      <c r="H33" s="549">
        <f>SUM(H31:H32)</f>
        <v>0</v>
      </c>
      <c r="I33" s="549">
        <f>SUM(I31:I32)</f>
        <v>0</v>
      </c>
      <c r="J33" s="550">
        <f>SUM(E33:I33)</f>
        <v>0</v>
      </c>
      <c r="K33" s="736"/>
      <c r="L33" s="773" t="s">
        <v>733</v>
      </c>
    </row>
    <row r="34" spans="2:12" ht="45.75" thickBot="1">
      <c r="B34" s="775">
        <v>13</v>
      </c>
      <c r="C34" s="776">
        <v>2029</v>
      </c>
      <c r="D34" s="97" t="s">
        <v>734</v>
      </c>
      <c r="E34" s="288">
        <f t="shared" ref="E34:J34" si="5">E22+E30+E33</f>
        <v>106301556.36602116</v>
      </c>
      <c r="F34" s="288">
        <f t="shared" si="5"/>
        <v>99200</v>
      </c>
      <c r="G34" s="288">
        <f t="shared" si="5"/>
        <v>2701407.6399999997</v>
      </c>
      <c r="H34" s="288">
        <f t="shared" si="5"/>
        <v>1626254.4572000003</v>
      </c>
      <c r="I34" s="288">
        <f t="shared" si="5"/>
        <v>0</v>
      </c>
      <c r="J34" s="289">
        <f t="shared" si="5"/>
        <v>110728418.46322115</v>
      </c>
      <c r="K34" s="736"/>
      <c r="L34" s="773" t="s">
        <v>735</v>
      </c>
    </row>
    <row r="35" spans="2:12" ht="15.75" thickTop="1">
      <c r="B35" s="777">
        <v>1</v>
      </c>
      <c r="C35" s="778">
        <v>2030</v>
      </c>
      <c r="D35" s="779" t="str">
        <f>D9</f>
        <v>SDG&amp;E</v>
      </c>
      <c r="E35" s="284">
        <f>'3.1 Funding Category'!D12+'3.1 Funding Category'!D20-'3.1 Funding Category'!D76-'3.1 Funding Category'!D84</f>
        <v>66025497.193791091</v>
      </c>
      <c r="F35" s="290">
        <f>'3.1 Funding Category'!D28</f>
        <v>99200</v>
      </c>
      <c r="G35" s="284">
        <f>'3.1 Funding Category'!D76</f>
        <v>1100424.95</v>
      </c>
      <c r="H35" s="284">
        <f>'3.1 Funding Category'!D84</f>
        <v>1650637.4349999998</v>
      </c>
      <c r="I35" s="290">
        <f>'3.1 Funding Category'!D68</f>
        <v>0</v>
      </c>
      <c r="J35" s="285">
        <f t="shared" ref="J35:J42" si="6">SUM(E35:I35)</f>
        <v>68875759.578791097</v>
      </c>
      <c r="K35" s="736"/>
      <c r="L35" s="773"/>
    </row>
    <row r="36" spans="2:12">
      <c r="B36" s="770">
        <v>2</v>
      </c>
      <c r="C36" s="771">
        <v>2030</v>
      </c>
      <c r="D36" s="772" t="s">
        <v>721</v>
      </c>
      <c r="E36" s="546">
        <v>0</v>
      </c>
      <c r="F36" s="546">
        <v>0</v>
      </c>
      <c r="G36" s="547">
        <v>0</v>
      </c>
      <c r="H36" s="547">
        <v>0</v>
      </c>
      <c r="I36" s="546">
        <v>0</v>
      </c>
      <c r="J36" s="545">
        <f t="shared" si="6"/>
        <v>0</v>
      </c>
      <c r="K36" s="736"/>
      <c r="L36" s="773" t="s">
        <v>722</v>
      </c>
    </row>
    <row r="37" spans="2:12">
      <c r="B37" s="770">
        <v>3</v>
      </c>
      <c r="C37" s="771">
        <v>2030</v>
      </c>
      <c r="D37" s="772" t="s">
        <v>276</v>
      </c>
      <c r="E37" s="546">
        <v>42917600</v>
      </c>
      <c r="F37" s="546">
        <v>0</v>
      </c>
      <c r="G37" s="547">
        <v>1665755</v>
      </c>
      <c r="H37" s="547">
        <v>0</v>
      </c>
      <c r="I37" s="546">
        <v>0</v>
      </c>
      <c r="J37" s="545">
        <f t="shared" si="6"/>
        <v>44583355</v>
      </c>
      <c r="K37" s="736"/>
      <c r="L37" s="773" t="s">
        <v>722</v>
      </c>
    </row>
    <row r="38" spans="2:12">
      <c r="B38" s="770">
        <v>4</v>
      </c>
      <c r="C38" s="771">
        <v>2030</v>
      </c>
      <c r="D38" s="772" t="s">
        <v>723</v>
      </c>
      <c r="E38" s="546">
        <v>0</v>
      </c>
      <c r="F38" s="546">
        <v>0</v>
      </c>
      <c r="G38" s="547">
        <v>0</v>
      </c>
      <c r="H38" s="547">
        <v>0</v>
      </c>
      <c r="I38" s="546">
        <v>0</v>
      </c>
      <c r="J38" s="545">
        <f t="shared" si="6"/>
        <v>0</v>
      </c>
      <c r="K38" s="736"/>
      <c r="L38" s="773" t="s">
        <v>722</v>
      </c>
    </row>
    <row r="39" spans="2:12">
      <c r="B39" s="770">
        <v>5</v>
      </c>
      <c r="C39" s="771">
        <v>2030</v>
      </c>
      <c r="D39" s="772" t="s">
        <v>724</v>
      </c>
      <c r="E39" s="546">
        <v>0</v>
      </c>
      <c r="F39" s="546">
        <v>0</v>
      </c>
      <c r="G39" s="547">
        <v>0</v>
      </c>
      <c r="H39" s="547">
        <v>0</v>
      </c>
      <c r="I39" s="546">
        <v>0</v>
      </c>
      <c r="J39" s="545">
        <f t="shared" si="6"/>
        <v>0</v>
      </c>
      <c r="K39" s="736"/>
      <c r="L39" s="773" t="s">
        <v>722</v>
      </c>
    </row>
    <row r="40" spans="2:12">
      <c r="B40" s="770">
        <v>6</v>
      </c>
      <c r="C40" s="771">
        <v>2030</v>
      </c>
      <c r="D40" s="772" t="s">
        <v>725</v>
      </c>
      <c r="E40" s="546">
        <v>0</v>
      </c>
      <c r="F40" s="546">
        <v>0</v>
      </c>
      <c r="G40" s="547">
        <v>0</v>
      </c>
      <c r="H40" s="547">
        <v>0</v>
      </c>
      <c r="I40" s="546">
        <v>0</v>
      </c>
      <c r="J40" s="545">
        <f t="shared" si="6"/>
        <v>0</v>
      </c>
      <c r="K40" s="736"/>
      <c r="L40" s="773" t="s">
        <v>722</v>
      </c>
    </row>
    <row r="41" spans="2:12">
      <c r="B41" s="770">
        <v>7</v>
      </c>
      <c r="C41" s="771">
        <v>2030</v>
      </c>
      <c r="D41" s="772" t="s">
        <v>726</v>
      </c>
      <c r="E41" s="546">
        <v>0</v>
      </c>
      <c r="F41" s="546">
        <v>0</v>
      </c>
      <c r="G41" s="547">
        <v>0</v>
      </c>
      <c r="H41" s="547">
        <v>0</v>
      </c>
      <c r="I41" s="546">
        <v>0</v>
      </c>
      <c r="J41" s="545">
        <f t="shared" si="6"/>
        <v>0</v>
      </c>
      <c r="K41" s="736"/>
      <c r="L41" s="773" t="s">
        <v>722</v>
      </c>
    </row>
    <row r="42" spans="2:12">
      <c r="B42" s="770">
        <v>8</v>
      </c>
      <c r="C42" s="771">
        <v>2030</v>
      </c>
      <c r="D42" s="772" t="s">
        <v>727</v>
      </c>
      <c r="E42" s="546">
        <v>0</v>
      </c>
      <c r="F42" s="546">
        <v>0</v>
      </c>
      <c r="G42" s="547">
        <v>0</v>
      </c>
      <c r="H42" s="547">
        <v>0</v>
      </c>
      <c r="I42" s="546">
        <v>0</v>
      </c>
      <c r="J42" s="545">
        <f t="shared" si="6"/>
        <v>0</v>
      </c>
      <c r="K42" s="736"/>
      <c r="L42" s="773" t="s">
        <v>722</v>
      </c>
    </row>
    <row r="43" spans="2:12">
      <c r="B43" s="770">
        <v>9</v>
      </c>
      <c r="C43" s="771">
        <v>2030</v>
      </c>
      <c r="D43" s="548" t="s">
        <v>728</v>
      </c>
      <c r="E43" s="549">
        <f t="shared" ref="E43:J43" si="7">SUM(E36:E42)</f>
        <v>42917600</v>
      </c>
      <c r="F43" s="549">
        <f t="shared" si="7"/>
        <v>0</v>
      </c>
      <c r="G43" s="549">
        <f t="shared" si="7"/>
        <v>1665755</v>
      </c>
      <c r="H43" s="549">
        <f t="shared" si="7"/>
        <v>0</v>
      </c>
      <c r="I43" s="549">
        <f t="shared" si="7"/>
        <v>0</v>
      </c>
      <c r="J43" s="550">
        <f t="shared" si="7"/>
        <v>44583355</v>
      </c>
      <c r="K43" s="736"/>
      <c r="L43" s="773" t="s">
        <v>729</v>
      </c>
    </row>
    <row r="44" spans="2:12">
      <c r="B44" s="770">
        <v>10</v>
      </c>
      <c r="C44" s="771">
        <v>2030</v>
      </c>
      <c r="D44" s="774" t="s">
        <v>730</v>
      </c>
      <c r="E44" s="546">
        <v>0</v>
      </c>
      <c r="F44" s="546">
        <v>0</v>
      </c>
      <c r="G44" s="547">
        <v>0</v>
      </c>
      <c r="H44" s="547">
        <v>0</v>
      </c>
      <c r="I44" s="546">
        <v>0</v>
      </c>
      <c r="J44" s="545">
        <f>SUM(E44:I44)</f>
        <v>0</v>
      </c>
      <c r="K44" s="736"/>
      <c r="L44" s="773" t="s">
        <v>722</v>
      </c>
    </row>
    <row r="45" spans="2:12">
      <c r="B45" s="770">
        <v>11</v>
      </c>
      <c r="C45" s="771">
        <v>2030</v>
      </c>
      <c r="D45" s="774" t="s">
        <v>731</v>
      </c>
      <c r="E45" s="546">
        <v>0</v>
      </c>
      <c r="F45" s="546">
        <v>0</v>
      </c>
      <c r="G45" s="547">
        <v>0</v>
      </c>
      <c r="H45" s="547">
        <v>0</v>
      </c>
      <c r="I45" s="546">
        <v>0</v>
      </c>
      <c r="J45" s="545">
        <f>SUM(E45:I45)</f>
        <v>0</v>
      </c>
      <c r="K45" s="736"/>
      <c r="L45" s="773" t="s">
        <v>722</v>
      </c>
    </row>
    <row r="46" spans="2:12">
      <c r="B46" s="770">
        <v>12</v>
      </c>
      <c r="C46" s="771">
        <v>2030</v>
      </c>
      <c r="D46" s="548" t="s">
        <v>732</v>
      </c>
      <c r="E46" s="549">
        <f>SUM(E44:E45)</f>
        <v>0</v>
      </c>
      <c r="F46" s="549">
        <f>SUM(F44:F45)</f>
        <v>0</v>
      </c>
      <c r="G46" s="549">
        <f>SUM(G44:G45)</f>
        <v>0</v>
      </c>
      <c r="H46" s="549">
        <f>SUM(H44:H45)</f>
        <v>0</v>
      </c>
      <c r="I46" s="549">
        <f>SUM(I44:I45)</f>
        <v>0</v>
      </c>
      <c r="J46" s="550">
        <f>SUM(E46:I46)</f>
        <v>0</v>
      </c>
      <c r="K46" s="736"/>
      <c r="L46" s="773" t="s">
        <v>733</v>
      </c>
    </row>
    <row r="47" spans="2:12" ht="45.75" thickBot="1">
      <c r="B47" s="775">
        <v>13</v>
      </c>
      <c r="C47" s="776">
        <v>2030</v>
      </c>
      <c r="D47" s="97" t="s">
        <v>734</v>
      </c>
      <c r="E47" s="288">
        <f t="shared" ref="E47:J47" si="8">E35+E43+E46</f>
        <v>108943097.19379109</v>
      </c>
      <c r="F47" s="288">
        <f t="shared" si="8"/>
        <v>99200</v>
      </c>
      <c r="G47" s="288">
        <f>G35+G43+G46</f>
        <v>2766179.95</v>
      </c>
      <c r="H47" s="288">
        <f t="shared" si="8"/>
        <v>1650637.4349999998</v>
      </c>
      <c r="I47" s="288">
        <f t="shared" si="8"/>
        <v>0</v>
      </c>
      <c r="J47" s="289">
        <f t="shared" si="8"/>
        <v>113459114.5787911</v>
      </c>
      <c r="K47" s="736"/>
      <c r="L47" s="773" t="s">
        <v>735</v>
      </c>
    </row>
    <row r="48" spans="2:12" ht="15.75" thickTop="1">
      <c r="B48" s="780">
        <v>1</v>
      </c>
      <c r="C48" s="781">
        <v>2031</v>
      </c>
      <c r="D48" s="782" t="str">
        <f>D9</f>
        <v>SDG&amp;E</v>
      </c>
      <c r="E48" s="286">
        <f>'3.1 Funding Category'!D13+'3.1 Funding Category'!D21-'3.1 Funding Category'!D77-'3.1 Funding Category'!D85</f>
        <v>68959043.903500125</v>
      </c>
      <c r="F48" s="291">
        <f>'3.1 Funding Category'!D29</f>
        <v>99200</v>
      </c>
      <c r="G48" s="286">
        <f>'3.1 Funding Category'!D77</f>
        <v>1149317.3999999999</v>
      </c>
      <c r="H48" s="286">
        <f>'3.1 Funding Category'!D85</f>
        <v>1723976.0943</v>
      </c>
      <c r="I48" s="291">
        <f>'3.1 Funding Category'!D69</f>
        <v>0</v>
      </c>
      <c r="J48" s="287">
        <f>SUM(E48:I48)</f>
        <v>71931537.397800133</v>
      </c>
      <c r="K48" s="736"/>
      <c r="L48" s="773"/>
    </row>
    <row r="49" spans="2:12">
      <c r="B49" s="770">
        <v>2</v>
      </c>
      <c r="C49" s="771">
        <v>2031</v>
      </c>
      <c r="D49" s="772" t="s">
        <v>721</v>
      </c>
      <c r="E49" s="546">
        <v>0</v>
      </c>
      <c r="F49" s="546">
        <v>0</v>
      </c>
      <c r="G49" s="547">
        <v>0</v>
      </c>
      <c r="H49" s="547">
        <v>0</v>
      </c>
      <c r="I49" s="546">
        <v>0</v>
      </c>
      <c r="J49" s="545">
        <f t="shared" ref="J49:J55" si="9">SUM(E49:I49)</f>
        <v>0</v>
      </c>
      <c r="K49" s="736"/>
      <c r="L49" s="773" t="s">
        <v>722</v>
      </c>
    </row>
    <row r="50" spans="2:12">
      <c r="B50" s="770">
        <v>3</v>
      </c>
      <c r="C50" s="771">
        <v>2031</v>
      </c>
      <c r="D50" s="772" t="s">
        <v>276</v>
      </c>
      <c r="E50" s="546">
        <v>44650965</v>
      </c>
      <c r="F50" s="546">
        <v>0</v>
      </c>
      <c r="G50" s="547">
        <v>1715728</v>
      </c>
      <c r="H50" s="547">
        <v>0</v>
      </c>
      <c r="I50" s="546">
        <v>0</v>
      </c>
      <c r="J50" s="545">
        <f t="shared" si="9"/>
        <v>46366693</v>
      </c>
      <c r="K50" s="736"/>
      <c r="L50" s="773" t="s">
        <v>722</v>
      </c>
    </row>
    <row r="51" spans="2:12">
      <c r="B51" s="770">
        <v>4</v>
      </c>
      <c r="C51" s="771">
        <v>2031</v>
      </c>
      <c r="D51" s="772" t="s">
        <v>723</v>
      </c>
      <c r="E51" s="546">
        <v>0</v>
      </c>
      <c r="F51" s="546">
        <v>0</v>
      </c>
      <c r="G51" s="547">
        <v>0</v>
      </c>
      <c r="H51" s="547">
        <v>0</v>
      </c>
      <c r="I51" s="546">
        <v>0</v>
      </c>
      <c r="J51" s="545">
        <f t="shared" si="9"/>
        <v>0</v>
      </c>
      <c r="K51" s="736"/>
      <c r="L51" s="773" t="s">
        <v>722</v>
      </c>
    </row>
    <row r="52" spans="2:12">
      <c r="B52" s="770">
        <v>5</v>
      </c>
      <c r="C52" s="771">
        <v>2031</v>
      </c>
      <c r="D52" s="772" t="s">
        <v>724</v>
      </c>
      <c r="E52" s="546">
        <v>0</v>
      </c>
      <c r="F52" s="546">
        <v>0</v>
      </c>
      <c r="G52" s="547">
        <v>0</v>
      </c>
      <c r="H52" s="547">
        <v>0</v>
      </c>
      <c r="I52" s="546">
        <v>0</v>
      </c>
      <c r="J52" s="545">
        <f t="shared" si="9"/>
        <v>0</v>
      </c>
      <c r="K52" s="736"/>
      <c r="L52" s="773" t="s">
        <v>722</v>
      </c>
    </row>
    <row r="53" spans="2:12">
      <c r="B53" s="770">
        <v>6</v>
      </c>
      <c r="C53" s="771">
        <v>2031</v>
      </c>
      <c r="D53" s="772" t="s">
        <v>725</v>
      </c>
      <c r="E53" s="546">
        <v>0</v>
      </c>
      <c r="F53" s="546">
        <v>0</v>
      </c>
      <c r="G53" s="547">
        <v>0</v>
      </c>
      <c r="H53" s="547">
        <v>0</v>
      </c>
      <c r="I53" s="546">
        <v>0</v>
      </c>
      <c r="J53" s="545">
        <f t="shared" si="9"/>
        <v>0</v>
      </c>
      <c r="K53" s="736"/>
      <c r="L53" s="773" t="s">
        <v>722</v>
      </c>
    </row>
    <row r="54" spans="2:12">
      <c r="B54" s="770">
        <v>7</v>
      </c>
      <c r="C54" s="771">
        <v>2031</v>
      </c>
      <c r="D54" s="772" t="s">
        <v>726</v>
      </c>
      <c r="E54" s="546">
        <v>0</v>
      </c>
      <c r="F54" s="546">
        <v>0</v>
      </c>
      <c r="G54" s="547">
        <v>0</v>
      </c>
      <c r="H54" s="547">
        <v>0</v>
      </c>
      <c r="I54" s="546">
        <v>0</v>
      </c>
      <c r="J54" s="545">
        <f t="shared" si="9"/>
        <v>0</v>
      </c>
      <c r="K54" s="736"/>
      <c r="L54" s="773" t="s">
        <v>722</v>
      </c>
    </row>
    <row r="55" spans="2:12">
      <c r="B55" s="770">
        <v>8</v>
      </c>
      <c r="C55" s="771">
        <v>2031</v>
      </c>
      <c r="D55" s="772" t="s">
        <v>727</v>
      </c>
      <c r="E55" s="546">
        <v>0</v>
      </c>
      <c r="F55" s="546">
        <v>0</v>
      </c>
      <c r="G55" s="547">
        <v>0</v>
      </c>
      <c r="H55" s="547">
        <v>0</v>
      </c>
      <c r="I55" s="546">
        <v>0</v>
      </c>
      <c r="J55" s="545">
        <f t="shared" si="9"/>
        <v>0</v>
      </c>
      <c r="K55" s="736"/>
      <c r="L55" s="773" t="s">
        <v>722</v>
      </c>
    </row>
    <row r="56" spans="2:12">
      <c r="B56" s="770">
        <v>9</v>
      </c>
      <c r="C56" s="771">
        <v>2031</v>
      </c>
      <c r="D56" s="548" t="s">
        <v>728</v>
      </c>
      <c r="E56" s="549">
        <f t="shared" ref="E56:I56" si="10">SUM(E49:E55)</f>
        <v>44650965</v>
      </c>
      <c r="F56" s="549">
        <f t="shared" si="10"/>
        <v>0</v>
      </c>
      <c r="G56" s="549">
        <f t="shared" si="10"/>
        <v>1715728</v>
      </c>
      <c r="H56" s="549">
        <f t="shared" si="10"/>
        <v>0</v>
      </c>
      <c r="I56" s="549">
        <f t="shared" si="10"/>
        <v>0</v>
      </c>
      <c r="J56" s="550">
        <f>SUM(J49:J55)</f>
        <v>46366693</v>
      </c>
      <c r="K56" s="736"/>
      <c r="L56" s="773" t="s">
        <v>729</v>
      </c>
    </row>
    <row r="57" spans="2:12">
      <c r="B57" s="770">
        <v>10</v>
      </c>
      <c r="C57" s="771">
        <v>2031</v>
      </c>
      <c r="D57" s="774" t="s">
        <v>730</v>
      </c>
      <c r="E57" s="546">
        <v>0</v>
      </c>
      <c r="F57" s="546">
        <v>0</v>
      </c>
      <c r="G57" s="547">
        <v>0</v>
      </c>
      <c r="H57" s="547">
        <v>0</v>
      </c>
      <c r="I57" s="546">
        <v>0</v>
      </c>
      <c r="J57" s="545">
        <f>SUM(E57:I57)</f>
        <v>0</v>
      </c>
      <c r="K57" s="736"/>
      <c r="L57" s="773" t="s">
        <v>722</v>
      </c>
    </row>
    <row r="58" spans="2:12">
      <c r="B58" s="770">
        <v>11</v>
      </c>
      <c r="C58" s="771">
        <v>2031</v>
      </c>
      <c r="D58" s="774" t="s">
        <v>731</v>
      </c>
      <c r="E58" s="546">
        <v>0</v>
      </c>
      <c r="F58" s="546">
        <v>0</v>
      </c>
      <c r="G58" s="547">
        <v>0</v>
      </c>
      <c r="H58" s="547">
        <v>0</v>
      </c>
      <c r="I58" s="546">
        <v>0</v>
      </c>
      <c r="J58" s="545">
        <f>SUM(E58:I58)</f>
        <v>0</v>
      </c>
      <c r="K58" s="736"/>
      <c r="L58" s="773" t="s">
        <v>722</v>
      </c>
    </row>
    <row r="59" spans="2:12">
      <c r="B59" s="770">
        <v>12</v>
      </c>
      <c r="C59" s="771">
        <v>2031</v>
      </c>
      <c r="D59" s="548" t="s">
        <v>732</v>
      </c>
      <c r="E59" s="549">
        <f>SUM(E57:E58)</f>
        <v>0</v>
      </c>
      <c r="F59" s="549">
        <f>SUM(F57:F58)</f>
        <v>0</v>
      </c>
      <c r="G59" s="549">
        <f>SUM(G57:G58)</f>
        <v>0</v>
      </c>
      <c r="H59" s="549">
        <f>SUM(H57:H58)</f>
        <v>0</v>
      </c>
      <c r="I59" s="549">
        <f>SUM(I57:I58)</f>
        <v>0</v>
      </c>
      <c r="J59" s="550">
        <f>SUM(E59:I59)</f>
        <v>0</v>
      </c>
      <c r="K59" s="736"/>
      <c r="L59" s="773" t="s">
        <v>733</v>
      </c>
    </row>
    <row r="60" spans="2:12" ht="45.75" thickBot="1">
      <c r="B60" s="783">
        <v>13</v>
      </c>
      <c r="C60" s="784">
        <v>2031</v>
      </c>
      <c r="D60" s="551" t="s">
        <v>734</v>
      </c>
      <c r="E60" s="552">
        <f t="shared" ref="E60:J60" si="11">E48+E56+E59</f>
        <v>113610008.90350012</v>
      </c>
      <c r="F60" s="552">
        <f t="shared" si="11"/>
        <v>99200</v>
      </c>
      <c r="G60" s="552">
        <f t="shared" si="11"/>
        <v>2865045.4</v>
      </c>
      <c r="H60" s="552">
        <f t="shared" si="11"/>
        <v>1723976.0943</v>
      </c>
      <c r="I60" s="552">
        <f t="shared" si="11"/>
        <v>0</v>
      </c>
      <c r="J60" s="553">
        <f t="shared" si="11"/>
        <v>118298230.39780013</v>
      </c>
      <c r="K60" s="736"/>
      <c r="L60" s="785" t="s">
        <v>735</v>
      </c>
    </row>
    <row r="61" spans="2:12">
      <c r="B61" s="736"/>
      <c r="C61" s="736"/>
      <c r="D61" s="96"/>
      <c r="E61" s="736"/>
      <c r="F61" s="736"/>
      <c r="G61" s="736"/>
      <c r="H61" s="736"/>
      <c r="I61" s="736"/>
      <c r="J61" s="736"/>
      <c r="K61" s="736"/>
      <c r="L61" s="95"/>
    </row>
    <row r="62" spans="2:12">
      <c r="B62" s="736"/>
      <c r="C62" s="554" t="s">
        <v>736</v>
      </c>
      <c r="D62" s="555" t="s">
        <v>737</v>
      </c>
      <c r="E62" s="556" t="s">
        <v>738</v>
      </c>
      <c r="F62" s="786"/>
      <c r="G62" s="787"/>
      <c r="H62" s="787"/>
      <c r="I62" s="787"/>
      <c r="J62" s="787"/>
      <c r="K62" s="787"/>
      <c r="L62" s="788"/>
    </row>
    <row r="63" spans="2:12">
      <c r="B63" s="736"/>
      <c r="C63" s="771" t="s">
        <v>739</v>
      </c>
      <c r="D63" s="789" t="s">
        <v>740</v>
      </c>
      <c r="E63" s="790" t="s">
        <v>741</v>
      </c>
      <c r="F63" s="791"/>
      <c r="G63" s="792"/>
      <c r="H63" s="792"/>
      <c r="I63" s="792"/>
      <c r="J63" s="792"/>
      <c r="K63" s="792"/>
      <c r="L63" s="793"/>
    </row>
    <row r="64" spans="2:12">
      <c r="B64" s="736"/>
      <c r="C64" s="771" t="s">
        <v>742</v>
      </c>
      <c r="D64" s="774" t="s">
        <v>743</v>
      </c>
      <c r="E64" s="723" t="s">
        <v>744</v>
      </c>
      <c r="F64" s="786"/>
      <c r="G64" s="787"/>
      <c r="H64" s="787"/>
      <c r="I64" s="787"/>
      <c r="J64" s="787"/>
      <c r="K64" s="787"/>
      <c r="L64" s="788"/>
    </row>
    <row r="65" spans="3:12">
      <c r="C65" s="771" t="s">
        <v>745</v>
      </c>
      <c r="D65" s="774" t="s">
        <v>746</v>
      </c>
      <c r="E65" s="723" t="s">
        <v>747</v>
      </c>
      <c r="F65" s="786"/>
      <c r="G65" s="787"/>
      <c r="H65" s="787"/>
      <c r="I65" s="787"/>
      <c r="J65" s="787"/>
      <c r="K65" s="787"/>
      <c r="L65" s="788"/>
    </row>
    <row r="66" spans="3:12">
      <c r="C66" s="771" t="s">
        <v>748</v>
      </c>
      <c r="D66" s="774" t="s">
        <v>749</v>
      </c>
      <c r="E66" s="723" t="s">
        <v>750</v>
      </c>
      <c r="F66" s="786"/>
      <c r="G66" s="787"/>
      <c r="H66" s="787"/>
      <c r="I66" s="787"/>
      <c r="J66" s="787"/>
      <c r="K66" s="787"/>
      <c r="L66" s="788"/>
    </row>
    <row r="67" spans="3:12" ht="30">
      <c r="C67" s="557" t="s">
        <v>751</v>
      </c>
      <c r="D67" s="304" t="s">
        <v>752</v>
      </c>
      <c r="E67" s="794" t="s">
        <v>753</v>
      </c>
      <c r="F67" s="786"/>
      <c r="G67" s="787"/>
      <c r="H67" s="787"/>
      <c r="I67" s="787"/>
      <c r="J67" s="787"/>
      <c r="K67" s="787"/>
      <c r="L67" s="788"/>
    </row>
    <row r="68" spans="3:12">
      <c r="C68" s="558" t="s">
        <v>754</v>
      </c>
      <c r="D68" s="559" t="s">
        <v>204</v>
      </c>
      <c r="E68" s="723" t="s">
        <v>755</v>
      </c>
      <c r="F68" s="786"/>
      <c r="G68" s="787"/>
      <c r="H68" s="787"/>
      <c r="I68" s="787"/>
      <c r="J68" s="787"/>
      <c r="K68" s="787"/>
      <c r="L68" s="788"/>
    </row>
    <row r="70" spans="3:12">
      <c r="C70" s="736" t="s">
        <v>756</v>
      </c>
      <c r="D70" s="736"/>
      <c r="E70" s="736"/>
      <c r="F70" s="769"/>
      <c r="G70" s="736"/>
      <c r="H70" s="736"/>
      <c r="I70" s="736"/>
      <c r="J70" s="736"/>
      <c r="K70" s="736"/>
      <c r="L70" s="769"/>
    </row>
  </sheetData>
  <mergeCells count="3">
    <mergeCell ref="C2:I2"/>
    <mergeCell ref="B4:C4"/>
    <mergeCell ref="B5:C5"/>
  </mergeCells>
  <dataValidations count="5">
    <dataValidation allowBlank="1" showInputMessage="1" showErrorMessage="1" prompt="Represents cost recovery by PA" sqref="E57:E58 E18:E19 E9:E16 E31:E32 E22:E29 E44:E45 E35:E42 E48:E55" xr:uid="{57DF4AEA-9A46-48E0-B79E-751843F89CDF}"/>
    <dataValidation allowBlank="1" showInputMessage="1" showErrorMessage="1" prompt="Represents cost recovery for Portfolio Oversight as approved in D.23-06-055" sqref="F9:F16 F18:F19 F57:F58 F31:F32 F22:F29 F44:F45 F35:F42 F48:F55" xr:uid="{90AAEF1C-F7A0-4418-93F3-1DB4A3950DE5}"/>
    <dataValidation allowBlank="1" showInputMessage="1" showErrorMessage="1" prompt="Represents cost recovery for PA EMV budget, excluding cost recovery for Energy Division EMV" sqref="G22:G29 G18:G19 G57:G58 G31:G32 G9:G16 G44:G45 G35:G42 G48:G55" xr:uid="{35CB2578-CB4C-49E2-BE0E-6A519165D1BE}"/>
    <dataValidation allowBlank="1" showInputMessage="1" showErrorMessage="1" prompt="IOU only: represents cost recovery on behalf of IOU PA and RENs/CCAs as RENs/CCAs do not receive invoices for EMV from Energy Division" sqref="H22:H29 H18:H19 H9:H16 H31:H32 H57:H58 H44:H45 H35:H42 H48:H55" xr:uid="{8CB943A7-5EF6-4518-8C04-BFF9E08EF2D3}"/>
    <dataValidation allowBlank="1" showInputMessage="1" showErrorMessage="1" prompt="Enter unspent &amp; uncommitted funds that would offset 2024-2027 cost recovery from pre-2024.  Enter as a negative  number. " sqref="I57:I58 I18:I19 I9:I16 I31:I32 I22:I29 I44:I45 I35:I42 I48:I55" xr:uid="{87B5C6FA-4DAD-41D5-AF8A-9C20CA2C2766}"/>
  </dataValidations>
  <pageMargins left="0.25" right="0.25" top="0.75" bottom="0.75" header="0.3" footer="0.3"/>
  <pageSetup paperSize="17" scale="92" fitToHeight="0" orientation="landscape" r:id="rId1"/>
  <headerFooter>
    <oddFooter>&amp;C&amp;A</oddFooter>
  </headerFooter>
  <ignoredErrors>
    <ignoredError sqref="F9 F22 F35 F4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A6A2C-BA2E-4623-B709-7A8DE44E08D4}">
  <sheetPr codeName="Sheet13">
    <tabColor theme="4"/>
  </sheetPr>
  <dimension ref="A1:L119"/>
  <sheetViews>
    <sheetView showGridLines="0" zoomScaleNormal="100" workbookViewId="0">
      <pane ySplit="11" topLeftCell="A97" activePane="bottomLeft" state="frozen"/>
      <selection activeCell="E1" sqref="E1"/>
      <selection pane="bottomLeft" activeCell="B2" sqref="B2"/>
    </sheetView>
  </sheetViews>
  <sheetFormatPr defaultColWidth="7.75" defaultRowHeight="15"/>
  <cols>
    <col min="1" max="1" width="3.25" style="86" customWidth="1"/>
    <col min="2" max="2" width="16.5" style="86" customWidth="1"/>
    <col min="3" max="3" width="6.75" style="86" customWidth="1"/>
    <col min="4" max="4" width="53.125" style="86" bestFit="1" customWidth="1"/>
    <col min="5" max="8" width="16.75" style="86" customWidth="1"/>
    <col min="9" max="9" width="13.75" style="86" customWidth="1"/>
    <col min="10" max="10" width="11.625" style="86" customWidth="1"/>
    <col min="11" max="11" width="7.75" style="86"/>
    <col min="12" max="12" width="123.125" style="86" customWidth="1"/>
    <col min="13" max="13" width="10.125" style="86" bestFit="1" customWidth="1"/>
    <col min="14" max="16384" width="7.75" style="86"/>
  </cols>
  <sheetData>
    <row r="1" spans="2:12" ht="15.75" thickBot="1">
      <c r="B1" s="795"/>
      <c r="C1" s="795"/>
      <c r="D1" s="795"/>
      <c r="E1" s="795"/>
      <c r="F1" s="795"/>
      <c r="G1" s="795"/>
      <c r="H1" s="795"/>
      <c r="I1" s="795"/>
      <c r="J1" s="795"/>
      <c r="K1" s="795"/>
      <c r="L1" s="795"/>
    </row>
    <row r="2" spans="2:12" ht="27.75" customHeight="1">
      <c r="B2" s="224" t="s">
        <v>58</v>
      </c>
      <c r="C2" s="972" t="s">
        <v>757</v>
      </c>
      <c r="D2" s="972"/>
      <c r="E2" s="972"/>
      <c r="F2" s="972"/>
      <c r="G2" s="972"/>
      <c r="H2" s="972"/>
      <c r="I2" s="973"/>
      <c r="J2" s="795"/>
      <c r="K2" s="795"/>
      <c r="L2" s="795"/>
    </row>
    <row r="3" spans="2:12" ht="53.25" customHeight="1" thickBot="1">
      <c r="B3" s="436" t="s">
        <v>102</v>
      </c>
      <c r="C3" s="982" t="s">
        <v>758</v>
      </c>
      <c r="D3" s="982"/>
      <c r="E3" s="982"/>
      <c r="F3" s="982"/>
      <c r="G3" s="982"/>
      <c r="H3" s="982"/>
      <c r="I3" s="983"/>
      <c r="J3" s="795"/>
      <c r="K3" s="795"/>
      <c r="L3" s="795"/>
    </row>
    <row r="4" spans="2:12" ht="15.75" thickBot="1">
      <c r="B4" s="795"/>
      <c r="C4" s="795"/>
      <c r="D4" s="795"/>
      <c r="E4" s="795"/>
      <c r="F4" s="795"/>
      <c r="G4" s="795"/>
      <c r="H4" s="795"/>
      <c r="I4" s="795"/>
      <c r="J4" s="795"/>
      <c r="K4" s="795"/>
      <c r="L4" s="795"/>
    </row>
    <row r="5" spans="2:12">
      <c r="B5" s="209" t="s">
        <v>104</v>
      </c>
      <c r="C5" s="392" t="str">
        <f>'Read Me'!B10</f>
        <v>SDG&amp;E</v>
      </c>
      <c r="D5" s="796"/>
      <c r="E5" s="795"/>
      <c r="F5" s="795"/>
      <c r="G5" s="795"/>
      <c r="H5" s="795"/>
      <c r="I5" s="795"/>
      <c r="J5" s="795"/>
      <c r="K5" s="795"/>
      <c r="L5" s="795"/>
    </row>
    <row r="6" spans="2:12" ht="15.75" thickBot="1">
      <c r="B6" s="428" t="s">
        <v>105</v>
      </c>
      <c r="C6" s="139" t="str">
        <f>'Read Me'!B11</f>
        <v>2028-2035</v>
      </c>
      <c r="D6" s="797"/>
      <c r="E6" s="795"/>
      <c r="F6" s="795"/>
      <c r="G6" s="795"/>
      <c r="H6" s="795"/>
      <c r="I6" s="795"/>
      <c r="J6" s="795"/>
      <c r="K6" s="795"/>
      <c r="L6" s="795"/>
    </row>
    <row r="8" spans="2:12">
      <c r="B8" s="88" t="s">
        <v>759</v>
      </c>
      <c r="C8" s="89"/>
      <c r="D8" s="795"/>
      <c r="E8" s="795"/>
      <c r="F8" s="795"/>
      <c r="G8" s="795"/>
      <c r="H8" s="795"/>
      <c r="I8" s="795"/>
      <c r="J8" s="795"/>
      <c r="K8" s="795"/>
      <c r="L8" s="795"/>
    </row>
    <row r="9" spans="2:12" ht="19.5" customHeight="1" thickBot="1">
      <c r="B9" s="795"/>
      <c r="C9" s="795"/>
      <c r="D9" s="795"/>
      <c r="E9" s="795"/>
      <c r="F9" s="795"/>
      <c r="G9" s="39"/>
      <c r="H9" s="39"/>
      <c r="I9" s="795"/>
      <c r="J9" s="795"/>
      <c r="K9" s="795"/>
      <c r="L9" s="795"/>
    </row>
    <row r="10" spans="2:12" ht="15.75" thickBot="1">
      <c r="B10" s="980" t="s">
        <v>760</v>
      </c>
      <c r="C10" s="976" t="s">
        <v>713</v>
      </c>
      <c r="D10" s="974" t="s">
        <v>761</v>
      </c>
      <c r="E10" s="984" t="s">
        <v>762</v>
      </c>
      <c r="F10" s="984"/>
      <c r="G10" s="984"/>
      <c r="H10" s="984" t="s">
        <v>763</v>
      </c>
      <c r="I10" s="984"/>
      <c r="J10" s="985"/>
      <c r="K10" s="795"/>
      <c r="L10" s="795"/>
    </row>
    <row r="11" spans="2:12" ht="30">
      <c r="B11" s="981"/>
      <c r="C11" s="977"/>
      <c r="D11" s="975"/>
      <c r="E11" s="798" t="s">
        <v>764</v>
      </c>
      <c r="F11" s="798" t="s">
        <v>765</v>
      </c>
      <c r="G11" s="799" t="s">
        <v>766</v>
      </c>
      <c r="H11" s="800" t="s">
        <v>767</v>
      </c>
      <c r="I11" s="801" t="s">
        <v>768</v>
      </c>
      <c r="J11" s="560" t="s">
        <v>769</v>
      </c>
      <c r="K11" s="795"/>
      <c r="L11" s="210" t="s">
        <v>770</v>
      </c>
    </row>
    <row r="12" spans="2:12">
      <c r="B12" s="561" t="s">
        <v>771</v>
      </c>
      <c r="C12" s="562">
        <v>1</v>
      </c>
      <c r="D12" s="563" t="s">
        <v>772</v>
      </c>
      <c r="E12" s="564"/>
      <c r="F12" s="564"/>
      <c r="G12" s="564"/>
      <c r="H12" s="565"/>
      <c r="I12" s="566"/>
      <c r="J12" s="567"/>
      <c r="K12" s="795"/>
      <c r="L12" s="568" t="s">
        <v>773</v>
      </c>
    </row>
    <row r="13" spans="2:12" ht="45">
      <c r="B13" s="561" t="s">
        <v>771</v>
      </c>
      <c r="C13" s="562">
        <v>2</v>
      </c>
      <c r="D13" s="569" t="s">
        <v>7</v>
      </c>
      <c r="E13" s="570">
        <f>E33+E53+E73+E93</f>
        <v>16802445.820999999</v>
      </c>
      <c r="F13" s="564"/>
      <c r="G13" s="570">
        <f>+E13+F13</f>
        <v>16802445.820999999</v>
      </c>
      <c r="H13" s="571">
        <f>+G13/G24</f>
        <v>6.0703004588204879E-2</v>
      </c>
      <c r="I13" s="572">
        <v>0.1</v>
      </c>
      <c r="J13" s="573"/>
      <c r="K13" s="795"/>
      <c r="L13" s="574" t="s">
        <v>774</v>
      </c>
    </row>
    <row r="14" spans="2:12" ht="60">
      <c r="B14" s="561" t="s">
        <v>771</v>
      </c>
      <c r="C14" s="562">
        <v>3</v>
      </c>
      <c r="D14" s="569" t="s">
        <v>775</v>
      </c>
      <c r="E14" s="802">
        <f>E34+E54+E74+E94</f>
        <v>0</v>
      </c>
      <c r="F14" s="570">
        <f>F34+F54+F74+F94</f>
        <v>11242858.1143</v>
      </c>
      <c r="G14" s="570">
        <f>+E14+F14</f>
        <v>11242858.1143</v>
      </c>
      <c r="H14" s="571">
        <f>+G14/G24</f>
        <v>4.061761454061167E-2</v>
      </c>
      <c r="I14" s="575"/>
      <c r="J14" s="576">
        <v>0.1</v>
      </c>
      <c r="K14" s="795"/>
      <c r="L14" s="577" t="s">
        <v>776</v>
      </c>
    </row>
    <row r="15" spans="2:12" ht="60">
      <c r="B15" s="561" t="s">
        <v>771</v>
      </c>
      <c r="C15" s="562">
        <v>4</v>
      </c>
      <c r="D15" s="578" t="s">
        <v>777</v>
      </c>
      <c r="E15" s="570">
        <f>E35+E55+E75+E95</f>
        <v>5351387.1413000003</v>
      </c>
      <c r="F15" s="579">
        <f>F35+F55+F75+F95</f>
        <v>319191.37919999997</v>
      </c>
      <c r="G15" s="570">
        <f>+F15+E15</f>
        <v>5670578.5205000006</v>
      </c>
      <c r="H15" s="580"/>
      <c r="I15" s="575"/>
      <c r="J15" s="573"/>
      <c r="K15" s="795"/>
      <c r="L15" s="568" t="s">
        <v>778</v>
      </c>
    </row>
    <row r="16" spans="2:12">
      <c r="B16" s="561" t="s">
        <v>771</v>
      </c>
      <c r="C16" s="562">
        <v>5</v>
      </c>
      <c r="D16" s="581" t="s">
        <v>779</v>
      </c>
      <c r="E16" s="570">
        <f>E36+E56+E76+E96</f>
        <v>524173.48380000005</v>
      </c>
      <c r="F16" s="579">
        <f>F36+F56+F76+F96</f>
        <v>8212678.0769999987</v>
      </c>
      <c r="G16" s="570">
        <f>+F16+E16</f>
        <v>8736851.5607999992</v>
      </c>
      <c r="H16" s="580"/>
      <c r="I16" s="582"/>
      <c r="J16" s="583"/>
      <c r="K16" s="795"/>
      <c r="L16" s="568" t="s">
        <v>780</v>
      </c>
    </row>
    <row r="17" spans="2:12">
      <c r="B17" s="561" t="s">
        <v>771</v>
      </c>
      <c r="C17" s="562">
        <v>6</v>
      </c>
      <c r="D17" s="581" t="s">
        <v>781</v>
      </c>
      <c r="E17" s="584"/>
      <c r="F17" s="585"/>
      <c r="G17" s="584"/>
      <c r="H17" s="580"/>
      <c r="I17" s="582"/>
      <c r="J17" s="573"/>
      <c r="K17" s="795"/>
      <c r="L17" s="568" t="s">
        <v>773</v>
      </c>
    </row>
    <row r="18" spans="2:12" ht="14.25" customHeight="1">
      <c r="B18" s="561" t="s">
        <v>771</v>
      </c>
      <c r="C18" s="562">
        <v>7</v>
      </c>
      <c r="D18" s="578" t="s">
        <v>782</v>
      </c>
      <c r="E18" s="570">
        <f t="shared" ref="E18:F20" si="0">E38+E58+E78+E98</f>
        <v>264000</v>
      </c>
      <c r="F18" s="579">
        <f t="shared" si="0"/>
        <v>112622771.028696</v>
      </c>
      <c r="G18" s="570">
        <f t="shared" ref="G18:G24" si="1">+F18+E18</f>
        <v>112886771.028696</v>
      </c>
      <c r="H18" s="580"/>
      <c r="I18" s="582"/>
      <c r="J18" s="573"/>
      <c r="K18" s="795"/>
      <c r="L18" s="568" t="s">
        <v>783</v>
      </c>
    </row>
    <row r="19" spans="2:12" ht="30">
      <c r="B19" s="561" t="s">
        <v>771</v>
      </c>
      <c r="C19" s="562">
        <v>8</v>
      </c>
      <c r="D19" s="578" t="s">
        <v>784</v>
      </c>
      <c r="E19" s="570">
        <f t="shared" si="0"/>
        <v>11869589.469000001</v>
      </c>
      <c r="F19" s="579">
        <f t="shared" si="0"/>
        <v>73680654.256500006</v>
      </c>
      <c r="G19" s="570">
        <f t="shared" si="1"/>
        <v>85550243.725500003</v>
      </c>
      <c r="H19" s="571">
        <f>+G19/G24</f>
        <v>0.30907148237315379</v>
      </c>
      <c r="I19" s="575"/>
      <c r="J19" s="576">
        <v>0.2</v>
      </c>
      <c r="K19" s="795"/>
      <c r="L19" s="568" t="s">
        <v>785</v>
      </c>
    </row>
    <row r="20" spans="2:12" ht="30">
      <c r="B20" s="561" t="s">
        <v>771</v>
      </c>
      <c r="C20" s="562">
        <v>9</v>
      </c>
      <c r="D20" s="578" t="s">
        <v>786</v>
      </c>
      <c r="E20" s="570">
        <f t="shared" si="0"/>
        <v>14407115.7064</v>
      </c>
      <c r="F20" s="579">
        <f t="shared" si="0"/>
        <v>10428828.963200001</v>
      </c>
      <c r="G20" s="570">
        <f t="shared" si="1"/>
        <v>24835944.669600002</v>
      </c>
      <c r="H20" s="580"/>
      <c r="I20" s="582"/>
      <c r="J20" s="573"/>
      <c r="K20" s="795"/>
      <c r="L20" s="568" t="s">
        <v>787</v>
      </c>
    </row>
    <row r="21" spans="2:12" ht="30">
      <c r="B21" s="561" t="s">
        <v>771</v>
      </c>
      <c r="C21" s="562">
        <v>10</v>
      </c>
      <c r="D21" s="586" t="s">
        <v>788</v>
      </c>
      <c r="E21" s="570">
        <f>+E22+E23</f>
        <v>11071903.894099999</v>
      </c>
      <c r="F21" s="587"/>
      <c r="G21" s="570">
        <f t="shared" si="1"/>
        <v>11071903.894099999</v>
      </c>
      <c r="H21" s="571">
        <f>+G21/G24</f>
        <v>4.0000000002601753E-2</v>
      </c>
      <c r="I21" s="572">
        <v>0.04</v>
      </c>
      <c r="J21" s="583"/>
      <c r="K21" s="795"/>
      <c r="L21" s="568" t="s">
        <v>789</v>
      </c>
    </row>
    <row r="22" spans="2:12">
      <c r="B22" s="561" t="s">
        <v>771</v>
      </c>
      <c r="C22" s="562" t="s">
        <v>790</v>
      </c>
      <c r="D22" s="578" t="s">
        <v>257</v>
      </c>
      <c r="E22" s="570">
        <f>E42+E62+E82+E102</f>
        <v>4428761.5600000005</v>
      </c>
      <c r="F22" s="587"/>
      <c r="G22" s="570">
        <f t="shared" si="1"/>
        <v>4428761.5600000005</v>
      </c>
      <c r="H22" s="580"/>
      <c r="I22" s="580"/>
      <c r="J22" s="583"/>
      <c r="K22" s="795"/>
      <c r="L22" s="568" t="s">
        <v>791</v>
      </c>
    </row>
    <row r="23" spans="2:12" ht="30">
      <c r="B23" s="561" t="s">
        <v>771</v>
      </c>
      <c r="C23" s="562" t="s">
        <v>792</v>
      </c>
      <c r="D23" s="578" t="s">
        <v>259</v>
      </c>
      <c r="E23" s="570">
        <f>E43+E63+E83+E103</f>
        <v>6643142.3340999996</v>
      </c>
      <c r="F23" s="587"/>
      <c r="G23" s="570">
        <f t="shared" si="1"/>
        <v>6643142.3340999996</v>
      </c>
      <c r="H23" s="580"/>
      <c r="I23" s="580"/>
      <c r="J23" s="583"/>
      <c r="K23" s="795"/>
      <c r="L23" s="568" t="s">
        <v>793</v>
      </c>
    </row>
    <row r="24" spans="2:12" ht="33" customHeight="1">
      <c r="B24" s="561" t="s">
        <v>771</v>
      </c>
      <c r="C24" s="562">
        <v>11</v>
      </c>
      <c r="D24" s="588" t="s">
        <v>794</v>
      </c>
      <c r="E24" s="570">
        <f>SUM(E13:E21)</f>
        <v>60290615.515599996</v>
      </c>
      <c r="F24" s="579">
        <f>SUM(F13:F21)</f>
        <v>216506981.81889603</v>
      </c>
      <c r="G24" s="570">
        <f t="shared" si="1"/>
        <v>276797597.33449602</v>
      </c>
      <c r="H24" s="580"/>
      <c r="I24" s="580"/>
      <c r="J24" s="583"/>
      <c r="K24" s="795"/>
      <c r="L24" s="589" t="s">
        <v>795</v>
      </c>
    </row>
    <row r="25" spans="2:12" ht="45">
      <c r="B25" s="561" t="s">
        <v>771</v>
      </c>
      <c r="C25" s="562">
        <v>12</v>
      </c>
      <c r="D25" s="588" t="s">
        <v>796</v>
      </c>
      <c r="E25" s="590"/>
      <c r="F25" s="579">
        <f>F45+F65+F85+F105</f>
        <v>216506981.818896</v>
      </c>
      <c r="G25" s="580"/>
      <c r="H25" s="571">
        <f>+F25/G24</f>
        <v>0.78218519200966241</v>
      </c>
      <c r="I25" s="582"/>
      <c r="J25" s="591">
        <v>0.6</v>
      </c>
      <c r="K25" s="795"/>
      <c r="L25" s="592" t="s">
        <v>797</v>
      </c>
    </row>
    <row r="26" spans="2:12">
      <c r="B26" s="561" t="s">
        <v>771</v>
      </c>
      <c r="C26" s="562">
        <v>13</v>
      </c>
      <c r="D26" s="593" t="s">
        <v>798</v>
      </c>
      <c r="E26" s="570">
        <f t="shared" ref="E26:E30" si="2">E46+E66+E86+E106</f>
        <v>0</v>
      </c>
      <c r="F26" s="585"/>
      <c r="G26" s="570">
        <f t="shared" ref="G26:G28" si="3">+F26+E26</f>
        <v>0</v>
      </c>
      <c r="H26" s="584"/>
      <c r="I26" s="584"/>
      <c r="J26" s="594"/>
      <c r="K26" s="795"/>
      <c r="L26" s="592" t="s">
        <v>799</v>
      </c>
    </row>
    <row r="27" spans="2:12" ht="29.25" customHeight="1">
      <c r="B27" s="561" t="s">
        <v>771</v>
      </c>
      <c r="C27" s="562">
        <v>14</v>
      </c>
      <c r="D27" s="588" t="s">
        <v>800</v>
      </c>
      <c r="E27" s="570">
        <f>E47+E67+E87+E107</f>
        <v>60290615.515599996</v>
      </c>
      <c r="F27" s="570">
        <f>F47+F67+F87+F107</f>
        <v>216506981.818896</v>
      </c>
      <c r="G27" s="570">
        <f t="shared" si="3"/>
        <v>276797597.33449602</v>
      </c>
      <c r="H27" s="595"/>
      <c r="I27" s="582"/>
      <c r="J27" s="573"/>
      <c r="K27" s="795"/>
      <c r="L27" s="589" t="s">
        <v>801</v>
      </c>
    </row>
    <row r="28" spans="2:12" ht="60">
      <c r="B28" s="561" t="s">
        <v>771</v>
      </c>
      <c r="C28" s="562">
        <v>15</v>
      </c>
      <c r="D28" s="596" t="s">
        <v>802</v>
      </c>
      <c r="E28" s="570">
        <f>E48+E68+E88+E108</f>
        <v>396800</v>
      </c>
      <c r="F28" s="597"/>
      <c r="G28" s="570">
        <f t="shared" si="3"/>
        <v>396800</v>
      </c>
      <c r="H28" s="595"/>
      <c r="I28" s="582"/>
      <c r="J28" s="573"/>
      <c r="K28" s="795"/>
      <c r="L28" s="592" t="s">
        <v>803</v>
      </c>
    </row>
    <row r="29" spans="2:12">
      <c r="B29" s="598" t="s">
        <v>771</v>
      </c>
      <c r="C29" s="599">
        <v>16</v>
      </c>
      <c r="D29" s="600" t="s">
        <v>804</v>
      </c>
      <c r="E29" s="62"/>
      <c r="F29" s="601"/>
      <c r="G29" s="595"/>
      <c r="H29" s="595"/>
      <c r="I29" s="582"/>
      <c r="J29" s="573"/>
      <c r="K29" s="795"/>
      <c r="L29" s="589" t="s">
        <v>805</v>
      </c>
    </row>
    <row r="30" spans="2:12" ht="60">
      <c r="B30" s="598" t="s">
        <v>771</v>
      </c>
      <c r="C30" s="599">
        <v>17</v>
      </c>
      <c r="D30" s="600" t="s">
        <v>806</v>
      </c>
      <c r="E30" s="570">
        <f t="shared" si="2"/>
        <v>0</v>
      </c>
      <c r="F30" s="601"/>
      <c r="G30" s="595"/>
      <c r="H30" s="803"/>
      <c r="I30" s="804"/>
      <c r="J30" s="602"/>
      <c r="K30" s="795"/>
      <c r="L30" s="592" t="s">
        <v>807</v>
      </c>
    </row>
    <row r="31" spans="2:12" ht="15.75" thickBot="1">
      <c r="B31" s="49" t="s">
        <v>771</v>
      </c>
      <c r="C31" s="50">
        <v>18</v>
      </c>
      <c r="D31" s="51" t="s">
        <v>343</v>
      </c>
      <c r="E31" s="390">
        <f>SUM(E27:E30)</f>
        <v>60687415.515599996</v>
      </c>
      <c r="F31" s="390">
        <f>SUM(F27:F30)</f>
        <v>216506981.818896</v>
      </c>
      <c r="G31" s="390">
        <f>SUM(G27:G30)</f>
        <v>277194397.33449602</v>
      </c>
      <c r="H31" s="52"/>
      <c r="I31" s="53"/>
      <c r="J31" s="54"/>
      <c r="K31" s="795"/>
      <c r="L31" s="603" t="s">
        <v>808</v>
      </c>
    </row>
    <row r="32" spans="2:12" ht="15.75" thickTop="1">
      <c r="B32" s="55">
        <v>2028</v>
      </c>
      <c r="C32" s="562">
        <v>1</v>
      </c>
      <c r="D32" s="140" t="s">
        <v>772</v>
      </c>
      <c r="E32" s="141"/>
      <c r="F32" s="141"/>
      <c r="G32" s="141"/>
      <c r="H32" s="142"/>
      <c r="I32" s="143"/>
      <c r="J32" s="56"/>
      <c r="K32" s="795"/>
      <c r="L32" s="795"/>
    </row>
    <row r="33" spans="1:12">
      <c r="A33" s="795"/>
      <c r="B33" s="561">
        <v>2028</v>
      </c>
      <c r="C33" s="562">
        <v>2</v>
      </c>
      <c r="D33" s="569" t="s">
        <v>7</v>
      </c>
      <c r="E33" s="604">
        <f>SUMIFS('SDGE - IOU-3P Budgets 2028-31'!$M$9:$M$340,'SDGE - IOU-3P Budgets 2028-31'!$K$9:$K$340,'8 Cap &amp; Target '!B33,'SDGE - IOU-3P Budgets 2028-31'!$E$9:$E$340,"IOU Core",'SDGE - IOU-3P Budgets 2028-31'!$G$9:$G$340,"No")-'SDGE - IOU-3P Budgets 2028-31'!W15</f>
        <v>4629936.8484000005</v>
      </c>
      <c r="F33" s="564"/>
      <c r="G33" s="604">
        <f>+E33+F33</f>
        <v>4629936.8484000005</v>
      </c>
      <c r="H33" s="605">
        <f>+G33/G44</f>
        <v>6.7661340748150625E-2</v>
      </c>
      <c r="I33" s="606">
        <v>0.1</v>
      </c>
      <c r="J33" s="607"/>
      <c r="K33" s="795"/>
      <c r="L33" s="795"/>
    </row>
    <row r="34" spans="1:12">
      <c r="A34" s="795"/>
      <c r="B34" s="561">
        <v>2028</v>
      </c>
      <c r="C34" s="562">
        <v>3</v>
      </c>
      <c r="D34" s="569" t="s">
        <v>775</v>
      </c>
      <c r="E34" s="564"/>
      <c r="F34" s="604">
        <f>SUMIFS('SDGE - IOU-3P Budgets 2028-31'!$M$9:$M$340,'SDGE - IOU-3P Budgets 2028-31'!$K$9:$K$340,'8 Cap &amp; Target '!B34,'SDGE - IOU-3P Budgets 2028-31'!$E$9:$E$340,"Third-Party Solicited",'SDGE - IOU-3P Budgets 2028-31'!$G$9:$G$340,"No")</f>
        <v>2690439.1462000003</v>
      </c>
      <c r="G34" s="604">
        <f>+E34+F34</f>
        <v>2690439.1462000003</v>
      </c>
      <c r="H34" s="605">
        <f>+G34/G44</f>
        <v>3.9317754387105747E-2</v>
      </c>
      <c r="I34" s="575"/>
      <c r="J34" s="576">
        <v>0.1</v>
      </c>
      <c r="K34" s="805"/>
      <c r="L34" s="795"/>
    </row>
    <row r="35" spans="1:12">
      <c r="A35" s="795"/>
      <c r="B35" s="561">
        <v>2028</v>
      </c>
      <c r="C35" s="562">
        <v>4</v>
      </c>
      <c r="D35" s="578" t="s">
        <v>777</v>
      </c>
      <c r="E35" s="604">
        <f>SUMIFS('SDGE - IOU-3P Budgets 2028-31'!$M$9:$M$340,'SDGE - IOU-3P Budgets 2028-31'!$K$9:$K$340,'8 Cap &amp; Target '!B35,'SDGE - IOU-3P Budgets 2028-31'!$E$9:$E$340,"IOU Core",'SDGE - IOU-3P Budgets 2028-31'!$G$9:$G$340,"Yes")+'SDGE - IOU-3P Budgets 2028-31'!M13+'SDGE - IOU-3P Budgets 2028-31'!M91+'SDGE - IOU-3P Budgets 2028-31'!W15</f>
        <v>1395364.5915999999</v>
      </c>
      <c r="F35" s="604">
        <f>SUMIFS('SDGE - IOU-3P Budgets 2028-31'!$M$9:$M$340,'SDGE - IOU-3P Budgets 2028-31'!$K$9:$K$340,'8 Cap &amp; Target '!B35,'SDGE - IOU-3P Budgets 2028-31'!$E$9:$E$340,"Third-Party Solicited",'SDGE - IOU-3P Budgets 2028-31'!$G$9:$G$340,"Yes")+'SDGE - IOU-3P Budgets 2028-31'!M83</f>
        <v>79001.715199999991</v>
      </c>
      <c r="G35" s="604">
        <f>+E35+F35</f>
        <v>1474366.3067999999</v>
      </c>
      <c r="H35" s="580"/>
      <c r="I35" s="575"/>
      <c r="J35" s="607"/>
      <c r="K35" s="795"/>
      <c r="L35" s="795"/>
    </row>
    <row r="36" spans="1:12">
      <c r="A36" s="795"/>
      <c r="B36" s="561">
        <v>2028</v>
      </c>
      <c r="C36" s="562">
        <v>5</v>
      </c>
      <c r="D36" s="563" t="s">
        <v>779</v>
      </c>
      <c r="E36" s="604">
        <f>SUMIFS('SDGE - IOU-3P Budgets 2028-31'!$N$9:$N$340,'SDGE - IOU-3P Budgets 2028-31'!$K$9:$K$340,'8 Cap &amp; Target '!B36,'SDGE - IOU-3P Budgets 2028-31'!$E$9:$E$340,"IOU Core")+'SDGE - IOU-3P Budgets 2028-31'!N13+'SDGE - IOU-3P Budgets 2028-31'!N84</f>
        <v>129705.2239</v>
      </c>
      <c r="F36" s="604">
        <f>SUMIFS('SDGE - IOU-3P Budgets 2028-31'!$N$9:$N$340,'SDGE - IOU-3P Budgets 2028-31'!$K$9:$K$340,'8 Cap &amp; Target '!B36,'SDGE - IOU-3P Budgets 2028-31'!$E$9:$E$340,"Third-Party Solicited")+'SDGE - IOU-3P Budgets 2028-31'!N83</f>
        <v>2027629.8018999998</v>
      </c>
      <c r="G36" s="604">
        <f>+E36+F36</f>
        <v>2157335.0257999999</v>
      </c>
      <c r="H36" s="608">
        <f>+G36/G44</f>
        <v>3.1527034831807126E-2</v>
      </c>
      <c r="I36" s="575"/>
      <c r="J36" s="576">
        <v>0.06</v>
      </c>
      <c r="K36" s="795"/>
      <c r="L36" s="795"/>
    </row>
    <row r="37" spans="1:12" s="32" customFormat="1">
      <c r="A37" s="795"/>
      <c r="B37" s="561">
        <v>2028</v>
      </c>
      <c r="C37" s="562">
        <v>6</v>
      </c>
      <c r="D37" s="563" t="s">
        <v>781</v>
      </c>
      <c r="E37" s="584"/>
      <c r="F37" s="584"/>
      <c r="G37" s="584"/>
      <c r="H37" s="580"/>
      <c r="I37" s="582"/>
      <c r="J37" s="573"/>
    </row>
    <row r="38" spans="1:12" s="32" customFormat="1">
      <c r="A38" s="795"/>
      <c r="B38" s="561">
        <v>2028</v>
      </c>
      <c r="C38" s="562">
        <v>7</v>
      </c>
      <c r="D38" s="569" t="s">
        <v>782</v>
      </c>
      <c r="E38" s="604">
        <f>SUMIFS('SDGE - IOU-3P Budgets 2028-31'!$P$9:$P$340,'SDGE - IOU-3P Budgets 2028-31'!$K$9:$K$340,'8 Cap &amp; Target '!B38,'SDGE - IOU-3P Budgets 2028-31'!$E$9:$E$340,"IOU Core")+'SDGE - IOU-3P Budgets 2028-31'!P13+'SDGE - IOU-3P Budgets 2028-31'!P84+'SDGE - IOU-3P Budgets 2028-31'!P91</f>
        <v>66000</v>
      </c>
      <c r="F38" s="604">
        <f>SUMIFS('SDGE - IOU-3P Budgets 2028-31'!$P$9:$P$340,'SDGE - IOU-3P Budgets 2028-31'!$K$9:$K$340,'8 Cap &amp; Target '!B38,'SDGE - IOU-3P Budgets 2028-31'!$E$9:$E$340,"Third-Party Solicited")+'SDGE - IOU-3P Budgets 2028-31'!P83</f>
        <v>27929758.741883669</v>
      </c>
      <c r="G38" s="604">
        <f>+F38+E38</f>
        <v>27995758.741883669</v>
      </c>
      <c r="H38" s="580"/>
      <c r="I38" s="582"/>
      <c r="J38" s="573"/>
    </row>
    <row r="39" spans="1:12">
      <c r="A39" s="795"/>
      <c r="B39" s="561">
        <v>2028</v>
      </c>
      <c r="C39" s="562">
        <v>8</v>
      </c>
      <c r="D39" s="569" t="s">
        <v>784</v>
      </c>
      <c r="E39" s="604">
        <f>SUMIFS('SDGE - IOU-3P Budgets 2028-31'!$O$9:$O$340,'SDGE - IOU-3P Budgets 2028-31'!$K$9:$K$340,'8 Cap &amp; Target '!B39,'SDGE - IOU-3P Budgets 2028-31'!$E$9:$E$340,"IOU Core", 'SDGE - IOU-3P Budgets 2028-31'!$G$9:$G$340,"No")+'SDGE - IOU-3P Budgets 2028-31'!O91</f>
        <v>2851751.7440000004</v>
      </c>
      <c r="F39" s="604">
        <f>SUMIFS('SDGE - IOU-3P Budgets 2028-31'!$O$9:$O$340,'SDGE - IOU-3P Budgets 2028-31'!$K$9:$K$340,'8 Cap &amp; Target '!B39,'SDGE - IOU-3P Budgets 2028-31'!$E$9:$E$340,"Third-Party Solicited", 'SDGE - IOU-3P Budgets 2028-31'!$G$9:$G$340,"No")</f>
        <v>17593308.243900001</v>
      </c>
      <c r="G39" s="604">
        <f>+F39+E39</f>
        <v>20445059.9879</v>
      </c>
      <c r="H39" s="608">
        <f>+G39/G44</f>
        <v>0.29878164989134415</v>
      </c>
      <c r="I39" s="575"/>
      <c r="J39" s="576">
        <v>0.2</v>
      </c>
      <c r="K39" s="795"/>
      <c r="L39" s="795"/>
    </row>
    <row r="40" spans="1:12">
      <c r="A40" s="795"/>
      <c r="B40" s="561">
        <v>2028</v>
      </c>
      <c r="C40" s="562">
        <v>9</v>
      </c>
      <c r="D40" s="569" t="s">
        <v>786</v>
      </c>
      <c r="E40" s="604">
        <f>SUMIFS('SDGE - IOU-3P Budgets 2028-31'!$O$9:$O$340,'SDGE - IOU-3P Budgets 2028-31'!$K$9:$K$340,'8 Cap &amp; Target '!B40,'SDGE - IOU-3P Budgets 2028-31'!$E$9:$E$340,"IOU Core", 'SDGE - IOU-3P Budgets 2028-31'!$G$9:$G$340,"Yes")+'SDGE - IOU-3P Budgets 2028-31'!O13+'SDGE - IOU-3P Budgets 2028-31'!O84</f>
        <v>3713128.4065</v>
      </c>
      <c r="F40" s="604">
        <f>SUMIFS('SDGE - IOU-3P Budgets 2028-31'!$O$9:$O$340,'SDGE - IOU-3P Budgets 2028-31'!$K$9:$K$340,'8 Cap &amp; Target '!B40,'SDGE - IOU-3P Budgets 2028-31'!$E$9:$E$340,"Third-Party Solicited", 'SDGE - IOU-3P Budgets 2028-31'!$G$9:$G$340,"Yes")+'SDGE - IOU-3P Budgets 2028-31'!O13+'SDGE - IOU-3P Budgets 2028-31'!O83</f>
        <v>2584949.5136000002</v>
      </c>
      <c r="G40" s="604">
        <f>+F40+E40</f>
        <v>6298077.9200999998</v>
      </c>
      <c r="H40" s="580"/>
      <c r="I40" s="582"/>
      <c r="J40" s="573"/>
      <c r="K40" s="795"/>
      <c r="L40" s="795"/>
    </row>
    <row r="41" spans="1:12">
      <c r="A41" s="795"/>
      <c r="B41" s="561">
        <v>2028</v>
      </c>
      <c r="C41" s="562">
        <v>10</v>
      </c>
      <c r="D41" s="609" t="s">
        <v>788</v>
      </c>
      <c r="E41" s="604">
        <f>+E42+E43</f>
        <v>2737123.9175999998</v>
      </c>
      <c r="F41" s="584"/>
      <c r="G41" s="604">
        <f>+G42+G43</f>
        <v>2737123.9175999998</v>
      </c>
      <c r="H41" s="608">
        <f>+G41/G44</f>
        <v>4.0000000026489888E-2</v>
      </c>
      <c r="I41" s="572">
        <v>0.04</v>
      </c>
      <c r="J41" s="583"/>
      <c r="K41" s="795"/>
      <c r="L41" s="795"/>
    </row>
    <row r="42" spans="1:12">
      <c r="A42" s="795"/>
      <c r="B42" s="561">
        <v>2028</v>
      </c>
      <c r="C42" s="562" t="s">
        <v>790</v>
      </c>
      <c r="D42" s="569" t="s">
        <v>257</v>
      </c>
      <c r="E42" s="604">
        <f>IF('8 Cap &amp; Target '!D42="EM&amp;V - PA",VLOOKUP(B42,'3.1 Funding Category'!$B$74:$D$81, 3,FALSE),VLOOKUP(B42,'3.1 Funding Category'!$B$82:$D$89,3,FALSE))</f>
        <v>1094849.57</v>
      </c>
      <c r="F42" s="590"/>
      <c r="G42" s="604">
        <f>SUM(E42:F42)</f>
        <v>1094849.57</v>
      </c>
      <c r="H42" s="580"/>
      <c r="I42" s="580"/>
      <c r="J42" s="583"/>
      <c r="K42" s="795"/>
      <c r="L42" s="795"/>
    </row>
    <row r="43" spans="1:12">
      <c r="A43" s="795"/>
      <c r="B43" s="561">
        <v>2028</v>
      </c>
      <c r="C43" s="562" t="s">
        <v>792</v>
      </c>
      <c r="D43" s="569" t="s">
        <v>259</v>
      </c>
      <c r="E43" s="604">
        <f>IF('8 Cap &amp; Target '!D43="EM&amp;V - PA",VLOOKUP(B43,'3.1 Funding Category'!$B$74:$D$81, 3,FALSE),VLOOKUP(B43,'3.1 Funding Category'!$B$82:$D$89,3,FALSE))</f>
        <v>1642274.3475999997</v>
      </c>
      <c r="F43" s="590"/>
      <c r="G43" s="604">
        <f>SUM(E43:F43)</f>
        <v>1642274.3475999997</v>
      </c>
      <c r="H43" s="580"/>
      <c r="I43" s="580"/>
      <c r="J43" s="583"/>
      <c r="K43" s="795"/>
      <c r="L43" s="795"/>
    </row>
    <row r="44" spans="1:12" ht="30">
      <c r="A44" s="795"/>
      <c r="B44" s="561">
        <v>2028</v>
      </c>
      <c r="C44" s="562">
        <v>11</v>
      </c>
      <c r="D44" s="593" t="s">
        <v>794</v>
      </c>
      <c r="E44" s="604">
        <f>SUM(E33:E41)</f>
        <v>15523010.732000001</v>
      </c>
      <c r="F44" s="604">
        <f>SUM(F33:F41)</f>
        <v>52905087.162683673</v>
      </c>
      <c r="G44" s="604">
        <f>SUM(G33:G41)</f>
        <v>68428097.894683674</v>
      </c>
      <c r="H44" s="580"/>
      <c r="I44" s="580"/>
      <c r="J44" s="583"/>
      <c r="K44" s="795"/>
      <c r="L44" s="795"/>
    </row>
    <row r="45" spans="1:12" s="32" customFormat="1">
      <c r="A45" s="795"/>
      <c r="B45" s="561">
        <v>2028</v>
      </c>
      <c r="C45" s="562">
        <v>12</v>
      </c>
      <c r="D45" s="593" t="s">
        <v>796</v>
      </c>
      <c r="E45" s="584"/>
      <c r="F45" s="604">
        <f>SUM(F33:F43)</f>
        <v>52905087.162683673</v>
      </c>
      <c r="G45" s="584"/>
      <c r="H45" s="605">
        <f>+F45/G44</f>
        <v>0.77314858647844986</v>
      </c>
      <c r="I45" s="582"/>
      <c r="J45" s="591">
        <v>0.6</v>
      </c>
    </row>
    <row r="46" spans="1:12" s="32" customFormat="1">
      <c r="A46" s="795"/>
      <c r="B46" s="561">
        <v>2028</v>
      </c>
      <c r="C46" s="562">
        <v>13</v>
      </c>
      <c r="D46" s="593" t="s">
        <v>798</v>
      </c>
      <c r="E46" s="610">
        <v>0</v>
      </c>
      <c r="F46" s="584"/>
      <c r="G46" s="604">
        <f>+E46+F46</f>
        <v>0</v>
      </c>
      <c r="H46" s="584"/>
      <c r="I46" s="584"/>
      <c r="J46" s="594"/>
    </row>
    <row r="47" spans="1:12" s="32" customFormat="1">
      <c r="A47" s="795"/>
      <c r="B47" s="561">
        <v>2028</v>
      </c>
      <c r="C47" s="562">
        <v>14</v>
      </c>
      <c r="D47" s="593" t="s">
        <v>800</v>
      </c>
      <c r="E47" s="604">
        <f>SUM(E44, E46)</f>
        <v>15523010.732000001</v>
      </c>
      <c r="F47" s="604">
        <f>SUM(F44, F46)</f>
        <v>52905087.162683673</v>
      </c>
      <c r="G47" s="604">
        <f>+G46+G44</f>
        <v>68428097.894683674</v>
      </c>
      <c r="H47" s="595"/>
      <c r="I47" s="582"/>
      <c r="J47" s="573"/>
    </row>
    <row r="48" spans="1:12">
      <c r="A48" s="795"/>
      <c r="B48" s="598">
        <v>2028</v>
      </c>
      <c r="C48" s="562">
        <v>15</v>
      </c>
      <c r="D48" s="600" t="s">
        <v>802</v>
      </c>
      <c r="E48" s="604">
        <f>VLOOKUP(B48,'3.1 Funding Category'!$B$26:$D$33,3,FALSE)</f>
        <v>99200</v>
      </c>
      <c r="F48" s="611"/>
      <c r="G48" s="604">
        <f>+E48</f>
        <v>99200</v>
      </c>
      <c r="H48" s="580"/>
      <c r="I48" s="580"/>
      <c r="J48" s="583"/>
      <c r="K48" s="795"/>
      <c r="L48" s="795"/>
    </row>
    <row r="49" spans="1:10">
      <c r="A49" s="795"/>
      <c r="B49" s="598">
        <v>2028</v>
      </c>
      <c r="C49" s="599">
        <v>16</v>
      </c>
      <c r="D49" s="600" t="s">
        <v>804</v>
      </c>
      <c r="E49" s="610">
        <v>0</v>
      </c>
      <c r="F49" s="611"/>
      <c r="G49" s="604">
        <f>+E49</f>
        <v>0</v>
      </c>
      <c r="H49" s="580"/>
      <c r="I49" s="584"/>
      <c r="J49" s="583"/>
    </row>
    <row r="50" spans="1:10" s="32" customFormat="1">
      <c r="A50" s="795"/>
      <c r="B50" s="598">
        <v>2028</v>
      </c>
      <c r="C50" s="599">
        <v>17</v>
      </c>
      <c r="D50" s="600" t="s">
        <v>806</v>
      </c>
      <c r="E50" s="610">
        <v>0</v>
      </c>
      <c r="F50" s="611"/>
      <c r="G50" s="595"/>
      <c r="H50" s="580"/>
      <c r="I50" s="584"/>
      <c r="J50" s="583"/>
    </row>
    <row r="51" spans="1:10" ht="15.75" thickBot="1">
      <c r="A51" s="795"/>
      <c r="B51" s="57">
        <v>2028</v>
      </c>
      <c r="C51" s="50">
        <v>18</v>
      </c>
      <c r="D51" s="58" t="s">
        <v>343</v>
      </c>
      <c r="E51" s="390">
        <f>SUM(E47:E50)</f>
        <v>15622210.732000001</v>
      </c>
      <c r="F51" s="390">
        <f>SUM(F47:F50)</f>
        <v>52905087.162683673</v>
      </c>
      <c r="G51" s="390">
        <f>SUM(G47:G50)</f>
        <v>68527297.894683674</v>
      </c>
      <c r="H51" s="59"/>
      <c r="I51" s="53"/>
      <c r="J51" s="61"/>
    </row>
    <row r="52" spans="1:10" ht="15.75" thickTop="1">
      <c r="A52" s="795"/>
      <c r="B52" s="55">
        <v>2029</v>
      </c>
      <c r="C52" s="562">
        <v>1</v>
      </c>
      <c r="D52" s="140" t="s">
        <v>772</v>
      </c>
      <c r="E52" s="141"/>
      <c r="F52" s="141"/>
      <c r="G52" s="141"/>
      <c r="H52" s="142"/>
      <c r="I52" s="143"/>
      <c r="J52" s="56"/>
    </row>
    <row r="53" spans="1:10">
      <c r="A53" s="795"/>
      <c r="B53" s="561">
        <v>2029</v>
      </c>
      <c r="C53" s="562">
        <v>2</v>
      </c>
      <c r="D53" s="569" t="s">
        <v>7</v>
      </c>
      <c r="E53" s="604">
        <f>SUMIFS('SDGE - IOU-3P Budgets 2028-31'!$M$9:$M$340,'SDGE - IOU-3P Budgets 2028-31'!$K$9:$K$340,'8 Cap &amp; Target '!B53,'SDGE - IOU-3P Budgets 2028-31'!$E$9:$E$340,"IOU Core",'SDGE - IOU-3P Budgets 2028-31'!$G$9:$G$340,"No")-'SDGE - IOU-3P Budgets 2028-31'!W24</f>
        <v>3931347.9442999996</v>
      </c>
      <c r="F53" s="564"/>
      <c r="G53" s="604">
        <f>+E53+F53</f>
        <v>3931347.9442999996</v>
      </c>
      <c r="H53" s="605">
        <f>+G53/G64</f>
        <v>5.8018196435514917E-2</v>
      </c>
      <c r="I53" s="606">
        <v>0.1</v>
      </c>
      <c r="J53" s="607"/>
    </row>
    <row r="54" spans="1:10">
      <c r="A54" s="795"/>
      <c r="B54" s="561">
        <v>2029</v>
      </c>
      <c r="C54" s="562">
        <v>3</v>
      </c>
      <c r="D54" s="569" t="s">
        <v>775</v>
      </c>
      <c r="E54" s="564"/>
      <c r="F54" s="604">
        <f>SUMIFS('SDGE - IOU-3P Budgets 2028-31'!$M$9:$M$340,'SDGE - IOU-3P Budgets 2028-31'!$K$9:$K$340,'8 Cap &amp; Target '!B54,'SDGE - IOU-3P Budgets 2028-31'!$E$9:$E$340,"Third-Party Solicited",'SDGE - IOU-3P Budgets 2028-31'!$G$9:$G$340,"No")</f>
        <v>2768164.3130999994</v>
      </c>
      <c r="G54" s="604">
        <f>+E54+F54</f>
        <v>2768164.3130999994</v>
      </c>
      <c r="H54" s="605">
        <f>+G54/G64</f>
        <v>4.0852120737894772E-2</v>
      </c>
      <c r="I54" s="575"/>
      <c r="J54" s="576">
        <v>0.1</v>
      </c>
    </row>
    <row r="55" spans="1:10">
      <c r="A55" s="795"/>
      <c r="B55" s="561">
        <v>2029</v>
      </c>
      <c r="C55" s="562">
        <v>4</v>
      </c>
      <c r="D55" s="578" t="s">
        <v>777</v>
      </c>
      <c r="E55" s="604">
        <f>SUMIFS('SDGE - IOU-3P Budgets 2028-31'!$M$9:$M$340,'SDGE - IOU-3P Budgets 2028-31'!$K$9:$K$340,'8 Cap &amp; Target '!B55,'SDGE - IOU-3P Budgets 2028-31'!$E$9:$E$340,"IOU Core",'SDGE - IOU-3P Budgets 2028-31'!$G$9:$G$340,"Yes")+'SDGE - IOU-3P Budgets 2028-31'!M96+'SDGE - IOU-3P Budgets 2028-31'!M174+'SDGE - IOU-3P Budgets 2028-31'!W24</f>
        <v>1297861.5849000001</v>
      </c>
      <c r="F55" s="604">
        <f>SUMIFS('SDGE - IOU-3P Budgets 2028-31'!$M$9:$M$340,'SDGE - IOU-3P Budgets 2028-31'!$K$9:$K$340,'8 Cap &amp; Target '!B55,'SDGE - IOU-3P Budgets 2028-31'!$E$9:$E$340,"Third-Party Solicited",'SDGE - IOU-3P Budgets 2028-31'!$G$9:$G$340,"Yes")+'SDGE - IOU-3P Budgets 2028-31'!M166</f>
        <v>80103.033599999995</v>
      </c>
      <c r="G55" s="604">
        <f>+E55+F55</f>
        <v>1377964.6185000001</v>
      </c>
      <c r="H55" s="580"/>
      <c r="I55" s="575"/>
      <c r="J55" s="607"/>
    </row>
    <row r="56" spans="1:10">
      <c r="A56" s="795"/>
      <c r="B56" s="561">
        <v>2029</v>
      </c>
      <c r="C56" s="562">
        <v>5</v>
      </c>
      <c r="D56" s="563" t="s">
        <v>779</v>
      </c>
      <c r="E56" s="604">
        <f>SUMIFS('SDGE - IOU-3P Budgets 2028-31'!$N$9:$N$340,'SDGE - IOU-3P Budgets 2028-31'!$K$9:$K$340,'8 Cap &amp; Target '!B56,'SDGE - IOU-3P Budgets 2028-31'!$E$9:$E$340,"IOU Core")+'SDGE - IOU-3P Budgets 2028-31'!N96+'SDGE - IOU-3P Budgets 2028-31'!N167+'SDGE - IOU-3P Budgets 2028-31'!N174</f>
        <v>130579.70150000001</v>
      </c>
      <c r="F56" s="604">
        <f>SUMIFS('SDGE - IOU-3P Budgets 2028-31'!$N$9:$N$340,'SDGE - IOU-3P Budgets 2028-31'!$K$9:$K$340,'8 Cap &amp; Target '!B56,'SDGE - IOU-3P Budgets 2028-31'!$E$9:$E$340,"Third-Party Solicited")+'SDGE - IOU-3P Budgets 2028-31'!N166</f>
        <v>2076101.2084999997</v>
      </c>
      <c r="G56" s="604">
        <f>+E56+F56</f>
        <v>2206680.9099999997</v>
      </c>
      <c r="H56" s="608">
        <f>+G56/G64</f>
        <v>3.2565839584996821E-2</v>
      </c>
      <c r="I56" s="575"/>
      <c r="J56" s="576">
        <v>0.06</v>
      </c>
    </row>
    <row r="57" spans="1:10">
      <c r="A57" s="795"/>
      <c r="B57" s="561">
        <v>2029</v>
      </c>
      <c r="C57" s="562">
        <v>6</v>
      </c>
      <c r="D57" s="563" t="s">
        <v>781</v>
      </c>
      <c r="E57" s="584"/>
      <c r="F57" s="584"/>
      <c r="G57" s="584"/>
      <c r="H57" s="580"/>
      <c r="I57" s="582"/>
      <c r="J57" s="573"/>
    </row>
    <row r="58" spans="1:10">
      <c r="A58" s="795"/>
      <c r="B58" s="561">
        <v>2029</v>
      </c>
      <c r="C58" s="562">
        <v>7</v>
      </c>
      <c r="D58" s="569" t="s">
        <v>782</v>
      </c>
      <c r="E58" s="604">
        <f>SUMIFS('SDGE - IOU-3P Budgets 2028-31'!$P$9:$P$340,'SDGE - IOU-3P Budgets 2028-31'!$K$9:$K$340,'8 Cap &amp; Target '!B58,'SDGE - IOU-3P Budgets 2028-31'!$E$9:$E$340,"IOU Core")+'SDGE - IOU-3P Budgets 2028-31'!P96+'SDGE - IOU-3P Budgets 2028-31'!P167+'SDGE - IOU-3P Budgets 2028-31'!P174</f>
        <v>66000</v>
      </c>
      <c r="F58" s="604">
        <f>SUMIFS('SDGE - IOU-3P Budgets 2028-31'!$P$9:$P$340,'SDGE - IOU-3P Budgets 2028-31'!$K$9:$K$340,'8 Cap &amp; Target '!B58,'SDGE - IOU-3P Budgets 2028-31'!$E$9:$E$340,"Third-Party Solicited")+'SDGE - IOU-3P Budgets 2028-31'!P166</f>
        <v>27453673.330821127</v>
      </c>
      <c r="G58" s="604">
        <f>+F58+E58</f>
        <v>27519673.330821127</v>
      </c>
      <c r="H58" s="580"/>
      <c r="I58" s="582"/>
      <c r="J58" s="573"/>
    </row>
    <row r="59" spans="1:10">
      <c r="A59" s="795"/>
      <c r="B59" s="561">
        <v>2029</v>
      </c>
      <c r="C59" s="562">
        <v>8</v>
      </c>
      <c r="D59" s="569" t="s">
        <v>784</v>
      </c>
      <c r="E59" s="604">
        <f>SUMIFS('SDGE - IOU-3P Budgets 2028-31'!$O$9:$O$340,'SDGE - IOU-3P Budgets 2028-31'!$K$9:$K$340,'8 Cap &amp; Target '!B59,'SDGE - IOU-3P Budgets 2028-31'!$E$9:$E$340,"IOU Core", 'SDGE - IOU-3P Budgets 2028-31'!$G$9:$G$340,"No")+'SDGE - IOU-3P Budgets 2028-31'!O174</f>
        <v>2922902.2938999999</v>
      </c>
      <c r="F59" s="604">
        <f>SUMIFS('SDGE - IOU-3P Budgets 2028-31'!$O$9:$O$340,'SDGE - IOU-3P Budgets 2028-31'!$K$9:$K$340,'8 Cap &amp; Target '!B59,'SDGE - IOU-3P Budgets 2028-31'!$E$9:$E$340,"Third-Party Solicited", 'SDGE - IOU-3P Budgets 2028-31'!$G$9:$G$340,"No")</f>
        <v>17920965.998400003</v>
      </c>
      <c r="G59" s="604">
        <f>+F59+E59</f>
        <v>20843868.292300001</v>
      </c>
      <c r="H59" s="608">
        <f>+G59/G64</f>
        <v>0.30761043341687472</v>
      </c>
      <c r="I59" s="575"/>
      <c r="J59" s="576">
        <v>0.2</v>
      </c>
    </row>
    <row r="60" spans="1:10">
      <c r="A60" s="795"/>
      <c r="B60" s="561">
        <v>2029</v>
      </c>
      <c r="C60" s="562">
        <v>9</v>
      </c>
      <c r="D60" s="569" t="s">
        <v>786</v>
      </c>
      <c r="E60" s="604">
        <f>SUMIFS('SDGE - IOU-3P Budgets 2028-31'!$O$9:$O$340,'SDGE - IOU-3P Budgets 2028-31'!$K$9:$K$340,'8 Cap &amp; Target '!B60,'SDGE - IOU-3P Budgets 2028-31'!$E$9:$E$340,"IOU Core", 'SDGE - IOU-3P Budgets 2028-31'!$G$9:$G$340,"Yes")+'SDGE - IOU-3P Budgets 2028-31'!O96+'SDGE - IOU-3P Budgets 2028-31'!O167</f>
        <v>3803218.6529999999</v>
      </c>
      <c r="F60" s="604">
        <f>SUMIFS('SDGE - IOU-3P Budgets 2028-31'!$O$9:$O$340,'SDGE - IOU-3P Budgets 2028-31'!$K$9:$K$340,'8 Cap &amp; Target '!B60,'SDGE - IOU-3P Budgets 2028-31'!$E$9:$E$340,"Third-Party Solicited", 'SDGE - IOU-3P Budgets 2028-31'!$G$9:$G$340,"Yes")+'SDGE - IOU-3P Budgets 2028-31'!O166</f>
        <v>2599260.304</v>
      </c>
      <c r="G60" s="604">
        <f>+F60+E60</f>
        <v>6402478.9570000004</v>
      </c>
      <c r="H60" s="580"/>
      <c r="I60" s="582"/>
      <c r="J60" s="573"/>
    </row>
    <row r="61" spans="1:10">
      <c r="A61" s="795"/>
      <c r="B61" s="561">
        <v>2029</v>
      </c>
      <c r="C61" s="562">
        <v>10</v>
      </c>
      <c r="D61" s="609" t="s">
        <v>788</v>
      </c>
      <c r="E61" s="604">
        <f>+E62+E63</f>
        <v>2710424.0972000002</v>
      </c>
      <c r="F61" s="584"/>
      <c r="G61" s="604">
        <f>+G62+G63</f>
        <v>2710424.0972000002</v>
      </c>
      <c r="H61" s="608">
        <f>+G61/G64</f>
        <v>3.9999999980389118E-2</v>
      </c>
      <c r="I61" s="572">
        <v>0.04</v>
      </c>
      <c r="J61" s="583"/>
    </row>
    <row r="62" spans="1:10">
      <c r="A62" s="795"/>
      <c r="B62" s="561">
        <v>2029</v>
      </c>
      <c r="C62" s="562" t="s">
        <v>790</v>
      </c>
      <c r="D62" s="569" t="s">
        <v>257</v>
      </c>
      <c r="E62" s="604">
        <f>IF('8 Cap &amp; Target '!D62="EM&amp;V - PA",VLOOKUP(B62,'3.1 Funding Category'!$B$74:$D$81, 3,FALSE),VLOOKUP(B62,'3.1 Funding Category'!$B$82:$D$89,3,FALSE))</f>
        <v>1084169.6399999999</v>
      </c>
      <c r="F62" s="590"/>
      <c r="G62" s="604">
        <f>SUM(E62:F62)</f>
        <v>1084169.6399999999</v>
      </c>
      <c r="H62" s="580"/>
      <c r="I62" s="580"/>
      <c r="J62" s="583"/>
    </row>
    <row r="63" spans="1:10">
      <c r="A63" s="795"/>
      <c r="B63" s="561">
        <v>2029</v>
      </c>
      <c r="C63" s="562" t="s">
        <v>792</v>
      </c>
      <c r="D63" s="569" t="s">
        <v>259</v>
      </c>
      <c r="E63" s="604">
        <f>IF('8 Cap &amp; Target '!D63="EM&amp;V - PA",VLOOKUP(B63,'3.1 Funding Category'!$B$74:$D$81, 3,FALSE),VLOOKUP(B63,'3.1 Funding Category'!$B$82:$D$89,3,FALSE))</f>
        <v>1626254.4572000003</v>
      </c>
      <c r="F63" s="590"/>
      <c r="G63" s="604">
        <f>SUM(E63:F63)</f>
        <v>1626254.4572000003</v>
      </c>
      <c r="H63" s="580"/>
      <c r="I63" s="580"/>
      <c r="J63" s="583"/>
    </row>
    <row r="64" spans="1:10" s="32" customFormat="1" ht="30">
      <c r="A64" s="795"/>
      <c r="B64" s="561">
        <v>2029</v>
      </c>
      <c r="C64" s="562">
        <v>11</v>
      </c>
      <c r="D64" s="593" t="s">
        <v>794</v>
      </c>
      <c r="E64" s="604">
        <f>SUM(E53:E61)</f>
        <v>14862334.274800001</v>
      </c>
      <c r="F64" s="604">
        <f>SUM(F53:F61)</f>
        <v>52898268.188421123</v>
      </c>
      <c r="G64" s="604">
        <f>SUM(G53:G61)</f>
        <v>67760602.463221133</v>
      </c>
      <c r="H64" s="580"/>
      <c r="I64" s="580"/>
      <c r="J64" s="583"/>
    </row>
    <row r="65" spans="1:10" s="32" customFormat="1">
      <c r="A65" s="795"/>
      <c r="B65" s="561">
        <v>2029</v>
      </c>
      <c r="C65" s="562">
        <v>12</v>
      </c>
      <c r="D65" s="593" t="s">
        <v>796</v>
      </c>
      <c r="E65" s="584"/>
      <c r="F65" s="604">
        <f>SUM(F53:F63)</f>
        <v>52898268.188421123</v>
      </c>
      <c r="G65" s="584"/>
      <c r="H65" s="605">
        <f>+F65/G64</f>
        <v>0.78066407714029795</v>
      </c>
      <c r="I65" s="582"/>
      <c r="J65" s="591">
        <v>0.6</v>
      </c>
    </row>
    <row r="66" spans="1:10" s="32" customFormat="1">
      <c r="A66" s="795"/>
      <c r="B66" s="561">
        <v>2029</v>
      </c>
      <c r="C66" s="562">
        <v>13</v>
      </c>
      <c r="D66" s="593" t="s">
        <v>798</v>
      </c>
      <c r="E66" s="610">
        <v>0</v>
      </c>
      <c r="F66" s="584"/>
      <c r="G66" s="604">
        <f>+E66+F66</f>
        <v>0</v>
      </c>
      <c r="H66" s="584"/>
      <c r="I66" s="584"/>
      <c r="J66" s="594"/>
    </row>
    <row r="67" spans="1:10">
      <c r="A67" s="795"/>
      <c r="B67" s="561">
        <v>2029</v>
      </c>
      <c r="C67" s="562">
        <v>14</v>
      </c>
      <c r="D67" s="593" t="s">
        <v>800</v>
      </c>
      <c r="E67" s="604">
        <f>SUM(E64, E66)</f>
        <v>14862334.274800001</v>
      </c>
      <c r="F67" s="604">
        <f>SUM(F64, F66)</f>
        <v>52898268.188421123</v>
      </c>
      <c r="G67" s="604">
        <f>+G66+G64</f>
        <v>67760602.463221133</v>
      </c>
      <c r="H67" s="595"/>
      <c r="I67" s="582"/>
      <c r="J67" s="573"/>
    </row>
    <row r="68" spans="1:10">
      <c r="A68" s="795"/>
      <c r="B68" s="598">
        <v>2029</v>
      </c>
      <c r="C68" s="562">
        <v>15</v>
      </c>
      <c r="D68" s="600" t="s">
        <v>802</v>
      </c>
      <c r="E68" s="604">
        <f>VLOOKUP(B68,'3.1 Funding Category'!$B$26:$D$33,3,FALSE)</f>
        <v>99200</v>
      </c>
      <c r="F68" s="611"/>
      <c r="G68" s="604">
        <f>+E68</f>
        <v>99200</v>
      </c>
      <c r="H68" s="580"/>
      <c r="I68" s="580"/>
      <c r="J68" s="583"/>
    </row>
    <row r="69" spans="1:10" s="32" customFormat="1">
      <c r="A69" s="795"/>
      <c r="B69" s="598">
        <v>2029</v>
      </c>
      <c r="C69" s="599">
        <v>16</v>
      </c>
      <c r="D69" s="600" t="s">
        <v>804</v>
      </c>
      <c r="E69" s="610">
        <v>0</v>
      </c>
      <c r="F69" s="611"/>
      <c r="G69" s="595"/>
      <c r="H69" s="580"/>
      <c r="I69" s="584"/>
      <c r="J69" s="583"/>
    </row>
    <row r="70" spans="1:10">
      <c r="A70" s="795"/>
      <c r="B70" s="598">
        <v>2029</v>
      </c>
      <c r="C70" s="599">
        <v>17</v>
      </c>
      <c r="D70" s="600" t="s">
        <v>806</v>
      </c>
      <c r="E70" s="610">
        <v>0</v>
      </c>
      <c r="F70" s="611"/>
      <c r="G70" s="595"/>
      <c r="H70" s="580"/>
      <c r="I70" s="584"/>
      <c r="J70" s="583"/>
    </row>
    <row r="71" spans="1:10" ht="15.75" thickBot="1">
      <c r="A71" s="795"/>
      <c r="B71" s="49">
        <v>2029</v>
      </c>
      <c r="C71" s="50">
        <v>18</v>
      </c>
      <c r="D71" s="51" t="s">
        <v>343</v>
      </c>
      <c r="E71" s="390">
        <f>SUM(E67:E70)</f>
        <v>14961534.274800001</v>
      </c>
      <c r="F71" s="390">
        <f>SUM(F67:F70)</f>
        <v>52898268.188421123</v>
      </c>
      <c r="G71" s="390">
        <f>SUM(G67:G70)</f>
        <v>67859802.463221133</v>
      </c>
      <c r="H71" s="52"/>
      <c r="I71" s="53"/>
      <c r="J71" s="54"/>
    </row>
    <row r="72" spans="1:10" ht="15.75" thickTop="1">
      <c r="A72" s="795"/>
      <c r="B72" s="47">
        <v>2030</v>
      </c>
      <c r="C72" s="562">
        <v>1</v>
      </c>
      <c r="D72" s="35" t="s">
        <v>772</v>
      </c>
      <c r="E72" s="36"/>
      <c r="F72" s="36"/>
      <c r="G72" s="36"/>
      <c r="H72" s="37"/>
      <c r="I72" s="38"/>
      <c r="J72" s="48"/>
    </row>
    <row r="73" spans="1:10">
      <c r="A73" s="795"/>
      <c r="B73" s="561">
        <v>2030</v>
      </c>
      <c r="C73" s="562">
        <v>2</v>
      </c>
      <c r="D73" s="569" t="s">
        <v>7</v>
      </c>
      <c r="E73" s="604">
        <f>SUMIFS('SDGE - IOU-3P Budgets 2028-31'!$M$9:$M$340,'SDGE - IOU-3P Budgets 2028-31'!$K$9:$K$340,'8 Cap &amp; Target '!B73,'SDGE - IOU-3P Budgets 2028-31'!$E$9:$E$340,"IOU Core",'SDGE - IOU-3P Budgets 2028-31'!$G$9:$G$340,"No")-'SDGE - IOU-3P Budgets 2028-31'!W33</f>
        <v>4034185.1494000005</v>
      </c>
      <c r="F73" s="564"/>
      <c r="G73" s="604">
        <f>+E73+F73</f>
        <v>4034185.1494000005</v>
      </c>
      <c r="H73" s="605">
        <f>+G73/G84</f>
        <v>5.865639651222157E-2</v>
      </c>
      <c r="I73" s="606">
        <v>0.1</v>
      </c>
      <c r="J73" s="607"/>
    </row>
    <row r="74" spans="1:10">
      <c r="A74" s="795"/>
      <c r="B74" s="561">
        <v>2030</v>
      </c>
      <c r="C74" s="562">
        <v>3</v>
      </c>
      <c r="D74" s="569" t="s">
        <v>775</v>
      </c>
      <c r="E74" s="564"/>
      <c r="F74" s="604">
        <f>SUMIFS('SDGE - IOU-3P Budgets 2028-31'!$M$9:$M$340,'SDGE - IOU-3P Budgets 2028-31'!$K$9:$K$340,'8 Cap &amp; Target '!B74,'SDGE - IOU-3P Budgets 2028-31'!$E$9:$E$340,"Third-Party Solicited",'SDGE - IOU-3P Budgets 2028-31'!$G$9:$G$340,"No")</f>
        <v>2842031.1429999997</v>
      </c>
      <c r="G74" s="604">
        <f>+E74+F74</f>
        <v>2842031.1429999997</v>
      </c>
      <c r="H74" s="605">
        <f>+G74/G84</f>
        <v>4.1322670985659608E-2</v>
      </c>
      <c r="I74" s="575"/>
      <c r="J74" s="576">
        <v>0.1</v>
      </c>
    </row>
    <row r="75" spans="1:10">
      <c r="A75" s="795"/>
      <c r="B75" s="561">
        <v>2030</v>
      </c>
      <c r="C75" s="562">
        <v>4</v>
      </c>
      <c r="D75" s="578" t="s">
        <v>777</v>
      </c>
      <c r="E75" s="604">
        <f>SUMIFS('SDGE - IOU-3P Budgets 2028-31'!$M$9:$M$340,'SDGE - IOU-3P Budgets 2028-31'!$K$9:$K$340,'8 Cap &amp; Target '!B75,'SDGE - IOU-3P Budgets 2028-31'!$E$9:$E$340,"IOU Core",'SDGE - IOU-3P Budgets 2028-31'!$G$9:$G$340,"Yes")+'SDGE - IOU-3P Budgets 2028-31'!M179+'SDGE - IOU-3P Budgets 2028-31'!M257+'SDGE - IOU-3P Budgets 2028-31'!W33</f>
        <v>1340259.2662999998</v>
      </c>
      <c r="F75" s="604">
        <f>SUMIFS('SDGE - IOU-3P Budgets 2028-31'!$M$9:$M$340,'SDGE - IOU-3P Budgets 2028-31'!$K$9:$K$340,'8 Cap &amp; Target '!B75,'SDGE - IOU-3P Budgets 2028-31'!$E$9:$E$340,"Third-Party Solicited",'SDGE - IOU-3P Budgets 2028-31'!$G$9:$G$340,"Yes")+'SDGE - IOU-3P Budgets 2028-31'!M249</f>
        <v>79593.145599999989</v>
      </c>
      <c r="G75" s="604">
        <f>+E75+F75</f>
        <v>1419852.4118999997</v>
      </c>
      <c r="H75" s="580"/>
      <c r="I75" s="575"/>
      <c r="J75" s="607"/>
    </row>
    <row r="76" spans="1:10">
      <c r="A76" s="795"/>
      <c r="B76" s="561">
        <v>2030</v>
      </c>
      <c r="C76" s="562">
        <v>5</v>
      </c>
      <c r="D76" s="563" t="s">
        <v>779</v>
      </c>
      <c r="E76" s="604">
        <f>SUMIFS('SDGE - IOU-3P Budgets 2028-31'!$N$9:$N$340,'SDGE - IOU-3P Budgets 2028-31'!$K$9:$K$340,'8 Cap &amp; Target '!B76,'SDGE - IOU-3P Budgets 2028-31'!$E$9:$E$340,"IOU Core")+'SDGE - IOU-3P Budgets 2028-31'!N179+'SDGE - IOU-3P Budgets 2028-31'!N250+'SDGE - IOU-3P Budgets 2028-31'!N257</f>
        <v>131480.413</v>
      </c>
      <c r="F76" s="604">
        <f>SUMIFS('SDGE - IOU-3P Budgets 2028-31'!$N$9:$N$340,'SDGE - IOU-3P Budgets 2028-31'!$K$9:$K$340,'8 Cap &amp; Target '!B76,'SDGE - IOU-3P Budgets 2028-31'!$E$9:$E$340,"Third-Party Solicited")+'SDGE - IOU-3P Budgets 2028-31'!N249</f>
        <v>2069075.7330999996</v>
      </c>
      <c r="G76" s="604">
        <f>+E76+F76</f>
        <v>2200556.1460999995</v>
      </c>
      <c r="H76" s="608">
        <f>+G76/G84</f>
        <v>3.1995728771210506E-2</v>
      </c>
      <c r="I76" s="575"/>
      <c r="J76" s="576">
        <v>0.06</v>
      </c>
    </row>
    <row r="77" spans="1:10">
      <c r="A77" s="795"/>
      <c r="B77" s="561">
        <v>2030</v>
      </c>
      <c r="C77" s="562">
        <v>6</v>
      </c>
      <c r="D77" s="563" t="s">
        <v>781</v>
      </c>
      <c r="E77" s="584"/>
      <c r="F77" s="584"/>
      <c r="G77" s="584"/>
      <c r="H77" s="580"/>
      <c r="I77" s="582"/>
      <c r="J77" s="573"/>
    </row>
    <row r="78" spans="1:10">
      <c r="A78" s="795"/>
      <c r="B78" s="561">
        <v>2030</v>
      </c>
      <c r="C78" s="562">
        <v>7</v>
      </c>
      <c r="D78" s="569" t="s">
        <v>782</v>
      </c>
      <c r="E78" s="604">
        <f>SUMIFS('SDGE - IOU-3P Budgets 2028-31'!$P$9:$P$340,'SDGE - IOU-3P Budgets 2028-31'!$K$9:$K$340,'8 Cap &amp; Target '!B78,'SDGE - IOU-3P Budgets 2028-31'!$E$9:$E$340,"IOU Core")+'SDGE - IOU-3P Budgets 2028-31'!P179+'SDGE - IOU-3P Budgets 2028-31'!P250+'SDGE - IOU-3P Budgets 2028-31'!P257</f>
        <v>66000</v>
      </c>
      <c r="F78" s="604">
        <f>SUMIFS('SDGE - IOU-3P Budgets 2028-31'!$P$9:$P$340,'SDGE - IOU-3P Budgets 2028-31'!$K$9:$K$340,'8 Cap &amp; Target '!B78,'SDGE - IOU-3P Budgets 2028-31'!$E$9:$E$340,"Third-Party Solicited")+'SDGE - IOU-3P Budgets 2028-31'!P249</f>
        <v>27435461.918491077</v>
      </c>
      <c r="G78" s="604">
        <f>+F78+E78</f>
        <v>27501461.918491077</v>
      </c>
      <c r="H78" s="580"/>
      <c r="I78" s="582"/>
      <c r="J78" s="573"/>
    </row>
    <row r="79" spans="1:10">
      <c r="A79" s="795"/>
      <c r="B79" s="561">
        <v>2030</v>
      </c>
      <c r="C79" s="562">
        <v>8</v>
      </c>
      <c r="D79" s="569" t="s">
        <v>784</v>
      </c>
      <c r="E79" s="604">
        <f>SUMIFS('SDGE - IOU-3P Budgets 2028-31'!$O$9:$O$340,'SDGE - IOU-3P Budgets 2028-31'!$K$9:$K$340,'8 Cap &amp; Target '!B79,'SDGE - IOU-3P Budgets 2028-31'!$E$9:$E$340,"IOU Core", 'SDGE - IOU-3P Budgets 2028-31'!$G$9:$G$340,"No")+'SDGE - IOU-3P Budgets 2028-31'!O257</f>
        <v>3004644.8965999996</v>
      </c>
      <c r="F79" s="604">
        <f>SUMIFS('SDGE - IOU-3P Budgets 2028-31'!$O$9:$O$340,'SDGE - IOU-3P Budgets 2028-31'!$K$9:$K$340,'8 Cap &amp; Target '!B79,'SDGE - IOU-3P Budgets 2028-31'!$E$9:$E$340,"Third-Party Solicited", 'SDGE - IOU-3P Budgets 2028-31'!$G$9:$G$340,"No")</f>
        <v>18510951.037500005</v>
      </c>
      <c r="G79" s="604">
        <f>+F79+E79</f>
        <v>21515595.934100006</v>
      </c>
      <c r="H79" s="608">
        <f>+G79/G84</f>
        <v>0.3128332685709807</v>
      </c>
      <c r="I79" s="575"/>
      <c r="J79" s="576">
        <v>0.2</v>
      </c>
    </row>
    <row r="80" spans="1:10">
      <c r="A80" s="795"/>
      <c r="B80" s="561">
        <v>2030</v>
      </c>
      <c r="C80" s="562">
        <v>9</v>
      </c>
      <c r="D80" s="569" t="s">
        <v>786</v>
      </c>
      <c r="E80" s="604">
        <f>SUMIFS('SDGE - IOU-3P Budgets 2028-31'!$O$9:$O$340,'SDGE - IOU-3P Budgets 2028-31'!$K$9:$K$340,'8 Cap &amp; Target '!B80,'SDGE - IOU-3P Budgets 2028-31'!$E$9:$E$340,"IOU Core", 'SDGE - IOU-3P Budgets 2028-31'!$G$9:$G$340,"Yes")+'SDGE - IOU-3P Budgets 2028-31'!O179+'SDGE - IOU-3P Budgets 2028-31'!O250</f>
        <v>3897460.3115999997</v>
      </c>
      <c r="F80" s="604">
        <f>SUMIFS('SDGE - IOU-3P Budgets 2028-31'!$O$9:$O$340,'SDGE - IOU-3P Budgets 2028-31'!$K$9:$K$340,'8 Cap &amp; Target '!B80,'SDGE - IOU-3P Budgets 2028-31'!$E$9:$E$340,"Third-Party Solicited", 'SDGE - IOU-3P Budgets 2028-31'!$G$9:$G$340,"Yes")+'SDGE - IOU-3P Budgets 2028-31'!O249</f>
        <v>2614354.1792000001</v>
      </c>
      <c r="G80" s="604">
        <f>+F80+E80</f>
        <v>6511814.4907999998</v>
      </c>
      <c r="H80" s="580"/>
      <c r="I80" s="582"/>
      <c r="J80" s="573"/>
    </row>
    <row r="81" spans="1:12">
      <c r="A81" s="795"/>
      <c r="B81" s="561">
        <v>2030</v>
      </c>
      <c r="C81" s="562">
        <v>10</v>
      </c>
      <c r="D81" s="609" t="s">
        <v>788</v>
      </c>
      <c r="E81" s="604">
        <f>+E82+E83</f>
        <v>2751062.3849999998</v>
      </c>
      <c r="F81" s="584"/>
      <c r="G81" s="604">
        <f>+G82+G83</f>
        <v>2751062.3849999998</v>
      </c>
      <c r="H81" s="608">
        <f>+G81/G84</f>
        <v>4.0000000026874802E-2</v>
      </c>
      <c r="I81" s="572">
        <v>0.04</v>
      </c>
      <c r="J81" s="583"/>
      <c r="K81" s="795"/>
      <c r="L81" s="795"/>
    </row>
    <row r="82" spans="1:12">
      <c r="A82" s="795"/>
      <c r="B82" s="561">
        <v>2030</v>
      </c>
      <c r="C82" s="562" t="s">
        <v>790</v>
      </c>
      <c r="D82" s="569" t="s">
        <v>257</v>
      </c>
      <c r="E82" s="604">
        <f>IF('8 Cap &amp; Target '!D82="EM&amp;V - PA",VLOOKUP(B82,'3.1 Funding Category'!$B$74:$D$81, 3,FALSE),VLOOKUP(B82,'3.1 Funding Category'!$B$82:$D$89,3,FALSE))</f>
        <v>1100424.95</v>
      </c>
      <c r="F82" s="590"/>
      <c r="G82" s="604">
        <f>SUM(E82:F82)</f>
        <v>1100424.95</v>
      </c>
      <c r="H82" s="580"/>
      <c r="I82" s="580"/>
      <c r="J82" s="583"/>
      <c r="K82" s="795"/>
      <c r="L82" s="795"/>
    </row>
    <row r="83" spans="1:12" s="32" customFormat="1">
      <c r="A83" s="795"/>
      <c r="B83" s="561">
        <v>2030</v>
      </c>
      <c r="C83" s="562" t="s">
        <v>792</v>
      </c>
      <c r="D83" s="569" t="s">
        <v>259</v>
      </c>
      <c r="E83" s="604">
        <f>IF('8 Cap &amp; Target '!D83="EM&amp;V - PA",VLOOKUP(B83,'3.1 Funding Category'!$B$74:$D$81, 3,FALSE),VLOOKUP(B83,'3.1 Funding Category'!$B$82:$D$89,3,FALSE))</f>
        <v>1650637.4349999998</v>
      </c>
      <c r="F83" s="590"/>
      <c r="G83" s="604">
        <f>SUM(E83:F83)</f>
        <v>1650637.4349999998</v>
      </c>
      <c r="H83" s="580"/>
      <c r="I83" s="580"/>
      <c r="J83" s="583"/>
    </row>
    <row r="84" spans="1:12" s="32" customFormat="1" ht="30" customHeight="1">
      <c r="A84" s="795"/>
      <c r="B84" s="561">
        <v>2030</v>
      </c>
      <c r="C84" s="562">
        <v>11</v>
      </c>
      <c r="D84" s="593" t="s">
        <v>794</v>
      </c>
      <c r="E84" s="604">
        <f>SUM(E73:E81)</f>
        <v>15225092.421899999</v>
      </c>
      <c r="F84" s="604">
        <f>SUM(F73:F81)</f>
        <v>53551467.156891085</v>
      </c>
      <c r="G84" s="604">
        <f>SUM(G73:G81)</f>
        <v>68776559.578791082</v>
      </c>
      <c r="H84" s="580"/>
      <c r="I84" s="580"/>
      <c r="J84" s="583"/>
    </row>
    <row r="85" spans="1:12" s="32" customFormat="1">
      <c r="A85" s="795"/>
      <c r="B85" s="561">
        <v>2030</v>
      </c>
      <c r="C85" s="562">
        <v>12</v>
      </c>
      <c r="D85" s="593" t="s">
        <v>796</v>
      </c>
      <c r="E85" s="584"/>
      <c r="F85" s="604">
        <f>SUM(F73:F83)</f>
        <v>53551467.156891085</v>
      </c>
      <c r="G85" s="584"/>
      <c r="H85" s="605">
        <f>+F85/G84</f>
        <v>0.77862963028184062</v>
      </c>
      <c r="I85" s="582"/>
      <c r="J85" s="591">
        <v>0.6</v>
      </c>
    </row>
    <row r="86" spans="1:12">
      <c r="A86" s="795"/>
      <c r="B86" s="561">
        <v>2030</v>
      </c>
      <c r="C86" s="562">
        <v>13</v>
      </c>
      <c r="D86" s="593" t="s">
        <v>798</v>
      </c>
      <c r="E86" s="610">
        <v>0</v>
      </c>
      <c r="F86" s="584"/>
      <c r="G86" s="604">
        <f>+E86+F86</f>
        <v>0</v>
      </c>
      <c r="H86" s="584"/>
      <c r="I86" s="584"/>
      <c r="J86" s="594"/>
      <c r="K86" s="795"/>
      <c r="L86" s="795"/>
    </row>
    <row r="87" spans="1:12">
      <c r="A87" s="795"/>
      <c r="B87" s="561">
        <v>2030</v>
      </c>
      <c r="C87" s="562">
        <v>14</v>
      </c>
      <c r="D87" s="593" t="s">
        <v>800</v>
      </c>
      <c r="E87" s="604">
        <f>SUM(E84, E86)</f>
        <v>15225092.421899999</v>
      </c>
      <c r="F87" s="604">
        <f>SUM(F84, F86)</f>
        <v>53551467.156891085</v>
      </c>
      <c r="G87" s="604">
        <f>+G86+G84</f>
        <v>68776559.578791082</v>
      </c>
      <c r="H87" s="595"/>
      <c r="I87" s="582"/>
      <c r="J87" s="573"/>
      <c r="K87" s="795"/>
      <c r="L87" s="795"/>
    </row>
    <row r="88" spans="1:12" s="32" customFormat="1">
      <c r="A88" s="795"/>
      <c r="B88" s="598">
        <v>2030</v>
      </c>
      <c r="C88" s="562">
        <v>15</v>
      </c>
      <c r="D88" s="600" t="s">
        <v>802</v>
      </c>
      <c r="E88" s="604">
        <f>VLOOKUP(B88,'3.1 Funding Category'!$B$26:$D$33,3,FALSE)</f>
        <v>99200</v>
      </c>
      <c r="F88" s="611"/>
      <c r="G88" s="604">
        <f>+E88</f>
        <v>99200</v>
      </c>
      <c r="H88" s="580"/>
      <c r="I88" s="580"/>
      <c r="J88" s="583"/>
    </row>
    <row r="89" spans="1:12">
      <c r="A89" s="795"/>
      <c r="B89" s="598">
        <v>2030</v>
      </c>
      <c r="C89" s="599">
        <v>16</v>
      </c>
      <c r="D89" s="600" t="s">
        <v>804</v>
      </c>
      <c r="E89" s="610">
        <v>0</v>
      </c>
      <c r="F89" s="611"/>
      <c r="G89" s="604">
        <f>+E89</f>
        <v>0</v>
      </c>
      <c r="H89" s="580"/>
      <c r="I89" s="584"/>
      <c r="J89" s="583"/>
      <c r="K89" s="795"/>
      <c r="L89" s="795"/>
    </row>
    <row r="90" spans="1:12">
      <c r="A90" s="795"/>
      <c r="B90" s="598">
        <v>2030</v>
      </c>
      <c r="C90" s="599">
        <v>17</v>
      </c>
      <c r="D90" s="600" t="s">
        <v>806</v>
      </c>
      <c r="E90" s="610">
        <v>0</v>
      </c>
      <c r="F90" s="611"/>
      <c r="G90" s="595"/>
      <c r="H90" s="580"/>
      <c r="I90" s="584"/>
      <c r="J90" s="583"/>
      <c r="K90" s="795"/>
      <c r="L90" s="795"/>
    </row>
    <row r="91" spans="1:12" ht="15.75" thickBot="1">
      <c r="A91" s="795"/>
      <c r="B91" s="57">
        <v>2030</v>
      </c>
      <c r="C91" s="50">
        <v>18</v>
      </c>
      <c r="D91" s="58" t="s">
        <v>343</v>
      </c>
      <c r="E91" s="390">
        <f>SUM(E87:E90)</f>
        <v>15324292.421899999</v>
      </c>
      <c r="F91" s="390">
        <f>SUM(F87:F90)</f>
        <v>53551467.156891085</v>
      </c>
      <c r="G91" s="390">
        <f>SUM(G87:G90)</f>
        <v>68875759.578791082</v>
      </c>
      <c r="H91" s="59"/>
      <c r="I91" s="60"/>
      <c r="J91" s="61"/>
      <c r="K91" s="795"/>
      <c r="L91" s="795"/>
    </row>
    <row r="92" spans="1:12" ht="15.75" thickTop="1">
      <c r="A92" s="795"/>
      <c r="B92" s="55">
        <v>2031</v>
      </c>
      <c r="C92" s="562">
        <v>1</v>
      </c>
      <c r="D92" s="140" t="s">
        <v>772</v>
      </c>
      <c r="E92" s="141"/>
      <c r="F92" s="141"/>
      <c r="G92" s="141"/>
      <c r="H92" s="142"/>
      <c r="I92" s="143"/>
      <c r="J92" s="56"/>
      <c r="K92" s="795"/>
      <c r="L92" s="795"/>
    </row>
    <row r="93" spans="1:12">
      <c r="A93" s="795"/>
      <c r="B93" s="561">
        <v>2031</v>
      </c>
      <c r="C93" s="562">
        <v>2</v>
      </c>
      <c r="D93" s="569" t="s">
        <v>7</v>
      </c>
      <c r="E93" s="604">
        <f>SUMIFS('SDGE - IOU-3P Budgets 2028-31'!$M$9:$M$340,'SDGE - IOU-3P Budgets 2028-31'!$K$9:$K$340,'8 Cap &amp; Target '!B93,'SDGE - IOU-3P Budgets 2028-31'!$E$9:$E$340,"IOU Core",'SDGE - IOU-3P Budgets 2028-31'!$G$9:$G$340,"No")-'SDGE - IOU-3P Budgets 2028-31'!W42</f>
        <v>4206975.8788999999</v>
      </c>
      <c r="F93" s="564"/>
      <c r="G93" s="604">
        <f>+E93+F93</f>
        <v>4206975.8788999999</v>
      </c>
      <c r="H93" s="605">
        <f>+G93/G104</f>
        <v>5.8566601495955765E-2</v>
      </c>
      <c r="I93" s="606">
        <v>0.1</v>
      </c>
      <c r="J93" s="607"/>
      <c r="K93" s="669"/>
      <c r="L93" s="669"/>
    </row>
    <row r="94" spans="1:12">
      <c r="A94" s="795"/>
      <c r="B94" s="561">
        <v>2031</v>
      </c>
      <c r="C94" s="562">
        <v>3</v>
      </c>
      <c r="D94" s="569" t="s">
        <v>775</v>
      </c>
      <c r="E94" s="564"/>
      <c r="F94" s="604">
        <f>SUMIFS('SDGE - IOU-3P Budgets 2028-31'!$M$9:$M$340,'SDGE - IOU-3P Budgets 2028-31'!$K$9:$K$340,'8 Cap &amp; Target '!B94,'SDGE - IOU-3P Budgets 2028-31'!$E$9:$E$340,"Third-Party Solicited",'SDGE - IOU-3P Budgets 2028-31'!$G$9:$G$340,"No")</f>
        <v>2942223.5119999996</v>
      </c>
      <c r="G94" s="604">
        <f>+E94+F94</f>
        <v>2942223.5119999996</v>
      </c>
      <c r="H94" s="605">
        <f>+G94/G104</f>
        <v>4.0959595894899919E-2</v>
      </c>
      <c r="I94" s="575"/>
      <c r="J94" s="576">
        <v>0.1</v>
      </c>
      <c r="K94" s="669"/>
      <c r="L94" s="669"/>
    </row>
    <row r="95" spans="1:12">
      <c r="A95" s="795"/>
      <c r="B95" s="561">
        <v>2031</v>
      </c>
      <c r="C95" s="562">
        <v>4</v>
      </c>
      <c r="D95" s="578" t="s">
        <v>777</v>
      </c>
      <c r="E95" s="604">
        <f>SUMIFS('SDGE - IOU-3P Budgets 2028-31'!$M$9:$M$340,'SDGE - IOU-3P Budgets 2028-31'!$K$9:$K$340,'8 Cap &amp; Target '!B95,'SDGE - IOU-3P Budgets 2028-31'!$E$9:$E$340,"IOU Core",'SDGE - IOU-3P Budgets 2028-31'!$G$9:$G$340,"Yes")+'SDGE - IOU-3P Budgets 2028-31'!M262+'SDGE - IOU-3P Budgets 2028-31'!M340+'SDGE - IOU-3P Budgets 2028-31'!W42</f>
        <v>1317901.6984999999</v>
      </c>
      <c r="F95" s="604">
        <f>SUMIFS('SDGE - IOU-3P Budgets 2028-31'!$M$9:$M$340,'SDGE - IOU-3P Budgets 2028-31'!$K$9:$K$340,'8 Cap &amp; Target '!B95,'SDGE - IOU-3P Budgets 2028-31'!$E$9:$E$340,"Third-Party Solicited",'SDGE - IOU-3P Budgets 2028-31'!$G$9:$G$340,"Yes")+'SDGE - IOU-3P Budgets 2028-31'!M332</f>
        <v>80493.484800000006</v>
      </c>
      <c r="G95" s="604">
        <f>+E95+F95</f>
        <v>1398395.1832999999</v>
      </c>
      <c r="H95" s="580"/>
      <c r="I95" s="575"/>
      <c r="J95" s="607"/>
      <c r="K95" s="669"/>
      <c r="L95" s="669"/>
    </row>
    <row r="96" spans="1:12">
      <c r="A96" s="795"/>
      <c r="B96" s="561">
        <v>2031</v>
      </c>
      <c r="C96" s="562">
        <v>5</v>
      </c>
      <c r="D96" s="563" t="s">
        <v>779</v>
      </c>
      <c r="E96" s="604">
        <f>SUMIFS('SDGE - IOU-3P Budgets 2028-31'!$N$9:$N$340,'SDGE - IOU-3P Budgets 2028-31'!$K$9:$K$340,'8 Cap &amp; Target '!B96,'SDGE - IOU-3P Budgets 2028-31'!$E$9:$E$340,"IOU Core")+'SDGE - IOU-3P Budgets 2028-31'!N262+'SDGE - IOU-3P Budgets 2028-31'!N333+'SDGE - IOU-3P Budgets 2028-31'!N340</f>
        <v>132408.14540000001</v>
      </c>
      <c r="F96" s="604">
        <f>SUMIFS('SDGE - IOU-3P Budgets 2028-31'!$N$9:$N$340,'SDGE - IOU-3P Budgets 2028-31'!$K$9:$K$340,'8 Cap &amp; Target '!B96,'SDGE - IOU-3P Budgets 2028-31'!$E$9:$E$340,"Third-Party Solicited")+'SDGE - IOU-3P Budgets 2028-31'!N332</f>
        <v>2039871.3334999999</v>
      </c>
      <c r="G96" s="604">
        <f>+E96+F96</f>
        <v>2172279.4789</v>
      </c>
      <c r="H96" s="608">
        <f>+G96/G104</f>
        <v>3.0240968867129285E-2</v>
      </c>
      <c r="I96" s="575"/>
      <c r="J96" s="576">
        <v>0.06</v>
      </c>
      <c r="K96" s="669"/>
      <c r="L96" s="669"/>
    </row>
    <row r="97" spans="1:12">
      <c r="A97" s="795"/>
      <c r="B97" s="561">
        <v>2031</v>
      </c>
      <c r="C97" s="562">
        <v>6</v>
      </c>
      <c r="D97" s="563" t="s">
        <v>781</v>
      </c>
      <c r="E97" s="584"/>
      <c r="F97" s="584"/>
      <c r="G97" s="584"/>
      <c r="H97" s="580"/>
      <c r="I97" s="582"/>
      <c r="J97" s="573"/>
      <c r="K97" s="669"/>
      <c r="L97" s="669"/>
    </row>
    <row r="98" spans="1:12">
      <c r="A98" s="795"/>
      <c r="B98" s="561">
        <v>2031</v>
      </c>
      <c r="C98" s="562">
        <v>7</v>
      </c>
      <c r="D98" s="569" t="s">
        <v>782</v>
      </c>
      <c r="E98" s="604">
        <f>SUMIFS('SDGE - IOU-3P Budgets 2028-31'!$P$9:$P$340,'SDGE - IOU-3P Budgets 2028-31'!$K$9:$K$340,'8 Cap &amp; Target '!B98,'SDGE - IOU-3P Budgets 2028-31'!$E$9:$E$340,"IOU Core")+'SDGE - IOU-3P Budgets 2028-31'!P262+'SDGE - IOU-3P Budgets 2028-31'!P333+'SDGE - IOU-3P Budgets 2028-31'!P340</f>
        <v>66000</v>
      </c>
      <c r="F98" s="604">
        <f>SUMIFS('SDGE - IOU-3P Budgets 2028-31'!$P$9:$P$340,'SDGE - IOU-3P Budgets 2028-31'!$K$9:$K$340,'8 Cap &amp; Target '!B98,'SDGE - IOU-3P Budgets 2028-31'!$E$9:$E$340,"Third-Party Solicited")+'SDGE - IOU-3P Budgets 2028-31'!P332</f>
        <v>29803877.037500132</v>
      </c>
      <c r="G98" s="604">
        <f>+F98+E98</f>
        <v>29869877.037500132</v>
      </c>
      <c r="H98" s="580"/>
      <c r="I98" s="582"/>
      <c r="J98" s="573"/>
      <c r="K98" s="669"/>
      <c r="L98" s="669"/>
    </row>
    <row r="99" spans="1:12">
      <c r="A99" s="795"/>
      <c r="B99" s="561">
        <v>2031</v>
      </c>
      <c r="C99" s="562">
        <v>8</v>
      </c>
      <c r="D99" s="569" t="s">
        <v>784</v>
      </c>
      <c r="E99" s="604">
        <f>SUMIFS('SDGE - IOU-3P Budgets 2028-31'!$O$9:$O$340,'SDGE - IOU-3P Budgets 2028-31'!$K$9:$K$340,'8 Cap &amp; Target '!B99,'SDGE - IOU-3P Budgets 2028-31'!$E$9:$E$340,"IOU Core", 'SDGE - IOU-3P Budgets 2028-31'!$G$9:$G$340,"No")+'SDGE - IOU-3P Budgets 2028-31'!O340</f>
        <v>3090290.5344999996</v>
      </c>
      <c r="F99" s="604">
        <f>SUMIFS('SDGE - IOU-3P Budgets 2028-31'!$O$9:$O$340,'SDGE - IOU-3P Budgets 2028-31'!$K$9:$K$340,'8 Cap &amp; Target '!B99,'SDGE - IOU-3P Budgets 2028-31'!$E$9:$E$340,"Third-Party Solicited", 'SDGE - IOU-3P Budgets 2028-31'!$G$9:$G$340,"No")</f>
        <v>19655428.9767</v>
      </c>
      <c r="G99" s="604">
        <f>+F99+E99</f>
        <v>22745719.5112</v>
      </c>
      <c r="H99" s="608">
        <f>+G99/G104</f>
        <v>0.31665013746157999</v>
      </c>
      <c r="I99" s="575"/>
      <c r="J99" s="576">
        <v>0.2</v>
      </c>
      <c r="K99" s="669"/>
      <c r="L99" s="669"/>
    </row>
    <row r="100" spans="1:12">
      <c r="A100" s="795"/>
      <c r="B100" s="561">
        <v>2031</v>
      </c>
      <c r="C100" s="562">
        <v>9</v>
      </c>
      <c r="D100" s="569" t="s">
        <v>786</v>
      </c>
      <c r="E100" s="604">
        <f>SUMIFS('SDGE - IOU-3P Budgets 2028-31'!$O$9:$O$340,'SDGE - IOU-3P Budgets 2028-31'!$K$9:$K$340,'8 Cap &amp; Target '!B100,'SDGE - IOU-3P Budgets 2028-31'!$E$9:$E$340,"IOU Core", 'SDGE - IOU-3P Budgets 2028-31'!$G$9:$G$340,"Yes")+'SDGE - IOU-3P Budgets 2028-31'!O262+'SDGE - IOU-3P Budgets 2028-31'!O333</f>
        <v>2993308.3352999999</v>
      </c>
      <c r="F100" s="604">
        <f>SUMIFS('SDGE - IOU-3P Budgets 2028-31'!$O$9:$O$340,'SDGE - IOU-3P Budgets 2028-31'!$K$9:$K$340,'8 Cap &amp; Target '!B100,'SDGE - IOU-3P Budgets 2028-31'!$E$9:$E$340,"Third-Party Solicited", 'SDGE - IOU-3P Budgets 2028-31'!$G$9:$G$340,"Yes")+'SDGE - IOU-3P Budgets 2028-31'!O332</f>
        <v>2630264.9663999998</v>
      </c>
      <c r="G100" s="604">
        <f>+F100+E100</f>
        <v>5623573.3016999997</v>
      </c>
      <c r="H100" s="580"/>
      <c r="I100" s="582"/>
      <c r="J100" s="573"/>
      <c r="K100" s="669"/>
      <c r="L100" s="669"/>
    </row>
    <row r="101" spans="1:12">
      <c r="A101" s="795"/>
      <c r="B101" s="561">
        <v>2031</v>
      </c>
      <c r="C101" s="562">
        <v>10</v>
      </c>
      <c r="D101" s="609" t="s">
        <v>788</v>
      </c>
      <c r="E101" s="604">
        <f>+E102+E103</f>
        <v>2873293.4942999999</v>
      </c>
      <c r="F101" s="584"/>
      <c r="G101" s="604">
        <f>+G102+G103</f>
        <v>2873293.4942999999</v>
      </c>
      <c r="H101" s="608">
        <f>+G101/G104</f>
        <v>3.9999999977558785E-2</v>
      </c>
      <c r="I101" s="572">
        <v>0.04</v>
      </c>
      <c r="J101" s="583"/>
      <c r="K101" s="669"/>
      <c r="L101" s="669"/>
    </row>
    <row r="102" spans="1:12">
      <c r="A102" s="795"/>
      <c r="B102" s="561">
        <v>2031</v>
      </c>
      <c r="C102" s="562" t="s">
        <v>790</v>
      </c>
      <c r="D102" s="569" t="s">
        <v>257</v>
      </c>
      <c r="E102" s="604">
        <f>IF('8 Cap &amp; Target '!D102="EM&amp;V - PA",VLOOKUP(B102,'3.1 Funding Category'!$B$74:$D$81, 3,FALSE),VLOOKUP(B102,'3.1 Funding Category'!$B$82:$D$89,3,FALSE))</f>
        <v>1149317.3999999999</v>
      </c>
      <c r="F102" s="590"/>
      <c r="G102" s="604">
        <f>SUM(E102:F102)</f>
        <v>1149317.3999999999</v>
      </c>
      <c r="H102" s="580"/>
      <c r="I102" s="580"/>
      <c r="J102" s="583"/>
      <c r="K102" s="669"/>
      <c r="L102" s="669"/>
    </row>
    <row r="103" spans="1:12">
      <c r="A103" s="795"/>
      <c r="B103" s="561">
        <v>2031</v>
      </c>
      <c r="C103" s="562" t="s">
        <v>792</v>
      </c>
      <c r="D103" s="569" t="s">
        <v>259</v>
      </c>
      <c r="E103" s="604">
        <f>IF('8 Cap &amp; Target '!D103="EM&amp;V - PA",VLOOKUP(B103,'3.1 Funding Category'!$B$74:$D$81, 3,FALSE),VLOOKUP(B103,'3.1 Funding Category'!$B$82:$D$89,3,FALSE))</f>
        <v>1723976.0943</v>
      </c>
      <c r="F103" s="590"/>
      <c r="G103" s="604">
        <f>SUM(E103:F103)</f>
        <v>1723976.0943</v>
      </c>
      <c r="H103" s="580"/>
      <c r="I103" s="580"/>
      <c r="J103" s="583"/>
      <c r="K103" s="795"/>
      <c r="L103" s="795"/>
    </row>
    <row r="104" spans="1:12" s="32" customFormat="1" ht="30">
      <c r="A104" s="795"/>
      <c r="B104" s="561">
        <v>2031</v>
      </c>
      <c r="C104" s="562">
        <v>11</v>
      </c>
      <c r="D104" s="593" t="s">
        <v>794</v>
      </c>
      <c r="E104" s="604">
        <f>SUM(E93:E101)</f>
        <v>14680178.0869</v>
      </c>
      <c r="F104" s="604">
        <f>SUM(F93:F101)</f>
        <v>57152159.310900129</v>
      </c>
      <c r="G104" s="604">
        <f>SUM(G93:G101)</f>
        <v>71832337.397800118</v>
      </c>
      <c r="H104" s="580"/>
      <c r="I104" s="580"/>
      <c r="J104" s="583"/>
    </row>
    <row r="105" spans="1:12" s="32" customFormat="1">
      <c r="A105" s="795"/>
      <c r="B105" s="561">
        <v>2031</v>
      </c>
      <c r="C105" s="562">
        <v>12</v>
      </c>
      <c r="D105" s="593" t="s">
        <v>796</v>
      </c>
      <c r="E105" s="584"/>
      <c r="F105" s="604">
        <f>SUM(F93:F103)</f>
        <v>57152159.310900129</v>
      </c>
      <c r="G105" s="584"/>
      <c r="H105" s="605">
        <f>+F105/G104</f>
        <v>0.79563273841970827</v>
      </c>
      <c r="I105" s="582"/>
      <c r="J105" s="591">
        <v>0.6</v>
      </c>
    </row>
    <row r="106" spans="1:12" s="32" customFormat="1">
      <c r="A106" s="795"/>
      <c r="B106" s="561">
        <v>2031</v>
      </c>
      <c r="C106" s="562">
        <v>13</v>
      </c>
      <c r="D106" s="593" t="s">
        <v>798</v>
      </c>
      <c r="E106" s="610">
        <v>0</v>
      </c>
      <c r="F106" s="584"/>
      <c r="G106" s="604">
        <f>+E106+F106</f>
        <v>0</v>
      </c>
      <c r="H106" s="584"/>
      <c r="I106" s="584"/>
      <c r="J106" s="594"/>
    </row>
    <row r="107" spans="1:12">
      <c r="A107" s="795"/>
      <c r="B107" s="561">
        <v>2031</v>
      </c>
      <c r="C107" s="562">
        <v>14</v>
      </c>
      <c r="D107" s="593" t="s">
        <v>800</v>
      </c>
      <c r="E107" s="604">
        <f>SUM(E104, E106)</f>
        <v>14680178.0869</v>
      </c>
      <c r="F107" s="604">
        <f>SUM(F104, F106)</f>
        <v>57152159.310900129</v>
      </c>
      <c r="G107" s="604">
        <f>+G106+G104</f>
        <v>71832337.397800118</v>
      </c>
      <c r="H107" s="595"/>
      <c r="I107" s="582"/>
      <c r="J107" s="573"/>
      <c r="K107" s="795"/>
      <c r="L107" s="795"/>
    </row>
    <row r="108" spans="1:12">
      <c r="A108" s="795"/>
      <c r="B108" s="598">
        <v>2031</v>
      </c>
      <c r="C108" s="562">
        <v>15</v>
      </c>
      <c r="D108" s="600" t="s">
        <v>802</v>
      </c>
      <c r="E108" s="604">
        <f>VLOOKUP(B108,'3.1 Funding Category'!$B$26:$D$33,3,FALSE)</f>
        <v>99200</v>
      </c>
      <c r="F108" s="611"/>
      <c r="G108" s="604">
        <f>+E108</f>
        <v>99200</v>
      </c>
      <c r="H108" s="580"/>
      <c r="I108" s="580"/>
      <c r="J108" s="583"/>
      <c r="K108" s="795"/>
      <c r="L108" s="795"/>
    </row>
    <row r="109" spans="1:12" s="32" customFormat="1">
      <c r="B109" s="598">
        <v>2031</v>
      </c>
      <c r="C109" s="599">
        <v>16</v>
      </c>
      <c r="D109" s="600" t="s">
        <v>804</v>
      </c>
      <c r="E109" s="610">
        <v>0</v>
      </c>
      <c r="F109" s="611"/>
      <c r="G109" s="604">
        <f>+E109</f>
        <v>0</v>
      </c>
      <c r="H109" s="580"/>
      <c r="I109" s="584"/>
      <c r="J109" s="583"/>
    </row>
    <row r="110" spans="1:12">
      <c r="A110" s="795"/>
      <c r="B110" s="598">
        <v>2031</v>
      </c>
      <c r="C110" s="599">
        <v>17</v>
      </c>
      <c r="D110" s="600" t="s">
        <v>806</v>
      </c>
      <c r="E110" s="610">
        <v>0</v>
      </c>
      <c r="F110" s="611"/>
      <c r="G110" s="595"/>
      <c r="H110" s="580"/>
      <c r="I110" s="584"/>
      <c r="J110" s="583"/>
      <c r="K110" s="795"/>
      <c r="L110" s="795"/>
    </row>
    <row r="111" spans="1:12" ht="15.75" thickBot="1">
      <c r="A111" s="795"/>
      <c r="B111" s="49">
        <v>2031</v>
      </c>
      <c r="C111" s="50">
        <v>18</v>
      </c>
      <c r="D111" s="51" t="s">
        <v>343</v>
      </c>
      <c r="E111" s="390">
        <f>SUM(E107:E110)</f>
        <v>14779378.0869</v>
      </c>
      <c r="F111" s="390">
        <f>SUM(F107:F110)</f>
        <v>57152159.310900129</v>
      </c>
      <c r="G111" s="390">
        <f>SUM(G107:G110)</f>
        <v>71931537.397800118</v>
      </c>
      <c r="H111" s="52"/>
      <c r="I111" s="53"/>
      <c r="J111" s="54"/>
      <c r="K111" s="795"/>
      <c r="L111" s="795"/>
    </row>
    <row r="112" spans="1:12" ht="15.75" thickTop="1">
      <c r="A112" s="795"/>
      <c r="B112" s="393"/>
      <c r="C112" s="393"/>
      <c r="D112" s="394"/>
      <c r="E112" s="395"/>
      <c r="F112" s="395"/>
      <c r="G112" s="395"/>
      <c r="H112" s="396"/>
      <c r="I112" s="397"/>
      <c r="J112" s="397"/>
      <c r="K112" s="795"/>
      <c r="L112" s="795"/>
    </row>
    <row r="113" spans="1:12" ht="15.75">
      <c r="A113" s="795"/>
      <c r="B113" s="978" t="s">
        <v>265</v>
      </c>
      <c r="C113" s="979"/>
      <c r="D113" s="979"/>
      <c r="E113" s="979"/>
      <c r="F113" s="979"/>
      <c r="G113" s="979"/>
      <c r="H113" s="979"/>
      <c r="I113" s="979"/>
      <c r="J113" s="979"/>
      <c r="K113" s="795"/>
      <c r="L113" s="795"/>
    </row>
    <row r="114" spans="1:12">
      <c r="A114" s="795"/>
      <c r="B114" s="919" t="s">
        <v>809</v>
      </c>
      <c r="C114" s="919"/>
      <c r="D114" s="919"/>
      <c r="E114" s="919"/>
      <c r="F114" s="919"/>
      <c r="G114" s="919"/>
      <c r="H114" s="919"/>
      <c r="I114" s="919"/>
      <c r="J114" s="919"/>
      <c r="K114" s="795"/>
      <c r="L114" s="795"/>
    </row>
    <row r="115" spans="1:12" ht="30.75" customHeight="1">
      <c r="A115" s="795"/>
      <c r="B115" s="919" t="s">
        <v>810</v>
      </c>
      <c r="C115" s="919"/>
      <c r="D115" s="919"/>
      <c r="E115" s="919"/>
      <c r="F115" s="919"/>
      <c r="G115" s="919"/>
      <c r="H115" s="919"/>
      <c r="I115" s="919"/>
      <c r="J115" s="919"/>
      <c r="K115" s="795"/>
      <c r="L115" s="795"/>
    </row>
    <row r="116" spans="1:12" ht="30.75" customHeight="1">
      <c r="A116" s="795"/>
      <c r="B116" s="919" t="s">
        <v>811</v>
      </c>
      <c r="C116" s="919"/>
      <c r="D116" s="919"/>
      <c r="E116" s="919"/>
      <c r="F116" s="919"/>
      <c r="G116" s="919"/>
      <c r="H116" s="919"/>
      <c r="I116" s="919"/>
      <c r="J116" s="919"/>
      <c r="K116" s="795"/>
      <c r="L116" s="795"/>
    </row>
    <row r="117" spans="1:12" s="46" customFormat="1">
      <c r="A117" s="669"/>
      <c r="B117" s="669" t="s">
        <v>812</v>
      </c>
      <c r="C117" s="669"/>
      <c r="D117" s="669"/>
      <c r="E117" s="669"/>
      <c r="F117" s="669"/>
      <c r="G117" s="669"/>
      <c r="H117" s="669"/>
      <c r="I117" s="669"/>
      <c r="J117" s="669"/>
      <c r="K117" s="669"/>
      <c r="L117" s="669"/>
    </row>
    <row r="118" spans="1:12" s="46" customFormat="1">
      <c r="A118" s="669"/>
      <c r="B118" s="669"/>
      <c r="C118" s="669"/>
      <c r="D118" s="669"/>
      <c r="E118" s="669"/>
      <c r="F118" s="669"/>
      <c r="G118" s="669"/>
      <c r="H118" s="669"/>
      <c r="I118" s="669"/>
      <c r="J118" s="669"/>
      <c r="K118" s="669"/>
      <c r="L118" s="669"/>
    </row>
    <row r="119" spans="1:12" s="46" customFormat="1">
      <c r="A119" s="669"/>
      <c r="B119" s="669"/>
      <c r="C119" s="669"/>
      <c r="D119" s="669"/>
      <c r="E119" s="669"/>
      <c r="F119" s="669"/>
      <c r="G119" s="669"/>
      <c r="H119" s="669"/>
      <c r="I119" s="669"/>
      <c r="J119" s="669"/>
      <c r="K119" s="669"/>
      <c r="L119" s="669"/>
    </row>
  </sheetData>
  <mergeCells count="11">
    <mergeCell ref="B116:J116"/>
    <mergeCell ref="B115:J115"/>
    <mergeCell ref="B114:J114"/>
    <mergeCell ref="C2:I2"/>
    <mergeCell ref="D10:D11"/>
    <mergeCell ref="C10:C11"/>
    <mergeCell ref="B113:J113"/>
    <mergeCell ref="B10:B11"/>
    <mergeCell ref="C3:I3"/>
    <mergeCell ref="E10:G10"/>
    <mergeCell ref="H10:J10"/>
  </mergeCells>
  <pageMargins left="0.25" right="0.25" top="0.75" bottom="0.75" header="0.3" footer="0.3"/>
  <pageSetup paperSize="17" orientation="landscape"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00BC3-D90B-446C-8E22-C7886CE8BF73}">
  <sheetPr codeName="Sheet16">
    <tabColor theme="4"/>
    <pageSetUpPr fitToPage="1"/>
  </sheetPr>
  <dimension ref="B1:I58"/>
  <sheetViews>
    <sheetView showGridLines="0" topLeftCell="A3" zoomScaleNormal="100" workbookViewId="0">
      <selection activeCell="B2" sqref="B2"/>
    </sheetView>
  </sheetViews>
  <sheetFormatPr defaultColWidth="8.625" defaultRowHeight="15"/>
  <cols>
    <col min="1" max="1" width="2.75" style="43" customWidth="1"/>
    <col min="2" max="2" width="18" style="43" customWidth="1"/>
    <col min="3" max="3" width="69.75" style="43" bestFit="1" customWidth="1"/>
    <col min="4" max="4" width="8.5" style="43" customWidth="1"/>
    <col min="5" max="8" width="14.25" style="43" bestFit="1" customWidth="1"/>
    <col min="9" max="9" width="8.5" style="43" customWidth="1"/>
    <col min="10" max="16384" width="8.625" style="43"/>
  </cols>
  <sheetData>
    <row r="1" spans="2:9" ht="15.75" thickBot="1">
      <c r="B1" s="684"/>
      <c r="C1" s="684"/>
      <c r="D1" s="684"/>
      <c r="E1" s="684"/>
      <c r="F1" s="684"/>
      <c r="G1" s="684"/>
      <c r="H1" s="684"/>
      <c r="I1" s="684"/>
    </row>
    <row r="2" spans="2:9" ht="31.5" customHeight="1">
      <c r="B2" s="224" t="s">
        <v>58</v>
      </c>
      <c r="C2" s="972" t="s">
        <v>88</v>
      </c>
      <c r="D2" s="972"/>
      <c r="E2" s="972"/>
      <c r="F2" s="972"/>
      <c r="G2" s="972"/>
      <c r="H2" s="972"/>
      <c r="I2" s="684"/>
    </row>
    <row r="3" spans="2:9" ht="339.75" customHeight="1" thickBot="1">
      <c r="B3" s="436" t="s">
        <v>102</v>
      </c>
      <c r="C3" s="986" t="s">
        <v>813</v>
      </c>
      <c r="D3" s="986"/>
      <c r="E3" s="986"/>
      <c r="F3" s="986"/>
      <c r="G3" s="986"/>
      <c r="H3" s="986"/>
      <c r="I3" s="684"/>
    </row>
    <row r="4" spans="2:9" ht="18" customHeight="1" thickBot="1">
      <c r="B4" s="684"/>
      <c r="C4" s="684"/>
      <c r="D4" s="684"/>
      <c r="E4" s="684"/>
      <c r="F4" s="684"/>
      <c r="G4" s="684"/>
      <c r="H4" s="684"/>
      <c r="I4" s="684"/>
    </row>
    <row r="5" spans="2:9" ht="16.149999999999999" customHeight="1">
      <c r="B5" s="172" t="s">
        <v>104</v>
      </c>
      <c r="C5" s="201" t="str">
        <f>'Read Me'!B10</f>
        <v>SDG&amp;E</v>
      </c>
      <c r="D5" s="91"/>
      <c r="E5" s="684"/>
      <c r="F5" s="684"/>
      <c r="G5" s="684"/>
      <c r="H5" s="684"/>
      <c r="I5" s="684"/>
    </row>
    <row r="6" spans="2:9" ht="16.149999999999999" customHeight="1" thickBot="1">
      <c r="B6" s="428" t="s">
        <v>105</v>
      </c>
      <c r="C6" s="542" t="str">
        <f>'Read Me'!B11</f>
        <v>2028-2035</v>
      </c>
      <c r="D6" s="91"/>
      <c r="E6" s="684"/>
      <c r="F6" s="684"/>
      <c r="G6" s="684"/>
      <c r="H6" s="684"/>
      <c r="I6" s="684"/>
    </row>
    <row r="7" spans="2:9" ht="14.65" customHeight="1">
      <c r="B7" s="1" t="s">
        <v>814</v>
      </c>
      <c r="C7" s="1"/>
      <c r="D7" s="1"/>
      <c r="E7" s="684"/>
      <c r="F7" s="684"/>
      <c r="G7" s="684"/>
      <c r="H7" s="684"/>
      <c r="I7" s="684"/>
    </row>
    <row r="8" spans="2:9" ht="15.75" thickBot="1">
      <c r="B8" s="684"/>
      <c r="C8" s="684"/>
      <c r="D8" s="684"/>
      <c r="E8" s="93"/>
      <c r="F8" s="93"/>
      <c r="G8" s="93"/>
      <c r="H8" s="93"/>
      <c r="I8" s="684"/>
    </row>
    <row r="9" spans="2:9">
      <c r="B9" s="211" t="s">
        <v>815</v>
      </c>
      <c r="C9" s="212" t="s">
        <v>816</v>
      </c>
      <c r="D9" s="212" t="s">
        <v>817</v>
      </c>
      <c r="E9" s="212">
        <v>2028</v>
      </c>
      <c r="F9" s="212">
        <v>2029</v>
      </c>
      <c r="G9" s="212">
        <v>2030</v>
      </c>
      <c r="H9" s="212">
        <v>2031</v>
      </c>
      <c r="I9" s="684"/>
    </row>
    <row r="10" spans="2:9">
      <c r="B10" s="806" t="s">
        <v>818</v>
      </c>
      <c r="C10" s="807" t="s">
        <v>111</v>
      </c>
      <c r="D10" s="807" t="s">
        <v>819</v>
      </c>
      <c r="E10" s="612">
        <v>2.96</v>
      </c>
      <c r="F10" s="612">
        <v>2.96</v>
      </c>
      <c r="G10" s="612">
        <v>2.96</v>
      </c>
      <c r="H10" s="612">
        <v>2.9599999999999995</v>
      </c>
      <c r="I10" s="684"/>
    </row>
    <row r="11" spans="2:9">
      <c r="B11" s="806" t="s">
        <v>818</v>
      </c>
      <c r="C11" s="807" t="s">
        <v>820</v>
      </c>
      <c r="D11" s="807" t="s">
        <v>819</v>
      </c>
      <c r="E11" s="612">
        <v>14.52999999999998</v>
      </c>
      <c r="F11" s="612">
        <v>14.52999999999998</v>
      </c>
      <c r="G11" s="612">
        <v>14.529999999999982</v>
      </c>
      <c r="H11" s="612">
        <v>14.530000000000001</v>
      </c>
      <c r="I11" s="684"/>
    </row>
    <row r="12" spans="2:9">
      <c r="B12" s="806" t="s">
        <v>818</v>
      </c>
      <c r="C12" s="807" t="s">
        <v>126</v>
      </c>
      <c r="D12" s="807" t="s">
        <v>819</v>
      </c>
      <c r="E12" s="612">
        <v>2.7099999999999995</v>
      </c>
      <c r="F12" s="612">
        <v>2.7099999999999995</v>
      </c>
      <c r="G12" s="612">
        <v>2.7099999999999995</v>
      </c>
      <c r="H12" s="612">
        <v>2.7100000000000004</v>
      </c>
      <c r="I12" s="684"/>
    </row>
    <row r="13" spans="2:9">
      <c r="B13" s="806" t="s">
        <v>818</v>
      </c>
      <c r="C13" s="807" t="s">
        <v>821</v>
      </c>
      <c r="D13" s="807" t="s">
        <v>819</v>
      </c>
      <c r="E13" s="612">
        <v>0</v>
      </c>
      <c r="F13" s="612">
        <v>0</v>
      </c>
      <c r="G13" s="612">
        <v>0</v>
      </c>
      <c r="H13" s="612">
        <v>0</v>
      </c>
      <c r="I13" s="684"/>
    </row>
    <row r="14" spans="2:9">
      <c r="B14" s="806" t="s">
        <v>818</v>
      </c>
      <c r="C14" s="807" t="s">
        <v>822</v>
      </c>
      <c r="D14" s="807" t="s">
        <v>819</v>
      </c>
      <c r="E14" s="612">
        <v>2.3000000000000007</v>
      </c>
      <c r="F14" s="612">
        <v>2.3000000000000007</v>
      </c>
      <c r="G14" s="612">
        <v>2.3000000000000003</v>
      </c>
      <c r="H14" s="612">
        <v>2.2999999999999998</v>
      </c>
      <c r="I14" s="684"/>
    </row>
    <row r="15" spans="2:9">
      <c r="B15" s="806" t="s">
        <v>818</v>
      </c>
      <c r="C15" s="807" t="s">
        <v>137</v>
      </c>
      <c r="D15" s="807" t="s">
        <v>819</v>
      </c>
      <c r="E15" s="612">
        <v>3.21</v>
      </c>
      <c r="F15" s="612">
        <v>3.21</v>
      </c>
      <c r="G15" s="612">
        <v>3.21</v>
      </c>
      <c r="H15" s="612">
        <v>3.21</v>
      </c>
      <c r="I15" s="684"/>
    </row>
    <row r="16" spans="2:9">
      <c r="B16" s="806" t="s">
        <v>818</v>
      </c>
      <c r="C16" s="807" t="s">
        <v>47</v>
      </c>
      <c r="D16" s="807" t="s">
        <v>819</v>
      </c>
      <c r="E16" s="612">
        <v>0.87000000000000011</v>
      </c>
      <c r="F16" s="612">
        <v>0.87000000000000011</v>
      </c>
      <c r="G16" s="612">
        <v>0.87000000000000011</v>
      </c>
      <c r="H16" s="612">
        <v>0.87000000000000011</v>
      </c>
      <c r="I16" s="684"/>
    </row>
    <row r="17" spans="2:8">
      <c r="B17" s="806" t="s">
        <v>818</v>
      </c>
      <c r="C17" s="807" t="s">
        <v>823</v>
      </c>
      <c r="D17" s="807" t="s">
        <v>819</v>
      </c>
      <c r="E17" s="612">
        <v>0.2</v>
      </c>
      <c r="F17" s="612">
        <v>0.2</v>
      </c>
      <c r="G17" s="612">
        <v>0.2</v>
      </c>
      <c r="H17" s="612">
        <v>0.2</v>
      </c>
    </row>
    <row r="18" spans="2:8">
      <c r="B18" s="806" t="s">
        <v>818</v>
      </c>
      <c r="C18" s="807" t="s">
        <v>152</v>
      </c>
      <c r="D18" s="807" t="s">
        <v>819</v>
      </c>
      <c r="E18" s="612">
        <v>0</v>
      </c>
      <c r="F18" s="612">
        <v>0</v>
      </c>
      <c r="G18" s="612">
        <v>0</v>
      </c>
      <c r="H18" s="612">
        <v>0</v>
      </c>
    </row>
    <row r="19" spans="2:8">
      <c r="B19" s="806" t="s">
        <v>818</v>
      </c>
      <c r="C19" s="807" t="s">
        <v>155</v>
      </c>
      <c r="D19" s="807" t="s">
        <v>819</v>
      </c>
      <c r="E19" s="612">
        <v>2.2399999999999998</v>
      </c>
      <c r="F19" s="612">
        <v>2.2399999999999998</v>
      </c>
      <c r="G19" s="612">
        <v>2.2400000000000002</v>
      </c>
      <c r="H19" s="612">
        <v>2.2400000000000002</v>
      </c>
    </row>
    <row r="20" spans="2:8">
      <c r="B20" s="806" t="s">
        <v>818</v>
      </c>
      <c r="C20" s="807" t="s">
        <v>160</v>
      </c>
      <c r="D20" s="807" t="s">
        <v>819</v>
      </c>
      <c r="E20" s="612">
        <v>0.36000000000000004</v>
      </c>
      <c r="F20" s="612">
        <v>0.36000000000000004</v>
      </c>
      <c r="G20" s="612">
        <v>0.36000000000000004</v>
      </c>
      <c r="H20" s="612">
        <v>0.36</v>
      </c>
    </row>
    <row r="21" spans="2:8" ht="15.75" thickBot="1">
      <c r="B21" s="299" t="s">
        <v>818</v>
      </c>
      <c r="C21" s="300" t="s">
        <v>204</v>
      </c>
      <c r="D21" s="298" t="s">
        <v>819</v>
      </c>
      <c r="E21" s="302">
        <f>SUM(E10:E20)</f>
        <v>29.379999999999981</v>
      </c>
      <c r="F21" s="302">
        <f>SUM(F10:F20)</f>
        <v>29.379999999999981</v>
      </c>
      <c r="G21" s="302">
        <f>SUM(G10:G20)</f>
        <v>29.379999999999981</v>
      </c>
      <c r="H21" s="302">
        <f>SUM(H10:H20)</f>
        <v>29.380000000000003</v>
      </c>
    </row>
    <row r="22" spans="2:8" ht="15.75" thickTop="1">
      <c r="B22" s="808" t="s">
        <v>818</v>
      </c>
      <c r="C22" s="809" t="s">
        <v>111</v>
      </c>
      <c r="D22" s="810" t="s">
        <v>436</v>
      </c>
      <c r="E22" s="292">
        <v>657648.60027158109</v>
      </c>
      <c r="F22" s="292">
        <v>677378.05935130874</v>
      </c>
      <c r="G22" s="292">
        <v>693876.50473823748</v>
      </c>
      <c r="H22" s="292">
        <v>718630.37295863242</v>
      </c>
    </row>
    <row r="23" spans="2:8">
      <c r="B23" s="806" t="s">
        <v>818</v>
      </c>
      <c r="C23" s="807" t="s">
        <v>820</v>
      </c>
      <c r="D23" s="811" t="s">
        <v>436</v>
      </c>
      <c r="E23" s="613">
        <v>2801017.7559345243</v>
      </c>
      <c r="F23" s="613">
        <v>2872336.7427745406</v>
      </c>
      <c r="G23" s="613">
        <v>2971348.7500746264</v>
      </c>
      <c r="H23" s="613">
        <v>3060747.7784488099</v>
      </c>
    </row>
    <row r="24" spans="2:8">
      <c r="B24" s="806" t="s">
        <v>818</v>
      </c>
      <c r="C24" s="807" t="s">
        <v>126</v>
      </c>
      <c r="D24" s="811" t="s">
        <v>436</v>
      </c>
      <c r="E24" s="613">
        <v>573576.26228480169</v>
      </c>
      <c r="F24" s="613">
        <v>590783.54472933756</v>
      </c>
      <c r="G24" s="613">
        <v>608507.06073968462</v>
      </c>
      <c r="H24" s="613">
        <v>626762.27683892066</v>
      </c>
    </row>
    <row r="25" spans="2:8">
      <c r="B25" s="806" t="s">
        <v>818</v>
      </c>
      <c r="C25" s="807" t="s">
        <v>821</v>
      </c>
      <c r="D25" s="811" t="s">
        <v>436</v>
      </c>
      <c r="E25" s="613">
        <v>0</v>
      </c>
      <c r="F25" s="613">
        <v>0</v>
      </c>
      <c r="G25" s="613">
        <v>0</v>
      </c>
      <c r="H25" s="613">
        <v>0</v>
      </c>
    </row>
    <row r="26" spans="2:8">
      <c r="B26" s="806" t="s">
        <v>818</v>
      </c>
      <c r="C26" s="807" t="s">
        <v>822</v>
      </c>
      <c r="D26" s="811" t="s">
        <v>436</v>
      </c>
      <c r="E26" s="613">
        <v>273450.86370699829</v>
      </c>
      <c r="F26" s="613">
        <v>281654.38986514916</v>
      </c>
      <c r="G26" s="613">
        <v>290104.02699508209</v>
      </c>
      <c r="H26" s="613">
        <v>298807.14398279937</v>
      </c>
    </row>
    <row r="27" spans="2:8">
      <c r="B27" s="806" t="s">
        <v>818</v>
      </c>
      <c r="C27" s="807" t="s">
        <v>137</v>
      </c>
      <c r="D27" s="811" t="s">
        <v>436</v>
      </c>
      <c r="E27" s="613">
        <v>611985.67327876179</v>
      </c>
      <c r="F27" s="613">
        <v>630345.24772795371</v>
      </c>
      <c r="G27" s="613">
        <v>649255.62498899386</v>
      </c>
      <c r="H27" s="613">
        <v>668733.28533650469</v>
      </c>
    </row>
    <row r="28" spans="2:8">
      <c r="B28" s="806" t="s">
        <v>818</v>
      </c>
      <c r="C28" s="807" t="s">
        <v>47</v>
      </c>
      <c r="D28" s="811" t="s">
        <v>436</v>
      </c>
      <c r="E28" s="613">
        <v>159553.0643499094</v>
      </c>
      <c r="F28" s="613">
        <v>164339.65324425226</v>
      </c>
      <c r="G28" s="613">
        <v>169269.84949713052</v>
      </c>
      <c r="H28" s="613">
        <v>174347.94311496377</v>
      </c>
    </row>
    <row r="29" spans="2:8">
      <c r="B29" s="806" t="s">
        <v>818</v>
      </c>
      <c r="C29" s="807" t="s">
        <v>823</v>
      </c>
      <c r="D29" s="811" t="s">
        <v>436</v>
      </c>
      <c r="E29" s="613">
        <v>30878.41499514419</v>
      </c>
      <c r="F29" s="613">
        <v>31804.768248887616</v>
      </c>
      <c r="G29" s="613">
        <v>32758.911874444668</v>
      </c>
      <c r="H29" s="613">
        <v>33741.679998057691</v>
      </c>
    </row>
    <row r="30" spans="2:8">
      <c r="B30" s="806" t="s">
        <v>818</v>
      </c>
      <c r="C30" s="807" t="s">
        <v>152</v>
      </c>
      <c r="D30" s="811" t="s">
        <v>436</v>
      </c>
      <c r="E30" s="613">
        <v>0</v>
      </c>
      <c r="F30" s="613">
        <v>0</v>
      </c>
      <c r="G30" s="613">
        <v>0</v>
      </c>
      <c r="H30" s="613">
        <v>0</v>
      </c>
    </row>
    <row r="31" spans="2:8">
      <c r="B31" s="806" t="s">
        <v>818</v>
      </c>
      <c r="C31" s="807" t="s">
        <v>155</v>
      </c>
      <c r="D31" s="811" t="s">
        <v>436</v>
      </c>
      <c r="E31" s="613">
        <v>418210.5561842341</v>
      </c>
      <c r="F31" s="613">
        <v>430756.87785993429</v>
      </c>
      <c r="G31" s="613">
        <v>443679.58799247874</v>
      </c>
      <c r="H31" s="613">
        <v>456989.97272369376</v>
      </c>
    </row>
    <row r="32" spans="2:8">
      <c r="B32" s="806" t="s">
        <v>818</v>
      </c>
      <c r="C32" s="807" t="s">
        <v>160</v>
      </c>
      <c r="D32" s="811" t="s">
        <v>436</v>
      </c>
      <c r="E32" s="613">
        <v>37862.990994045824</v>
      </c>
      <c r="F32" s="613">
        <v>38998.880998636021</v>
      </c>
      <c r="G32" s="613">
        <v>40168.844999319052</v>
      </c>
      <c r="H32" s="613">
        <v>41373.913497618327</v>
      </c>
    </row>
    <row r="33" spans="2:8" ht="15.75" thickBot="1">
      <c r="B33" s="299" t="s">
        <v>824</v>
      </c>
      <c r="C33" s="300" t="s">
        <v>204</v>
      </c>
      <c r="D33" s="298" t="s">
        <v>436</v>
      </c>
      <c r="E33" s="301">
        <f t="shared" ref="E33:H33" si="0">SUM(E22:E32)</f>
        <v>5564184.182000001</v>
      </c>
      <c r="F33" s="301">
        <f t="shared" si="0"/>
        <v>5718398.1647999994</v>
      </c>
      <c r="G33" s="301">
        <f t="shared" si="0"/>
        <v>5898969.1618999969</v>
      </c>
      <c r="H33" s="301">
        <f t="shared" si="0"/>
        <v>6080134.3669000007</v>
      </c>
    </row>
    <row r="34" spans="2:8" ht="15.75" thickTop="1">
      <c r="B34" s="812" t="s">
        <v>825</v>
      </c>
      <c r="C34" s="813" t="s">
        <v>826</v>
      </c>
      <c r="D34" s="810" t="s">
        <v>436</v>
      </c>
      <c r="E34" s="292">
        <v>24975328.420799997</v>
      </c>
      <c r="F34" s="292">
        <v>25444594.857599996</v>
      </c>
      <c r="G34" s="292">
        <v>26116005.238399997</v>
      </c>
      <c r="H34" s="292">
        <v>27348282.273400001</v>
      </c>
    </row>
    <row r="35" spans="2:8">
      <c r="B35" s="814" t="s">
        <v>825</v>
      </c>
      <c r="C35" s="815" t="s">
        <v>827</v>
      </c>
      <c r="D35" s="811" t="s">
        <v>436</v>
      </c>
      <c r="E35" s="613">
        <v>0</v>
      </c>
      <c r="F35" s="613">
        <v>0</v>
      </c>
      <c r="G35" s="613">
        <v>0</v>
      </c>
      <c r="H35" s="613">
        <v>0</v>
      </c>
    </row>
    <row r="36" spans="2:8">
      <c r="B36" s="814" t="s">
        <v>825</v>
      </c>
      <c r="C36" s="815" t="s">
        <v>828</v>
      </c>
      <c r="D36" s="811" t="s">
        <v>436</v>
      </c>
      <c r="E36" s="613">
        <v>834000</v>
      </c>
      <c r="F36" s="613">
        <v>834000</v>
      </c>
      <c r="G36" s="613">
        <v>834000</v>
      </c>
      <c r="H36" s="613">
        <v>834000</v>
      </c>
    </row>
    <row r="37" spans="2:8">
      <c r="B37" s="814" t="s">
        <v>825</v>
      </c>
      <c r="C37" s="815" t="s">
        <v>829</v>
      </c>
      <c r="D37" s="811" t="s">
        <v>436</v>
      </c>
      <c r="E37" s="613">
        <v>19100</v>
      </c>
      <c r="F37" s="613">
        <v>19598</v>
      </c>
      <c r="G37" s="613">
        <v>20110.939999999999</v>
      </c>
      <c r="H37" s="613">
        <v>20639.27</v>
      </c>
    </row>
    <row r="38" spans="2:8">
      <c r="B38" s="814" t="s">
        <v>825</v>
      </c>
      <c r="C38" s="815" t="s">
        <v>830</v>
      </c>
      <c r="D38" s="811" t="s">
        <v>436</v>
      </c>
      <c r="E38" s="613">
        <v>0</v>
      </c>
      <c r="F38" s="613">
        <v>0</v>
      </c>
      <c r="G38" s="613">
        <v>0</v>
      </c>
      <c r="H38" s="613">
        <v>0</v>
      </c>
    </row>
    <row r="39" spans="2:8">
      <c r="B39" s="814" t="s">
        <v>825</v>
      </c>
      <c r="C39" s="815" t="s">
        <v>831</v>
      </c>
      <c r="D39" s="811" t="s">
        <v>436</v>
      </c>
      <c r="E39" s="613">
        <v>5457296.9899999993</v>
      </c>
      <c r="F39" s="613">
        <v>5503059.4199999999</v>
      </c>
      <c r="G39" s="613">
        <v>5618333.8100000005</v>
      </c>
      <c r="H39" s="613">
        <v>4817440.1099999994</v>
      </c>
    </row>
    <row r="40" spans="2:8">
      <c r="B40" s="814" t="s">
        <v>825</v>
      </c>
      <c r="C40" s="815" t="s">
        <v>832</v>
      </c>
      <c r="D40" s="811" t="s">
        <v>436</v>
      </c>
      <c r="E40" s="613">
        <v>1815595.5199999998</v>
      </c>
      <c r="F40" s="613">
        <v>1863762.21</v>
      </c>
      <c r="G40" s="613">
        <v>1913373.8599999999</v>
      </c>
      <c r="H40" s="613">
        <v>1964473.8500000003</v>
      </c>
    </row>
    <row r="41" spans="2:8">
      <c r="B41" s="814" t="s">
        <v>825</v>
      </c>
      <c r="C41" s="815" t="s">
        <v>833</v>
      </c>
      <c r="D41" s="811" t="s">
        <v>436</v>
      </c>
      <c r="E41" s="613">
        <v>0</v>
      </c>
      <c r="F41" s="613">
        <v>0</v>
      </c>
      <c r="G41" s="613">
        <v>0</v>
      </c>
      <c r="H41" s="613">
        <v>0</v>
      </c>
    </row>
    <row r="42" spans="2:8">
      <c r="B42" s="814" t="s">
        <v>825</v>
      </c>
      <c r="C42" s="815" t="s">
        <v>834</v>
      </c>
      <c r="D42" s="811" t="s">
        <v>436</v>
      </c>
      <c r="E42" s="613">
        <v>0</v>
      </c>
      <c r="F42" s="613">
        <v>0</v>
      </c>
      <c r="G42" s="613">
        <v>0</v>
      </c>
      <c r="H42" s="613">
        <v>0</v>
      </c>
    </row>
    <row r="43" spans="2:8">
      <c r="B43" s="814" t="s">
        <v>825</v>
      </c>
      <c r="C43" s="815" t="s">
        <v>835</v>
      </c>
      <c r="D43" s="811" t="s">
        <v>436</v>
      </c>
      <c r="E43" s="613">
        <v>379282.04999999987</v>
      </c>
      <c r="F43" s="613">
        <v>387815.89</v>
      </c>
      <c r="G43" s="613">
        <v>390660.52000000014</v>
      </c>
      <c r="H43" s="613">
        <v>399450.38999999996</v>
      </c>
    </row>
    <row r="44" spans="2:8">
      <c r="B44" s="814" t="s">
        <v>825</v>
      </c>
      <c r="C44" s="815" t="s">
        <v>836</v>
      </c>
      <c r="D44" s="811" t="s">
        <v>436</v>
      </c>
      <c r="E44" s="613">
        <v>6597</v>
      </c>
      <c r="F44" s="613">
        <v>6597</v>
      </c>
      <c r="G44" s="613">
        <v>6597</v>
      </c>
      <c r="H44" s="613">
        <v>6597</v>
      </c>
    </row>
    <row r="45" spans="2:8">
      <c r="B45" s="814" t="s">
        <v>825</v>
      </c>
      <c r="C45" s="815" t="s">
        <v>837</v>
      </c>
      <c r="D45" s="811" t="s">
        <v>436</v>
      </c>
      <c r="E45" s="613">
        <v>0</v>
      </c>
      <c r="F45" s="613">
        <v>0</v>
      </c>
      <c r="G45" s="613">
        <v>0</v>
      </c>
      <c r="H45" s="613">
        <v>0</v>
      </c>
    </row>
    <row r="46" spans="2:8">
      <c r="B46" s="814" t="s">
        <v>825</v>
      </c>
      <c r="C46" s="815" t="s">
        <v>838</v>
      </c>
      <c r="D46" s="811" t="s">
        <v>436</v>
      </c>
      <c r="E46" s="613">
        <v>1380954.99</v>
      </c>
      <c r="F46" s="613">
        <v>463103.59</v>
      </c>
      <c r="G46" s="613">
        <v>477047.13000000006</v>
      </c>
      <c r="H46" s="613">
        <v>491443.09999999992</v>
      </c>
    </row>
    <row r="47" spans="2:8">
      <c r="B47" s="814" t="s">
        <v>825</v>
      </c>
      <c r="C47" s="815" t="s">
        <v>839</v>
      </c>
      <c r="D47" s="811" t="s">
        <v>436</v>
      </c>
      <c r="E47" s="613">
        <v>0</v>
      </c>
      <c r="F47" s="613">
        <v>0</v>
      </c>
      <c r="G47" s="613">
        <v>0</v>
      </c>
      <c r="H47" s="613">
        <v>0</v>
      </c>
    </row>
    <row r="48" spans="2:8">
      <c r="B48" s="814" t="s">
        <v>825</v>
      </c>
      <c r="C48" s="815" t="s">
        <v>840</v>
      </c>
      <c r="D48" s="811" t="s">
        <v>436</v>
      </c>
      <c r="E48" s="613">
        <v>0</v>
      </c>
      <c r="F48" s="613">
        <v>0</v>
      </c>
      <c r="G48" s="613">
        <v>0</v>
      </c>
      <c r="H48" s="613">
        <v>0</v>
      </c>
    </row>
    <row r="49" spans="2:8">
      <c r="B49" s="814" t="s">
        <v>825</v>
      </c>
      <c r="C49" s="815" t="s">
        <v>841</v>
      </c>
      <c r="D49" s="811" t="s">
        <v>436</v>
      </c>
      <c r="E49" s="613">
        <v>66000</v>
      </c>
      <c r="F49" s="613">
        <v>66000</v>
      </c>
      <c r="G49" s="613">
        <v>66000</v>
      </c>
      <c r="H49" s="613">
        <v>66000</v>
      </c>
    </row>
    <row r="50" spans="2:8">
      <c r="B50" s="814" t="s">
        <v>825</v>
      </c>
      <c r="C50" s="815" t="s">
        <v>842</v>
      </c>
      <c r="D50" s="811" t="s">
        <v>436</v>
      </c>
      <c r="E50" s="613">
        <v>27929758.741883669</v>
      </c>
      <c r="F50" s="613">
        <v>27453673.33082113</v>
      </c>
      <c r="G50" s="613">
        <v>27435461.918491077</v>
      </c>
      <c r="H50" s="613">
        <v>29803877.037500136</v>
      </c>
    </row>
    <row r="51" spans="2:8" s="90" customFormat="1">
      <c r="B51" s="614" t="s">
        <v>825</v>
      </c>
      <c r="C51" s="615" t="s">
        <v>204</v>
      </c>
      <c r="D51" s="616" t="s">
        <v>436</v>
      </c>
      <c r="E51" s="617">
        <f t="shared" ref="E51:H51" si="1">SUM(E34:E50)</f>
        <v>62863913.712683663</v>
      </c>
      <c r="F51" s="617">
        <f t="shared" si="1"/>
        <v>62042204.29842113</v>
      </c>
      <c r="G51" s="617">
        <f t="shared" si="1"/>
        <v>62877590.416891083</v>
      </c>
      <c r="H51" s="617">
        <f t="shared" si="1"/>
        <v>65752203.030900136</v>
      </c>
    </row>
    <row r="52" spans="2:8" s="90" customFormat="1" ht="15.75" thickBot="1">
      <c r="B52" s="296" t="s">
        <v>843</v>
      </c>
      <c r="C52" s="297" t="s">
        <v>204</v>
      </c>
      <c r="D52" s="298" t="s">
        <v>436</v>
      </c>
      <c r="E52" s="293">
        <f>E51+E33</f>
        <v>68428097.894683659</v>
      </c>
      <c r="F52" s="293">
        <f t="shared" ref="F52:H52" si="2">F51+F33</f>
        <v>67760602.463221133</v>
      </c>
      <c r="G52" s="293">
        <f t="shared" si="2"/>
        <v>68776559.578791082</v>
      </c>
      <c r="H52" s="293">
        <f t="shared" si="2"/>
        <v>71832337.397800133</v>
      </c>
    </row>
    <row r="53" spans="2:8" s="90" customFormat="1" ht="16.5" thickTop="1" thickBot="1">
      <c r="B53" s="816" t="s">
        <v>46</v>
      </c>
      <c r="C53" s="817" t="s">
        <v>844</v>
      </c>
      <c r="D53" s="818" t="s">
        <v>436</v>
      </c>
      <c r="E53" s="294">
        <v>1845352.94</v>
      </c>
      <c r="F53" s="294">
        <v>1900713.53</v>
      </c>
      <c r="G53" s="294">
        <v>1957734.94</v>
      </c>
      <c r="H53" s="294">
        <v>2016466.99</v>
      </c>
    </row>
    <row r="54" spans="2:8" s="90" customFormat="1">
      <c r="B54" s="92" t="s">
        <v>845</v>
      </c>
      <c r="C54" s="819"/>
      <c r="D54" s="92" t="s">
        <v>436</v>
      </c>
      <c r="E54" s="295">
        <f>E52-'3.1 Funding Category'!D10</f>
        <v>0</v>
      </c>
      <c r="F54" s="295">
        <f>F52-'3.1 Funding Category'!D11</f>
        <v>0</v>
      </c>
      <c r="G54" s="295">
        <f>G52-'3.1 Funding Category'!D12</f>
        <v>0</v>
      </c>
      <c r="H54" s="295">
        <f>H52-'3.1 Funding Category'!D13</f>
        <v>0</v>
      </c>
    </row>
    <row r="56" spans="2:8">
      <c r="B56" s="391" t="s">
        <v>846</v>
      </c>
      <c r="C56" s="684"/>
      <c r="D56" s="684"/>
      <c r="E56" s="684"/>
      <c r="F56" s="684"/>
      <c r="G56" s="684"/>
      <c r="H56" s="684"/>
    </row>
    <row r="57" spans="2:8">
      <c r="B57" s="391" t="s">
        <v>847</v>
      </c>
      <c r="C57" s="684"/>
      <c r="D57" s="684"/>
      <c r="E57" s="684"/>
      <c r="F57" s="684"/>
      <c r="G57" s="684"/>
      <c r="H57" s="684"/>
    </row>
    <row r="58" spans="2:8">
      <c r="B58" s="391" t="s">
        <v>848</v>
      </c>
      <c r="C58" s="684"/>
      <c r="D58" s="684"/>
      <c r="E58" s="684"/>
      <c r="F58" s="684"/>
      <c r="G58" s="684"/>
      <c r="H58" s="684"/>
    </row>
  </sheetData>
  <autoFilter ref="B9:H9" xr:uid="{78300BC3-D90B-446C-8E22-C7886CE8BF73}"/>
  <mergeCells count="2">
    <mergeCell ref="C2:H2"/>
    <mergeCell ref="C3:H3"/>
  </mergeCells>
  <phoneticPr fontId="185" type="noConversion"/>
  <pageMargins left="0.25" right="0.25" top="0.75" bottom="0.75" header="0.3" footer="0.3"/>
  <pageSetup paperSize="17" fitToHeight="0" orientation="landscape" horizontalDpi="1200" verticalDpi="1200"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F331-9874-4933-88C7-D8D61318A71E}">
  <sheetPr codeName="Sheet15">
    <tabColor theme="4"/>
    <pageSetUpPr fitToPage="1"/>
  </sheetPr>
  <dimension ref="B1:AD354"/>
  <sheetViews>
    <sheetView showGridLines="0" topLeftCell="A6" zoomScaleNormal="100" workbookViewId="0">
      <selection activeCell="T11" sqref="T11"/>
    </sheetView>
  </sheetViews>
  <sheetFormatPr defaultColWidth="7.625" defaultRowHeight="15"/>
  <cols>
    <col min="1" max="1" width="3.125" style="125" customWidth="1"/>
    <col min="2" max="3" width="12.25" style="125" customWidth="1"/>
    <col min="4" max="4" width="43" style="125" customWidth="1"/>
    <col min="5" max="5" width="14.5" style="125" customWidth="1"/>
    <col min="6" max="6" width="12.25" style="118" customWidth="1"/>
    <col min="7" max="7" width="9.625" style="118" customWidth="1"/>
    <col min="8" max="8" width="26.625" style="118" customWidth="1"/>
    <col min="9" max="9" width="35.625" style="118" bestFit="1" customWidth="1"/>
    <col min="10" max="10" width="32.375" style="126" bestFit="1" customWidth="1"/>
    <col min="11" max="11" width="107.5" style="217" customWidth="1"/>
    <col min="12" max="12" width="13.5" style="125" bestFit="1" customWidth="1"/>
    <col min="13" max="13" width="15.125" style="125" customWidth="1"/>
    <col min="14" max="15" width="22.75" style="125" customWidth="1"/>
    <col min="16" max="16" width="19.375" style="125" bestFit="1" customWidth="1"/>
    <col min="17" max="26" width="13.375" style="125" bestFit="1" customWidth="1"/>
    <col min="27" max="27" width="14.25" style="125" customWidth="1"/>
    <col min="28" max="28" width="169.125" style="125" customWidth="1"/>
    <col min="29" max="29" width="35.5" style="125" customWidth="1"/>
    <col min="30" max="30" width="14.625" style="125" bestFit="1" customWidth="1"/>
    <col min="31" max="16384" width="7.625" style="125"/>
  </cols>
  <sheetData>
    <row r="1" spans="2:30" ht="18.75" customHeight="1"/>
    <row r="2" spans="2:30" ht="17.25" customHeight="1">
      <c r="B2" s="224" t="s">
        <v>58</v>
      </c>
      <c r="C2" s="216"/>
      <c r="D2" s="987" t="s">
        <v>849</v>
      </c>
      <c r="E2" s="988"/>
      <c r="F2" s="988"/>
      <c r="G2" s="988"/>
      <c r="H2" s="988"/>
      <c r="I2" s="989"/>
      <c r="J2" s="118"/>
    </row>
    <row r="3" spans="2:30" ht="394.5" customHeight="1">
      <c r="B3" s="436" t="s">
        <v>102</v>
      </c>
      <c r="C3" s="618"/>
      <c r="D3" s="990" t="s">
        <v>850</v>
      </c>
      <c r="E3" s="991"/>
      <c r="F3" s="991"/>
      <c r="G3" s="991"/>
      <c r="H3" s="991"/>
      <c r="I3" s="992"/>
      <c r="J3" s="118"/>
    </row>
    <row r="4" spans="2:30" ht="18.75" customHeight="1"/>
    <row r="5" spans="2:30" ht="18.75" customHeight="1">
      <c r="B5" s="213" t="s">
        <v>104</v>
      </c>
      <c r="C5" s="218"/>
      <c r="D5" s="993" t="str">
        <f>'Read Me'!B10</f>
        <v>SDG&amp;E</v>
      </c>
      <c r="E5" s="994"/>
      <c r="F5" s="995"/>
      <c r="G5" s="127"/>
      <c r="I5" s="128"/>
      <c r="P5" s="407"/>
      <c r="Q5" s="407"/>
      <c r="R5" s="407"/>
      <c r="S5" s="407"/>
      <c r="T5" s="407"/>
      <c r="U5" s="407"/>
      <c r="V5" s="407"/>
      <c r="W5" s="407"/>
      <c r="X5" s="407"/>
      <c r="Y5" s="407"/>
      <c r="Z5" s="407"/>
      <c r="AA5" s="407"/>
    </row>
    <row r="6" spans="2:30" ht="18.75" customHeight="1">
      <c r="B6" s="619" t="s">
        <v>105</v>
      </c>
      <c r="C6" s="620"/>
      <c r="D6" s="996" t="str">
        <f>'Read Me'!B11</f>
        <v>2028-2035</v>
      </c>
      <c r="E6" s="997"/>
      <c r="F6" s="998"/>
    </row>
    <row r="7" spans="2:30" ht="18.75" customHeight="1">
      <c r="B7" s="107" t="s">
        <v>851</v>
      </c>
      <c r="C7" s="107"/>
      <c r="D7" s="118"/>
      <c r="E7" s="118"/>
      <c r="P7" s="406"/>
      <c r="Q7" s="406"/>
      <c r="R7" s="406"/>
      <c r="S7" s="406"/>
      <c r="T7" s="406"/>
      <c r="U7" s="406"/>
      <c r="V7" s="406"/>
      <c r="W7" s="406"/>
      <c r="X7" s="406"/>
      <c r="Y7" s="406"/>
      <c r="Z7" s="406"/>
      <c r="AA7" s="406"/>
    </row>
    <row r="8" spans="2:30" ht="9.6" customHeight="1">
      <c r="B8" s="118"/>
      <c r="C8" s="118"/>
    </row>
    <row r="9" spans="2:30" ht="27.6" customHeight="1">
      <c r="B9" s="999" t="s">
        <v>852</v>
      </c>
      <c r="C9" s="999"/>
      <c r="D9" s="999"/>
      <c r="E9" s="999"/>
      <c r="F9" s="999"/>
      <c r="G9" s="999"/>
      <c r="H9" s="999"/>
      <c r="I9" s="999"/>
      <c r="J9" s="999"/>
      <c r="K9" s="1000"/>
      <c r="L9" s="999"/>
      <c r="M9" s="999"/>
      <c r="N9" s="999"/>
      <c r="O9" s="999"/>
      <c r="P9" s="999"/>
      <c r="Q9" s="999"/>
      <c r="R9" s="999"/>
      <c r="S9" s="999"/>
      <c r="T9" s="999"/>
      <c r="U9" s="999"/>
      <c r="V9" s="999"/>
      <c r="W9" s="999"/>
      <c r="X9" s="999"/>
      <c r="Y9" s="999"/>
      <c r="Z9" s="999"/>
      <c r="AA9" s="999"/>
      <c r="AB9" s="999"/>
      <c r="AC9" s="999"/>
      <c r="AD9" s="999"/>
    </row>
    <row r="10" spans="2:30" ht="69" customHeight="1">
      <c r="B10" s="621" t="s">
        <v>853</v>
      </c>
      <c r="C10" s="621" t="s">
        <v>854</v>
      </c>
      <c r="D10" s="622" t="s">
        <v>855</v>
      </c>
      <c r="E10" s="623" t="s">
        <v>856</v>
      </c>
      <c r="F10" s="622" t="s">
        <v>857</v>
      </c>
      <c r="G10" s="622" t="s">
        <v>858</v>
      </c>
      <c r="H10" s="622" t="s">
        <v>420</v>
      </c>
      <c r="I10" s="621" t="s">
        <v>859</v>
      </c>
      <c r="J10" s="622" t="s">
        <v>860</v>
      </c>
      <c r="K10" s="624" t="s">
        <v>58</v>
      </c>
      <c r="L10" s="622" t="s">
        <v>861</v>
      </c>
      <c r="M10" s="622" t="s">
        <v>862</v>
      </c>
      <c r="N10" s="622" t="s">
        <v>863</v>
      </c>
      <c r="O10" s="622" t="s">
        <v>864</v>
      </c>
      <c r="P10" s="622" t="s">
        <v>865</v>
      </c>
      <c r="Q10" s="622" t="s">
        <v>866</v>
      </c>
      <c r="R10" s="622" t="s">
        <v>867</v>
      </c>
      <c r="S10" s="622" t="s">
        <v>868</v>
      </c>
      <c r="T10" s="622" t="s">
        <v>869</v>
      </c>
      <c r="U10" s="622" t="s">
        <v>870</v>
      </c>
      <c r="V10" s="622" t="s">
        <v>871</v>
      </c>
      <c r="W10" s="622" t="s">
        <v>872</v>
      </c>
      <c r="X10" s="622" t="s">
        <v>873</v>
      </c>
      <c r="Y10" s="622" t="s">
        <v>874</v>
      </c>
      <c r="Z10" s="622" t="s">
        <v>875</v>
      </c>
      <c r="AA10" s="622" t="s">
        <v>876</v>
      </c>
      <c r="AB10" s="622" t="s">
        <v>877</v>
      </c>
      <c r="AC10" s="622" t="s">
        <v>878</v>
      </c>
      <c r="AD10" s="622" t="s">
        <v>879</v>
      </c>
    </row>
    <row r="11" spans="2:30" ht="123" customHeight="1">
      <c r="B11" s="625">
        <v>1</v>
      </c>
      <c r="C11" s="625">
        <v>0</v>
      </c>
      <c r="D11" s="626" t="s">
        <v>880</v>
      </c>
      <c r="E11" s="627" t="s">
        <v>881</v>
      </c>
      <c r="F11" s="625" t="s">
        <v>882</v>
      </c>
      <c r="G11" s="625" t="s">
        <v>883</v>
      </c>
      <c r="H11" s="625" t="s">
        <v>884</v>
      </c>
      <c r="I11" s="625" t="s">
        <v>885</v>
      </c>
      <c r="J11" s="628" t="s">
        <v>886</v>
      </c>
      <c r="K11" s="625" t="s">
        <v>887</v>
      </c>
      <c r="L11" s="626">
        <v>2016</v>
      </c>
      <c r="M11" s="629">
        <v>239527</v>
      </c>
      <c r="N11" s="626"/>
      <c r="O11" s="626"/>
      <c r="P11" s="630">
        <v>9585</v>
      </c>
      <c r="Q11" s="630">
        <v>35750</v>
      </c>
      <c r="R11" s="630">
        <v>41022</v>
      </c>
      <c r="S11" s="630">
        <v>38403</v>
      </c>
      <c r="T11" s="630">
        <v>17975</v>
      </c>
      <c r="U11" s="630">
        <v>15482</v>
      </c>
      <c r="V11" s="630">
        <v>18072</v>
      </c>
      <c r="W11" s="630">
        <v>23903</v>
      </c>
      <c r="X11" s="630">
        <v>23903</v>
      </c>
      <c r="Y11" s="630">
        <v>23903</v>
      </c>
      <c r="Z11" s="630">
        <v>23903</v>
      </c>
      <c r="AA11" s="630">
        <v>23903</v>
      </c>
      <c r="AB11" s="631" t="s">
        <v>888</v>
      </c>
      <c r="AC11" s="631" t="s">
        <v>889</v>
      </c>
      <c r="AD11" s="626"/>
    </row>
    <row r="12" spans="2:30">
      <c r="B12" s="625">
        <v>2</v>
      </c>
      <c r="C12" s="625">
        <v>1</v>
      </c>
      <c r="D12" s="627" t="s">
        <v>890</v>
      </c>
      <c r="E12" s="626" t="s">
        <v>891</v>
      </c>
      <c r="F12" s="625" t="s">
        <v>882</v>
      </c>
      <c r="G12" s="625" t="s">
        <v>892</v>
      </c>
      <c r="H12" s="625" t="s">
        <v>884</v>
      </c>
      <c r="I12" s="625" t="s">
        <v>885</v>
      </c>
      <c r="J12" s="628" t="s">
        <v>890</v>
      </c>
      <c r="K12" s="628" t="s">
        <v>893</v>
      </c>
      <c r="L12" s="626" t="s">
        <v>894</v>
      </c>
      <c r="M12" s="629" t="s">
        <v>894</v>
      </c>
      <c r="N12" s="626"/>
      <c r="O12" s="626"/>
      <c r="P12" s="626" t="s">
        <v>895</v>
      </c>
      <c r="Q12" s="626" t="s">
        <v>895</v>
      </c>
      <c r="R12" s="626" t="s">
        <v>895</v>
      </c>
      <c r="S12" s="626" t="s">
        <v>895</v>
      </c>
      <c r="T12" s="626" t="s">
        <v>895</v>
      </c>
      <c r="U12" s="626" t="s">
        <v>895</v>
      </c>
      <c r="V12" s="626" t="s">
        <v>895</v>
      </c>
      <c r="W12" s="626" t="s">
        <v>895</v>
      </c>
      <c r="X12" s="626" t="s">
        <v>895</v>
      </c>
      <c r="Y12" s="626" t="s">
        <v>895</v>
      </c>
      <c r="Z12" s="626" t="s">
        <v>895</v>
      </c>
      <c r="AA12" s="626" t="s">
        <v>895</v>
      </c>
      <c r="AB12" s="631" t="s">
        <v>894</v>
      </c>
      <c r="AC12" s="631" t="s">
        <v>894</v>
      </c>
      <c r="AD12" s="626"/>
    </row>
    <row r="13" spans="2:30">
      <c r="B13" s="625">
        <v>3</v>
      </c>
      <c r="C13" s="625">
        <v>2</v>
      </c>
      <c r="D13" s="627" t="s">
        <v>896</v>
      </c>
      <c r="E13" s="626" t="s">
        <v>891</v>
      </c>
      <c r="F13" s="625" t="s">
        <v>882</v>
      </c>
      <c r="G13" s="625" t="s">
        <v>892</v>
      </c>
      <c r="H13" s="625" t="s">
        <v>884</v>
      </c>
      <c r="I13" s="625" t="s">
        <v>885</v>
      </c>
      <c r="J13" s="628" t="s">
        <v>896</v>
      </c>
      <c r="K13" s="628" t="s">
        <v>893</v>
      </c>
      <c r="L13" s="626" t="s">
        <v>894</v>
      </c>
      <c r="M13" s="629" t="s">
        <v>894</v>
      </c>
      <c r="N13" s="626"/>
      <c r="O13" s="626"/>
      <c r="P13" s="626" t="s">
        <v>895</v>
      </c>
      <c r="Q13" s="626" t="s">
        <v>895</v>
      </c>
      <c r="R13" s="626" t="s">
        <v>895</v>
      </c>
      <c r="S13" s="626" t="s">
        <v>895</v>
      </c>
      <c r="T13" s="626" t="s">
        <v>895</v>
      </c>
      <c r="U13" s="626" t="s">
        <v>895</v>
      </c>
      <c r="V13" s="626" t="s">
        <v>895</v>
      </c>
      <c r="W13" s="626" t="s">
        <v>895</v>
      </c>
      <c r="X13" s="626" t="s">
        <v>895</v>
      </c>
      <c r="Y13" s="626" t="s">
        <v>895</v>
      </c>
      <c r="Z13" s="626" t="s">
        <v>895</v>
      </c>
      <c r="AA13" s="626" t="s">
        <v>895</v>
      </c>
      <c r="AB13" s="631" t="s">
        <v>894</v>
      </c>
      <c r="AC13" s="631" t="s">
        <v>894</v>
      </c>
      <c r="AD13" s="626"/>
    </row>
    <row r="14" spans="2:30">
      <c r="B14" s="625">
        <v>4</v>
      </c>
      <c r="C14" s="625">
        <v>3</v>
      </c>
      <c r="D14" s="627" t="s">
        <v>897</v>
      </c>
      <c r="E14" s="626" t="s">
        <v>891</v>
      </c>
      <c r="F14" s="625" t="s">
        <v>882</v>
      </c>
      <c r="G14" s="625" t="s">
        <v>892</v>
      </c>
      <c r="H14" s="625" t="s">
        <v>884</v>
      </c>
      <c r="I14" s="625" t="s">
        <v>885</v>
      </c>
      <c r="J14" s="628" t="s">
        <v>897</v>
      </c>
      <c r="K14" s="628" t="s">
        <v>893</v>
      </c>
      <c r="L14" s="626" t="s">
        <v>894</v>
      </c>
      <c r="M14" s="629" t="s">
        <v>894</v>
      </c>
      <c r="N14" s="626"/>
      <c r="O14" s="626"/>
      <c r="P14" s="626" t="s">
        <v>895</v>
      </c>
      <c r="Q14" s="626" t="s">
        <v>895</v>
      </c>
      <c r="R14" s="626" t="s">
        <v>895</v>
      </c>
      <c r="S14" s="626" t="s">
        <v>895</v>
      </c>
      <c r="T14" s="626" t="s">
        <v>895</v>
      </c>
      <c r="U14" s="626" t="s">
        <v>895</v>
      </c>
      <c r="V14" s="626" t="s">
        <v>895</v>
      </c>
      <c r="W14" s="627" t="s">
        <v>895</v>
      </c>
      <c r="X14" s="626" t="s">
        <v>895</v>
      </c>
      <c r="Y14" s="626" t="s">
        <v>895</v>
      </c>
      <c r="Z14" s="626" t="s">
        <v>895</v>
      </c>
      <c r="AA14" s="626" t="s">
        <v>895</v>
      </c>
      <c r="AB14" s="631" t="s">
        <v>894</v>
      </c>
      <c r="AC14" s="631" t="s">
        <v>894</v>
      </c>
      <c r="AD14" s="626"/>
    </row>
    <row r="15" spans="2:30" ht="45">
      <c r="B15" s="625">
        <v>5</v>
      </c>
      <c r="C15" s="625">
        <v>4</v>
      </c>
      <c r="D15" s="627" t="s">
        <v>898</v>
      </c>
      <c r="E15" s="626" t="s">
        <v>891</v>
      </c>
      <c r="F15" s="625" t="s">
        <v>882</v>
      </c>
      <c r="G15" s="625" t="s">
        <v>892</v>
      </c>
      <c r="H15" s="625" t="s">
        <v>884</v>
      </c>
      <c r="I15" s="625" t="s">
        <v>885</v>
      </c>
      <c r="J15" s="628" t="s">
        <v>899</v>
      </c>
      <c r="K15" s="628" t="s">
        <v>900</v>
      </c>
      <c r="L15" s="626" t="s">
        <v>894</v>
      </c>
      <c r="M15" s="629" t="s">
        <v>894</v>
      </c>
      <c r="N15" s="626"/>
      <c r="O15" s="626"/>
      <c r="P15" s="626" t="s">
        <v>895</v>
      </c>
      <c r="Q15" s="626" t="s">
        <v>895</v>
      </c>
      <c r="R15" s="626" t="s">
        <v>895</v>
      </c>
      <c r="S15" s="626" t="s">
        <v>895</v>
      </c>
      <c r="T15" s="626" t="s">
        <v>895</v>
      </c>
      <c r="U15" s="626" t="s">
        <v>895</v>
      </c>
      <c r="V15" s="626" t="s">
        <v>895</v>
      </c>
      <c r="W15" s="627" t="s">
        <v>895</v>
      </c>
      <c r="X15" s="626" t="s">
        <v>895</v>
      </c>
      <c r="Y15" s="626" t="s">
        <v>895</v>
      </c>
      <c r="Z15" s="626" t="s">
        <v>895</v>
      </c>
      <c r="AA15" s="626" t="s">
        <v>895</v>
      </c>
      <c r="AB15" s="631" t="s">
        <v>894</v>
      </c>
      <c r="AC15" s="631" t="s">
        <v>894</v>
      </c>
      <c r="AD15" s="626"/>
    </row>
    <row r="16" spans="2:30">
      <c r="B16" s="625">
        <v>6</v>
      </c>
      <c r="C16" s="625">
        <v>5</v>
      </c>
      <c r="D16" s="627" t="s">
        <v>901</v>
      </c>
      <c r="E16" s="626" t="s">
        <v>891</v>
      </c>
      <c r="F16" s="625" t="s">
        <v>882</v>
      </c>
      <c r="G16" s="625" t="s">
        <v>892</v>
      </c>
      <c r="H16" s="625" t="s">
        <v>884</v>
      </c>
      <c r="I16" s="625" t="s">
        <v>885</v>
      </c>
      <c r="J16" s="628" t="s">
        <v>901</v>
      </c>
      <c r="K16" s="628" t="s">
        <v>893</v>
      </c>
      <c r="L16" s="626" t="s">
        <v>894</v>
      </c>
      <c r="M16" s="629" t="s">
        <v>894</v>
      </c>
      <c r="N16" s="626"/>
      <c r="O16" s="626"/>
      <c r="P16" s="626" t="s">
        <v>895</v>
      </c>
      <c r="Q16" s="626" t="s">
        <v>895</v>
      </c>
      <c r="R16" s="626" t="s">
        <v>895</v>
      </c>
      <c r="S16" s="626" t="s">
        <v>895</v>
      </c>
      <c r="T16" s="626" t="s">
        <v>895</v>
      </c>
      <c r="U16" s="626" t="s">
        <v>895</v>
      </c>
      <c r="V16" s="626" t="s">
        <v>895</v>
      </c>
      <c r="W16" s="626" t="s">
        <v>895</v>
      </c>
      <c r="X16" s="626" t="s">
        <v>895</v>
      </c>
      <c r="Y16" s="626" t="s">
        <v>895</v>
      </c>
      <c r="Z16" s="626" t="s">
        <v>895</v>
      </c>
      <c r="AA16" s="626" t="s">
        <v>895</v>
      </c>
      <c r="AB16" s="631" t="s">
        <v>894</v>
      </c>
      <c r="AC16" s="631" t="s">
        <v>894</v>
      </c>
      <c r="AD16" s="626"/>
    </row>
    <row r="17" spans="2:30">
      <c r="B17" s="625">
        <v>7</v>
      </c>
      <c r="C17" s="625">
        <v>6</v>
      </c>
      <c r="D17" s="627" t="s">
        <v>902</v>
      </c>
      <c r="E17" s="626" t="s">
        <v>903</v>
      </c>
      <c r="F17" s="625" t="s">
        <v>882</v>
      </c>
      <c r="G17" s="625" t="s">
        <v>892</v>
      </c>
      <c r="H17" s="625" t="s">
        <v>884</v>
      </c>
      <c r="I17" s="625" t="s">
        <v>885</v>
      </c>
      <c r="J17" s="628" t="s">
        <v>902</v>
      </c>
      <c r="K17" s="628" t="s">
        <v>893</v>
      </c>
      <c r="L17" s="626" t="s">
        <v>894</v>
      </c>
      <c r="M17" s="629" t="s">
        <v>894</v>
      </c>
      <c r="N17" s="626"/>
      <c r="O17" s="626"/>
      <c r="P17" s="626" t="s">
        <v>895</v>
      </c>
      <c r="Q17" s="626" t="s">
        <v>895</v>
      </c>
      <c r="R17" s="626" t="s">
        <v>895</v>
      </c>
      <c r="S17" s="626" t="s">
        <v>895</v>
      </c>
      <c r="T17" s="626" t="s">
        <v>895</v>
      </c>
      <c r="U17" s="626" t="s">
        <v>895</v>
      </c>
      <c r="V17" s="626" t="s">
        <v>895</v>
      </c>
      <c r="W17" s="626" t="s">
        <v>895</v>
      </c>
      <c r="X17" s="626" t="s">
        <v>895</v>
      </c>
      <c r="Y17" s="626" t="s">
        <v>895</v>
      </c>
      <c r="Z17" s="626" t="s">
        <v>895</v>
      </c>
      <c r="AA17" s="626" t="s">
        <v>895</v>
      </c>
      <c r="AB17" s="631" t="s">
        <v>894</v>
      </c>
      <c r="AC17" s="631" t="s">
        <v>894</v>
      </c>
      <c r="AD17" s="626"/>
    </row>
    <row r="18" spans="2:30" ht="123" customHeight="1">
      <c r="B18" s="625">
        <v>8</v>
      </c>
      <c r="C18" s="625">
        <v>9</v>
      </c>
      <c r="D18" s="626" t="s">
        <v>904</v>
      </c>
      <c r="E18" s="626" t="s">
        <v>891</v>
      </c>
      <c r="F18" s="625" t="s">
        <v>882</v>
      </c>
      <c r="G18" s="625" t="s">
        <v>883</v>
      </c>
      <c r="H18" s="625" t="s">
        <v>884</v>
      </c>
      <c r="I18" s="625" t="s">
        <v>885</v>
      </c>
      <c r="J18" s="628" t="s">
        <v>904</v>
      </c>
      <c r="K18" s="625" t="s">
        <v>893</v>
      </c>
      <c r="L18" s="626">
        <v>2016</v>
      </c>
      <c r="M18" s="629">
        <v>4071541356</v>
      </c>
      <c r="N18" s="626"/>
      <c r="O18" s="626"/>
      <c r="P18" s="630">
        <v>33241370</v>
      </c>
      <c r="Q18" s="630">
        <v>903348180</v>
      </c>
      <c r="R18" s="630">
        <v>871376017</v>
      </c>
      <c r="S18" s="630">
        <v>924182529</v>
      </c>
      <c r="T18" s="630">
        <v>437261749</v>
      </c>
      <c r="U18" s="630">
        <v>425927498</v>
      </c>
      <c r="V18" s="630">
        <v>445554817</v>
      </c>
      <c r="W18" s="630">
        <v>480453914</v>
      </c>
      <c r="X18" s="630">
        <v>480453914</v>
      </c>
      <c r="Y18" s="630">
        <v>480453914</v>
      </c>
      <c r="Z18" s="630">
        <v>480453914</v>
      </c>
      <c r="AA18" s="630">
        <v>480453914</v>
      </c>
      <c r="AB18" s="631" t="s">
        <v>905</v>
      </c>
      <c r="AC18" s="631" t="s">
        <v>889</v>
      </c>
      <c r="AD18" s="626"/>
    </row>
    <row r="19" spans="2:30" ht="123" customHeight="1">
      <c r="B19" s="625">
        <v>9</v>
      </c>
      <c r="C19" s="625">
        <v>10</v>
      </c>
      <c r="D19" s="626" t="s">
        <v>906</v>
      </c>
      <c r="E19" s="626" t="s">
        <v>891</v>
      </c>
      <c r="F19" s="625" t="s">
        <v>882</v>
      </c>
      <c r="G19" s="625" t="s">
        <v>883</v>
      </c>
      <c r="H19" s="625" t="s">
        <v>884</v>
      </c>
      <c r="I19" s="625" t="s">
        <v>885</v>
      </c>
      <c r="J19" s="628" t="s">
        <v>906</v>
      </c>
      <c r="K19" s="625" t="s">
        <v>893</v>
      </c>
      <c r="L19" s="626">
        <v>2016</v>
      </c>
      <c r="M19" s="629">
        <v>3399176958</v>
      </c>
      <c r="N19" s="626"/>
      <c r="O19" s="626"/>
      <c r="P19" s="630">
        <v>16248148</v>
      </c>
      <c r="Q19" s="630">
        <v>596488199</v>
      </c>
      <c r="R19" s="630">
        <v>562759667</v>
      </c>
      <c r="S19" s="630">
        <v>579513460</v>
      </c>
      <c r="T19" s="630">
        <v>377471097</v>
      </c>
      <c r="U19" s="630">
        <v>373178860</v>
      </c>
      <c r="V19" s="630">
        <v>390515051</v>
      </c>
      <c r="W19" s="630">
        <v>426246931</v>
      </c>
      <c r="X19" s="630">
        <v>426246931</v>
      </c>
      <c r="Y19" s="630">
        <v>426246931</v>
      </c>
      <c r="Z19" s="630">
        <v>426246931</v>
      </c>
      <c r="AA19" s="630">
        <v>426246931</v>
      </c>
      <c r="AB19" s="631" t="s">
        <v>907</v>
      </c>
      <c r="AC19" s="631" t="s">
        <v>889</v>
      </c>
      <c r="AD19" s="626"/>
    </row>
    <row r="20" spans="2:30" ht="123" customHeight="1">
      <c r="B20" s="625">
        <v>10</v>
      </c>
      <c r="C20" s="625">
        <v>11</v>
      </c>
      <c r="D20" s="626" t="s">
        <v>908</v>
      </c>
      <c r="E20" s="626" t="s">
        <v>891</v>
      </c>
      <c r="F20" s="625" t="s">
        <v>882</v>
      </c>
      <c r="G20" s="625" t="s">
        <v>883</v>
      </c>
      <c r="H20" s="625" t="s">
        <v>884</v>
      </c>
      <c r="I20" s="625" t="s">
        <v>885</v>
      </c>
      <c r="J20" s="628" t="s">
        <v>908</v>
      </c>
      <c r="K20" s="625" t="s">
        <v>893</v>
      </c>
      <c r="L20" s="626">
        <v>2016</v>
      </c>
      <c r="M20" s="629">
        <v>38143322</v>
      </c>
      <c r="N20" s="626"/>
      <c r="O20" s="626"/>
      <c r="P20" s="630">
        <v>48181053</v>
      </c>
      <c r="Q20" s="630">
        <v>55911558</v>
      </c>
      <c r="R20" s="630">
        <v>55055090</v>
      </c>
      <c r="S20" s="630">
        <v>58398035</v>
      </c>
      <c r="T20" s="630">
        <v>36215109</v>
      </c>
      <c r="U20" s="630">
        <v>35253863</v>
      </c>
      <c r="V20" s="630">
        <v>35115208</v>
      </c>
      <c r="W20" s="630">
        <v>35427702</v>
      </c>
      <c r="X20" s="630">
        <v>35427702</v>
      </c>
      <c r="Y20" s="630">
        <v>35427702</v>
      </c>
      <c r="Z20" s="630">
        <v>35427702</v>
      </c>
      <c r="AA20" s="630">
        <v>35427702</v>
      </c>
      <c r="AB20" s="631" t="s">
        <v>909</v>
      </c>
      <c r="AC20" s="631" t="s">
        <v>889</v>
      </c>
      <c r="AD20" s="626"/>
    </row>
    <row r="21" spans="2:30" ht="123" customHeight="1">
      <c r="B21" s="625">
        <v>11</v>
      </c>
      <c r="C21" s="625">
        <v>12</v>
      </c>
      <c r="D21" s="626" t="s">
        <v>910</v>
      </c>
      <c r="E21" s="626" t="s">
        <v>881</v>
      </c>
      <c r="F21" s="625" t="s">
        <v>882</v>
      </c>
      <c r="G21" s="625" t="s">
        <v>883</v>
      </c>
      <c r="H21" s="625" t="s">
        <v>884</v>
      </c>
      <c r="I21" s="625" t="s">
        <v>885</v>
      </c>
      <c r="J21" s="628" t="s">
        <v>910</v>
      </c>
      <c r="K21" s="625" t="s">
        <v>893</v>
      </c>
      <c r="L21" s="626">
        <v>2016</v>
      </c>
      <c r="M21" s="629">
        <v>31043918</v>
      </c>
      <c r="N21" s="626"/>
      <c r="O21" s="626"/>
      <c r="P21" s="630">
        <v>35316895</v>
      </c>
      <c r="Q21" s="630">
        <v>35563761</v>
      </c>
      <c r="R21" s="630">
        <v>34336156</v>
      </c>
      <c r="S21" s="630">
        <v>35965749</v>
      </c>
      <c r="T21" s="630">
        <v>24573753</v>
      </c>
      <c r="U21" s="630">
        <v>23683563</v>
      </c>
      <c r="V21" s="630">
        <v>23455400</v>
      </c>
      <c r="W21" s="630">
        <v>23867338</v>
      </c>
      <c r="X21" s="630">
        <v>23867338</v>
      </c>
      <c r="Y21" s="630">
        <v>23867338</v>
      </c>
      <c r="Z21" s="630">
        <v>23867338</v>
      </c>
      <c r="AA21" s="630">
        <v>23867338</v>
      </c>
      <c r="AB21" s="631" t="s">
        <v>911</v>
      </c>
      <c r="AC21" s="631" t="s">
        <v>889</v>
      </c>
      <c r="AD21" s="626"/>
    </row>
    <row r="22" spans="2:30" ht="30">
      <c r="B22" s="625">
        <v>12</v>
      </c>
      <c r="C22" s="625">
        <v>13</v>
      </c>
      <c r="D22" s="627" t="s">
        <v>912</v>
      </c>
      <c r="E22" s="626" t="s">
        <v>891</v>
      </c>
      <c r="F22" s="625" t="s">
        <v>882</v>
      </c>
      <c r="G22" s="625" t="s">
        <v>892</v>
      </c>
      <c r="H22" s="625" t="s">
        <v>884</v>
      </c>
      <c r="I22" s="625" t="s">
        <v>885</v>
      </c>
      <c r="J22" s="628" t="s">
        <v>890</v>
      </c>
      <c r="K22" s="628" t="s">
        <v>913</v>
      </c>
      <c r="L22" s="626" t="s">
        <v>894</v>
      </c>
      <c r="M22" s="629" t="s">
        <v>894</v>
      </c>
      <c r="N22" s="626"/>
      <c r="O22" s="626"/>
      <c r="P22" s="626" t="s">
        <v>895</v>
      </c>
      <c r="Q22" s="626" t="s">
        <v>895</v>
      </c>
      <c r="R22" s="626" t="s">
        <v>895</v>
      </c>
      <c r="S22" s="626" t="s">
        <v>895</v>
      </c>
      <c r="T22" s="626" t="s">
        <v>895</v>
      </c>
      <c r="U22" s="626" t="s">
        <v>895</v>
      </c>
      <c r="V22" s="626" t="s">
        <v>895</v>
      </c>
      <c r="W22" s="626" t="s">
        <v>895</v>
      </c>
      <c r="X22" s="626" t="s">
        <v>895</v>
      </c>
      <c r="Y22" s="626" t="s">
        <v>895</v>
      </c>
      <c r="Z22" s="626" t="s">
        <v>895</v>
      </c>
      <c r="AA22" s="626" t="s">
        <v>895</v>
      </c>
      <c r="AB22" s="631" t="s">
        <v>894</v>
      </c>
      <c r="AC22" s="631" t="s">
        <v>894</v>
      </c>
      <c r="AD22" s="626"/>
    </row>
    <row r="23" spans="2:30" ht="30">
      <c r="B23" s="625">
        <v>13</v>
      </c>
      <c r="C23" s="625">
        <v>14</v>
      </c>
      <c r="D23" s="627" t="s">
        <v>914</v>
      </c>
      <c r="E23" s="626" t="s">
        <v>891</v>
      </c>
      <c r="F23" s="625" t="s">
        <v>882</v>
      </c>
      <c r="G23" s="625" t="s">
        <v>892</v>
      </c>
      <c r="H23" s="625" t="s">
        <v>884</v>
      </c>
      <c r="I23" s="625" t="s">
        <v>885</v>
      </c>
      <c r="J23" s="628" t="s">
        <v>896</v>
      </c>
      <c r="K23" s="628" t="s">
        <v>913</v>
      </c>
      <c r="L23" s="626" t="s">
        <v>894</v>
      </c>
      <c r="M23" s="629" t="s">
        <v>894</v>
      </c>
      <c r="N23" s="626"/>
      <c r="O23" s="626"/>
      <c r="P23" s="626" t="s">
        <v>895</v>
      </c>
      <c r="Q23" s="626" t="s">
        <v>895</v>
      </c>
      <c r="R23" s="626" t="s">
        <v>895</v>
      </c>
      <c r="S23" s="626" t="s">
        <v>895</v>
      </c>
      <c r="T23" s="626" t="s">
        <v>895</v>
      </c>
      <c r="U23" s="626" t="s">
        <v>895</v>
      </c>
      <c r="V23" s="626" t="s">
        <v>895</v>
      </c>
      <c r="W23" s="626" t="s">
        <v>895</v>
      </c>
      <c r="X23" s="626" t="s">
        <v>895</v>
      </c>
      <c r="Y23" s="626" t="s">
        <v>895</v>
      </c>
      <c r="Z23" s="626" t="s">
        <v>895</v>
      </c>
      <c r="AA23" s="626" t="s">
        <v>895</v>
      </c>
      <c r="AB23" s="631" t="s">
        <v>894</v>
      </c>
      <c r="AC23" s="631" t="s">
        <v>894</v>
      </c>
      <c r="AD23" s="626"/>
    </row>
    <row r="24" spans="2:30" ht="30">
      <c r="B24" s="625">
        <v>14</v>
      </c>
      <c r="C24" s="625">
        <v>15</v>
      </c>
      <c r="D24" s="627" t="s">
        <v>915</v>
      </c>
      <c r="E24" s="626" t="s">
        <v>891</v>
      </c>
      <c r="F24" s="625" t="s">
        <v>882</v>
      </c>
      <c r="G24" s="625" t="s">
        <v>892</v>
      </c>
      <c r="H24" s="625" t="s">
        <v>884</v>
      </c>
      <c r="I24" s="625" t="s">
        <v>885</v>
      </c>
      <c r="J24" s="628" t="s">
        <v>897</v>
      </c>
      <c r="K24" s="628" t="s">
        <v>913</v>
      </c>
      <c r="L24" s="626" t="s">
        <v>894</v>
      </c>
      <c r="M24" s="629" t="s">
        <v>894</v>
      </c>
      <c r="N24" s="626"/>
      <c r="O24" s="626"/>
      <c r="P24" s="626" t="s">
        <v>895</v>
      </c>
      <c r="Q24" s="626" t="s">
        <v>895</v>
      </c>
      <c r="R24" s="626" t="s">
        <v>895</v>
      </c>
      <c r="S24" s="626" t="s">
        <v>895</v>
      </c>
      <c r="T24" s="626" t="s">
        <v>895</v>
      </c>
      <c r="U24" s="626" t="s">
        <v>895</v>
      </c>
      <c r="V24" s="626" t="s">
        <v>895</v>
      </c>
      <c r="W24" s="626" t="s">
        <v>895</v>
      </c>
      <c r="X24" s="626" t="s">
        <v>895</v>
      </c>
      <c r="Y24" s="626" t="s">
        <v>895</v>
      </c>
      <c r="Z24" s="626" t="s">
        <v>895</v>
      </c>
      <c r="AA24" s="626" t="s">
        <v>895</v>
      </c>
      <c r="AB24" s="631" t="s">
        <v>894</v>
      </c>
      <c r="AC24" s="631" t="s">
        <v>894</v>
      </c>
      <c r="AD24" s="626"/>
    </row>
    <row r="25" spans="2:30" ht="30">
      <c r="B25" s="625">
        <v>15</v>
      </c>
      <c r="C25" s="625">
        <v>16</v>
      </c>
      <c r="D25" s="627" t="s">
        <v>916</v>
      </c>
      <c r="E25" s="626" t="s">
        <v>891</v>
      </c>
      <c r="F25" s="625" t="s">
        <v>882</v>
      </c>
      <c r="G25" s="625" t="s">
        <v>892</v>
      </c>
      <c r="H25" s="625" t="s">
        <v>884</v>
      </c>
      <c r="I25" s="625" t="s">
        <v>885</v>
      </c>
      <c r="J25" s="628" t="s">
        <v>898</v>
      </c>
      <c r="K25" s="628" t="s">
        <v>913</v>
      </c>
      <c r="L25" s="626" t="s">
        <v>894</v>
      </c>
      <c r="M25" s="629" t="s">
        <v>894</v>
      </c>
      <c r="N25" s="626"/>
      <c r="O25" s="626"/>
      <c r="P25" s="626" t="s">
        <v>895</v>
      </c>
      <c r="Q25" s="626" t="s">
        <v>895</v>
      </c>
      <c r="R25" s="626" t="s">
        <v>895</v>
      </c>
      <c r="S25" s="626" t="s">
        <v>895</v>
      </c>
      <c r="T25" s="626" t="s">
        <v>895</v>
      </c>
      <c r="U25" s="626" t="s">
        <v>895</v>
      </c>
      <c r="V25" s="626" t="s">
        <v>895</v>
      </c>
      <c r="W25" s="626" t="s">
        <v>895</v>
      </c>
      <c r="X25" s="626" t="s">
        <v>895</v>
      </c>
      <c r="Y25" s="626" t="s">
        <v>895</v>
      </c>
      <c r="Z25" s="626" t="s">
        <v>895</v>
      </c>
      <c r="AA25" s="626" t="s">
        <v>895</v>
      </c>
      <c r="AB25" s="631" t="s">
        <v>894</v>
      </c>
      <c r="AC25" s="631" t="s">
        <v>894</v>
      </c>
      <c r="AD25" s="626"/>
    </row>
    <row r="26" spans="2:30" ht="30">
      <c r="B26" s="625">
        <v>16</v>
      </c>
      <c r="C26" s="625">
        <v>17</v>
      </c>
      <c r="D26" s="627" t="s">
        <v>917</v>
      </c>
      <c r="E26" s="626" t="s">
        <v>891</v>
      </c>
      <c r="F26" s="625" t="s">
        <v>882</v>
      </c>
      <c r="G26" s="625" t="s">
        <v>892</v>
      </c>
      <c r="H26" s="625" t="s">
        <v>884</v>
      </c>
      <c r="I26" s="625" t="s">
        <v>885</v>
      </c>
      <c r="J26" s="628" t="s">
        <v>901</v>
      </c>
      <c r="K26" s="628" t="s">
        <v>913</v>
      </c>
      <c r="L26" s="626" t="s">
        <v>894</v>
      </c>
      <c r="M26" s="629" t="s">
        <v>894</v>
      </c>
      <c r="N26" s="626"/>
      <c r="O26" s="626"/>
      <c r="P26" s="626" t="s">
        <v>895</v>
      </c>
      <c r="Q26" s="626" t="s">
        <v>895</v>
      </c>
      <c r="R26" s="626" t="s">
        <v>895</v>
      </c>
      <c r="S26" s="626" t="s">
        <v>895</v>
      </c>
      <c r="T26" s="626" t="s">
        <v>895</v>
      </c>
      <c r="U26" s="626" t="s">
        <v>895</v>
      </c>
      <c r="V26" s="626" t="s">
        <v>895</v>
      </c>
      <c r="W26" s="626" t="s">
        <v>895</v>
      </c>
      <c r="X26" s="626" t="s">
        <v>895</v>
      </c>
      <c r="Y26" s="626" t="s">
        <v>895</v>
      </c>
      <c r="Z26" s="626" t="s">
        <v>895</v>
      </c>
      <c r="AA26" s="626" t="s">
        <v>895</v>
      </c>
      <c r="AB26" s="631" t="s">
        <v>894</v>
      </c>
      <c r="AC26" s="631" t="s">
        <v>894</v>
      </c>
      <c r="AD26" s="626"/>
    </row>
    <row r="27" spans="2:30" ht="30">
      <c r="B27" s="625">
        <v>17</v>
      </c>
      <c r="C27" s="625">
        <v>18</v>
      </c>
      <c r="D27" s="627" t="s">
        <v>918</v>
      </c>
      <c r="E27" s="626" t="s">
        <v>891</v>
      </c>
      <c r="F27" s="625" t="s">
        <v>882</v>
      </c>
      <c r="G27" s="625" t="s">
        <v>892</v>
      </c>
      <c r="H27" s="625" t="s">
        <v>884</v>
      </c>
      <c r="I27" s="625" t="s">
        <v>885</v>
      </c>
      <c r="J27" s="628" t="s">
        <v>902</v>
      </c>
      <c r="K27" s="628" t="s">
        <v>913</v>
      </c>
      <c r="L27" s="626" t="s">
        <v>894</v>
      </c>
      <c r="M27" s="629" t="s">
        <v>894</v>
      </c>
      <c r="N27" s="626"/>
      <c r="O27" s="626"/>
      <c r="P27" s="626" t="s">
        <v>895</v>
      </c>
      <c r="Q27" s="626" t="s">
        <v>895</v>
      </c>
      <c r="R27" s="626" t="s">
        <v>895</v>
      </c>
      <c r="S27" s="626" t="s">
        <v>895</v>
      </c>
      <c r="T27" s="626" t="s">
        <v>895</v>
      </c>
      <c r="U27" s="626" t="s">
        <v>895</v>
      </c>
      <c r="V27" s="626" t="s">
        <v>895</v>
      </c>
      <c r="W27" s="626" t="s">
        <v>895</v>
      </c>
      <c r="X27" s="626" t="s">
        <v>895</v>
      </c>
      <c r="Y27" s="626" t="s">
        <v>895</v>
      </c>
      <c r="Z27" s="626" t="s">
        <v>895</v>
      </c>
      <c r="AA27" s="626" t="s">
        <v>895</v>
      </c>
      <c r="AB27" s="631" t="s">
        <v>894</v>
      </c>
      <c r="AC27" s="631" t="s">
        <v>894</v>
      </c>
      <c r="AD27" s="626"/>
    </row>
    <row r="28" spans="2:30" ht="30">
      <c r="B28" s="625">
        <v>18</v>
      </c>
      <c r="C28" s="625">
        <v>21</v>
      </c>
      <c r="D28" s="627" t="s">
        <v>919</v>
      </c>
      <c r="E28" s="626" t="s">
        <v>891</v>
      </c>
      <c r="F28" s="625" t="s">
        <v>882</v>
      </c>
      <c r="G28" s="625" t="s">
        <v>892</v>
      </c>
      <c r="H28" s="625" t="s">
        <v>884</v>
      </c>
      <c r="I28" s="625" t="s">
        <v>885</v>
      </c>
      <c r="J28" s="628" t="s">
        <v>904</v>
      </c>
      <c r="K28" s="628" t="s">
        <v>913</v>
      </c>
      <c r="L28" s="626" t="s">
        <v>894</v>
      </c>
      <c r="M28" s="629" t="s">
        <v>894</v>
      </c>
      <c r="N28" s="626"/>
      <c r="O28" s="626"/>
      <c r="P28" s="626" t="s">
        <v>895</v>
      </c>
      <c r="Q28" s="626" t="s">
        <v>895</v>
      </c>
      <c r="R28" s="626" t="s">
        <v>895</v>
      </c>
      <c r="S28" s="626" t="s">
        <v>895</v>
      </c>
      <c r="T28" s="626" t="s">
        <v>895</v>
      </c>
      <c r="U28" s="626" t="s">
        <v>895</v>
      </c>
      <c r="V28" s="626" t="s">
        <v>895</v>
      </c>
      <c r="W28" s="626" t="s">
        <v>895</v>
      </c>
      <c r="X28" s="626" t="s">
        <v>895</v>
      </c>
      <c r="Y28" s="626" t="s">
        <v>895</v>
      </c>
      <c r="Z28" s="626" t="s">
        <v>895</v>
      </c>
      <c r="AA28" s="626" t="s">
        <v>895</v>
      </c>
      <c r="AB28" s="631" t="s">
        <v>894</v>
      </c>
      <c r="AC28" s="631" t="s">
        <v>894</v>
      </c>
      <c r="AD28" s="626"/>
    </row>
    <row r="29" spans="2:30" ht="30">
      <c r="B29" s="625">
        <v>19</v>
      </c>
      <c r="C29" s="625">
        <v>22</v>
      </c>
      <c r="D29" s="627" t="s">
        <v>920</v>
      </c>
      <c r="E29" s="626" t="s">
        <v>891</v>
      </c>
      <c r="F29" s="625" t="s">
        <v>882</v>
      </c>
      <c r="G29" s="625" t="s">
        <v>892</v>
      </c>
      <c r="H29" s="625" t="s">
        <v>884</v>
      </c>
      <c r="I29" s="625" t="s">
        <v>885</v>
      </c>
      <c r="J29" s="628" t="s">
        <v>906</v>
      </c>
      <c r="K29" s="628" t="s">
        <v>913</v>
      </c>
      <c r="L29" s="626" t="s">
        <v>894</v>
      </c>
      <c r="M29" s="629" t="s">
        <v>894</v>
      </c>
      <c r="N29" s="626"/>
      <c r="O29" s="626"/>
      <c r="P29" s="626" t="s">
        <v>895</v>
      </c>
      <c r="Q29" s="626" t="s">
        <v>895</v>
      </c>
      <c r="R29" s="626" t="s">
        <v>895</v>
      </c>
      <c r="S29" s="626" t="s">
        <v>895</v>
      </c>
      <c r="T29" s="626" t="s">
        <v>895</v>
      </c>
      <c r="U29" s="626" t="s">
        <v>895</v>
      </c>
      <c r="V29" s="626" t="s">
        <v>895</v>
      </c>
      <c r="W29" s="626" t="s">
        <v>895</v>
      </c>
      <c r="X29" s="626" t="s">
        <v>895</v>
      </c>
      <c r="Y29" s="626" t="s">
        <v>895</v>
      </c>
      <c r="Z29" s="626" t="s">
        <v>895</v>
      </c>
      <c r="AA29" s="626" t="s">
        <v>895</v>
      </c>
      <c r="AB29" s="631" t="s">
        <v>894</v>
      </c>
      <c r="AC29" s="631" t="s">
        <v>894</v>
      </c>
      <c r="AD29" s="626"/>
    </row>
    <row r="30" spans="2:30" ht="30">
      <c r="B30" s="625">
        <v>20</v>
      </c>
      <c r="C30" s="625">
        <v>23</v>
      </c>
      <c r="D30" s="627" t="s">
        <v>921</v>
      </c>
      <c r="E30" s="626" t="s">
        <v>891</v>
      </c>
      <c r="F30" s="625" t="s">
        <v>882</v>
      </c>
      <c r="G30" s="625" t="s">
        <v>892</v>
      </c>
      <c r="H30" s="625" t="s">
        <v>884</v>
      </c>
      <c r="I30" s="625" t="s">
        <v>885</v>
      </c>
      <c r="J30" s="628" t="s">
        <v>908</v>
      </c>
      <c r="K30" s="628" t="s">
        <v>913</v>
      </c>
      <c r="L30" s="626" t="s">
        <v>894</v>
      </c>
      <c r="M30" s="629" t="s">
        <v>894</v>
      </c>
      <c r="N30" s="626"/>
      <c r="O30" s="626"/>
      <c r="P30" s="626" t="s">
        <v>895</v>
      </c>
      <c r="Q30" s="626" t="s">
        <v>895</v>
      </c>
      <c r="R30" s="626" t="s">
        <v>895</v>
      </c>
      <c r="S30" s="626" t="s">
        <v>895</v>
      </c>
      <c r="T30" s="626" t="s">
        <v>895</v>
      </c>
      <c r="U30" s="626" t="s">
        <v>895</v>
      </c>
      <c r="V30" s="626" t="s">
        <v>895</v>
      </c>
      <c r="W30" s="626" t="s">
        <v>895</v>
      </c>
      <c r="X30" s="626" t="s">
        <v>895</v>
      </c>
      <c r="Y30" s="626" t="s">
        <v>895</v>
      </c>
      <c r="Z30" s="626" t="s">
        <v>895</v>
      </c>
      <c r="AA30" s="626" t="s">
        <v>895</v>
      </c>
      <c r="AB30" s="631" t="s">
        <v>894</v>
      </c>
      <c r="AC30" s="631" t="s">
        <v>894</v>
      </c>
      <c r="AD30" s="626"/>
    </row>
    <row r="31" spans="2:30" ht="30">
      <c r="B31" s="625">
        <v>21</v>
      </c>
      <c r="C31" s="625">
        <v>24</v>
      </c>
      <c r="D31" s="627" t="s">
        <v>922</v>
      </c>
      <c r="E31" s="626" t="s">
        <v>891</v>
      </c>
      <c r="F31" s="625" t="s">
        <v>882</v>
      </c>
      <c r="G31" s="625" t="s">
        <v>892</v>
      </c>
      <c r="H31" s="625" t="s">
        <v>884</v>
      </c>
      <c r="I31" s="625" t="s">
        <v>885</v>
      </c>
      <c r="J31" s="628" t="s">
        <v>910</v>
      </c>
      <c r="K31" s="628" t="s">
        <v>913</v>
      </c>
      <c r="L31" s="626" t="s">
        <v>894</v>
      </c>
      <c r="M31" s="629" t="s">
        <v>894</v>
      </c>
      <c r="N31" s="626"/>
      <c r="O31" s="626"/>
      <c r="P31" s="626" t="s">
        <v>895</v>
      </c>
      <c r="Q31" s="626" t="s">
        <v>895</v>
      </c>
      <c r="R31" s="626" t="s">
        <v>895</v>
      </c>
      <c r="S31" s="626" t="s">
        <v>895</v>
      </c>
      <c r="T31" s="626" t="s">
        <v>895</v>
      </c>
      <c r="U31" s="626" t="s">
        <v>895</v>
      </c>
      <c r="V31" s="626" t="s">
        <v>895</v>
      </c>
      <c r="W31" s="626" t="s">
        <v>895</v>
      </c>
      <c r="X31" s="626" t="s">
        <v>895</v>
      </c>
      <c r="Y31" s="626" t="s">
        <v>895</v>
      </c>
      <c r="Z31" s="626" t="s">
        <v>895</v>
      </c>
      <c r="AA31" s="626" t="s">
        <v>895</v>
      </c>
      <c r="AB31" s="631" t="s">
        <v>894</v>
      </c>
      <c r="AC31" s="631" t="s">
        <v>894</v>
      </c>
      <c r="AD31" s="626"/>
    </row>
    <row r="32" spans="2:30">
      <c r="B32" s="625">
        <v>22</v>
      </c>
      <c r="C32" s="625">
        <v>25</v>
      </c>
      <c r="D32" s="627" t="s">
        <v>923</v>
      </c>
      <c r="E32" s="626" t="s">
        <v>891</v>
      </c>
      <c r="F32" s="625" t="s">
        <v>882</v>
      </c>
      <c r="G32" s="625" t="s">
        <v>892</v>
      </c>
      <c r="H32" s="625" t="s">
        <v>884</v>
      </c>
      <c r="I32" s="625" t="s">
        <v>885</v>
      </c>
      <c r="J32" s="628" t="s">
        <v>890</v>
      </c>
      <c r="K32" s="628" t="s">
        <v>924</v>
      </c>
      <c r="L32" s="626" t="s">
        <v>894</v>
      </c>
      <c r="M32" s="629" t="s">
        <v>894</v>
      </c>
      <c r="N32" s="626"/>
      <c r="O32" s="626"/>
      <c r="P32" s="626" t="s">
        <v>895</v>
      </c>
      <c r="Q32" s="626" t="s">
        <v>895</v>
      </c>
      <c r="R32" s="626" t="s">
        <v>895</v>
      </c>
      <c r="S32" s="626" t="s">
        <v>895</v>
      </c>
      <c r="T32" s="626" t="s">
        <v>895</v>
      </c>
      <c r="U32" s="626" t="s">
        <v>895</v>
      </c>
      <c r="V32" s="626" t="s">
        <v>895</v>
      </c>
      <c r="W32" s="626" t="s">
        <v>895</v>
      </c>
      <c r="X32" s="626" t="s">
        <v>895</v>
      </c>
      <c r="Y32" s="626" t="s">
        <v>895</v>
      </c>
      <c r="Z32" s="626" t="s">
        <v>895</v>
      </c>
      <c r="AA32" s="626" t="s">
        <v>895</v>
      </c>
      <c r="AB32" s="631" t="s">
        <v>894</v>
      </c>
      <c r="AC32" s="631" t="s">
        <v>894</v>
      </c>
      <c r="AD32" s="626"/>
    </row>
    <row r="33" spans="2:30">
      <c r="B33" s="625">
        <v>23</v>
      </c>
      <c r="C33" s="625">
        <v>26</v>
      </c>
      <c r="D33" s="627" t="s">
        <v>925</v>
      </c>
      <c r="E33" s="626" t="s">
        <v>891</v>
      </c>
      <c r="F33" s="625" t="s">
        <v>882</v>
      </c>
      <c r="G33" s="625" t="s">
        <v>892</v>
      </c>
      <c r="H33" s="625" t="s">
        <v>884</v>
      </c>
      <c r="I33" s="625" t="s">
        <v>885</v>
      </c>
      <c r="J33" s="628" t="s">
        <v>896</v>
      </c>
      <c r="K33" s="628" t="s">
        <v>924</v>
      </c>
      <c r="L33" s="626" t="s">
        <v>894</v>
      </c>
      <c r="M33" s="629" t="s">
        <v>894</v>
      </c>
      <c r="N33" s="626"/>
      <c r="O33" s="626"/>
      <c r="P33" s="626" t="s">
        <v>895</v>
      </c>
      <c r="Q33" s="626" t="s">
        <v>895</v>
      </c>
      <c r="R33" s="626" t="s">
        <v>895</v>
      </c>
      <c r="S33" s="626" t="s">
        <v>895</v>
      </c>
      <c r="T33" s="626" t="s">
        <v>895</v>
      </c>
      <c r="U33" s="626" t="s">
        <v>895</v>
      </c>
      <c r="V33" s="626" t="s">
        <v>895</v>
      </c>
      <c r="W33" s="626" t="s">
        <v>895</v>
      </c>
      <c r="X33" s="626" t="s">
        <v>895</v>
      </c>
      <c r="Y33" s="626" t="s">
        <v>895</v>
      </c>
      <c r="Z33" s="626" t="s">
        <v>895</v>
      </c>
      <c r="AA33" s="626" t="s">
        <v>895</v>
      </c>
      <c r="AB33" s="631" t="s">
        <v>894</v>
      </c>
      <c r="AC33" s="631" t="s">
        <v>894</v>
      </c>
      <c r="AD33" s="626"/>
    </row>
    <row r="34" spans="2:30">
      <c r="B34" s="625">
        <v>24</v>
      </c>
      <c r="C34" s="625">
        <v>27</v>
      </c>
      <c r="D34" s="627" t="s">
        <v>926</v>
      </c>
      <c r="E34" s="626" t="s">
        <v>891</v>
      </c>
      <c r="F34" s="625" t="s">
        <v>882</v>
      </c>
      <c r="G34" s="625" t="s">
        <v>892</v>
      </c>
      <c r="H34" s="625" t="s">
        <v>884</v>
      </c>
      <c r="I34" s="625" t="s">
        <v>885</v>
      </c>
      <c r="J34" s="628" t="s">
        <v>897</v>
      </c>
      <c r="K34" s="628" t="s">
        <v>924</v>
      </c>
      <c r="L34" s="626" t="s">
        <v>894</v>
      </c>
      <c r="M34" s="629" t="s">
        <v>894</v>
      </c>
      <c r="N34" s="626"/>
      <c r="O34" s="626"/>
      <c r="P34" s="626" t="s">
        <v>895</v>
      </c>
      <c r="Q34" s="626" t="s">
        <v>895</v>
      </c>
      <c r="R34" s="626" t="s">
        <v>895</v>
      </c>
      <c r="S34" s="626" t="s">
        <v>895</v>
      </c>
      <c r="T34" s="626" t="s">
        <v>895</v>
      </c>
      <c r="U34" s="626" t="s">
        <v>895</v>
      </c>
      <c r="V34" s="626" t="s">
        <v>895</v>
      </c>
      <c r="W34" s="626" t="s">
        <v>895</v>
      </c>
      <c r="X34" s="626" t="s">
        <v>895</v>
      </c>
      <c r="Y34" s="626" t="s">
        <v>895</v>
      </c>
      <c r="Z34" s="626" t="s">
        <v>895</v>
      </c>
      <c r="AA34" s="626" t="s">
        <v>895</v>
      </c>
      <c r="AB34" s="631" t="s">
        <v>894</v>
      </c>
      <c r="AC34" s="631" t="s">
        <v>894</v>
      </c>
      <c r="AD34" s="626"/>
    </row>
    <row r="35" spans="2:30">
      <c r="B35" s="625">
        <v>25</v>
      </c>
      <c r="C35" s="625">
        <v>28</v>
      </c>
      <c r="D35" s="627" t="s">
        <v>927</v>
      </c>
      <c r="E35" s="626" t="s">
        <v>891</v>
      </c>
      <c r="F35" s="625" t="s">
        <v>882</v>
      </c>
      <c r="G35" s="625" t="s">
        <v>892</v>
      </c>
      <c r="H35" s="625" t="s">
        <v>884</v>
      </c>
      <c r="I35" s="625" t="s">
        <v>885</v>
      </c>
      <c r="J35" s="628" t="s">
        <v>898</v>
      </c>
      <c r="K35" s="628" t="s">
        <v>924</v>
      </c>
      <c r="L35" s="626" t="s">
        <v>894</v>
      </c>
      <c r="M35" s="629" t="s">
        <v>894</v>
      </c>
      <c r="N35" s="626"/>
      <c r="O35" s="626"/>
      <c r="P35" s="626" t="s">
        <v>895</v>
      </c>
      <c r="Q35" s="626" t="s">
        <v>895</v>
      </c>
      <c r="R35" s="626" t="s">
        <v>895</v>
      </c>
      <c r="S35" s="626" t="s">
        <v>895</v>
      </c>
      <c r="T35" s="626" t="s">
        <v>895</v>
      </c>
      <c r="U35" s="626" t="s">
        <v>895</v>
      </c>
      <c r="V35" s="626" t="s">
        <v>895</v>
      </c>
      <c r="W35" s="626" t="s">
        <v>895</v>
      </c>
      <c r="X35" s="626" t="s">
        <v>895</v>
      </c>
      <c r="Y35" s="626" t="s">
        <v>895</v>
      </c>
      <c r="Z35" s="626" t="s">
        <v>895</v>
      </c>
      <c r="AA35" s="626" t="s">
        <v>895</v>
      </c>
      <c r="AB35" s="631" t="s">
        <v>894</v>
      </c>
      <c r="AC35" s="631" t="s">
        <v>894</v>
      </c>
      <c r="AD35" s="626"/>
    </row>
    <row r="36" spans="2:30" ht="30">
      <c r="B36" s="625">
        <v>26</v>
      </c>
      <c r="C36" s="625">
        <v>29</v>
      </c>
      <c r="D36" s="627" t="s">
        <v>928</v>
      </c>
      <c r="E36" s="626" t="s">
        <v>891</v>
      </c>
      <c r="F36" s="625" t="s">
        <v>882</v>
      </c>
      <c r="G36" s="625" t="s">
        <v>892</v>
      </c>
      <c r="H36" s="625" t="s">
        <v>884</v>
      </c>
      <c r="I36" s="625" t="s">
        <v>885</v>
      </c>
      <c r="J36" s="628" t="s">
        <v>901</v>
      </c>
      <c r="K36" s="628" t="s">
        <v>924</v>
      </c>
      <c r="L36" s="626" t="s">
        <v>894</v>
      </c>
      <c r="M36" s="629" t="s">
        <v>894</v>
      </c>
      <c r="N36" s="626"/>
      <c r="O36" s="626"/>
      <c r="P36" s="626" t="s">
        <v>895</v>
      </c>
      <c r="Q36" s="626" t="s">
        <v>895</v>
      </c>
      <c r="R36" s="626" t="s">
        <v>895</v>
      </c>
      <c r="S36" s="626" t="s">
        <v>895</v>
      </c>
      <c r="T36" s="626" t="s">
        <v>895</v>
      </c>
      <c r="U36" s="626" t="s">
        <v>895</v>
      </c>
      <c r="V36" s="626" t="s">
        <v>895</v>
      </c>
      <c r="W36" s="626" t="s">
        <v>895</v>
      </c>
      <c r="X36" s="626" t="s">
        <v>895</v>
      </c>
      <c r="Y36" s="626" t="s">
        <v>895</v>
      </c>
      <c r="Z36" s="626" t="s">
        <v>895</v>
      </c>
      <c r="AA36" s="626" t="s">
        <v>895</v>
      </c>
      <c r="AB36" s="631" t="s">
        <v>894</v>
      </c>
      <c r="AC36" s="631" t="s">
        <v>894</v>
      </c>
      <c r="AD36" s="626"/>
    </row>
    <row r="37" spans="2:30">
      <c r="B37" s="625">
        <v>27</v>
      </c>
      <c r="C37" s="625">
        <v>30</v>
      </c>
      <c r="D37" s="627" t="s">
        <v>929</v>
      </c>
      <c r="E37" s="626" t="s">
        <v>891</v>
      </c>
      <c r="F37" s="625" t="s">
        <v>882</v>
      </c>
      <c r="G37" s="625" t="s">
        <v>892</v>
      </c>
      <c r="H37" s="625" t="s">
        <v>884</v>
      </c>
      <c r="I37" s="625" t="s">
        <v>885</v>
      </c>
      <c r="J37" s="628" t="s">
        <v>902</v>
      </c>
      <c r="K37" s="628" t="s">
        <v>924</v>
      </c>
      <c r="L37" s="626" t="s">
        <v>894</v>
      </c>
      <c r="M37" s="629" t="s">
        <v>894</v>
      </c>
      <c r="N37" s="626"/>
      <c r="O37" s="626"/>
      <c r="P37" s="626" t="s">
        <v>895</v>
      </c>
      <c r="Q37" s="626" t="s">
        <v>895</v>
      </c>
      <c r="R37" s="626" t="s">
        <v>895</v>
      </c>
      <c r="S37" s="626" t="s">
        <v>895</v>
      </c>
      <c r="T37" s="626" t="s">
        <v>895</v>
      </c>
      <c r="U37" s="626" t="s">
        <v>895</v>
      </c>
      <c r="V37" s="626" t="s">
        <v>895</v>
      </c>
      <c r="W37" s="626" t="s">
        <v>895</v>
      </c>
      <c r="X37" s="626" t="s">
        <v>895</v>
      </c>
      <c r="Y37" s="626" t="s">
        <v>895</v>
      </c>
      <c r="Z37" s="626" t="s">
        <v>895</v>
      </c>
      <c r="AA37" s="626" t="s">
        <v>895</v>
      </c>
      <c r="AB37" s="631" t="s">
        <v>894</v>
      </c>
      <c r="AC37" s="631" t="s">
        <v>894</v>
      </c>
      <c r="AD37" s="626"/>
    </row>
    <row r="38" spans="2:30" ht="30">
      <c r="B38" s="625">
        <v>28</v>
      </c>
      <c r="C38" s="625">
        <v>33</v>
      </c>
      <c r="D38" s="627" t="s">
        <v>930</v>
      </c>
      <c r="E38" s="626" t="s">
        <v>891</v>
      </c>
      <c r="F38" s="625" t="s">
        <v>882</v>
      </c>
      <c r="G38" s="625" t="s">
        <v>892</v>
      </c>
      <c r="H38" s="625" t="s">
        <v>884</v>
      </c>
      <c r="I38" s="625" t="s">
        <v>885</v>
      </c>
      <c r="J38" s="628" t="s">
        <v>904</v>
      </c>
      <c r="K38" s="628" t="s">
        <v>924</v>
      </c>
      <c r="L38" s="626" t="s">
        <v>894</v>
      </c>
      <c r="M38" s="629" t="s">
        <v>894</v>
      </c>
      <c r="N38" s="626"/>
      <c r="O38" s="626"/>
      <c r="P38" s="626" t="s">
        <v>895</v>
      </c>
      <c r="Q38" s="626" t="s">
        <v>895</v>
      </c>
      <c r="R38" s="626" t="s">
        <v>895</v>
      </c>
      <c r="S38" s="626" t="s">
        <v>895</v>
      </c>
      <c r="T38" s="626" t="s">
        <v>895</v>
      </c>
      <c r="U38" s="626" t="s">
        <v>895</v>
      </c>
      <c r="V38" s="626" t="s">
        <v>895</v>
      </c>
      <c r="W38" s="626" t="s">
        <v>895</v>
      </c>
      <c r="X38" s="626" t="s">
        <v>895</v>
      </c>
      <c r="Y38" s="626" t="s">
        <v>895</v>
      </c>
      <c r="Z38" s="626" t="s">
        <v>895</v>
      </c>
      <c r="AA38" s="626" t="s">
        <v>895</v>
      </c>
      <c r="AB38" s="631" t="s">
        <v>894</v>
      </c>
      <c r="AC38" s="631" t="s">
        <v>894</v>
      </c>
      <c r="AD38" s="626"/>
    </row>
    <row r="39" spans="2:30">
      <c r="B39" s="625">
        <v>29</v>
      </c>
      <c r="C39" s="625">
        <v>34</v>
      </c>
      <c r="D39" s="627" t="s">
        <v>931</v>
      </c>
      <c r="E39" s="626" t="s">
        <v>891</v>
      </c>
      <c r="F39" s="625" t="s">
        <v>882</v>
      </c>
      <c r="G39" s="625" t="s">
        <v>892</v>
      </c>
      <c r="H39" s="625" t="s">
        <v>884</v>
      </c>
      <c r="I39" s="625" t="s">
        <v>885</v>
      </c>
      <c r="J39" s="628" t="s">
        <v>906</v>
      </c>
      <c r="K39" s="628" t="s">
        <v>924</v>
      </c>
      <c r="L39" s="626" t="s">
        <v>894</v>
      </c>
      <c r="M39" s="629" t="s">
        <v>894</v>
      </c>
      <c r="N39" s="626"/>
      <c r="O39" s="626"/>
      <c r="P39" s="626" t="s">
        <v>895</v>
      </c>
      <c r="Q39" s="626" t="s">
        <v>895</v>
      </c>
      <c r="R39" s="626" t="s">
        <v>895</v>
      </c>
      <c r="S39" s="626" t="s">
        <v>895</v>
      </c>
      <c r="T39" s="626" t="s">
        <v>895</v>
      </c>
      <c r="U39" s="626" t="s">
        <v>895</v>
      </c>
      <c r="V39" s="626" t="s">
        <v>895</v>
      </c>
      <c r="W39" s="626" t="s">
        <v>895</v>
      </c>
      <c r="X39" s="626" t="s">
        <v>895</v>
      </c>
      <c r="Y39" s="626" t="s">
        <v>895</v>
      </c>
      <c r="Z39" s="626" t="s">
        <v>895</v>
      </c>
      <c r="AA39" s="626" t="s">
        <v>895</v>
      </c>
      <c r="AB39" s="631" t="s">
        <v>894</v>
      </c>
      <c r="AC39" s="631" t="s">
        <v>894</v>
      </c>
      <c r="AD39" s="626"/>
    </row>
    <row r="40" spans="2:30" ht="30">
      <c r="B40" s="625">
        <v>30</v>
      </c>
      <c r="C40" s="625">
        <v>35</v>
      </c>
      <c r="D40" s="627" t="s">
        <v>932</v>
      </c>
      <c r="E40" s="626" t="s">
        <v>891</v>
      </c>
      <c r="F40" s="625" t="s">
        <v>882</v>
      </c>
      <c r="G40" s="625" t="s">
        <v>892</v>
      </c>
      <c r="H40" s="625" t="s">
        <v>884</v>
      </c>
      <c r="I40" s="625" t="s">
        <v>885</v>
      </c>
      <c r="J40" s="628" t="s">
        <v>908</v>
      </c>
      <c r="K40" s="628" t="s">
        <v>924</v>
      </c>
      <c r="L40" s="626" t="s">
        <v>894</v>
      </c>
      <c r="M40" s="629" t="s">
        <v>894</v>
      </c>
      <c r="N40" s="626"/>
      <c r="O40" s="626"/>
      <c r="P40" s="626" t="s">
        <v>895</v>
      </c>
      <c r="Q40" s="626" t="s">
        <v>895</v>
      </c>
      <c r="R40" s="626" t="s">
        <v>895</v>
      </c>
      <c r="S40" s="626" t="s">
        <v>895</v>
      </c>
      <c r="T40" s="626" t="s">
        <v>895</v>
      </c>
      <c r="U40" s="626" t="s">
        <v>895</v>
      </c>
      <c r="V40" s="626" t="s">
        <v>895</v>
      </c>
      <c r="W40" s="626" t="s">
        <v>895</v>
      </c>
      <c r="X40" s="626" t="s">
        <v>895</v>
      </c>
      <c r="Y40" s="626" t="s">
        <v>895</v>
      </c>
      <c r="Z40" s="626" t="s">
        <v>895</v>
      </c>
      <c r="AA40" s="626" t="s">
        <v>895</v>
      </c>
      <c r="AB40" s="631" t="s">
        <v>894</v>
      </c>
      <c r="AC40" s="631" t="s">
        <v>894</v>
      </c>
      <c r="AD40" s="626"/>
    </row>
    <row r="41" spans="2:30" ht="30">
      <c r="B41" s="625">
        <v>31</v>
      </c>
      <c r="C41" s="625">
        <v>36</v>
      </c>
      <c r="D41" s="627" t="s">
        <v>933</v>
      </c>
      <c r="E41" s="626" t="s">
        <v>891</v>
      </c>
      <c r="F41" s="625" t="s">
        <v>882</v>
      </c>
      <c r="G41" s="625" t="s">
        <v>892</v>
      </c>
      <c r="H41" s="625" t="s">
        <v>884</v>
      </c>
      <c r="I41" s="625" t="s">
        <v>885</v>
      </c>
      <c r="J41" s="628" t="s">
        <v>910</v>
      </c>
      <c r="K41" s="628" t="s">
        <v>924</v>
      </c>
      <c r="L41" s="626" t="s">
        <v>894</v>
      </c>
      <c r="M41" s="629" t="s">
        <v>894</v>
      </c>
      <c r="N41" s="626"/>
      <c r="O41" s="626"/>
      <c r="P41" s="626" t="s">
        <v>895</v>
      </c>
      <c r="Q41" s="626" t="s">
        <v>895</v>
      </c>
      <c r="R41" s="626" t="s">
        <v>895</v>
      </c>
      <c r="S41" s="626" t="s">
        <v>895</v>
      </c>
      <c r="T41" s="626" t="s">
        <v>895</v>
      </c>
      <c r="U41" s="626" t="s">
        <v>895</v>
      </c>
      <c r="V41" s="626" t="s">
        <v>895</v>
      </c>
      <c r="W41" s="626" t="s">
        <v>895</v>
      </c>
      <c r="X41" s="626" t="s">
        <v>895</v>
      </c>
      <c r="Y41" s="626" t="s">
        <v>895</v>
      </c>
      <c r="Z41" s="626" t="s">
        <v>895</v>
      </c>
      <c r="AA41" s="626" t="s">
        <v>895</v>
      </c>
      <c r="AB41" s="631" t="s">
        <v>894</v>
      </c>
      <c r="AC41" s="631" t="s">
        <v>894</v>
      </c>
      <c r="AD41" s="626"/>
    </row>
    <row r="42" spans="2:30">
      <c r="B42" s="625">
        <v>32</v>
      </c>
      <c r="C42" s="625">
        <v>43</v>
      </c>
      <c r="D42" s="627" t="s">
        <v>890</v>
      </c>
      <c r="E42" s="626" t="s">
        <v>891</v>
      </c>
      <c r="F42" s="625" t="s">
        <v>882</v>
      </c>
      <c r="G42" s="625" t="s">
        <v>892</v>
      </c>
      <c r="H42" s="625" t="s">
        <v>934</v>
      </c>
      <c r="I42" s="625" t="s">
        <v>885</v>
      </c>
      <c r="J42" s="628" t="s">
        <v>890</v>
      </c>
      <c r="K42" s="628" t="s">
        <v>935</v>
      </c>
      <c r="L42" s="626" t="s">
        <v>894</v>
      </c>
      <c r="M42" s="629" t="s">
        <v>894</v>
      </c>
      <c r="N42" s="626"/>
      <c r="O42" s="626"/>
      <c r="P42" s="626" t="s">
        <v>895</v>
      </c>
      <c r="Q42" s="626" t="s">
        <v>895</v>
      </c>
      <c r="R42" s="626" t="s">
        <v>895</v>
      </c>
      <c r="S42" s="626" t="s">
        <v>895</v>
      </c>
      <c r="T42" s="626" t="s">
        <v>895</v>
      </c>
      <c r="U42" s="626" t="s">
        <v>895</v>
      </c>
      <c r="V42" s="626" t="s">
        <v>895</v>
      </c>
      <c r="W42" s="626" t="s">
        <v>895</v>
      </c>
      <c r="X42" s="626" t="s">
        <v>895</v>
      </c>
      <c r="Y42" s="626" t="s">
        <v>895</v>
      </c>
      <c r="Z42" s="626" t="s">
        <v>895</v>
      </c>
      <c r="AA42" s="626" t="s">
        <v>895</v>
      </c>
      <c r="AB42" s="631" t="s">
        <v>894</v>
      </c>
      <c r="AC42" s="631" t="s">
        <v>894</v>
      </c>
      <c r="AD42" s="626"/>
    </row>
    <row r="43" spans="2:30">
      <c r="B43" s="625">
        <v>33</v>
      </c>
      <c r="C43" s="625">
        <v>44</v>
      </c>
      <c r="D43" s="627" t="s">
        <v>896</v>
      </c>
      <c r="E43" s="626" t="s">
        <v>891</v>
      </c>
      <c r="F43" s="625" t="s">
        <v>882</v>
      </c>
      <c r="G43" s="625" t="s">
        <v>892</v>
      </c>
      <c r="H43" s="625" t="s">
        <v>934</v>
      </c>
      <c r="I43" s="625" t="s">
        <v>885</v>
      </c>
      <c r="J43" s="628" t="s">
        <v>896</v>
      </c>
      <c r="K43" s="628" t="s">
        <v>935</v>
      </c>
      <c r="L43" s="626" t="s">
        <v>894</v>
      </c>
      <c r="M43" s="629" t="s">
        <v>894</v>
      </c>
      <c r="N43" s="626"/>
      <c r="O43" s="626"/>
      <c r="P43" s="626" t="s">
        <v>895</v>
      </c>
      <c r="Q43" s="626" t="s">
        <v>895</v>
      </c>
      <c r="R43" s="626" t="s">
        <v>895</v>
      </c>
      <c r="S43" s="626" t="s">
        <v>895</v>
      </c>
      <c r="T43" s="626" t="s">
        <v>895</v>
      </c>
      <c r="U43" s="626" t="s">
        <v>895</v>
      </c>
      <c r="V43" s="626" t="s">
        <v>895</v>
      </c>
      <c r="W43" s="626" t="s">
        <v>895</v>
      </c>
      <c r="X43" s="626" t="s">
        <v>895</v>
      </c>
      <c r="Y43" s="626" t="s">
        <v>895</v>
      </c>
      <c r="Z43" s="626" t="s">
        <v>895</v>
      </c>
      <c r="AA43" s="626" t="s">
        <v>895</v>
      </c>
      <c r="AB43" s="631" t="s">
        <v>894</v>
      </c>
      <c r="AC43" s="631" t="s">
        <v>894</v>
      </c>
      <c r="AD43" s="626"/>
    </row>
    <row r="44" spans="2:30">
      <c r="B44" s="625">
        <v>34</v>
      </c>
      <c r="C44" s="625">
        <v>45</v>
      </c>
      <c r="D44" s="627" t="s">
        <v>897</v>
      </c>
      <c r="E44" s="626" t="s">
        <v>891</v>
      </c>
      <c r="F44" s="625" t="s">
        <v>882</v>
      </c>
      <c r="G44" s="625" t="s">
        <v>892</v>
      </c>
      <c r="H44" s="625" t="s">
        <v>934</v>
      </c>
      <c r="I44" s="625" t="s">
        <v>885</v>
      </c>
      <c r="J44" s="628" t="s">
        <v>897</v>
      </c>
      <c r="K44" s="628" t="s">
        <v>935</v>
      </c>
      <c r="L44" s="626" t="s">
        <v>894</v>
      </c>
      <c r="M44" s="629" t="s">
        <v>894</v>
      </c>
      <c r="N44" s="626"/>
      <c r="O44" s="626"/>
      <c r="P44" s="626" t="s">
        <v>895</v>
      </c>
      <c r="Q44" s="626" t="s">
        <v>895</v>
      </c>
      <c r="R44" s="626" t="s">
        <v>895</v>
      </c>
      <c r="S44" s="626" t="s">
        <v>895</v>
      </c>
      <c r="T44" s="626" t="s">
        <v>895</v>
      </c>
      <c r="U44" s="626" t="s">
        <v>895</v>
      </c>
      <c r="V44" s="626" t="s">
        <v>895</v>
      </c>
      <c r="W44" s="626" t="s">
        <v>895</v>
      </c>
      <c r="X44" s="626" t="s">
        <v>895</v>
      </c>
      <c r="Y44" s="626" t="s">
        <v>895</v>
      </c>
      <c r="Z44" s="626" t="s">
        <v>895</v>
      </c>
      <c r="AA44" s="626" t="s">
        <v>895</v>
      </c>
      <c r="AB44" s="631" t="s">
        <v>894</v>
      </c>
      <c r="AC44" s="631" t="s">
        <v>894</v>
      </c>
      <c r="AD44" s="626"/>
    </row>
    <row r="45" spans="2:30">
      <c r="B45" s="625">
        <v>35</v>
      </c>
      <c r="C45" s="625">
        <v>46</v>
      </c>
      <c r="D45" s="627" t="s">
        <v>898</v>
      </c>
      <c r="E45" s="626" t="s">
        <v>891</v>
      </c>
      <c r="F45" s="625" t="s">
        <v>882</v>
      </c>
      <c r="G45" s="625" t="s">
        <v>892</v>
      </c>
      <c r="H45" s="625" t="s">
        <v>934</v>
      </c>
      <c r="I45" s="625" t="s">
        <v>885</v>
      </c>
      <c r="J45" s="628" t="s">
        <v>898</v>
      </c>
      <c r="K45" s="628" t="s">
        <v>935</v>
      </c>
      <c r="L45" s="626" t="s">
        <v>894</v>
      </c>
      <c r="M45" s="629" t="s">
        <v>894</v>
      </c>
      <c r="N45" s="626"/>
      <c r="O45" s="626"/>
      <c r="P45" s="626" t="s">
        <v>895</v>
      </c>
      <c r="Q45" s="626" t="s">
        <v>895</v>
      </c>
      <c r="R45" s="626" t="s">
        <v>895</v>
      </c>
      <c r="S45" s="626" t="s">
        <v>895</v>
      </c>
      <c r="T45" s="626" t="s">
        <v>895</v>
      </c>
      <c r="U45" s="626" t="s">
        <v>895</v>
      </c>
      <c r="V45" s="626" t="s">
        <v>895</v>
      </c>
      <c r="W45" s="626" t="s">
        <v>895</v>
      </c>
      <c r="X45" s="626" t="s">
        <v>895</v>
      </c>
      <c r="Y45" s="626" t="s">
        <v>895</v>
      </c>
      <c r="Z45" s="626" t="s">
        <v>895</v>
      </c>
      <c r="AA45" s="626" t="s">
        <v>895</v>
      </c>
      <c r="AB45" s="631" t="s">
        <v>894</v>
      </c>
      <c r="AC45" s="631" t="s">
        <v>894</v>
      </c>
      <c r="AD45" s="626"/>
    </row>
    <row r="46" spans="2:30">
      <c r="B46" s="625">
        <v>36</v>
      </c>
      <c r="C46" s="625">
        <v>47</v>
      </c>
      <c r="D46" s="627" t="s">
        <v>901</v>
      </c>
      <c r="E46" s="626" t="s">
        <v>891</v>
      </c>
      <c r="F46" s="625" t="s">
        <v>882</v>
      </c>
      <c r="G46" s="625" t="s">
        <v>892</v>
      </c>
      <c r="H46" s="625" t="s">
        <v>934</v>
      </c>
      <c r="I46" s="625" t="s">
        <v>885</v>
      </c>
      <c r="J46" s="628" t="s">
        <v>901</v>
      </c>
      <c r="K46" s="628" t="s">
        <v>935</v>
      </c>
      <c r="L46" s="626" t="s">
        <v>894</v>
      </c>
      <c r="M46" s="629" t="s">
        <v>894</v>
      </c>
      <c r="N46" s="626"/>
      <c r="O46" s="626"/>
      <c r="P46" s="626" t="s">
        <v>895</v>
      </c>
      <c r="Q46" s="626" t="s">
        <v>895</v>
      </c>
      <c r="R46" s="626" t="s">
        <v>895</v>
      </c>
      <c r="S46" s="626" t="s">
        <v>895</v>
      </c>
      <c r="T46" s="626" t="s">
        <v>895</v>
      </c>
      <c r="U46" s="626" t="s">
        <v>895</v>
      </c>
      <c r="V46" s="626" t="s">
        <v>895</v>
      </c>
      <c r="W46" s="626" t="s">
        <v>895</v>
      </c>
      <c r="X46" s="626" t="s">
        <v>895</v>
      </c>
      <c r="Y46" s="626" t="s">
        <v>895</v>
      </c>
      <c r="Z46" s="626" t="s">
        <v>895</v>
      </c>
      <c r="AA46" s="626" t="s">
        <v>895</v>
      </c>
      <c r="AB46" s="631" t="s">
        <v>894</v>
      </c>
      <c r="AC46" s="631" t="s">
        <v>894</v>
      </c>
      <c r="AD46" s="626"/>
    </row>
    <row r="47" spans="2:30">
      <c r="B47" s="625">
        <v>37</v>
      </c>
      <c r="C47" s="625">
        <v>48</v>
      </c>
      <c r="D47" s="627" t="s">
        <v>902</v>
      </c>
      <c r="E47" s="626" t="s">
        <v>903</v>
      </c>
      <c r="F47" s="625" t="s">
        <v>882</v>
      </c>
      <c r="G47" s="625" t="s">
        <v>892</v>
      </c>
      <c r="H47" s="625" t="s">
        <v>934</v>
      </c>
      <c r="I47" s="625" t="s">
        <v>885</v>
      </c>
      <c r="J47" s="628" t="s">
        <v>902</v>
      </c>
      <c r="K47" s="628" t="s">
        <v>935</v>
      </c>
      <c r="L47" s="626" t="s">
        <v>894</v>
      </c>
      <c r="M47" s="629" t="s">
        <v>894</v>
      </c>
      <c r="N47" s="626"/>
      <c r="O47" s="626"/>
      <c r="P47" s="626" t="s">
        <v>895</v>
      </c>
      <c r="Q47" s="626" t="s">
        <v>895</v>
      </c>
      <c r="R47" s="626" t="s">
        <v>895</v>
      </c>
      <c r="S47" s="626" t="s">
        <v>895</v>
      </c>
      <c r="T47" s="626" t="s">
        <v>895</v>
      </c>
      <c r="U47" s="626" t="s">
        <v>895</v>
      </c>
      <c r="V47" s="626" t="s">
        <v>895</v>
      </c>
      <c r="W47" s="626" t="s">
        <v>895</v>
      </c>
      <c r="X47" s="626" t="s">
        <v>895</v>
      </c>
      <c r="Y47" s="626" t="s">
        <v>895</v>
      </c>
      <c r="Z47" s="626" t="s">
        <v>895</v>
      </c>
      <c r="AA47" s="626" t="s">
        <v>895</v>
      </c>
      <c r="AB47" s="631" t="s">
        <v>894</v>
      </c>
      <c r="AC47" s="631" t="s">
        <v>894</v>
      </c>
      <c r="AD47" s="626"/>
    </row>
    <row r="48" spans="2:30" ht="123" customHeight="1">
      <c r="B48" s="625">
        <v>38</v>
      </c>
      <c r="C48" s="625">
        <v>51</v>
      </c>
      <c r="D48" s="626" t="s">
        <v>904</v>
      </c>
      <c r="E48" s="626" t="s">
        <v>891</v>
      </c>
      <c r="F48" s="625" t="s">
        <v>882</v>
      </c>
      <c r="G48" s="625" t="s">
        <v>883</v>
      </c>
      <c r="H48" s="625" t="s">
        <v>934</v>
      </c>
      <c r="I48" s="625" t="s">
        <v>885</v>
      </c>
      <c r="J48" s="628" t="s">
        <v>904</v>
      </c>
      <c r="K48" s="625" t="s">
        <v>935</v>
      </c>
      <c r="L48" s="626">
        <v>2016</v>
      </c>
      <c r="M48" s="629">
        <v>622468000</v>
      </c>
      <c r="N48" s="626"/>
      <c r="O48" s="626"/>
      <c r="P48" s="630">
        <v>18079275</v>
      </c>
      <c r="Q48" s="630">
        <v>44308433</v>
      </c>
      <c r="R48" s="630">
        <v>75006818</v>
      </c>
      <c r="S48" s="630">
        <v>74810543</v>
      </c>
      <c r="T48" s="630">
        <v>85188811</v>
      </c>
      <c r="U48" s="630">
        <v>93447783</v>
      </c>
      <c r="V48" s="630">
        <v>113034319</v>
      </c>
      <c r="W48" s="630">
        <v>153361817</v>
      </c>
      <c r="X48" s="630">
        <v>153361817</v>
      </c>
      <c r="Y48" s="630">
        <v>153361817</v>
      </c>
      <c r="Z48" s="630">
        <v>153361817</v>
      </c>
      <c r="AA48" s="630">
        <v>153361817</v>
      </c>
      <c r="AB48" s="631" t="s">
        <v>936</v>
      </c>
      <c r="AC48" s="631" t="s">
        <v>889</v>
      </c>
      <c r="AD48" s="626"/>
    </row>
    <row r="49" spans="2:30" ht="123" customHeight="1">
      <c r="B49" s="625">
        <v>39</v>
      </c>
      <c r="C49" s="625">
        <v>52</v>
      </c>
      <c r="D49" s="626" t="s">
        <v>906</v>
      </c>
      <c r="E49" s="626" t="s">
        <v>891</v>
      </c>
      <c r="F49" s="625" t="s">
        <v>882</v>
      </c>
      <c r="G49" s="625" t="s">
        <v>883</v>
      </c>
      <c r="H49" s="625" t="s">
        <v>934</v>
      </c>
      <c r="I49" s="625" t="s">
        <v>885</v>
      </c>
      <c r="J49" s="628" t="s">
        <v>906</v>
      </c>
      <c r="K49" s="625" t="s">
        <v>935</v>
      </c>
      <c r="L49" s="626">
        <v>2016</v>
      </c>
      <c r="M49" s="629">
        <v>424281433</v>
      </c>
      <c r="N49" s="626"/>
      <c r="O49" s="626"/>
      <c r="P49" s="630">
        <v>20529873</v>
      </c>
      <c r="Q49" s="630">
        <v>40962155</v>
      </c>
      <c r="R49" s="630">
        <v>62071445</v>
      </c>
      <c r="S49" s="630">
        <v>61977973</v>
      </c>
      <c r="T49" s="630">
        <v>77898756</v>
      </c>
      <c r="U49" s="630">
        <v>86441782</v>
      </c>
      <c r="V49" s="630">
        <v>105956510</v>
      </c>
      <c r="W49" s="630">
        <v>145479573</v>
      </c>
      <c r="X49" s="630">
        <v>145479573</v>
      </c>
      <c r="Y49" s="630">
        <v>145479573</v>
      </c>
      <c r="Z49" s="630">
        <v>145479573</v>
      </c>
      <c r="AA49" s="630">
        <v>145479573</v>
      </c>
      <c r="AB49" s="631" t="s">
        <v>937</v>
      </c>
      <c r="AC49" s="631" t="s">
        <v>889</v>
      </c>
      <c r="AD49" s="626"/>
    </row>
    <row r="50" spans="2:30" ht="123" customHeight="1">
      <c r="B50" s="625">
        <v>40</v>
      </c>
      <c r="C50" s="625">
        <v>53</v>
      </c>
      <c r="D50" s="626" t="s">
        <v>908</v>
      </c>
      <c r="E50" s="626" t="s">
        <v>891</v>
      </c>
      <c r="F50" s="625" t="s">
        <v>882</v>
      </c>
      <c r="G50" s="625" t="s">
        <v>883</v>
      </c>
      <c r="H50" s="625" t="s">
        <v>934</v>
      </c>
      <c r="I50" s="625" t="s">
        <v>885</v>
      </c>
      <c r="J50" s="628" t="s">
        <v>908</v>
      </c>
      <c r="K50" s="625" t="s">
        <v>935</v>
      </c>
      <c r="L50" s="626">
        <v>2016</v>
      </c>
      <c r="M50" s="629">
        <v>1238410</v>
      </c>
      <c r="N50" s="626"/>
      <c r="O50" s="626"/>
      <c r="P50" s="630">
        <v>4726424</v>
      </c>
      <c r="Q50" s="630">
        <v>4589077</v>
      </c>
      <c r="R50" s="630">
        <v>4722276</v>
      </c>
      <c r="S50" s="630">
        <v>4567240</v>
      </c>
      <c r="T50" s="630">
        <v>5409987</v>
      </c>
      <c r="U50" s="630">
        <v>5643711</v>
      </c>
      <c r="V50" s="630">
        <v>5551873</v>
      </c>
      <c r="W50" s="630">
        <v>6431896</v>
      </c>
      <c r="X50" s="630">
        <v>6431896</v>
      </c>
      <c r="Y50" s="630">
        <v>6431896</v>
      </c>
      <c r="Z50" s="630">
        <v>6431896</v>
      </c>
      <c r="AA50" s="630">
        <v>6431896</v>
      </c>
      <c r="AB50" s="631" t="s">
        <v>938</v>
      </c>
      <c r="AC50" s="631" t="s">
        <v>889</v>
      </c>
      <c r="AD50" s="626"/>
    </row>
    <row r="51" spans="2:30" ht="123" customHeight="1">
      <c r="B51" s="625">
        <v>41</v>
      </c>
      <c r="C51" s="625">
        <v>54</v>
      </c>
      <c r="D51" s="626" t="s">
        <v>910</v>
      </c>
      <c r="E51" s="626" t="s">
        <v>891</v>
      </c>
      <c r="F51" s="625" t="s">
        <v>882</v>
      </c>
      <c r="G51" s="625" t="s">
        <v>883</v>
      </c>
      <c r="H51" s="625" t="s">
        <v>934</v>
      </c>
      <c r="I51" s="625" t="s">
        <v>885</v>
      </c>
      <c r="J51" s="628" t="s">
        <v>910</v>
      </c>
      <c r="K51" s="625" t="s">
        <v>935</v>
      </c>
      <c r="L51" s="626">
        <v>2016</v>
      </c>
      <c r="M51" s="629">
        <v>451046</v>
      </c>
      <c r="N51" s="626"/>
      <c r="O51" s="626"/>
      <c r="P51" s="630">
        <v>4131011</v>
      </c>
      <c r="Q51" s="630">
        <v>3969967</v>
      </c>
      <c r="R51" s="630">
        <v>3841349</v>
      </c>
      <c r="S51" s="630">
        <v>3678514</v>
      </c>
      <c r="T51" s="630">
        <v>4661874</v>
      </c>
      <c r="U51" s="630">
        <v>4831830</v>
      </c>
      <c r="V51" s="630">
        <v>4740782</v>
      </c>
      <c r="W51" s="630">
        <v>5463478</v>
      </c>
      <c r="X51" s="630">
        <v>5463478</v>
      </c>
      <c r="Y51" s="630">
        <v>5463478</v>
      </c>
      <c r="Z51" s="630">
        <v>5463478</v>
      </c>
      <c r="AA51" s="630">
        <v>5463478</v>
      </c>
      <c r="AB51" s="631" t="s">
        <v>939</v>
      </c>
      <c r="AC51" s="631" t="s">
        <v>889</v>
      </c>
      <c r="AD51" s="626"/>
    </row>
    <row r="52" spans="2:30" ht="123" customHeight="1">
      <c r="B52" s="625">
        <v>42</v>
      </c>
      <c r="C52" s="625">
        <v>55</v>
      </c>
      <c r="D52" s="626" t="s">
        <v>880</v>
      </c>
      <c r="E52" s="626" t="s">
        <v>881</v>
      </c>
      <c r="F52" s="625" t="s">
        <v>882</v>
      </c>
      <c r="G52" s="625" t="s">
        <v>883</v>
      </c>
      <c r="H52" s="625" t="s">
        <v>934</v>
      </c>
      <c r="I52" s="625" t="s">
        <v>885</v>
      </c>
      <c r="J52" s="628" t="s">
        <v>886</v>
      </c>
      <c r="K52" s="625" t="s">
        <v>887</v>
      </c>
      <c r="L52" s="626">
        <v>2016</v>
      </c>
      <c r="M52" s="629">
        <v>42454</v>
      </c>
      <c r="N52" s="626"/>
      <c r="O52" s="626"/>
      <c r="P52" s="630">
        <v>9198</v>
      </c>
      <c r="Q52" s="630">
        <v>15385</v>
      </c>
      <c r="R52" s="630">
        <v>21066</v>
      </c>
      <c r="S52" s="630">
        <v>19217</v>
      </c>
      <c r="T52" s="630">
        <v>9301</v>
      </c>
      <c r="U52" s="630">
        <v>9337</v>
      </c>
      <c r="V52" s="630">
        <v>12232</v>
      </c>
      <c r="W52" s="630">
        <v>18263</v>
      </c>
      <c r="X52" s="630">
        <v>18263</v>
      </c>
      <c r="Y52" s="630">
        <v>18263</v>
      </c>
      <c r="Z52" s="630">
        <v>18263</v>
      </c>
      <c r="AA52" s="630">
        <v>18263</v>
      </c>
      <c r="AB52" s="631" t="s">
        <v>940</v>
      </c>
      <c r="AC52" s="631" t="s">
        <v>889</v>
      </c>
      <c r="AD52" s="626"/>
    </row>
    <row r="53" spans="2:30" ht="30">
      <c r="B53" s="625">
        <v>43</v>
      </c>
      <c r="C53" s="625">
        <v>57</v>
      </c>
      <c r="D53" s="627" t="s">
        <v>941</v>
      </c>
      <c r="E53" s="626" t="s">
        <v>891</v>
      </c>
      <c r="F53" s="625" t="s">
        <v>882</v>
      </c>
      <c r="G53" s="625" t="s">
        <v>892</v>
      </c>
      <c r="H53" s="625" t="s">
        <v>934</v>
      </c>
      <c r="I53" s="625" t="s">
        <v>885</v>
      </c>
      <c r="J53" s="628" t="s">
        <v>942</v>
      </c>
      <c r="K53" s="628" t="s">
        <v>943</v>
      </c>
      <c r="L53" s="626" t="s">
        <v>894</v>
      </c>
      <c r="M53" s="629" t="s">
        <v>894</v>
      </c>
      <c r="N53" s="626"/>
      <c r="O53" s="626"/>
      <c r="P53" s="626" t="s">
        <v>895</v>
      </c>
      <c r="Q53" s="626" t="s">
        <v>895</v>
      </c>
      <c r="R53" s="626" t="s">
        <v>895</v>
      </c>
      <c r="S53" s="626" t="s">
        <v>895</v>
      </c>
      <c r="T53" s="626" t="s">
        <v>895</v>
      </c>
      <c r="U53" s="626" t="s">
        <v>895</v>
      </c>
      <c r="V53" s="626" t="s">
        <v>895</v>
      </c>
      <c r="W53" s="626" t="s">
        <v>895</v>
      </c>
      <c r="X53" s="626" t="s">
        <v>895</v>
      </c>
      <c r="Y53" s="626" t="s">
        <v>895</v>
      </c>
      <c r="Z53" s="626" t="s">
        <v>895</v>
      </c>
      <c r="AA53" s="626" t="s">
        <v>895</v>
      </c>
      <c r="AB53" s="631" t="s">
        <v>894</v>
      </c>
      <c r="AC53" s="631" t="s">
        <v>894</v>
      </c>
      <c r="AD53" s="626"/>
    </row>
    <row r="54" spans="2:30" ht="30">
      <c r="B54" s="625">
        <v>44</v>
      </c>
      <c r="C54" s="625">
        <v>58</v>
      </c>
      <c r="D54" s="627" t="s">
        <v>944</v>
      </c>
      <c r="E54" s="626" t="s">
        <v>891</v>
      </c>
      <c r="F54" s="625" t="s">
        <v>882</v>
      </c>
      <c r="G54" s="625" t="s">
        <v>892</v>
      </c>
      <c r="H54" s="625" t="s">
        <v>934</v>
      </c>
      <c r="I54" s="625" t="s">
        <v>885</v>
      </c>
      <c r="J54" s="628" t="s">
        <v>945</v>
      </c>
      <c r="K54" s="628" t="s">
        <v>943</v>
      </c>
      <c r="L54" s="626" t="s">
        <v>894</v>
      </c>
      <c r="M54" s="629" t="s">
        <v>894</v>
      </c>
      <c r="N54" s="626"/>
      <c r="O54" s="626"/>
      <c r="P54" s="626" t="s">
        <v>895</v>
      </c>
      <c r="Q54" s="626" t="s">
        <v>895</v>
      </c>
      <c r="R54" s="626" t="s">
        <v>895</v>
      </c>
      <c r="S54" s="626" t="s">
        <v>895</v>
      </c>
      <c r="T54" s="626" t="s">
        <v>895</v>
      </c>
      <c r="U54" s="626" t="s">
        <v>895</v>
      </c>
      <c r="V54" s="626" t="s">
        <v>895</v>
      </c>
      <c r="W54" s="626" t="s">
        <v>895</v>
      </c>
      <c r="X54" s="626" t="s">
        <v>895</v>
      </c>
      <c r="Y54" s="626" t="s">
        <v>895</v>
      </c>
      <c r="Z54" s="626" t="s">
        <v>895</v>
      </c>
      <c r="AA54" s="626" t="s">
        <v>895</v>
      </c>
      <c r="AB54" s="631" t="s">
        <v>894</v>
      </c>
      <c r="AC54" s="631" t="s">
        <v>894</v>
      </c>
      <c r="AD54" s="626"/>
    </row>
    <row r="55" spans="2:30" ht="30">
      <c r="B55" s="625">
        <v>45</v>
      </c>
      <c r="C55" s="625">
        <v>78</v>
      </c>
      <c r="D55" s="627" t="s">
        <v>946</v>
      </c>
      <c r="E55" s="626" t="s">
        <v>891</v>
      </c>
      <c r="F55" s="625" t="s">
        <v>882</v>
      </c>
      <c r="G55" s="625" t="s">
        <v>892</v>
      </c>
      <c r="H55" s="625" t="s">
        <v>947</v>
      </c>
      <c r="I55" s="625" t="s">
        <v>885</v>
      </c>
      <c r="J55" s="628" t="s">
        <v>890</v>
      </c>
      <c r="K55" s="628" t="s">
        <v>948</v>
      </c>
      <c r="L55" s="626" t="s">
        <v>894</v>
      </c>
      <c r="M55" s="629" t="s">
        <v>894</v>
      </c>
      <c r="N55" s="626"/>
      <c r="O55" s="626"/>
      <c r="P55" s="626" t="s">
        <v>895</v>
      </c>
      <c r="Q55" s="626" t="s">
        <v>895</v>
      </c>
      <c r="R55" s="626" t="s">
        <v>895</v>
      </c>
      <c r="S55" s="626" t="s">
        <v>895</v>
      </c>
      <c r="T55" s="626" t="s">
        <v>895</v>
      </c>
      <c r="U55" s="626" t="s">
        <v>895</v>
      </c>
      <c r="V55" s="626" t="s">
        <v>895</v>
      </c>
      <c r="W55" s="626" t="s">
        <v>895</v>
      </c>
      <c r="X55" s="626" t="s">
        <v>895</v>
      </c>
      <c r="Y55" s="626" t="s">
        <v>895</v>
      </c>
      <c r="Z55" s="626" t="s">
        <v>895</v>
      </c>
      <c r="AA55" s="626" t="s">
        <v>895</v>
      </c>
      <c r="AB55" s="631" t="s">
        <v>894</v>
      </c>
      <c r="AC55" s="631" t="s">
        <v>894</v>
      </c>
      <c r="AD55" s="626"/>
    </row>
    <row r="56" spans="2:30" ht="30">
      <c r="B56" s="625">
        <v>46</v>
      </c>
      <c r="C56" s="625">
        <v>79</v>
      </c>
      <c r="D56" s="627" t="s">
        <v>949</v>
      </c>
      <c r="E56" s="626" t="s">
        <v>891</v>
      </c>
      <c r="F56" s="625" t="s">
        <v>882</v>
      </c>
      <c r="G56" s="625" t="s">
        <v>892</v>
      </c>
      <c r="H56" s="625" t="s">
        <v>947</v>
      </c>
      <c r="I56" s="625" t="s">
        <v>885</v>
      </c>
      <c r="J56" s="628" t="s">
        <v>896</v>
      </c>
      <c r="K56" s="628" t="s">
        <v>948</v>
      </c>
      <c r="L56" s="626" t="s">
        <v>894</v>
      </c>
      <c r="M56" s="629" t="s">
        <v>894</v>
      </c>
      <c r="N56" s="626"/>
      <c r="O56" s="626"/>
      <c r="P56" s="626" t="s">
        <v>895</v>
      </c>
      <c r="Q56" s="626" t="s">
        <v>895</v>
      </c>
      <c r="R56" s="626" t="s">
        <v>895</v>
      </c>
      <c r="S56" s="626" t="s">
        <v>895</v>
      </c>
      <c r="T56" s="626" t="s">
        <v>895</v>
      </c>
      <c r="U56" s="626" t="s">
        <v>895</v>
      </c>
      <c r="V56" s="626" t="s">
        <v>895</v>
      </c>
      <c r="W56" s="626" t="s">
        <v>895</v>
      </c>
      <c r="X56" s="626" t="s">
        <v>895</v>
      </c>
      <c r="Y56" s="626" t="s">
        <v>895</v>
      </c>
      <c r="Z56" s="626" t="s">
        <v>895</v>
      </c>
      <c r="AA56" s="626" t="s">
        <v>895</v>
      </c>
      <c r="AB56" s="631" t="s">
        <v>894</v>
      </c>
      <c r="AC56" s="631" t="s">
        <v>894</v>
      </c>
      <c r="AD56" s="626"/>
    </row>
    <row r="57" spans="2:30" ht="30">
      <c r="B57" s="625">
        <v>47</v>
      </c>
      <c r="C57" s="625">
        <v>80</v>
      </c>
      <c r="D57" s="627" t="s">
        <v>950</v>
      </c>
      <c r="E57" s="626" t="s">
        <v>891</v>
      </c>
      <c r="F57" s="625" t="s">
        <v>882</v>
      </c>
      <c r="G57" s="625" t="s">
        <v>892</v>
      </c>
      <c r="H57" s="625" t="s">
        <v>947</v>
      </c>
      <c r="I57" s="625" t="s">
        <v>885</v>
      </c>
      <c r="J57" s="628" t="s">
        <v>897</v>
      </c>
      <c r="K57" s="628" t="s">
        <v>948</v>
      </c>
      <c r="L57" s="626" t="s">
        <v>894</v>
      </c>
      <c r="M57" s="629" t="s">
        <v>894</v>
      </c>
      <c r="N57" s="626"/>
      <c r="O57" s="626"/>
      <c r="P57" s="626" t="s">
        <v>895</v>
      </c>
      <c r="Q57" s="626" t="s">
        <v>895</v>
      </c>
      <c r="R57" s="626" t="s">
        <v>895</v>
      </c>
      <c r="S57" s="626" t="s">
        <v>895</v>
      </c>
      <c r="T57" s="626" t="s">
        <v>895</v>
      </c>
      <c r="U57" s="626" t="s">
        <v>895</v>
      </c>
      <c r="V57" s="626" t="s">
        <v>895</v>
      </c>
      <c r="W57" s="626" t="s">
        <v>895</v>
      </c>
      <c r="X57" s="626" t="s">
        <v>895</v>
      </c>
      <c r="Y57" s="626" t="s">
        <v>895</v>
      </c>
      <c r="Z57" s="626" t="s">
        <v>895</v>
      </c>
      <c r="AA57" s="626" t="s">
        <v>895</v>
      </c>
      <c r="AB57" s="631" t="s">
        <v>894</v>
      </c>
      <c r="AC57" s="631" t="s">
        <v>894</v>
      </c>
      <c r="AD57" s="626"/>
    </row>
    <row r="58" spans="2:30" ht="30">
      <c r="B58" s="625">
        <v>48</v>
      </c>
      <c r="C58" s="625">
        <v>81</v>
      </c>
      <c r="D58" s="627" t="s">
        <v>951</v>
      </c>
      <c r="E58" s="626" t="s">
        <v>891</v>
      </c>
      <c r="F58" s="625" t="s">
        <v>882</v>
      </c>
      <c r="G58" s="625" t="s">
        <v>892</v>
      </c>
      <c r="H58" s="625" t="s">
        <v>947</v>
      </c>
      <c r="I58" s="625" t="s">
        <v>885</v>
      </c>
      <c r="J58" s="628" t="s">
        <v>898</v>
      </c>
      <c r="K58" s="628" t="s">
        <v>948</v>
      </c>
      <c r="L58" s="626" t="s">
        <v>894</v>
      </c>
      <c r="M58" s="629" t="s">
        <v>894</v>
      </c>
      <c r="N58" s="626"/>
      <c r="O58" s="626"/>
      <c r="P58" s="626" t="s">
        <v>895</v>
      </c>
      <c r="Q58" s="626" t="s">
        <v>895</v>
      </c>
      <c r="R58" s="626" t="s">
        <v>895</v>
      </c>
      <c r="S58" s="626" t="s">
        <v>895</v>
      </c>
      <c r="T58" s="626" t="s">
        <v>895</v>
      </c>
      <c r="U58" s="626" t="s">
        <v>895</v>
      </c>
      <c r="V58" s="626" t="s">
        <v>895</v>
      </c>
      <c r="W58" s="626" t="s">
        <v>895</v>
      </c>
      <c r="X58" s="626" t="s">
        <v>895</v>
      </c>
      <c r="Y58" s="626" t="s">
        <v>895</v>
      </c>
      <c r="Z58" s="626" t="s">
        <v>895</v>
      </c>
      <c r="AA58" s="626" t="s">
        <v>895</v>
      </c>
      <c r="AB58" s="631" t="s">
        <v>894</v>
      </c>
      <c r="AC58" s="631" t="s">
        <v>894</v>
      </c>
      <c r="AD58" s="626"/>
    </row>
    <row r="59" spans="2:30" ht="30">
      <c r="B59" s="625">
        <v>49</v>
      </c>
      <c r="C59" s="625">
        <v>82</v>
      </c>
      <c r="D59" s="627" t="s">
        <v>952</v>
      </c>
      <c r="E59" s="626" t="s">
        <v>891</v>
      </c>
      <c r="F59" s="625" t="s">
        <v>882</v>
      </c>
      <c r="G59" s="625" t="s">
        <v>892</v>
      </c>
      <c r="H59" s="625" t="s">
        <v>947</v>
      </c>
      <c r="I59" s="625" t="s">
        <v>885</v>
      </c>
      <c r="J59" s="628" t="s">
        <v>901</v>
      </c>
      <c r="K59" s="628" t="s">
        <v>948</v>
      </c>
      <c r="L59" s="626" t="s">
        <v>894</v>
      </c>
      <c r="M59" s="629" t="s">
        <v>894</v>
      </c>
      <c r="N59" s="626"/>
      <c r="O59" s="626"/>
      <c r="P59" s="626" t="s">
        <v>895</v>
      </c>
      <c r="Q59" s="626" t="s">
        <v>895</v>
      </c>
      <c r="R59" s="626" t="s">
        <v>895</v>
      </c>
      <c r="S59" s="626" t="s">
        <v>895</v>
      </c>
      <c r="T59" s="626" t="s">
        <v>895</v>
      </c>
      <c r="U59" s="626" t="s">
        <v>895</v>
      </c>
      <c r="V59" s="626" t="s">
        <v>895</v>
      </c>
      <c r="W59" s="626" t="s">
        <v>895</v>
      </c>
      <c r="X59" s="626" t="s">
        <v>895</v>
      </c>
      <c r="Y59" s="626" t="s">
        <v>895</v>
      </c>
      <c r="Z59" s="626" t="s">
        <v>895</v>
      </c>
      <c r="AA59" s="626" t="s">
        <v>895</v>
      </c>
      <c r="AB59" s="631" t="s">
        <v>894</v>
      </c>
      <c r="AC59" s="631" t="s">
        <v>894</v>
      </c>
      <c r="AD59" s="626"/>
    </row>
    <row r="60" spans="2:30" ht="30">
      <c r="B60" s="625">
        <v>50</v>
      </c>
      <c r="C60" s="625">
        <v>83</v>
      </c>
      <c r="D60" s="627" t="s">
        <v>953</v>
      </c>
      <c r="E60" s="626" t="s">
        <v>903</v>
      </c>
      <c r="F60" s="625" t="s">
        <v>882</v>
      </c>
      <c r="G60" s="625" t="s">
        <v>892</v>
      </c>
      <c r="H60" s="625" t="s">
        <v>947</v>
      </c>
      <c r="I60" s="625" t="s">
        <v>885</v>
      </c>
      <c r="J60" s="628" t="s">
        <v>902</v>
      </c>
      <c r="K60" s="628" t="s">
        <v>948</v>
      </c>
      <c r="L60" s="626" t="s">
        <v>894</v>
      </c>
      <c r="M60" s="629" t="s">
        <v>894</v>
      </c>
      <c r="N60" s="626"/>
      <c r="O60" s="626"/>
      <c r="P60" s="626" t="s">
        <v>895</v>
      </c>
      <c r="Q60" s="626" t="s">
        <v>895</v>
      </c>
      <c r="R60" s="626" t="s">
        <v>895</v>
      </c>
      <c r="S60" s="626" t="s">
        <v>895</v>
      </c>
      <c r="T60" s="626" t="s">
        <v>895</v>
      </c>
      <c r="U60" s="626" t="s">
        <v>895</v>
      </c>
      <c r="V60" s="626" t="s">
        <v>895</v>
      </c>
      <c r="W60" s="626" t="s">
        <v>895</v>
      </c>
      <c r="X60" s="626" t="s">
        <v>895</v>
      </c>
      <c r="Y60" s="626" t="s">
        <v>895</v>
      </c>
      <c r="Z60" s="626" t="s">
        <v>895</v>
      </c>
      <c r="AA60" s="626" t="s">
        <v>895</v>
      </c>
      <c r="AB60" s="631" t="s">
        <v>894</v>
      </c>
      <c r="AC60" s="631" t="s">
        <v>894</v>
      </c>
      <c r="AD60" s="626"/>
    </row>
    <row r="61" spans="2:30" ht="123" customHeight="1">
      <c r="B61" s="625">
        <v>51</v>
      </c>
      <c r="C61" s="625">
        <v>86</v>
      </c>
      <c r="D61" s="626" t="s">
        <v>954</v>
      </c>
      <c r="E61" s="626" t="s">
        <v>891</v>
      </c>
      <c r="F61" s="625" t="s">
        <v>882</v>
      </c>
      <c r="G61" s="625" t="s">
        <v>883</v>
      </c>
      <c r="H61" s="625" t="s">
        <v>947</v>
      </c>
      <c r="I61" s="625" t="s">
        <v>885</v>
      </c>
      <c r="J61" s="628" t="s">
        <v>904</v>
      </c>
      <c r="K61" s="625" t="s">
        <v>948</v>
      </c>
      <c r="L61" s="626">
        <v>2016</v>
      </c>
      <c r="M61" s="629">
        <v>46049142</v>
      </c>
      <c r="N61" s="626"/>
      <c r="O61" s="626"/>
      <c r="P61" s="630">
        <v>4088670</v>
      </c>
      <c r="Q61" s="630">
        <v>16267221</v>
      </c>
      <c r="R61" s="630">
        <v>16745736</v>
      </c>
      <c r="S61" s="630">
        <v>16745736</v>
      </c>
      <c r="T61" s="630">
        <v>1836815</v>
      </c>
      <c r="U61" s="630">
        <v>1701645</v>
      </c>
      <c r="V61" s="630">
        <v>1588189</v>
      </c>
      <c r="W61" s="630">
        <v>1865553</v>
      </c>
      <c r="X61" s="630">
        <v>1865553</v>
      </c>
      <c r="Y61" s="630">
        <v>1865553</v>
      </c>
      <c r="Z61" s="630">
        <v>1865553</v>
      </c>
      <c r="AA61" s="630">
        <v>1865553</v>
      </c>
      <c r="AB61" s="631" t="s">
        <v>955</v>
      </c>
      <c r="AC61" s="631" t="s">
        <v>889</v>
      </c>
      <c r="AD61" s="626"/>
    </row>
    <row r="62" spans="2:30" ht="123" customHeight="1">
      <c r="B62" s="625">
        <v>52</v>
      </c>
      <c r="C62" s="625">
        <v>87</v>
      </c>
      <c r="D62" s="626" t="s">
        <v>956</v>
      </c>
      <c r="E62" s="626" t="s">
        <v>891</v>
      </c>
      <c r="F62" s="625" t="s">
        <v>882</v>
      </c>
      <c r="G62" s="625" t="s">
        <v>883</v>
      </c>
      <c r="H62" s="625" t="s">
        <v>947</v>
      </c>
      <c r="I62" s="625" t="s">
        <v>885</v>
      </c>
      <c r="J62" s="628" t="s">
        <v>906</v>
      </c>
      <c r="K62" s="625" t="s">
        <v>948</v>
      </c>
      <c r="L62" s="626">
        <v>2016</v>
      </c>
      <c r="M62" s="629">
        <v>33164544</v>
      </c>
      <c r="N62" s="626"/>
      <c r="O62" s="626"/>
      <c r="P62" s="630">
        <v>3558760</v>
      </c>
      <c r="Q62" s="630">
        <v>11647029</v>
      </c>
      <c r="R62" s="630">
        <v>12135247</v>
      </c>
      <c r="S62" s="630">
        <v>12135247</v>
      </c>
      <c r="T62" s="630">
        <v>839699</v>
      </c>
      <c r="U62" s="630">
        <v>746465</v>
      </c>
      <c r="V62" s="630">
        <v>663453</v>
      </c>
      <c r="W62" s="630">
        <v>844042</v>
      </c>
      <c r="X62" s="630">
        <v>844042</v>
      </c>
      <c r="Y62" s="630">
        <v>844042</v>
      </c>
      <c r="Z62" s="630">
        <v>844042</v>
      </c>
      <c r="AA62" s="630">
        <v>844042</v>
      </c>
      <c r="AB62" s="631" t="s">
        <v>957</v>
      </c>
      <c r="AC62" s="631" t="s">
        <v>889</v>
      </c>
      <c r="AD62" s="626"/>
    </row>
    <row r="63" spans="2:30" ht="123" customHeight="1">
      <c r="B63" s="625">
        <v>53</v>
      </c>
      <c r="C63" s="625">
        <v>88</v>
      </c>
      <c r="D63" s="626" t="s">
        <v>958</v>
      </c>
      <c r="E63" s="626" t="s">
        <v>891</v>
      </c>
      <c r="F63" s="625" t="s">
        <v>882</v>
      </c>
      <c r="G63" s="625" t="s">
        <v>883</v>
      </c>
      <c r="H63" s="625" t="s">
        <v>947</v>
      </c>
      <c r="I63" s="625" t="s">
        <v>885</v>
      </c>
      <c r="J63" s="628" t="s">
        <v>908</v>
      </c>
      <c r="K63" s="625" t="s">
        <v>948</v>
      </c>
      <c r="L63" s="626">
        <v>2016</v>
      </c>
      <c r="M63" s="629">
        <v>560964</v>
      </c>
      <c r="N63" s="626"/>
      <c r="O63" s="626"/>
      <c r="P63" s="630">
        <v>60506</v>
      </c>
      <c r="Q63" s="630">
        <v>344032</v>
      </c>
      <c r="R63" s="630">
        <v>331416</v>
      </c>
      <c r="S63" s="630">
        <v>325301</v>
      </c>
      <c r="T63" s="630">
        <v>18779</v>
      </c>
      <c r="U63" s="630">
        <v>19760</v>
      </c>
      <c r="V63" s="630">
        <v>20108</v>
      </c>
      <c r="W63" s="630">
        <v>18617</v>
      </c>
      <c r="X63" s="630">
        <v>18617</v>
      </c>
      <c r="Y63" s="630">
        <v>18617</v>
      </c>
      <c r="Z63" s="630">
        <v>18617</v>
      </c>
      <c r="AA63" s="630">
        <v>18617</v>
      </c>
      <c r="AB63" s="631" t="s">
        <v>959</v>
      </c>
      <c r="AC63" s="631" t="s">
        <v>889</v>
      </c>
      <c r="AD63" s="626"/>
    </row>
    <row r="64" spans="2:30" ht="123" customHeight="1">
      <c r="B64" s="625">
        <v>54</v>
      </c>
      <c r="C64" s="625">
        <v>89</v>
      </c>
      <c r="D64" s="626" t="s">
        <v>960</v>
      </c>
      <c r="E64" s="626" t="s">
        <v>881</v>
      </c>
      <c r="F64" s="625" t="s">
        <v>882</v>
      </c>
      <c r="G64" s="625" t="s">
        <v>883</v>
      </c>
      <c r="H64" s="625" t="s">
        <v>947</v>
      </c>
      <c r="I64" s="625" t="s">
        <v>885</v>
      </c>
      <c r="J64" s="628" t="s">
        <v>910</v>
      </c>
      <c r="K64" s="625" t="s">
        <v>948</v>
      </c>
      <c r="L64" s="626">
        <v>2016</v>
      </c>
      <c r="M64" s="629">
        <v>371294</v>
      </c>
      <c r="N64" s="626"/>
      <c r="O64" s="626"/>
      <c r="P64" s="630">
        <v>72154</v>
      </c>
      <c r="Q64" s="630">
        <v>222601</v>
      </c>
      <c r="R64" s="630">
        <v>205401</v>
      </c>
      <c r="S64" s="630">
        <v>200204</v>
      </c>
      <c r="T64" s="630">
        <v>18494</v>
      </c>
      <c r="U64" s="630">
        <v>20319</v>
      </c>
      <c r="V64" s="630">
        <v>21680</v>
      </c>
      <c r="W64" s="630">
        <v>20137</v>
      </c>
      <c r="X64" s="630">
        <v>20137</v>
      </c>
      <c r="Y64" s="630">
        <v>20137</v>
      </c>
      <c r="Z64" s="630">
        <v>20137</v>
      </c>
      <c r="AA64" s="630">
        <v>20137</v>
      </c>
      <c r="AB64" s="631" t="s">
        <v>961</v>
      </c>
      <c r="AC64" s="631" t="s">
        <v>889</v>
      </c>
      <c r="AD64" s="626"/>
    </row>
    <row r="65" spans="2:30" ht="30">
      <c r="B65" s="625">
        <v>55</v>
      </c>
      <c r="C65" s="625">
        <v>90</v>
      </c>
      <c r="D65" s="627" t="s">
        <v>962</v>
      </c>
      <c r="E65" s="626" t="s">
        <v>891</v>
      </c>
      <c r="F65" s="625" t="s">
        <v>882</v>
      </c>
      <c r="G65" s="625" t="s">
        <v>892</v>
      </c>
      <c r="H65" s="625" t="s">
        <v>947</v>
      </c>
      <c r="I65" s="625" t="s">
        <v>885</v>
      </c>
      <c r="J65" s="628" t="s">
        <v>890</v>
      </c>
      <c r="K65" s="628" t="s">
        <v>948</v>
      </c>
      <c r="L65" s="626" t="s">
        <v>894</v>
      </c>
      <c r="M65" s="629" t="s">
        <v>894</v>
      </c>
      <c r="N65" s="626"/>
      <c r="O65" s="626"/>
      <c r="P65" s="626" t="s">
        <v>895</v>
      </c>
      <c r="Q65" s="626" t="s">
        <v>895</v>
      </c>
      <c r="R65" s="626" t="s">
        <v>895</v>
      </c>
      <c r="S65" s="626" t="s">
        <v>895</v>
      </c>
      <c r="T65" s="626" t="s">
        <v>895</v>
      </c>
      <c r="U65" s="626" t="s">
        <v>895</v>
      </c>
      <c r="V65" s="626" t="s">
        <v>895</v>
      </c>
      <c r="W65" s="626" t="s">
        <v>895</v>
      </c>
      <c r="X65" s="626" t="s">
        <v>895</v>
      </c>
      <c r="Y65" s="626" t="s">
        <v>895</v>
      </c>
      <c r="Z65" s="626" t="s">
        <v>895</v>
      </c>
      <c r="AA65" s="626" t="s">
        <v>895</v>
      </c>
      <c r="AB65" s="631" t="s">
        <v>894</v>
      </c>
      <c r="AC65" s="631" t="s">
        <v>894</v>
      </c>
      <c r="AD65" s="626"/>
    </row>
    <row r="66" spans="2:30" ht="30">
      <c r="B66" s="625">
        <v>56</v>
      </c>
      <c r="C66" s="625">
        <v>91</v>
      </c>
      <c r="D66" s="627" t="s">
        <v>963</v>
      </c>
      <c r="E66" s="626" t="s">
        <v>891</v>
      </c>
      <c r="F66" s="625" t="s">
        <v>882</v>
      </c>
      <c r="G66" s="625" t="s">
        <v>892</v>
      </c>
      <c r="H66" s="625" t="s">
        <v>947</v>
      </c>
      <c r="I66" s="625" t="s">
        <v>885</v>
      </c>
      <c r="J66" s="628" t="s">
        <v>896</v>
      </c>
      <c r="K66" s="628" t="s">
        <v>948</v>
      </c>
      <c r="L66" s="626" t="s">
        <v>894</v>
      </c>
      <c r="M66" s="629" t="s">
        <v>894</v>
      </c>
      <c r="N66" s="626"/>
      <c r="O66" s="626"/>
      <c r="P66" s="626" t="s">
        <v>895</v>
      </c>
      <c r="Q66" s="626" t="s">
        <v>895</v>
      </c>
      <c r="R66" s="626" t="s">
        <v>895</v>
      </c>
      <c r="S66" s="626" t="s">
        <v>895</v>
      </c>
      <c r="T66" s="626" t="s">
        <v>895</v>
      </c>
      <c r="U66" s="626" t="s">
        <v>895</v>
      </c>
      <c r="V66" s="626" t="s">
        <v>895</v>
      </c>
      <c r="W66" s="626" t="s">
        <v>895</v>
      </c>
      <c r="X66" s="626" t="s">
        <v>895</v>
      </c>
      <c r="Y66" s="626" t="s">
        <v>895</v>
      </c>
      <c r="Z66" s="626" t="s">
        <v>895</v>
      </c>
      <c r="AA66" s="626" t="s">
        <v>895</v>
      </c>
      <c r="AB66" s="631" t="s">
        <v>894</v>
      </c>
      <c r="AC66" s="631" t="s">
        <v>894</v>
      </c>
      <c r="AD66" s="626"/>
    </row>
    <row r="67" spans="2:30" ht="30">
      <c r="B67" s="625">
        <v>57</v>
      </c>
      <c r="C67" s="625">
        <v>92</v>
      </c>
      <c r="D67" s="627" t="s">
        <v>964</v>
      </c>
      <c r="E67" s="626" t="s">
        <v>891</v>
      </c>
      <c r="F67" s="625" t="s">
        <v>882</v>
      </c>
      <c r="G67" s="625" t="s">
        <v>892</v>
      </c>
      <c r="H67" s="625" t="s">
        <v>947</v>
      </c>
      <c r="I67" s="625" t="s">
        <v>885</v>
      </c>
      <c r="J67" s="628" t="s">
        <v>897</v>
      </c>
      <c r="K67" s="628" t="s">
        <v>948</v>
      </c>
      <c r="L67" s="626" t="s">
        <v>894</v>
      </c>
      <c r="M67" s="629" t="s">
        <v>894</v>
      </c>
      <c r="N67" s="626"/>
      <c r="O67" s="626"/>
      <c r="P67" s="626" t="s">
        <v>895</v>
      </c>
      <c r="Q67" s="626" t="s">
        <v>895</v>
      </c>
      <c r="R67" s="626" t="s">
        <v>895</v>
      </c>
      <c r="S67" s="626" t="s">
        <v>895</v>
      </c>
      <c r="T67" s="626" t="s">
        <v>895</v>
      </c>
      <c r="U67" s="626" t="s">
        <v>895</v>
      </c>
      <c r="V67" s="626" t="s">
        <v>895</v>
      </c>
      <c r="W67" s="626" t="s">
        <v>895</v>
      </c>
      <c r="X67" s="626" t="s">
        <v>895</v>
      </c>
      <c r="Y67" s="626" t="s">
        <v>895</v>
      </c>
      <c r="Z67" s="626" t="s">
        <v>895</v>
      </c>
      <c r="AA67" s="626" t="s">
        <v>895</v>
      </c>
      <c r="AB67" s="631" t="s">
        <v>894</v>
      </c>
      <c r="AC67" s="631" t="s">
        <v>894</v>
      </c>
      <c r="AD67" s="626"/>
    </row>
    <row r="68" spans="2:30" ht="30">
      <c r="B68" s="625">
        <v>58</v>
      </c>
      <c r="C68" s="625">
        <v>93</v>
      </c>
      <c r="D68" s="627" t="s">
        <v>965</v>
      </c>
      <c r="E68" s="626" t="s">
        <v>891</v>
      </c>
      <c r="F68" s="625" t="s">
        <v>882</v>
      </c>
      <c r="G68" s="625" t="s">
        <v>892</v>
      </c>
      <c r="H68" s="625" t="s">
        <v>947</v>
      </c>
      <c r="I68" s="625" t="s">
        <v>885</v>
      </c>
      <c r="J68" s="628" t="s">
        <v>898</v>
      </c>
      <c r="K68" s="628" t="s">
        <v>948</v>
      </c>
      <c r="L68" s="626" t="s">
        <v>894</v>
      </c>
      <c r="M68" s="629" t="s">
        <v>894</v>
      </c>
      <c r="N68" s="626"/>
      <c r="O68" s="626"/>
      <c r="P68" s="626" t="s">
        <v>895</v>
      </c>
      <c r="Q68" s="626" t="s">
        <v>895</v>
      </c>
      <c r="R68" s="626" t="s">
        <v>895</v>
      </c>
      <c r="S68" s="626" t="s">
        <v>895</v>
      </c>
      <c r="T68" s="626" t="s">
        <v>895</v>
      </c>
      <c r="U68" s="626" t="s">
        <v>895</v>
      </c>
      <c r="V68" s="626" t="s">
        <v>895</v>
      </c>
      <c r="W68" s="626" t="s">
        <v>895</v>
      </c>
      <c r="X68" s="626" t="s">
        <v>895</v>
      </c>
      <c r="Y68" s="626" t="s">
        <v>895</v>
      </c>
      <c r="Z68" s="626" t="s">
        <v>895</v>
      </c>
      <c r="AA68" s="626" t="s">
        <v>895</v>
      </c>
      <c r="AB68" s="631" t="s">
        <v>894</v>
      </c>
      <c r="AC68" s="631" t="s">
        <v>894</v>
      </c>
      <c r="AD68" s="626"/>
    </row>
    <row r="69" spans="2:30" ht="30">
      <c r="B69" s="625">
        <v>59</v>
      </c>
      <c r="C69" s="625">
        <v>94</v>
      </c>
      <c r="D69" s="627" t="s">
        <v>966</v>
      </c>
      <c r="E69" s="626" t="s">
        <v>891</v>
      </c>
      <c r="F69" s="625" t="s">
        <v>882</v>
      </c>
      <c r="G69" s="625" t="s">
        <v>892</v>
      </c>
      <c r="H69" s="625" t="s">
        <v>947</v>
      </c>
      <c r="I69" s="625" t="s">
        <v>885</v>
      </c>
      <c r="J69" s="628" t="s">
        <v>901</v>
      </c>
      <c r="K69" s="628" t="s">
        <v>948</v>
      </c>
      <c r="L69" s="626" t="s">
        <v>894</v>
      </c>
      <c r="M69" s="629" t="s">
        <v>894</v>
      </c>
      <c r="N69" s="626"/>
      <c r="O69" s="626"/>
      <c r="P69" s="626" t="s">
        <v>895</v>
      </c>
      <c r="Q69" s="626" t="s">
        <v>895</v>
      </c>
      <c r="R69" s="626" t="s">
        <v>895</v>
      </c>
      <c r="S69" s="626" t="s">
        <v>895</v>
      </c>
      <c r="T69" s="626" t="s">
        <v>895</v>
      </c>
      <c r="U69" s="626" t="s">
        <v>895</v>
      </c>
      <c r="V69" s="626" t="s">
        <v>895</v>
      </c>
      <c r="W69" s="626" t="s">
        <v>895</v>
      </c>
      <c r="X69" s="626" t="s">
        <v>895</v>
      </c>
      <c r="Y69" s="626" t="s">
        <v>895</v>
      </c>
      <c r="Z69" s="626" t="s">
        <v>895</v>
      </c>
      <c r="AA69" s="626" t="s">
        <v>895</v>
      </c>
      <c r="AB69" s="631" t="s">
        <v>894</v>
      </c>
      <c r="AC69" s="631" t="s">
        <v>894</v>
      </c>
      <c r="AD69" s="626"/>
    </row>
    <row r="70" spans="2:30" ht="30">
      <c r="B70" s="625">
        <v>60</v>
      </c>
      <c r="C70" s="625">
        <v>95</v>
      </c>
      <c r="D70" s="627" t="s">
        <v>967</v>
      </c>
      <c r="E70" s="626" t="s">
        <v>903</v>
      </c>
      <c r="F70" s="625" t="s">
        <v>882</v>
      </c>
      <c r="G70" s="625" t="s">
        <v>892</v>
      </c>
      <c r="H70" s="625" t="s">
        <v>947</v>
      </c>
      <c r="I70" s="625" t="s">
        <v>885</v>
      </c>
      <c r="J70" s="628" t="s">
        <v>902</v>
      </c>
      <c r="K70" s="628" t="s">
        <v>948</v>
      </c>
      <c r="L70" s="626" t="s">
        <v>894</v>
      </c>
      <c r="M70" s="629" t="s">
        <v>894</v>
      </c>
      <c r="N70" s="626"/>
      <c r="O70" s="626"/>
      <c r="P70" s="626" t="s">
        <v>895</v>
      </c>
      <c r="Q70" s="626" t="s">
        <v>895</v>
      </c>
      <c r="R70" s="626" t="s">
        <v>895</v>
      </c>
      <c r="S70" s="626" t="s">
        <v>895</v>
      </c>
      <c r="T70" s="626" t="s">
        <v>895</v>
      </c>
      <c r="U70" s="626" t="s">
        <v>895</v>
      </c>
      <c r="V70" s="626" t="s">
        <v>895</v>
      </c>
      <c r="W70" s="626" t="s">
        <v>895</v>
      </c>
      <c r="X70" s="626" t="s">
        <v>895</v>
      </c>
      <c r="Y70" s="626" t="s">
        <v>895</v>
      </c>
      <c r="Z70" s="626" t="s">
        <v>895</v>
      </c>
      <c r="AA70" s="626" t="s">
        <v>895</v>
      </c>
      <c r="AB70" s="631" t="s">
        <v>894</v>
      </c>
      <c r="AC70" s="631" t="s">
        <v>894</v>
      </c>
      <c r="AD70" s="626"/>
    </row>
    <row r="71" spans="2:30" ht="123" customHeight="1">
      <c r="B71" s="625">
        <v>61</v>
      </c>
      <c r="C71" s="625">
        <v>98</v>
      </c>
      <c r="D71" s="626" t="s">
        <v>968</v>
      </c>
      <c r="E71" s="626" t="s">
        <v>891</v>
      </c>
      <c r="F71" s="625" t="s">
        <v>882</v>
      </c>
      <c r="G71" s="625" t="s">
        <v>883</v>
      </c>
      <c r="H71" s="625" t="s">
        <v>947</v>
      </c>
      <c r="I71" s="625" t="s">
        <v>885</v>
      </c>
      <c r="J71" s="628" t="s">
        <v>904</v>
      </c>
      <c r="K71" s="625" t="s">
        <v>948</v>
      </c>
      <c r="L71" s="626">
        <v>2016</v>
      </c>
      <c r="M71" s="629">
        <v>10981626</v>
      </c>
      <c r="N71" s="626"/>
      <c r="O71" s="626"/>
      <c r="P71" s="630">
        <v>3118950</v>
      </c>
      <c r="Q71" s="630">
        <v>12409081</v>
      </c>
      <c r="R71" s="630">
        <v>12774105</v>
      </c>
      <c r="S71" s="630">
        <v>12774105</v>
      </c>
      <c r="T71" s="630">
        <v>1401173</v>
      </c>
      <c r="U71" s="630">
        <v>1298061</v>
      </c>
      <c r="V71" s="630">
        <v>1211514</v>
      </c>
      <c r="W71" s="630">
        <v>1423095</v>
      </c>
      <c r="X71" s="630">
        <v>1423095</v>
      </c>
      <c r="Y71" s="630">
        <v>1423095</v>
      </c>
      <c r="Z71" s="630">
        <v>1423095</v>
      </c>
      <c r="AA71" s="630">
        <v>1423095</v>
      </c>
      <c r="AB71" s="631" t="s">
        <v>969</v>
      </c>
      <c r="AC71" s="631" t="s">
        <v>889</v>
      </c>
      <c r="AD71" s="626"/>
    </row>
    <row r="72" spans="2:30" ht="123" customHeight="1">
      <c r="B72" s="625">
        <v>62</v>
      </c>
      <c r="C72" s="625">
        <v>99</v>
      </c>
      <c r="D72" s="626" t="s">
        <v>970</v>
      </c>
      <c r="E72" s="626" t="s">
        <v>891</v>
      </c>
      <c r="F72" s="625" t="s">
        <v>882</v>
      </c>
      <c r="G72" s="625" t="s">
        <v>883</v>
      </c>
      <c r="H72" s="625" t="s">
        <v>947</v>
      </c>
      <c r="I72" s="625" t="s">
        <v>885</v>
      </c>
      <c r="J72" s="628" t="s">
        <v>906</v>
      </c>
      <c r="K72" s="625" t="s">
        <v>948</v>
      </c>
      <c r="L72" s="626">
        <v>2016</v>
      </c>
      <c r="M72" s="629">
        <v>7486838</v>
      </c>
      <c r="N72" s="626"/>
      <c r="O72" s="626"/>
      <c r="P72" s="630">
        <v>2719040</v>
      </c>
      <c r="Q72" s="630">
        <v>8898814</v>
      </c>
      <c r="R72" s="630">
        <v>9271833</v>
      </c>
      <c r="S72" s="630">
        <v>9271833</v>
      </c>
      <c r="T72" s="630">
        <v>641565</v>
      </c>
      <c r="U72" s="630">
        <v>570331</v>
      </c>
      <c r="V72" s="630">
        <v>506906</v>
      </c>
      <c r="W72" s="630">
        <v>644883</v>
      </c>
      <c r="X72" s="630">
        <v>644883</v>
      </c>
      <c r="Y72" s="630">
        <v>644883</v>
      </c>
      <c r="Z72" s="630">
        <v>644883</v>
      </c>
      <c r="AA72" s="630">
        <v>644883</v>
      </c>
      <c r="AB72" s="631" t="s">
        <v>971</v>
      </c>
      <c r="AC72" s="631" t="s">
        <v>889</v>
      </c>
      <c r="AD72" s="626"/>
    </row>
    <row r="73" spans="2:30" ht="123" customHeight="1">
      <c r="B73" s="625">
        <v>63</v>
      </c>
      <c r="C73" s="625">
        <v>100</v>
      </c>
      <c r="D73" s="626" t="s">
        <v>972</v>
      </c>
      <c r="E73" s="626" t="s">
        <v>891</v>
      </c>
      <c r="F73" s="625" t="s">
        <v>882</v>
      </c>
      <c r="G73" s="625" t="s">
        <v>883</v>
      </c>
      <c r="H73" s="625" t="s">
        <v>947</v>
      </c>
      <c r="I73" s="625" t="s">
        <v>885</v>
      </c>
      <c r="J73" s="628" t="s">
        <v>908</v>
      </c>
      <c r="K73" s="625" t="s">
        <v>948</v>
      </c>
      <c r="L73" s="626">
        <v>2016</v>
      </c>
      <c r="M73" s="629">
        <v>89747</v>
      </c>
      <c r="N73" s="626"/>
      <c r="O73" s="626"/>
      <c r="P73" s="630">
        <v>460046</v>
      </c>
      <c r="Q73" s="630">
        <v>2615787</v>
      </c>
      <c r="R73" s="630">
        <v>2519862</v>
      </c>
      <c r="S73" s="630">
        <v>2473367</v>
      </c>
      <c r="T73" s="630">
        <v>142780</v>
      </c>
      <c r="U73" s="630">
        <v>150239</v>
      </c>
      <c r="V73" s="630">
        <v>152887</v>
      </c>
      <c r="W73" s="630">
        <v>141554</v>
      </c>
      <c r="X73" s="630">
        <v>141554</v>
      </c>
      <c r="Y73" s="630">
        <v>141554</v>
      </c>
      <c r="Z73" s="630">
        <v>141554</v>
      </c>
      <c r="AA73" s="630">
        <v>141554</v>
      </c>
      <c r="AB73" s="631" t="s">
        <v>973</v>
      </c>
      <c r="AC73" s="631" t="s">
        <v>889</v>
      </c>
      <c r="AD73" s="626"/>
    </row>
    <row r="74" spans="2:30" ht="123" customHeight="1">
      <c r="B74" s="625">
        <v>64</v>
      </c>
      <c r="C74" s="625">
        <v>101</v>
      </c>
      <c r="D74" s="626" t="s">
        <v>974</v>
      </c>
      <c r="E74" s="626" t="s">
        <v>881</v>
      </c>
      <c r="F74" s="625" t="s">
        <v>882</v>
      </c>
      <c r="G74" s="625" t="s">
        <v>883</v>
      </c>
      <c r="H74" s="625" t="s">
        <v>947</v>
      </c>
      <c r="I74" s="625" t="s">
        <v>885</v>
      </c>
      <c r="J74" s="628" t="s">
        <v>910</v>
      </c>
      <c r="K74" s="625" t="s">
        <v>948</v>
      </c>
      <c r="L74" s="626">
        <v>2016</v>
      </c>
      <c r="M74" s="629">
        <v>63475</v>
      </c>
      <c r="N74" s="626"/>
      <c r="O74" s="626"/>
      <c r="P74" s="630">
        <v>433472</v>
      </c>
      <c r="Q74" s="630">
        <v>1692505</v>
      </c>
      <c r="R74" s="630">
        <v>1561733</v>
      </c>
      <c r="S74" s="630">
        <v>1522212</v>
      </c>
      <c r="T74" s="630">
        <v>111104</v>
      </c>
      <c r="U74" s="630">
        <v>122069</v>
      </c>
      <c r="V74" s="630">
        <v>130246</v>
      </c>
      <c r="W74" s="630">
        <v>120973</v>
      </c>
      <c r="X74" s="630">
        <v>120973</v>
      </c>
      <c r="Y74" s="630">
        <v>120973</v>
      </c>
      <c r="Z74" s="630">
        <v>120973</v>
      </c>
      <c r="AA74" s="630">
        <v>120973</v>
      </c>
      <c r="AB74" s="631" t="s">
        <v>975</v>
      </c>
      <c r="AC74" s="631" t="s">
        <v>889</v>
      </c>
      <c r="AD74" s="626"/>
    </row>
    <row r="75" spans="2:30" ht="30">
      <c r="B75" s="625">
        <v>65</v>
      </c>
      <c r="C75" s="625">
        <v>102</v>
      </c>
      <c r="D75" s="627" t="s">
        <v>976</v>
      </c>
      <c r="E75" s="626" t="s">
        <v>891</v>
      </c>
      <c r="F75" s="625" t="s">
        <v>882</v>
      </c>
      <c r="G75" s="625" t="s">
        <v>892</v>
      </c>
      <c r="H75" s="625" t="s">
        <v>947</v>
      </c>
      <c r="I75" s="625" t="s">
        <v>885</v>
      </c>
      <c r="J75" s="628" t="s">
        <v>890</v>
      </c>
      <c r="K75" s="628" t="s">
        <v>948</v>
      </c>
      <c r="L75" s="626" t="s">
        <v>894</v>
      </c>
      <c r="M75" s="629" t="s">
        <v>894</v>
      </c>
      <c r="N75" s="626"/>
      <c r="O75" s="626"/>
      <c r="P75" s="626" t="s">
        <v>895</v>
      </c>
      <c r="Q75" s="626" t="s">
        <v>895</v>
      </c>
      <c r="R75" s="626" t="s">
        <v>895</v>
      </c>
      <c r="S75" s="626" t="s">
        <v>895</v>
      </c>
      <c r="T75" s="626" t="s">
        <v>895</v>
      </c>
      <c r="U75" s="626" t="s">
        <v>895</v>
      </c>
      <c r="V75" s="626" t="s">
        <v>895</v>
      </c>
      <c r="W75" s="626" t="s">
        <v>895</v>
      </c>
      <c r="X75" s="626" t="s">
        <v>895</v>
      </c>
      <c r="Y75" s="626" t="s">
        <v>895</v>
      </c>
      <c r="Z75" s="626" t="s">
        <v>895</v>
      </c>
      <c r="AA75" s="626" t="s">
        <v>895</v>
      </c>
      <c r="AB75" s="631" t="s">
        <v>894</v>
      </c>
      <c r="AC75" s="631" t="s">
        <v>894</v>
      </c>
      <c r="AD75" s="626"/>
    </row>
    <row r="76" spans="2:30" ht="30">
      <c r="B76" s="625">
        <v>66</v>
      </c>
      <c r="C76" s="625">
        <v>103</v>
      </c>
      <c r="D76" s="627" t="s">
        <v>977</v>
      </c>
      <c r="E76" s="626" t="s">
        <v>891</v>
      </c>
      <c r="F76" s="625" t="s">
        <v>882</v>
      </c>
      <c r="G76" s="625" t="s">
        <v>892</v>
      </c>
      <c r="H76" s="625" t="s">
        <v>947</v>
      </c>
      <c r="I76" s="625" t="s">
        <v>885</v>
      </c>
      <c r="J76" s="628" t="s">
        <v>896</v>
      </c>
      <c r="K76" s="628" t="s">
        <v>948</v>
      </c>
      <c r="L76" s="626" t="s">
        <v>894</v>
      </c>
      <c r="M76" s="629" t="s">
        <v>894</v>
      </c>
      <c r="N76" s="626"/>
      <c r="O76" s="626"/>
      <c r="P76" s="626" t="s">
        <v>895</v>
      </c>
      <c r="Q76" s="626" t="s">
        <v>895</v>
      </c>
      <c r="R76" s="626" t="s">
        <v>895</v>
      </c>
      <c r="S76" s="626" t="s">
        <v>895</v>
      </c>
      <c r="T76" s="626" t="s">
        <v>895</v>
      </c>
      <c r="U76" s="626" t="s">
        <v>895</v>
      </c>
      <c r="V76" s="626" t="s">
        <v>895</v>
      </c>
      <c r="W76" s="626" t="s">
        <v>895</v>
      </c>
      <c r="X76" s="626" t="s">
        <v>895</v>
      </c>
      <c r="Y76" s="626" t="s">
        <v>895</v>
      </c>
      <c r="Z76" s="626" t="s">
        <v>895</v>
      </c>
      <c r="AA76" s="626" t="s">
        <v>895</v>
      </c>
      <c r="AB76" s="631" t="s">
        <v>894</v>
      </c>
      <c r="AC76" s="631" t="s">
        <v>894</v>
      </c>
      <c r="AD76" s="626"/>
    </row>
    <row r="77" spans="2:30" ht="30">
      <c r="B77" s="625">
        <v>67</v>
      </c>
      <c r="C77" s="625">
        <v>104</v>
      </c>
      <c r="D77" s="627" t="s">
        <v>978</v>
      </c>
      <c r="E77" s="626" t="s">
        <v>891</v>
      </c>
      <c r="F77" s="625" t="s">
        <v>882</v>
      </c>
      <c r="G77" s="625" t="s">
        <v>892</v>
      </c>
      <c r="H77" s="625" t="s">
        <v>947</v>
      </c>
      <c r="I77" s="625" t="s">
        <v>885</v>
      </c>
      <c r="J77" s="628" t="s">
        <v>897</v>
      </c>
      <c r="K77" s="628" t="s">
        <v>948</v>
      </c>
      <c r="L77" s="626" t="s">
        <v>894</v>
      </c>
      <c r="M77" s="629" t="s">
        <v>894</v>
      </c>
      <c r="N77" s="626"/>
      <c r="O77" s="626"/>
      <c r="P77" s="626" t="s">
        <v>895</v>
      </c>
      <c r="Q77" s="626" t="s">
        <v>895</v>
      </c>
      <c r="R77" s="626" t="s">
        <v>895</v>
      </c>
      <c r="S77" s="626" t="s">
        <v>895</v>
      </c>
      <c r="T77" s="626" t="s">
        <v>895</v>
      </c>
      <c r="U77" s="626" t="s">
        <v>895</v>
      </c>
      <c r="V77" s="626" t="s">
        <v>895</v>
      </c>
      <c r="W77" s="626" t="s">
        <v>895</v>
      </c>
      <c r="X77" s="626" t="s">
        <v>895</v>
      </c>
      <c r="Y77" s="626" t="s">
        <v>895</v>
      </c>
      <c r="Z77" s="626" t="s">
        <v>895</v>
      </c>
      <c r="AA77" s="626" t="s">
        <v>895</v>
      </c>
      <c r="AB77" s="631" t="s">
        <v>894</v>
      </c>
      <c r="AC77" s="631" t="s">
        <v>894</v>
      </c>
      <c r="AD77" s="626"/>
    </row>
    <row r="78" spans="2:30" ht="30">
      <c r="B78" s="625">
        <v>68</v>
      </c>
      <c r="C78" s="625">
        <v>105</v>
      </c>
      <c r="D78" s="627" t="s">
        <v>979</v>
      </c>
      <c r="E78" s="626" t="s">
        <v>891</v>
      </c>
      <c r="F78" s="625" t="s">
        <v>882</v>
      </c>
      <c r="G78" s="625" t="s">
        <v>892</v>
      </c>
      <c r="H78" s="625" t="s">
        <v>947</v>
      </c>
      <c r="I78" s="625" t="s">
        <v>885</v>
      </c>
      <c r="J78" s="628" t="s">
        <v>898</v>
      </c>
      <c r="K78" s="628" t="s">
        <v>948</v>
      </c>
      <c r="L78" s="626" t="s">
        <v>894</v>
      </c>
      <c r="M78" s="629" t="s">
        <v>894</v>
      </c>
      <c r="N78" s="626"/>
      <c r="O78" s="626"/>
      <c r="P78" s="626" t="s">
        <v>895</v>
      </c>
      <c r="Q78" s="626" t="s">
        <v>895</v>
      </c>
      <c r="R78" s="626" t="s">
        <v>895</v>
      </c>
      <c r="S78" s="626" t="s">
        <v>895</v>
      </c>
      <c r="T78" s="626" t="s">
        <v>895</v>
      </c>
      <c r="U78" s="626" t="s">
        <v>895</v>
      </c>
      <c r="V78" s="626" t="s">
        <v>895</v>
      </c>
      <c r="W78" s="626" t="s">
        <v>895</v>
      </c>
      <c r="X78" s="626" t="s">
        <v>895</v>
      </c>
      <c r="Y78" s="626" t="s">
        <v>895</v>
      </c>
      <c r="Z78" s="626" t="s">
        <v>895</v>
      </c>
      <c r="AA78" s="626" t="s">
        <v>895</v>
      </c>
      <c r="AB78" s="631" t="s">
        <v>894</v>
      </c>
      <c r="AC78" s="631" t="s">
        <v>894</v>
      </c>
      <c r="AD78" s="626"/>
    </row>
    <row r="79" spans="2:30" ht="30">
      <c r="B79" s="625">
        <v>69</v>
      </c>
      <c r="C79" s="625">
        <v>106</v>
      </c>
      <c r="D79" s="627" t="s">
        <v>980</v>
      </c>
      <c r="E79" s="626" t="s">
        <v>891</v>
      </c>
      <c r="F79" s="625" t="s">
        <v>882</v>
      </c>
      <c r="G79" s="625" t="s">
        <v>892</v>
      </c>
      <c r="H79" s="625" t="s">
        <v>947</v>
      </c>
      <c r="I79" s="625" t="s">
        <v>885</v>
      </c>
      <c r="J79" s="628" t="s">
        <v>901</v>
      </c>
      <c r="K79" s="628" t="s">
        <v>948</v>
      </c>
      <c r="L79" s="626" t="s">
        <v>894</v>
      </c>
      <c r="M79" s="629" t="s">
        <v>894</v>
      </c>
      <c r="N79" s="626"/>
      <c r="O79" s="626"/>
      <c r="P79" s="626" t="s">
        <v>895</v>
      </c>
      <c r="Q79" s="626" t="s">
        <v>895</v>
      </c>
      <c r="R79" s="626" t="s">
        <v>895</v>
      </c>
      <c r="S79" s="626" t="s">
        <v>895</v>
      </c>
      <c r="T79" s="626" t="s">
        <v>895</v>
      </c>
      <c r="U79" s="626" t="s">
        <v>895</v>
      </c>
      <c r="V79" s="626" t="s">
        <v>895</v>
      </c>
      <c r="W79" s="626" t="s">
        <v>895</v>
      </c>
      <c r="X79" s="626" t="s">
        <v>895</v>
      </c>
      <c r="Y79" s="626" t="s">
        <v>895</v>
      </c>
      <c r="Z79" s="626" t="s">
        <v>895</v>
      </c>
      <c r="AA79" s="626" t="s">
        <v>895</v>
      </c>
      <c r="AB79" s="631" t="s">
        <v>894</v>
      </c>
      <c r="AC79" s="631" t="s">
        <v>894</v>
      </c>
      <c r="AD79" s="626"/>
    </row>
    <row r="80" spans="2:30" ht="30">
      <c r="B80" s="625">
        <v>70</v>
      </c>
      <c r="C80" s="625">
        <v>107</v>
      </c>
      <c r="D80" s="627" t="s">
        <v>981</v>
      </c>
      <c r="E80" s="626" t="s">
        <v>903</v>
      </c>
      <c r="F80" s="625" t="s">
        <v>882</v>
      </c>
      <c r="G80" s="625" t="s">
        <v>892</v>
      </c>
      <c r="H80" s="625" t="s">
        <v>947</v>
      </c>
      <c r="I80" s="625" t="s">
        <v>885</v>
      </c>
      <c r="J80" s="628" t="s">
        <v>902</v>
      </c>
      <c r="K80" s="628" t="s">
        <v>948</v>
      </c>
      <c r="L80" s="626" t="s">
        <v>894</v>
      </c>
      <c r="M80" s="629" t="s">
        <v>894</v>
      </c>
      <c r="N80" s="626"/>
      <c r="O80" s="626"/>
      <c r="P80" s="626" t="s">
        <v>895</v>
      </c>
      <c r="Q80" s="626" t="s">
        <v>895</v>
      </c>
      <c r="R80" s="626" t="s">
        <v>895</v>
      </c>
      <c r="S80" s="626" t="s">
        <v>895</v>
      </c>
      <c r="T80" s="626" t="s">
        <v>895</v>
      </c>
      <c r="U80" s="626" t="s">
        <v>895</v>
      </c>
      <c r="V80" s="626" t="s">
        <v>895</v>
      </c>
      <c r="W80" s="626" t="s">
        <v>895</v>
      </c>
      <c r="X80" s="626" t="s">
        <v>895</v>
      </c>
      <c r="Y80" s="626" t="s">
        <v>895</v>
      </c>
      <c r="Z80" s="626" t="s">
        <v>895</v>
      </c>
      <c r="AA80" s="626" t="s">
        <v>895</v>
      </c>
      <c r="AB80" s="631" t="s">
        <v>894</v>
      </c>
      <c r="AC80" s="631" t="s">
        <v>894</v>
      </c>
      <c r="AD80" s="626"/>
    </row>
    <row r="81" spans="2:30" ht="123" customHeight="1">
      <c r="B81" s="625">
        <v>71</v>
      </c>
      <c r="C81" s="625">
        <v>110</v>
      </c>
      <c r="D81" s="626" t="s">
        <v>982</v>
      </c>
      <c r="E81" s="626" t="s">
        <v>891</v>
      </c>
      <c r="F81" s="625" t="s">
        <v>882</v>
      </c>
      <c r="G81" s="625" t="s">
        <v>883</v>
      </c>
      <c r="H81" s="625" t="s">
        <v>947</v>
      </c>
      <c r="I81" s="625" t="s">
        <v>885</v>
      </c>
      <c r="J81" s="628" t="s">
        <v>904</v>
      </c>
      <c r="K81" s="625" t="s">
        <v>948</v>
      </c>
      <c r="L81" s="626">
        <v>2016</v>
      </c>
      <c r="M81" s="629">
        <v>88531</v>
      </c>
      <c r="N81" s="626"/>
      <c r="O81" s="626"/>
      <c r="P81" s="626">
        <v>0</v>
      </c>
      <c r="Q81" s="630">
        <v>4086340</v>
      </c>
      <c r="R81" s="630">
        <v>4206544</v>
      </c>
      <c r="S81" s="630">
        <v>4206544</v>
      </c>
      <c r="T81" s="630">
        <v>103669</v>
      </c>
      <c r="U81" s="630">
        <v>111253</v>
      </c>
      <c r="V81" s="630">
        <v>121467</v>
      </c>
      <c r="W81" s="630">
        <v>124639</v>
      </c>
      <c r="X81" s="630">
        <v>124639</v>
      </c>
      <c r="Y81" s="630">
        <v>124639</v>
      </c>
      <c r="Z81" s="630">
        <v>124639</v>
      </c>
      <c r="AA81" s="630">
        <v>124639</v>
      </c>
      <c r="AB81" s="631" t="s">
        <v>983</v>
      </c>
      <c r="AC81" s="631" t="s">
        <v>889</v>
      </c>
      <c r="AD81" s="626"/>
    </row>
    <row r="82" spans="2:30" ht="123" customHeight="1">
      <c r="B82" s="625">
        <v>72</v>
      </c>
      <c r="C82" s="625">
        <v>111</v>
      </c>
      <c r="D82" s="626" t="s">
        <v>984</v>
      </c>
      <c r="E82" s="626" t="s">
        <v>891</v>
      </c>
      <c r="F82" s="625" t="s">
        <v>882</v>
      </c>
      <c r="G82" s="625" t="s">
        <v>883</v>
      </c>
      <c r="H82" s="625" t="s">
        <v>947</v>
      </c>
      <c r="I82" s="625" t="s">
        <v>885</v>
      </c>
      <c r="J82" s="628" t="s">
        <v>906</v>
      </c>
      <c r="K82" s="625" t="s">
        <v>948</v>
      </c>
      <c r="L82" s="626">
        <v>2016</v>
      </c>
      <c r="M82" s="629">
        <v>57968</v>
      </c>
      <c r="N82" s="626"/>
      <c r="O82" s="626"/>
      <c r="P82" s="626">
        <v>0</v>
      </c>
      <c r="Q82" s="630">
        <v>2851305</v>
      </c>
      <c r="R82" s="630">
        <v>2970826</v>
      </c>
      <c r="S82" s="630">
        <v>2970826</v>
      </c>
      <c r="T82" s="630">
        <v>46730</v>
      </c>
      <c r="U82" s="630">
        <v>50512</v>
      </c>
      <c r="V82" s="630">
        <v>56062</v>
      </c>
      <c r="W82" s="630">
        <v>57439</v>
      </c>
      <c r="X82" s="630">
        <v>57439</v>
      </c>
      <c r="Y82" s="630">
        <v>57439</v>
      </c>
      <c r="Z82" s="630">
        <v>57439</v>
      </c>
      <c r="AA82" s="630">
        <v>57439</v>
      </c>
      <c r="AB82" s="631" t="s">
        <v>985</v>
      </c>
      <c r="AC82" s="631" t="s">
        <v>889</v>
      </c>
      <c r="AD82" s="626"/>
    </row>
    <row r="83" spans="2:30" ht="123" customHeight="1">
      <c r="B83" s="625">
        <v>73</v>
      </c>
      <c r="C83" s="625">
        <v>112</v>
      </c>
      <c r="D83" s="626" t="s">
        <v>986</v>
      </c>
      <c r="E83" s="626" t="s">
        <v>891</v>
      </c>
      <c r="F83" s="625" t="s">
        <v>882</v>
      </c>
      <c r="G83" s="625" t="s">
        <v>883</v>
      </c>
      <c r="H83" s="625" t="s">
        <v>947</v>
      </c>
      <c r="I83" s="625" t="s">
        <v>885</v>
      </c>
      <c r="J83" s="628" t="s">
        <v>908</v>
      </c>
      <c r="K83" s="625" t="s">
        <v>948</v>
      </c>
      <c r="L83" s="626">
        <v>2016</v>
      </c>
      <c r="M83" s="629">
        <v>3072</v>
      </c>
      <c r="N83" s="626"/>
      <c r="O83" s="626"/>
      <c r="P83" s="630">
        <v>9070694</v>
      </c>
      <c r="Q83" s="630">
        <v>2548618</v>
      </c>
      <c r="R83" s="630">
        <v>2455157</v>
      </c>
      <c r="S83" s="630">
        <v>2409855</v>
      </c>
      <c r="T83" s="630">
        <v>1734</v>
      </c>
      <c r="U83" s="630">
        <v>1574</v>
      </c>
      <c r="V83" s="630">
        <v>1203</v>
      </c>
      <c r="W83" s="630">
        <v>1058</v>
      </c>
      <c r="X83" s="630">
        <v>1058</v>
      </c>
      <c r="Y83" s="630">
        <v>1058</v>
      </c>
      <c r="Z83" s="630">
        <v>1058</v>
      </c>
      <c r="AA83" s="630">
        <v>1058</v>
      </c>
      <c r="AB83" s="631" t="s">
        <v>987</v>
      </c>
      <c r="AC83" s="631" t="s">
        <v>889</v>
      </c>
      <c r="AD83" s="626"/>
    </row>
    <row r="84" spans="2:30" ht="123" customHeight="1">
      <c r="B84" s="625">
        <v>74</v>
      </c>
      <c r="C84" s="625">
        <v>113</v>
      </c>
      <c r="D84" s="626" t="s">
        <v>988</v>
      </c>
      <c r="E84" s="626" t="s">
        <v>891</v>
      </c>
      <c r="F84" s="625" t="s">
        <v>882</v>
      </c>
      <c r="G84" s="625" t="s">
        <v>883</v>
      </c>
      <c r="H84" s="625" t="s">
        <v>947</v>
      </c>
      <c r="I84" s="625" t="s">
        <v>885</v>
      </c>
      <c r="J84" s="628" t="s">
        <v>910</v>
      </c>
      <c r="K84" s="625" t="s">
        <v>948</v>
      </c>
      <c r="L84" s="626">
        <v>2016</v>
      </c>
      <c r="M84" s="629">
        <v>1843</v>
      </c>
      <c r="N84" s="626"/>
      <c r="O84" s="626"/>
      <c r="P84" s="630">
        <v>5235109</v>
      </c>
      <c r="Q84" s="630">
        <v>1649044</v>
      </c>
      <c r="R84" s="630">
        <v>1521630</v>
      </c>
      <c r="S84" s="630">
        <v>1483124</v>
      </c>
      <c r="T84" s="626">
        <v>506</v>
      </c>
      <c r="U84" s="626">
        <v>446</v>
      </c>
      <c r="V84" s="626">
        <v>319</v>
      </c>
      <c r="W84" s="626">
        <v>273</v>
      </c>
      <c r="X84" s="626">
        <v>273</v>
      </c>
      <c r="Y84" s="626">
        <v>273</v>
      </c>
      <c r="Z84" s="626">
        <v>273</v>
      </c>
      <c r="AA84" s="626">
        <v>273</v>
      </c>
      <c r="AB84" s="631" t="s">
        <v>989</v>
      </c>
      <c r="AC84" s="631" t="s">
        <v>889</v>
      </c>
      <c r="AD84" s="626"/>
    </row>
    <row r="85" spans="2:30" ht="123" customHeight="1">
      <c r="B85" s="625">
        <v>75</v>
      </c>
      <c r="C85" s="625">
        <v>114</v>
      </c>
      <c r="D85" s="626" t="s">
        <v>880</v>
      </c>
      <c r="E85" s="626" t="s">
        <v>881</v>
      </c>
      <c r="F85" s="625" t="s">
        <v>882</v>
      </c>
      <c r="G85" s="625" t="s">
        <v>883</v>
      </c>
      <c r="H85" s="625" t="s">
        <v>947</v>
      </c>
      <c r="I85" s="625" t="s">
        <v>885</v>
      </c>
      <c r="J85" s="628" t="s">
        <v>886</v>
      </c>
      <c r="K85" s="625" t="s">
        <v>887</v>
      </c>
      <c r="L85" s="626">
        <v>2016</v>
      </c>
      <c r="M85" s="629">
        <v>2517</v>
      </c>
      <c r="N85" s="626"/>
      <c r="O85" s="626"/>
      <c r="P85" s="626">
        <v>286</v>
      </c>
      <c r="Q85" s="626">
        <v>787</v>
      </c>
      <c r="R85" s="626">
        <v>817</v>
      </c>
      <c r="S85" s="626">
        <v>778</v>
      </c>
      <c r="T85" s="626">
        <v>17</v>
      </c>
      <c r="U85" s="626">
        <v>13</v>
      </c>
      <c r="V85" s="626">
        <v>10</v>
      </c>
      <c r="W85" s="626">
        <v>14</v>
      </c>
      <c r="X85" s="626">
        <v>14</v>
      </c>
      <c r="Y85" s="626">
        <v>14</v>
      </c>
      <c r="Z85" s="626">
        <v>14</v>
      </c>
      <c r="AA85" s="626">
        <v>14</v>
      </c>
      <c r="AB85" s="631" t="s">
        <v>990</v>
      </c>
      <c r="AC85" s="631" t="s">
        <v>889</v>
      </c>
      <c r="AD85" s="626"/>
    </row>
    <row r="86" spans="2:30">
      <c r="B86" s="625">
        <v>76</v>
      </c>
      <c r="C86" s="625">
        <v>116</v>
      </c>
      <c r="D86" s="627" t="s">
        <v>991</v>
      </c>
      <c r="E86" s="626" t="s">
        <v>891</v>
      </c>
      <c r="F86" s="625" t="s">
        <v>882</v>
      </c>
      <c r="G86" s="625" t="s">
        <v>892</v>
      </c>
      <c r="H86" s="625" t="s">
        <v>947</v>
      </c>
      <c r="I86" s="625" t="s">
        <v>885</v>
      </c>
      <c r="J86" s="628" t="s">
        <v>942</v>
      </c>
      <c r="K86" s="628" t="s">
        <v>992</v>
      </c>
      <c r="L86" s="626" t="s">
        <v>894</v>
      </c>
      <c r="M86" s="629" t="s">
        <v>894</v>
      </c>
      <c r="N86" s="626"/>
      <c r="O86" s="626"/>
      <c r="P86" s="626" t="s">
        <v>895</v>
      </c>
      <c r="Q86" s="626" t="s">
        <v>895</v>
      </c>
      <c r="R86" s="626" t="s">
        <v>895</v>
      </c>
      <c r="S86" s="626" t="s">
        <v>895</v>
      </c>
      <c r="T86" s="626" t="s">
        <v>895</v>
      </c>
      <c r="U86" s="626" t="s">
        <v>895</v>
      </c>
      <c r="V86" s="626" t="s">
        <v>895</v>
      </c>
      <c r="W86" s="626" t="s">
        <v>895</v>
      </c>
      <c r="X86" s="626" t="s">
        <v>895</v>
      </c>
      <c r="Y86" s="626" t="s">
        <v>895</v>
      </c>
      <c r="Z86" s="626" t="s">
        <v>895</v>
      </c>
      <c r="AA86" s="626" t="s">
        <v>895</v>
      </c>
      <c r="AB86" s="631" t="s">
        <v>894</v>
      </c>
      <c r="AC86" s="631" t="s">
        <v>894</v>
      </c>
      <c r="AD86" s="626"/>
    </row>
    <row r="87" spans="2:30">
      <c r="B87" s="625">
        <v>77</v>
      </c>
      <c r="C87" s="625">
        <v>117</v>
      </c>
      <c r="D87" s="627" t="s">
        <v>993</v>
      </c>
      <c r="E87" s="626" t="s">
        <v>891</v>
      </c>
      <c r="F87" s="625" t="s">
        <v>882</v>
      </c>
      <c r="G87" s="625" t="s">
        <v>892</v>
      </c>
      <c r="H87" s="625" t="s">
        <v>947</v>
      </c>
      <c r="I87" s="625" t="s">
        <v>885</v>
      </c>
      <c r="J87" s="628" t="s">
        <v>945</v>
      </c>
      <c r="K87" s="628" t="s">
        <v>992</v>
      </c>
      <c r="L87" s="626" t="s">
        <v>894</v>
      </c>
      <c r="M87" s="629" t="s">
        <v>894</v>
      </c>
      <c r="N87" s="626"/>
      <c r="O87" s="626"/>
      <c r="P87" s="626" t="s">
        <v>895</v>
      </c>
      <c r="Q87" s="626" t="s">
        <v>895</v>
      </c>
      <c r="R87" s="626" t="s">
        <v>895</v>
      </c>
      <c r="S87" s="626" t="s">
        <v>895</v>
      </c>
      <c r="T87" s="626" t="s">
        <v>895</v>
      </c>
      <c r="U87" s="626" t="s">
        <v>895</v>
      </c>
      <c r="V87" s="626" t="s">
        <v>895</v>
      </c>
      <c r="W87" s="626" t="s">
        <v>895</v>
      </c>
      <c r="X87" s="626" t="s">
        <v>895</v>
      </c>
      <c r="Y87" s="626" t="s">
        <v>895</v>
      </c>
      <c r="Z87" s="626" t="s">
        <v>895</v>
      </c>
      <c r="AA87" s="626" t="s">
        <v>895</v>
      </c>
      <c r="AB87" s="631" t="s">
        <v>894</v>
      </c>
      <c r="AC87" s="631" t="s">
        <v>894</v>
      </c>
      <c r="AD87" s="626"/>
    </row>
    <row r="88" spans="2:30">
      <c r="B88" s="625">
        <v>78</v>
      </c>
      <c r="C88" s="625">
        <v>119</v>
      </c>
      <c r="D88" s="627" t="s">
        <v>994</v>
      </c>
      <c r="E88" s="626" t="s">
        <v>891</v>
      </c>
      <c r="F88" s="625" t="s">
        <v>882</v>
      </c>
      <c r="G88" s="625" t="s">
        <v>892</v>
      </c>
      <c r="H88" s="625" t="s">
        <v>947</v>
      </c>
      <c r="I88" s="625" t="s">
        <v>885</v>
      </c>
      <c r="J88" s="628" t="s">
        <v>942</v>
      </c>
      <c r="K88" s="628" t="s">
        <v>995</v>
      </c>
      <c r="L88" s="626" t="s">
        <v>894</v>
      </c>
      <c r="M88" s="629" t="s">
        <v>894</v>
      </c>
      <c r="N88" s="626"/>
      <c r="O88" s="626"/>
      <c r="P88" s="626" t="s">
        <v>895</v>
      </c>
      <c r="Q88" s="626" t="s">
        <v>895</v>
      </c>
      <c r="R88" s="626" t="s">
        <v>895</v>
      </c>
      <c r="S88" s="626" t="s">
        <v>895</v>
      </c>
      <c r="T88" s="626" t="s">
        <v>895</v>
      </c>
      <c r="U88" s="626" t="s">
        <v>895</v>
      </c>
      <c r="V88" s="626" t="s">
        <v>895</v>
      </c>
      <c r="W88" s="626" t="s">
        <v>895</v>
      </c>
      <c r="X88" s="626" t="s">
        <v>895</v>
      </c>
      <c r="Y88" s="626" t="s">
        <v>895</v>
      </c>
      <c r="Z88" s="626" t="s">
        <v>895</v>
      </c>
      <c r="AA88" s="626" t="s">
        <v>895</v>
      </c>
      <c r="AB88" s="631" t="s">
        <v>894</v>
      </c>
      <c r="AC88" s="631" t="s">
        <v>894</v>
      </c>
      <c r="AD88" s="626"/>
    </row>
    <row r="89" spans="2:30">
      <c r="B89" s="625">
        <v>79</v>
      </c>
      <c r="C89" s="625">
        <v>120</v>
      </c>
      <c r="D89" s="627" t="s">
        <v>996</v>
      </c>
      <c r="E89" s="626" t="s">
        <v>891</v>
      </c>
      <c r="F89" s="625" t="s">
        <v>882</v>
      </c>
      <c r="G89" s="625" t="s">
        <v>892</v>
      </c>
      <c r="H89" s="625" t="s">
        <v>947</v>
      </c>
      <c r="I89" s="625" t="s">
        <v>885</v>
      </c>
      <c r="J89" s="628" t="s">
        <v>945</v>
      </c>
      <c r="K89" s="628" t="s">
        <v>995</v>
      </c>
      <c r="L89" s="626" t="s">
        <v>894</v>
      </c>
      <c r="M89" s="629" t="s">
        <v>894</v>
      </c>
      <c r="N89" s="626"/>
      <c r="O89" s="626"/>
      <c r="P89" s="626" t="s">
        <v>895</v>
      </c>
      <c r="Q89" s="626" t="s">
        <v>895</v>
      </c>
      <c r="R89" s="626" t="s">
        <v>895</v>
      </c>
      <c r="S89" s="626" t="s">
        <v>895</v>
      </c>
      <c r="T89" s="626" t="s">
        <v>895</v>
      </c>
      <c r="U89" s="626" t="s">
        <v>895</v>
      </c>
      <c r="V89" s="626" t="s">
        <v>895</v>
      </c>
      <c r="W89" s="626" t="s">
        <v>895</v>
      </c>
      <c r="X89" s="626" t="s">
        <v>895</v>
      </c>
      <c r="Y89" s="626" t="s">
        <v>895</v>
      </c>
      <c r="Z89" s="626" t="s">
        <v>895</v>
      </c>
      <c r="AA89" s="626" t="s">
        <v>895</v>
      </c>
      <c r="AB89" s="631" t="s">
        <v>894</v>
      </c>
      <c r="AC89" s="631" t="s">
        <v>894</v>
      </c>
      <c r="AD89" s="626"/>
    </row>
    <row r="90" spans="2:30">
      <c r="B90" s="625">
        <v>80</v>
      </c>
      <c r="C90" s="625">
        <v>139</v>
      </c>
      <c r="D90" s="627" t="s">
        <v>890</v>
      </c>
      <c r="E90" s="626" t="s">
        <v>891</v>
      </c>
      <c r="F90" s="625" t="s">
        <v>882</v>
      </c>
      <c r="G90" s="625" t="s">
        <v>892</v>
      </c>
      <c r="H90" s="625" t="s">
        <v>997</v>
      </c>
      <c r="I90" s="625" t="s">
        <v>885</v>
      </c>
      <c r="J90" s="628" t="s">
        <v>998</v>
      </c>
      <c r="K90" s="628" t="s">
        <v>893</v>
      </c>
      <c r="L90" s="626" t="s">
        <v>894</v>
      </c>
      <c r="M90" s="629" t="s">
        <v>894</v>
      </c>
      <c r="N90" s="626"/>
      <c r="O90" s="626"/>
      <c r="P90" s="626" t="s">
        <v>895</v>
      </c>
      <c r="Q90" s="626" t="s">
        <v>895</v>
      </c>
      <c r="R90" s="626" t="s">
        <v>895</v>
      </c>
      <c r="S90" s="626" t="s">
        <v>895</v>
      </c>
      <c r="T90" s="626" t="s">
        <v>895</v>
      </c>
      <c r="U90" s="626" t="s">
        <v>895</v>
      </c>
      <c r="V90" s="626" t="s">
        <v>895</v>
      </c>
      <c r="W90" s="626" t="s">
        <v>895</v>
      </c>
      <c r="X90" s="626" t="s">
        <v>895</v>
      </c>
      <c r="Y90" s="626" t="s">
        <v>895</v>
      </c>
      <c r="Z90" s="626" t="s">
        <v>895</v>
      </c>
      <c r="AA90" s="626" t="s">
        <v>895</v>
      </c>
      <c r="AB90" s="631" t="s">
        <v>894</v>
      </c>
      <c r="AC90" s="631" t="s">
        <v>894</v>
      </c>
      <c r="AD90" s="626"/>
    </row>
    <row r="91" spans="2:30">
      <c r="B91" s="625">
        <v>81</v>
      </c>
      <c r="C91" s="625">
        <v>140</v>
      </c>
      <c r="D91" s="627" t="s">
        <v>896</v>
      </c>
      <c r="E91" s="626" t="s">
        <v>891</v>
      </c>
      <c r="F91" s="625" t="s">
        <v>882</v>
      </c>
      <c r="G91" s="625" t="s">
        <v>892</v>
      </c>
      <c r="H91" s="625" t="s">
        <v>997</v>
      </c>
      <c r="I91" s="625" t="s">
        <v>885</v>
      </c>
      <c r="J91" s="628" t="s">
        <v>998</v>
      </c>
      <c r="K91" s="628" t="s">
        <v>893</v>
      </c>
      <c r="L91" s="626" t="s">
        <v>894</v>
      </c>
      <c r="M91" s="629" t="s">
        <v>894</v>
      </c>
      <c r="N91" s="626"/>
      <c r="O91" s="626"/>
      <c r="P91" s="626" t="s">
        <v>895</v>
      </c>
      <c r="Q91" s="626" t="s">
        <v>895</v>
      </c>
      <c r="R91" s="626" t="s">
        <v>895</v>
      </c>
      <c r="S91" s="626" t="s">
        <v>895</v>
      </c>
      <c r="T91" s="626" t="s">
        <v>895</v>
      </c>
      <c r="U91" s="626" t="s">
        <v>895</v>
      </c>
      <c r="V91" s="626" t="s">
        <v>895</v>
      </c>
      <c r="W91" s="626" t="s">
        <v>895</v>
      </c>
      <c r="X91" s="626" t="s">
        <v>895</v>
      </c>
      <c r="Y91" s="626" t="s">
        <v>895</v>
      </c>
      <c r="Z91" s="626" t="s">
        <v>895</v>
      </c>
      <c r="AA91" s="626" t="s">
        <v>895</v>
      </c>
      <c r="AB91" s="631" t="s">
        <v>894</v>
      </c>
      <c r="AC91" s="631" t="s">
        <v>894</v>
      </c>
      <c r="AD91" s="626"/>
    </row>
    <row r="92" spans="2:30">
      <c r="B92" s="625">
        <v>82</v>
      </c>
      <c r="C92" s="625">
        <v>141</v>
      </c>
      <c r="D92" s="627" t="s">
        <v>897</v>
      </c>
      <c r="E92" s="626" t="s">
        <v>891</v>
      </c>
      <c r="F92" s="625" t="s">
        <v>882</v>
      </c>
      <c r="G92" s="625" t="s">
        <v>892</v>
      </c>
      <c r="H92" s="625" t="s">
        <v>997</v>
      </c>
      <c r="I92" s="625" t="s">
        <v>885</v>
      </c>
      <c r="J92" s="628" t="s">
        <v>999</v>
      </c>
      <c r="K92" s="628" t="s">
        <v>893</v>
      </c>
      <c r="L92" s="626" t="s">
        <v>894</v>
      </c>
      <c r="M92" s="629" t="s">
        <v>894</v>
      </c>
      <c r="N92" s="626"/>
      <c r="O92" s="626"/>
      <c r="P92" s="626" t="s">
        <v>895</v>
      </c>
      <c r="Q92" s="626" t="s">
        <v>895</v>
      </c>
      <c r="R92" s="626" t="s">
        <v>895</v>
      </c>
      <c r="S92" s="626" t="s">
        <v>895</v>
      </c>
      <c r="T92" s="626" t="s">
        <v>895</v>
      </c>
      <c r="U92" s="626" t="s">
        <v>895</v>
      </c>
      <c r="V92" s="626" t="s">
        <v>895</v>
      </c>
      <c r="W92" s="626" t="s">
        <v>895</v>
      </c>
      <c r="X92" s="626" t="s">
        <v>895</v>
      </c>
      <c r="Y92" s="626" t="s">
        <v>895</v>
      </c>
      <c r="Z92" s="626" t="s">
        <v>895</v>
      </c>
      <c r="AA92" s="626" t="s">
        <v>895</v>
      </c>
      <c r="AB92" s="631" t="s">
        <v>894</v>
      </c>
      <c r="AC92" s="631" t="s">
        <v>894</v>
      </c>
      <c r="AD92" s="626"/>
    </row>
    <row r="93" spans="2:30">
      <c r="B93" s="625">
        <v>83</v>
      </c>
      <c r="C93" s="625">
        <v>142</v>
      </c>
      <c r="D93" s="627" t="s">
        <v>898</v>
      </c>
      <c r="E93" s="626" t="s">
        <v>891</v>
      </c>
      <c r="F93" s="625" t="s">
        <v>882</v>
      </c>
      <c r="G93" s="625" t="s">
        <v>892</v>
      </c>
      <c r="H93" s="625" t="s">
        <v>997</v>
      </c>
      <c r="I93" s="625" t="s">
        <v>885</v>
      </c>
      <c r="J93" s="628" t="s">
        <v>999</v>
      </c>
      <c r="K93" s="628" t="s">
        <v>893</v>
      </c>
      <c r="L93" s="626" t="s">
        <v>894</v>
      </c>
      <c r="M93" s="629" t="s">
        <v>894</v>
      </c>
      <c r="N93" s="626"/>
      <c r="O93" s="626"/>
      <c r="P93" s="626" t="s">
        <v>895</v>
      </c>
      <c r="Q93" s="626" t="s">
        <v>895</v>
      </c>
      <c r="R93" s="626" t="s">
        <v>895</v>
      </c>
      <c r="S93" s="626" t="s">
        <v>895</v>
      </c>
      <c r="T93" s="626" t="s">
        <v>895</v>
      </c>
      <c r="U93" s="626" t="s">
        <v>895</v>
      </c>
      <c r="V93" s="626" t="s">
        <v>895</v>
      </c>
      <c r="W93" s="626" t="s">
        <v>895</v>
      </c>
      <c r="X93" s="626" t="s">
        <v>895</v>
      </c>
      <c r="Y93" s="626" t="s">
        <v>895</v>
      </c>
      <c r="Z93" s="626" t="s">
        <v>895</v>
      </c>
      <c r="AA93" s="626" t="s">
        <v>895</v>
      </c>
      <c r="AB93" s="631" t="s">
        <v>894</v>
      </c>
      <c r="AC93" s="631" t="s">
        <v>894</v>
      </c>
      <c r="AD93" s="626"/>
    </row>
    <row r="94" spans="2:30">
      <c r="B94" s="625">
        <v>84</v>
      </c>
      <c r="C94" s="625">
        <v>143</v>
      </c>
      <c r="D94" s="627" t="s">
        <v>901</v>
      </c>
      <c r="E94" s="626" t="s">
        <v>891</v>
      </c>
      <c r="F94" s="625" t="s">
        <v>882</v>
      </c>
      <c r="G94" s="625" t="s">
        <v>892</v>
      </c>
      <c r="H94" s="625" t="s">
        <v>997</v>
      </c>
      <c r="I94" s="625" t="s">
        <v>885</v>
      </c>
      <c r="J94" s="628" t="s">
        <v>1000</v>
      </c>
      <c r="K94" s="628" t="s">
        <v>893</v>
      </c>
      <c r="L94" s="626" t="s">
        <v>894</v>
      </c>
      <c r="M94" s="629" t="s">
        <v>894</v>
      </c>
      <c r="N94" s="626"/>
      <c r="O94" s="626"/>
      <c r="P94" s="626" t="s">
        <v>895</v>
      </c>
      <c r="Q94" s="626" t="s">
        <v>895</v>
      </c>
      <c r="R94" s="626" t="s">
        <v>895</v>
      </c>
      <c r="S94" s="626" t="s">
        <v>895</v>
      </c>
      <c r="T94" s="626" t="s">
        <v>895</v>
      </c>
      <c r="U94" s="626" t="s">
        <v>895</v>
      </c>
      <c r="V94" s="626" t="s">
        <v>895</v>
      </c>
      <c r="W94" s="626" t="s">
        <v>895</v>
      </c>
      <c r="X94" s="626" t="s">
        <v>895</v>
      </c>
      <c r="Y94" s="626" t="s">
        <v>895</v>
      </c>
      <c r="Z94" s="626" t="s">
        <v>895</v>
      </c>
      <c r="AA94" s="626" t="s">
        <v>895</v>
      </c>
      <c r="AB94" s="631" t="s">
        <v>894</v>
      </c>
      <c r="AC94" s="631" t="s">
        <v>894</v>
      </c>
      <c r="AD94" s="626"/>
    </row>
    <row r="95" spans="2:30">
      <c r="B95" s="625">
        <v>85</v>
      </c>
      <c r="C95" s="625">
        <v>144</v>
      </c>
      <c r="D95" s="627" t="s">
        <v>902</v>
      </c>
      <c r="E95" s="626" t="s">
        <v>903</v>
      </c>
      <c r="F95" s="625" t="s">
        <v>882</v>
      </c>
      <c r="G95" s="625" t="s">
        <v>892</v>
      </c>
      <c r="H95" s="625" t="s">
        <v>997</v>
      </c>
      <c r="I95" s="625" t="s">
        <v>885</v>
      </c>
      <c r="J95" s="628" t="s">
        <v>1000</v>
      </c>
      <c r="K95" s="628" t="s">
        <v>893</v>
      </c>
      <c r="L95" s="626" t="s">
        <v>894</v>
      </c>
      <c r="M95" s="629" t="s">
        <v>894</v>
      </c>
      <c r="N95" s="626"/>
      <c r="O95" s="626"/>
      <c r="P95" s="626" t="s">
        <v>895</v>
      </c>
      <c r="Q95" s="626" t="s">
        <v>895</v>
      </c>
      <c r="R95" s="626" t="s">
        <v>895</v>
      </c>
      <c r="S95" s="626" t="s">
        <v>895</v>
      </c>
      <c r="T95" s="626" t="s">
        <v>895</v>
      </c>
      <c r="U95" s="626" t="s">
        <v>895</v>
      </c>
      <c r="V95" s="626" t="s">
        <v>895</v>
      </c>
      <c r="W95" s="626" t="s">
        <v>895</v>
      </c>
      <c r="X95" s="626" t="s">
        <v>895</v>
      </c>
      <c r="Y95" s="626" t="s">
        <v>895</v>
      </c>
      <c r="Z95" s="626" t="s">
        <v>895</v>
      </c>
      <c r="AA95" s="626" t="s">
        <v>895</v>
      </c>
      <c r="AB95" s="631" t="s">
        <v>894</v>
      </c>
      <c r="AC95" s="631" t="s">
        <v>894</v>
      </c>
      <c r="AD95" s="626"/>
    </row>
    <row r="96" spans="2:30" ht="123" customHeight="1">
      <c r="B96" s="625">
        <v>86</v>
      </c>
      <c r="C96" s="625">
        <v>147</v>
      </c>
      <c r="D96" s="626" t="s">
        <v>904</v>
      </c>
      <c r="E96" s="626" t="s">
        <v>891</v>
      </c>
      <c r="F96" s="625" t="s">
        <v>882</v>
      </c>
      <c r="G96" s="625" t="s">
        <v>883</v>
      </c>
      <c r="H96" s="625" t="s">
        <v>997</v>
      </c>
      <c r="I96" s="625" t="s">
        <v>885</v>
      </c>
      <c r="J96" s="628" t="s">
        <v>999</v>
      </c>
      <c r="K96" s="625" t="s">
        <v>893</v>
      </c>
      <c r="L96" s="626">
        <v>2016</v>
      </c>
      <c r="M96" s="629">
        <v>1116254876</v>
      </c>
      <c r="N96" s="626"/>
      <c r="O96" s="626"/>
      <c r="P96" s="630">
        <v>-19107511</v>
      </c>
      <c r="Q96" s="630">
        <v>461232546</v>
      </c>
      <c r="R96" s="630">
        <v>502335753</v>
      </c>
      <c r="S96" s="630">
        <v>525316898</v>
      </c>
      <c r="T96" s="630">
        <v>238594873</v>
      </c>
      <c r="U96" s="630">
        <v>220655864</v>
      </c>
      <c r="V96" s="630">
        <v>221676703</v>
      </c>
      <c r="W96" s="630">
        <v>220889823</v>
      </c>
      <c r="X96" s="630">
        <v>220889823</v>
      </c>
      <c r="Y96" s="630">
        <v>220889823</v>
      </c>
      <c r="Z96" s="630">
        <v>220889823</v>
      </c>
      <c r="AA96" s="630">
        <v>220889823</v>
      </c>
      <c r="AB96" s="631" t="s">
        <v>1001</v>
      </c>
      <c r="AC96" s="631" t="s">
        <v>889</v>
      </c>
      <c r="AD96" s="626"/>
    </row>
    <row r="97" spans="2:30" ht="123" customHeight="1">
      <c r="B97" s="625">
        <v>87</v>
      </c>
      <c r="C97" s="625">
        <v>148</v>
      </c>
      <c r="D97" s="626" t="s">
        <v>906</v>
      </c>
      <c r="E97" s="626" t="s">
        <v>891</v>
      </c>
      <c r="F97" s="625" t="s">
        <v>882</v>
      </c>
      <c r="G97" s="625" t="s">
        <v>883</v>
      </c>
      <c r="H97" s="625" t="s">
        <v>997</v>
      </c>
      <c r="I97" s="625" t="s">
        <v>885</v>
      </c>
      <c r="J97" s="628" t="s">
        <v>999</v>
      </c>
      <c r="K97" s="625" t="s">
        <v>893</v>
      </c>
      <c r="L97" s="626">
        <v>2016</v>
      </c>
      <c r="M97" s="629">
        <v>731257356</v>
      </c>
      <c r="N97" s="626"/>
      <c r="O97" s="626"/>
      <c r="P97" s="630">
        <v>-35003945</v>
      </c>
      <c r="Q97" s="630">
        <v>280350295</v>
      </c>
      <c r="R97" s="630">
        <v>305474001</v>
      </c>
      <c r="S97" s="630">
        <v>319499291</v>
      </c>
      <c r="T97" s="630">
        <v>193391437</v>
      </c>
      <c r="U97" s="630">
        <v>182991111</v>
      </c>
      <c r="V97" s="630">
        <v>182806021</v>
      </c>
      <c r="W97" s="630">
        <v>183099846</v>
      </c>
      <c r="X97" s="630">
        <v>183099846</v>
      </c>
      <c r="Y97" s="630">
        <v>183099846</v>
      </c>
      <c r="Z97" s="630">
        <v>183099846</v>
      </c>
      <c r="AA97" s="630">
        <v>183099846</v>
      </c>
      <c r="AB97" s="631" t="s">
        <v>1002</v>
      </c>
      <c r="AC97" s="631" t="s">
        <v>889</v>
      </c>
      <c r="AD97" s="626"/>
    </row>
    <row r="98" spans="2:30" ht="123" customHeight="1">
      <c r="B98" s="625">
        <v>88</v>
      </c>
      <c r="C98" s="625">
        <v>149</v>
      </c>
      <c r="D98" s="626" t="s">
        <v>908</v>
      </c>
      <c r="E98" s="626" t="s">
        <v>891</v>
      </c>
      <c r="F98" s="625" t="s">
        <v>882</v>
      </c>
      <c r="G98" s="625" t="s">
        <v>883</v>
      </c>
      <c r="H98" s="625" t="s">
        <v>997</v>
      </c>
      <c r="I98" s="625" t="s">
        <v>885</v>
      </c>
      <c r="J98" s="628" t="s">
        <v>1000</v>
      </c>
      <c r="K98" s="625" t="s">
        <v>893</v>
      </c>
      <c r="L98" s="626">
        <v>2016</v>
      </c>
      <c r="M98" s="629">
        <v>5043399</v>
      </c>
      <c r="N98" s="626"/>
      <c r="O98" s="626"/>
      <c r="P98" s="630">
        <v>30486390</v>
      </c>
      <c r="Q98" s="630">
        <v>30566609</v>
      </c>
      <c r="R98" s="630">
        <v>28825735</v>
      </c>
      <c r="S98" s="630">
        <v>32300568</v>
      </c>
      <c r="T98" s="630">
        <v>29435632</v>
      </c>
      <c r="U98" s="630">
        <v>28201242</v>
      </c>
      <c r="V98" s="630">
        <v>28304558</v>
      </c>
      <c r="W98" s="630">
        <v>27868304</v>
      </c>
      <c r="X98" s="630">
        <v>27868304</v>
      </c>
      <c r="Y98" s="630">
        <v>27868304</v>
      </c>
      <c r="Z98" s="630">
        <v>27868304</v>
      </c>
      <c r="AA98" s="630">
        <v>27868304</v>
      </c>
      <c r="AB98" s="631" t="s">
        <v>1003</v>
      </c>
      <c r="AC98" s="631" t="s">
        <v>889</v>
      </c>
      <c r="AD98" s="626"/>
    </row>
    <row r="99" spans="2:30" ht="123" customHeight="1">
      <c r="B99" s="625">
        <v>89</v>
      </c>
      <c r="C99" s="625">
        <v>150</v>
      </c>
      <c r="D99" s="626" t="s">
        <v>910</v>
      </c>
      <c r="E99" s="626" t="s">
        <v>881</v>
      </c>
      <c r="F99" s="625" t="s">
        <v>882</v>
      </c>
      <c r="G99" s="625" t="s">
        <v>883</v>
      </c>
      <c r="H99" s="625" t="s">
        <v>997</v>
      </c>
      <c r="I99" s="625" t="s">
        <v>885</v>
      </c>
      <c r="J99" s="628" t="s">
        <v>1000</v>
      </c>
      <c r="K99" s="625" t="s">
        <v>893</v>
      </c>
      <c r="L99" s="626">
        <v>2016</v>
      </c>
      <c r="M99" s="629">
        <v>3035633</v>
      </c>
      <c r="N99" s="626"/>
      <c r="O99" s="626"/>
      <c r="P99" s="630">
        <v>22532481</v>
      </c>
      <c r="Q99" s="630">
        <v>18152599</v>
      </c>
      <c r="R99" s="630">
        <v>17089536</v>
      </c>
      <c r="S99" s="630">
        <v>19225714</v>
      </c>
      <c r="T99" s="630">
        <v>18596421</v>
      </c>
      <c r="U99" s="630">
        <v>17563929</v>
      </c>
      <c r="V99" s="630">
        <v>17544571</v>
      </c>
      <c r="W99" s="630">
        <v>17309569</v>
      </c>
      <c r="X99" s="630">
        <v>17309569</v>
      </c>
      <c r="Y99" s="630">
        <v>17309569</v>
      </c>
      <c r="Z99" s="630">
        <v>17309569</v>
      </c>
      <c r="AA99" s="630">
        <v>17309569</v>
      </c>
      <c r="AB99" s="631" t="s">
        <v>1004</v>
      </c>
      <c r="AC99" s="631" t="s">
        <v>889</v>
      </c>
      <c r="AD99" s="626"/>
    </row>
    <row r="100" spans="2:30" ht="30">
      <c r="B100" s="625">
        <v>90</v>
      </c>
      <c r="C100" s="625">
        <v>151</v>
      </c>
      <c r="D100" s="627" t="s">
        <v>1005</v>
      </c>
      <c r="E100" s="626" t="s">
        <v>891</v>
      </c>
      <c r="F100" s="625" t="s">
        <v>882</v>
      </c>
      <c r="G100" s="625" t="s">
        <v>892</v>
      </c>
      <c r="H100" s="625" t="s">
        <v>997</v>
      </c>
      <c r="I100" s="625" t="s">
        <v>885</v>
      </c>
      <c r="J100" s="628" t="s">
        <v>1006</v>
      </c>
      <c r="K100" s="628" t="s">
        <v>1007</v>
      </c>
      <c r="L100" s="626" t="s">
        <v>894</v>
      </c>
      <c r="M100" s="629" t="s">
        <v>894</v>
      </c>
      <c r="N100" s="626"/>
      <c r="O100" s="626"/>
      <c r="P100" s="626" t="s">
        <v>895</v>
      </c>
      <c r="Q100" s="626" t="s">
        <v>895</v>
      </c>
      <c r="R100" s="626" t="s">
        <v>895</v>
      </c>
      <c r="S100" s="626" t="s">
        <v>895</v>
      </c>
      <c r="T100" s="626" t="s">
        <v>895</v>
      </c>
      <c r="U100" s="626" t="s">
        <v>895</v>
      </c>
      <c r="V100" s="626" t="s">
        <v>895</v>
      </c>
      <c r="W100" s="626" t="s">
        <v>895</v>
      </c>
      <c r="X100" s="626" t="s">
        <v>895</v>
      </c>
      <c r="Y100" s="626" t="s">
        <v>895</v>
      </c>
      <c r="Z100" s="626" t="s">
        <v>895</v>
      </c>
      <c r="AA100" s="626" t="s">
        <v>895</v>
      </c>
      <c r="AB100" s="631" t="s">
        <v>894</v>
      </c>
      <c r="AC100" s="631" t="s">
        <v>894</v>
      </c>
      <c r="AD100" s="626"/>
    </row>
    <row r="101" spans="2:30" ht="30">
      <c r="B101" s="625">
        <v>91</v>
      </c>
      <c r="C101" s="625">
        <v>152</v>
      </c>
      <c r="D101" s="627" t="s">
        <v>1008</v>
      </c>
      <c r="E101" s="626" t="s">
        <v>891</v>
      </c>
      <c r="F101" s="625" t="s">
        <v>882</v>
      </c>
      <c r="G101" s="625" t="s">
        <v>892</v>
      </c>
      <c r="H101" s="625" t="s">
        <v>997</v>
      </c>
      <c r="I101" s="625" t="s">
        <v>885</v>
      </c>
      <c r="J101" s="628" t="s">
        <v>1006</v>
      </c>
      <c r="K101" s="628" t="s">
        <v>1007</v>
      </c>
      <c r="L101" s="626" t="s">
        <v>894</v>
      </c>
      <c r="M101" s="629" t="s">
        <v>894</v>
      </c>
      <c r="N101" s="626"/>
      <c r="O101" s="626"/>
      <c r="P101" s="626" t="s">
        <v>895</v>
      </c>
      <c r="Q101" s="626" t="s">
        <v>895</v>
      </c>
      <c r="R101" s="626" t="s">
        <v>895</v>
      </c>
      <c r="S101" s="626" t="s">
        <v>895</v>
      </c>
      <c r="T101" s="626" t="s">
        <v>895</v>
      </c>
      <c r="U101" s="626" t="s">
        <v>895</v>
      </c>
      <c r="V101" s="626" t="s">
        <v>895</v>
      </c>
      <c r="W101" s="626" t="s">
        <v>895</v>
      </c>
      <c r="X101" s="626" t="s">
        <v>895</v>
      </c>
      <c r="Y101" s="626" t="s">
        <v>895</v>
      </c>
      <c r="Z101" s="626" t="s">
        <v>895</v>
      </c>
      <c r="AA101" s="626" t="s">
        <v>895</v>
      </c>
      <c r="AB101" s="631" t="s">
        <v>894</v>
      </c>
      <c r="AC101" s="631" t="s">
        <v>894</v>
      </c>
      <c r="AD101" s="626"/>
    </row>
    <row r="102" spans="2:30" ht="30">
      <c r="B102" s="625">
        <v>92</v>
      </c>
      <c r="C102" s="625">
        <v>153</v>
      </c>
      <c r="D102" s="627" t="s">
        <v>1009</v>
      </c>
      <c r="E102" s="626" t="s">
        <v>891</v>
      </c>
      <c r="F102" s="625" t="s">
        <v>882</v>
      </c>
      <c r="G102" s="625" t="s">
        <v>892</v>
      </c>
      <c r="H102" s="625" t="s">
        <v>997</v>
      </c>
      <c r="I102" s="625" t="s">
        <v>885</v>
      </c>
      <c r="J102" s="628" t="s">
        <v>1006</v>
      </c>
      <c r="K102" s="628" t="s">
        <v>1007</v>
      </c>
      <c r="L102" s="626" t="s">
        <v>894</v>
      </c>
      <c r="M102" s="629" t="s">
        <v>894</v>
      </c>
      <c r="N102" s="626"/>
      <c r="O102" s="626"/>
      <c r="P102" s="626" t="s">
        <v>895</v>
      </c>
      <c r="Q102" s="626" t="s">
        <v>895</v>
      </c>
      <c r="R102" s="626" t="s">
        <v>895</v>
      </c>
      <c r="S102" s="626" t="s">
        <v>895</v>
      </c>
      <c r="T102" s="626" t="s">
        <v>895</v>
      </c>
      <c r="U102" s="626" t="s">
        <v>895</v>
      </c>
      <c r="V102" s="626" t="s">
        <v>895</v>
      </c>
      <c r="W102" s="626" t="s">
        <v>895</v>
      </c>
      <c r="X102" s="626" t="s">
        <v>895</v>
      </c>
      <c r="Y102" s="626" t="s">
        <v>895</v>
      </c>
      <c r="Z102" s="626" t="s">
        <v>895</v>
      </c>
      <c r="AA102" s="626" t="s">
        <v>895</v>
      </c>
      <c r="AB102" s="631" t="s">
        <v>894</v>
      </c>
      <c r="AC102" s="631" t="s">
        <v>894</v>
      </c>
      <c r="AD102" s="626"/>
    </row>
    <row r="103" spans="2:30" ht="30">
      <c r="B103" s="625">
        <v>93</v>
      </c>
      <c r="C103" s="625">
        <v>154</v>
      </c>
      <c r="D103" s="627" t="s">
        <v>1010</v>
      </c>
      <c r="E103" s="626" t="s">
        <v>891</v>
      </c>
      <c r="F103" s="625" t="s">
        <v>882</v>
      </c>
      <c r="G103" s="625" t="s">
        <v>892</v>
      </c>
      <c r="H103" s="625" t="s">
        <v>997</v>
      </c>
      <c r="I103" s="625" t="s">
        <v>885</v>
      </c>
      <c r="J103" s="628" t="s">
        <v>1006</v>
      </c>
      <c r="K103" s="628" t="s">
        <v>1007</v>
      </c>
      <c r="L103" s="626" t="s">
        <v>894</v>
      </c>
      <c r="M103" s="629" t="s">
        <v>894</v>
      </c>
      <c r="N103" s="626"/>
      <c r="O103" s="626"/>
      <c r="P103" s="626" t="s">
        <v>895</v>
      </c>
      <c r="Q103" s="626" t="s">
        <v>895</v>
      </c>
      <c r="R103" s="626" t="s">
        <v>895</v>
      </c>
      <c r="S103" s="626" t="s">
        <v>895</v>
      </c>
      <c r="T103" s="626" t="s">
        <v>895</v>
      </c>
      <c r="U103" s="626" t="s">
        <v>895</v>
      </c>
      <c r="V103" s="626" t="s">
        <v>895</v>
      </c>
      <c r="W103" s="626" t="s">
        <v>895</v>
      </c>
      <c r="X103" s="626" t="s">
        <v>895</v>
      </c>
      <c r="Y103" s="626" t="s">
        <v>895</v>
      </c>
      <c r="Z103" s="626" t="s">
        <v>895</v>
      </c>
      <c r="AA103" s="626" t="s">
        <v>895</v>
      </c>
      <c r="AB103" s="631" t="s">
        <v>894</v>
      </c>
      <c r="AC103" s="631" t="s">
        <v>894</v>
      </c>
      <c r="AD103" s="626"/>
    </row>
    <row r="104" spans="2:30" ht="30">
      <c r="B104" s="625">
        <v>94</v>
      </c>
      <c r="C104" s="625">
        <v>155</v>
      </c>
      <c r="D104" s="627" t="s">
        <v>1011</v>
      </c>
      <c r="E104" s="626" t="s">
        <v>891</v>
      </c>
      <c r="F104" s="625" t="s">
        <v>882</v>
      </c>
      <c r="G104" s="625" t="s">
        <v>892</v>
      </c>
      <c r="H104" s="625" t="s">
        <v>997</v>
      </c>
      <c r="I104" s="625" t="s">
        <v>885</v>
      </c>
      <c r="J104" s="628" t="s">
        <v>1006</v>
      </c>
      <c r="K104" s="628" t="s">
        <v>1007</v>
      </c>
      <c r="L104" s="626" t="s">
        <v>894</v>
      </c>
      <c r="M104" s="629" t="s">
        <v>894</v>
      </c>
      <c r="N104" s="626"/>
      <c r="O104" s="626"/>
      <c r="P104" s="626" t="s">
        <v>895</v>
      </c>
      <c r="Q104" s="626" t="s">
        <v>895</v>
      </c>
      <c r="R104" s="626" t="s">
        <v>895</v>
      </c>
      <c r="S104" s="626" t="s">
        <v>895</v>
      </c>
      <c r="T104" s="626" t="s">
        <v>895</v>
      </c>
      <c r="U104" s="626" t="s">
        <v>895</v>
      </c>
      <c r="V104" s="626" t="s">
        <v>895</v>
      </c>
      <c r="W104" s="626" t="s">
        <v>895</v>
      </c>
      <c r="X104" s="626" t="s">
        <v>895</v>
      </c>
      <c r="Y104" s="626" t="s">
        <v>895</v>
      </c>
      <c r="Z104" s="626" t="s">
        <v>895</v>
      </c>
      <c r="AA104" s="626" t="s">
        <v>895</v>
      </c>
      <c r="AB104" s="631" t="s">
        <v>894</v>
      </c>
      <c r="AC104" s="631" t="s">
        <v>894</v>
      </c>
      <c r="AD104" s="626"/>
    </row>
    <row r="105" spans="2:30" ht="30">
      <c r="B105" s="625">
        <v>95</v>
      </c>
      <c r="C105" s="625">
        <v>156</v>
      </c>
      <c r="D105" s="627" t="s">
        <v>1012</v>
      </c>
      <c r="E105" s="626" t="s">
        <v>903</v>
      </c>
      <c r="F105" s="625" t="s">
        <v>882</v>
      </c>
      <c r="G105" s="625" t="s">
        <v>892</v>
      </c>
      <c r="H105" s="625" t="s">
        <v>997</v>
      </c>
      <c r="I105" s="625" t="s">
        <v>885</v>
      </c>
      <c r="J105" s="628" t="s">
        <v>1006</v>
      </c>
      <c r="K105" s="628" t="s">
        <v>1007</v>
      </c>
      <c r="L105" s="626" t="s">
        <v>894</v>
      </c>
      <c r="M105" s="629" t="s">
        <v>894</v>
      </c>
      <c r="N105" s="626"/>
      <c r="O105" s="626"/>
      <c r="P105" s="626" t="s">
        <v>895</v>
      </c>
      <c r="Q105" s="626" t="s">
        <v>895</v>
      </c>
      <c r="R105" s="626" t="s">
        <v>895</v>
      </c>
      <c r="S105" s="626" t="s">
        <v>895</v>
      </c>
      <c r="T105" s="626" t="s">
        <v>895</v>
      </c>
      <c r="U105" s="626" t="s">
        <v>895</v>
      </c>
      <c r="V105" s="626" t="s">
        <v>895</v>
      </c>
      <c r="W105" s="626" t="s">
        <v>895</v>
      </c>
      <c r="X105" s="626" t="s">
        <v>895</v>
      </c>
      <c r="Y105" s="626" t="s">
        <v>895</v>
      </c>
      <c r="Z105" s="626" t="s">
        <v>895</v>
      </c>
      <c r="AA105" s="626" t="s">
        <v>895</v>
      </c>
      <c r="AB105" s="631" t="s">
        <v>894</v>
      </c>
      <c r="AC105" s="631" t="s">
        <v>894</v>
      </c>
      <c r="AD105" s="626"/>
    </row>
    <row r="106" spans="2:30" ht="123" customHeight="1">
      <c r="B106" s="625">
        <v>96</v>
      </c>
      <c r="C106" s="625">
        <v>163</v>
      </c>
      <c r="D106" s="626" t="s">
        <v>880</v>
      </c>
      <c r="E106" s="626" t="s">
        <v>881</v>
      </c>
      <c r="F106" s="625" t="s">
        <v>882</v>
      </c>
      <c r="G106" s="625" t="s">
        <v>883</v>
      </c>
      <c r="H106" s="625" t="s">
        <v>997</v>
      </c>
      <c r="I106" s="625" t="s">
        <v>885</v>
      </c>
      <c r="J106" s="628" t="s">
        <v>886</v>
      </c>
      <c r="K106" s="625" t="s">
        <v>887</v>
      </c>
      <c r="L106" s="626">
        <v>2016</v>
      </c>
      <c r="M106" s="629">
        <v>50515</v>
      </c>
      <c r="N106" s="626"/>
      <c r="O106" s="626"/>
      <c r="P106" s="630">
        <v>-1390</v>
      </c>
      <c r="Q106" s="630">
        <v>11684</v>
      </c>
      <c r="R106" s="630">
        <v>12690</v>
      </c>
      <c r="S106" s="630">
        <v>13047</v>
      </c>
      <c r="T106" s="630">
        <v>3834</v>
      </c>
      <c r="U106" s="630">
        <v>2143</v>
      </c>
      <c r="V106" s="630">
        <v>2013</v>
      </c>
      <c r="W106" s="630">
        <v>1966</v>
      </c>
      <c r="X106" s="630">
        <v>1966</v>
      </c>
      <c r="Y106" s="630">
        <v>1966</v>
      </c>
      <c r="Z106" s="630">
        <v>1966</v>
      </c>
      <c r="AA106" s="630">
        <v>1966</v>
      </c>
      <c r="AB106" s="631" t="s">
        <v>1013</v>
      </c>
      <c r="AC106" s="631" t="s">
        <v>889</v>
      </c>
      <c r="AD106" s="626"/>
    </row>
    <row r="107" spans="2:30" ht="45">
      <c r="B107" s="625">
        <v>97</v>
      </c>
      <c r="C107" s="625">
        <v>183</v>
      </c>
      <c r="D107" s="627" t="s">
        <v>1014</v>
      </c>
      <c r="E107" s="626" t="s">
        <v>891</v>
      </c>
      <c r="F107" s="625" t="s">
        <v>882</v>
      </c>
      <c r="G107" s="625" t="s">
        <v>892</v>
      </c>
      <c r="H107" s="625" t="s">
        <v>997</v>
      </c>
      <c r="I107" s="625" t="s">
        <v>885</v>
      </c>
      <c r="J107" s="628" t="s">
        <v>1006</v>
      </c>
      <c r="K107" s="628" t="s">
        <v>1015</v>
      </c>
      <c r="L107" s="626" t="s">
        <v>894</v>
      </c>
      <c r="M107" s="629" t="s">
        <v>894</v>
      </c>
      <c r="N107" s="626"/>
      <c r="O107" s="626"/>
      <c r="P107" s="626" t="s">
        <v>895</v>
      </c>
      <c r="Q107" s="626" t="s">
        <v>895</v>
      </c>
      <c r="R107" s="626" t="s">
        <v>895</v>
      </c>
      <c r="S107" s="626" t="s">
        <v>895</v>
      </c>
      <c r="T107" s="626" t="s">
        <v>895</v>
      </c>
      <c r="U107" s="626" t="s">
        <v>895</v>
      </c>
      <c r="V107" s="626" t="s">
        <v>895</v>
      </c>
      <c r="W107" s="626" t="s">
        <v>895</v>
      </c>
      <c r="X107" s="626" t="s">
        <v>895</v>
      </c>
      <c r="Y107" s="626" t="s">
        <v>895</v>
      </c>
      <c r="Z107" s="626" t="s">
        <v>895</v>
      </c>
      <c r="AA107" s="626" t="s">
        <v>895</v>
      </c>
      <c r="AB107" s="631" t="s">
        <v>894</v>
      </c>
      <c r="AC107" s="631" t="s">
        <v>894</v>
      </c>
      <c r="AD107" s="626"/>
    </row>
    <row r="108" spans="2:30" ht="30">
      <c r="B108" s="625">
        <v>98</v>
      </c>
      <c r="C108" s="625">
        <v>184</v>
      </c>
      <c r="D108" s="627" t="s">
        <v>1016</v>
      </c>
      <c r="E108" s="626" t="s">
        <v>891</v>
      </c>
      <c r="F108" s="625" t="s">
        <v>882</v>
      </c>
      <c r="G108" s="625" t="s">
        <v>892</v>
      </c>
      <c r="H108" s="625" t="s">
        <v>997</v>
      </c>
      <c r="I108" s="625" t="s">
        <v>885</v>
      </c>
      <c r="J108" s="628" t="s">
        <v>1006</v>
      </c>
      <c r="K108" s="628" t="s">
        <v>1017</v>
      </c>
      <c r="L108" s="626" t="s">
        <v>894</v>
      </c>
      <c r="M108" s="629" t="s">
        <v>894</v>
      </c>
      <c r="N108" s="626"/>
      <c r="O108" s="626"/>
      <c r="P108" s="626" t="s">
        <v>895</v>
      </c>
      <c r="Q108" s="626" t="s">
        <v>895</v>
      </c>
      <c r="R108" s="626" t="s">
        <v>895</v>
      </c>
      <c r="S108" s="626" t="s">
        <v>895</v>
      </c>
      <c r="T108" s="626" t="s">
        <v>895</v>
      </c>
      <c r="U108" s="626" t="s">
        <v>895</v>
      </c>
      <c r="V108" s="626" t="s">
        <v>895</v>
      </c>
      <c r="W108" s="626" t="s">
        <v>895</v>
      </c>
      <c r="X108" s="626" t="s">
        <v>895</v>
      </c>
      <c r="Y108" s="626" t="s">
        <v>895</v>
      </c>
      <c r="Z108" s="626" t="s">
        <v>895</v>
      </c>
      <c r="AA108" s="626" t="s">
        <v>895</v>
      </c>
      <c r="AB108" s="631" t="s">
        <v>894</v>
      </c>
      <c r="AC108" s="631" t="s">
        <v>894</v>
      </c>
      <c r="AD108" s="626"/>
    </row>
    <row r="109" spans="2:30">
      <c r="B109" s="625">
        <v>99</v>
      </c>
      <c r="C109" s="625">
        <v>186</v>
      </c>
      <c r="D109" s="627" t="s">
        <v>1018</v>
      </c>
      <c r="E109" s="626" t="s">
        <v>891</v>
      </c>
      <c r="F109" s="625" t="s">
        <v>882</v>
      </c>
      <c r="G109" s="625" t="s">
        <v>892</v>
      </c>
      <c r="H109" s="625" t="s">
        <v>997</v>
      </c>
      <c r="I109" s="625" t="s">
        <v>885</v>
      </c>
      <c r="J109" s="628" t="s">
        <v>1006</v>
      </c>
      <c r="K109" s="628" t="s">
        <v>1019</v>
      </c>
      <c r="L109" s="626" t="s">
        <v>894</v>
      </c>
      <c r="M109" s="629" t="s">
        <v>894</v>
      </c>
      <c r="N109" s="626"/>
      <c r="O109" s="626"/>
      <c r="P109" s="626" t="s">
        <v>895</v>
      </c>
      <c r="Q109" s="626" t="s">
        <v>895</v>
      </c>
      <c r="R109" s="626" t="s">
        <v>895</v>
      </c>
      <c r="S109" s="626" t="s">
        <v>895</v>
      </c>
      <c r="T109" s="626" t="s">
        <v>895</v>
      </c>
      <c r="U109" s="626" t="s">
        <v>895</v>
      </c>
      <c r="V109" s="626" t="s">
        <v>895</v>
      </c>
      <c r="W109" s="626" t="s">
        <v>895</v>
      </c>
      <c r="X109" s="626" t="s">
        <v>895</v>
      </c>
      <c r="Y109" s="626" t="s">
        <v>895</v>
      </c>
      <c r="Z109" s="626" t="s">
        <v>895</v>
      </c>
      <c r="AA109" s="626" t="s">
        <v>895</v>
      </c>
      <c r="AB109" s="631" t="s">
        <v>894</v>
      </c>
      <c r="AC109" s="631" t="s">
        <v>894</v>
      </c>
      <c r="AD109" s="626"/>
    </row>
    <row r="110" spans="2:30">
      <c r="B110" s="625">
        <v>100</v>
      </c>
      <c r="C110" s="625">
        <v>188</v>
      </c>
      <c r="D110" s="627" t="s">
        <v>890</v>
      </c>
      <c r="E110" s="626" t="s">
        <v>891</v>
      </c>
      <c r="F110" s="625" t="s">
        <v>882</v>
      </c>
      <c r="G110" s="625" t="s">
        <v>892</v>
      </c>
      <c r="H110" s="625" t="s">
        <v>1020</v>
      </c>
      <c r="I110" s="625" t="s">
        <v>885</v>
      </c>
      <c r="J110" s="628" t="s">
        <v>890</v>
      </c>
      <c r="K110" s="628" t="s">
        <v>1021</v>
      </c>
      <c r="L110" s="626" t="s">
        <v>894</v>
      </c>
      <c r="M110" s="629" t="s">
        <v>894</v>
      </c>
      <c r="N110" s="626"/>
      <c r="O110" s="626"/>
      <c r="P110" s="626" t="s">
        <v>895</v>
      </c>
      <c r="Q110" s="626" t="s">
        <v>895</v>
      </c>
      <c r="R110" s="626" t="s">
        <v>895</v>
      </c>
      <c r="S110" s="626" t="s">
        <v>895</v>
      </c>
      <c r="T110" s="626" t="s">
        <v>895</v>
      </c>
      <c r="U110" s="626" t="s">
        <v>895</v>
      </c>
      <c r="V110" s="626" t="s">
        <v>895</v>
      </c>
      <c r="W110" s="626" t="s">
        <v>895</v>
      </c>
      <c r="X110" s="626" t="s">
        <v>895</v>
      </c>
      <c r="Y110" s="626" t="s">
        <v>895</v>
      </c>
      <c r="Z110" s="626" t="s">
        <v>895</v>
      </c>
      <c r="AA110" s="626" t="s">
        <v>895</v>
      </c>
      <c r="AB110" s="631" t="s">
        <v>894</v>
      </c>
      <c r="AC110" s="631" t="s">
        <v>894</v>
      </c>
      <c r="AD110" s="626"/>
    </row>
    <row r="111" spans="2:30">
      <c r="B111" s="625">
        <v>101</v>
      </c>
      <c r="C111" s="625">
        <v>189</v>
      </c>
      <c r="D111" s="627" t="s">
        <v>896</v>
      </c>
      <c r="E111" s="626" t="s">
        <v>891</v>
      </c>
      <c r="F111" s="625" t="s">
        <v>882</v>
      </c>
      <c r="G111" s="625" t="s">
        <v>892</v>
      </c>
      <c r="H111" s="625" t="s">
        <v>1020</v>
      </c>
      <c r="I111" s="625" t="s">
        <v>885</v>
      </c>
      <c r="J111" s="628" t="s">
        <v>896</v>
      </c>
      <c r="K111" s="628" t="s">
        <v>1021</v>
      </c>
      <c r="L111" s="626" t="s">
        <v>894</v>
      </c>
      <c r="M111" s="629" t="s">
        <v>894</v>
      </c>
      <c r="N111" s="626"/>
      <c r="O111" s="626"/>
      <c r="P111" s="626" t="s">
        <v>895</v>
      </c>
      <c r="Q111" s="626" t="s">
        <v>895</v>
      </c>
      <c r="R111" s="626" t="s">
        <v>895</v>
      </c>
      <c r="S111" s="626" t="s">
        <v>895</v>
      </c>
      <c r="T111" s="626" t="s">
        <v>895</v>
      </c>
      <c r="U111" s="626" t="s">
        <v>895</v>
      </c>
      <c r="V111" s="626" t="s">
        <v>895</v>
      </c>
      <c r="W111" s="626" t="s">
        <v>895</v>
      </c>
      <c r="X111" s="626" t="s">
        <v>895</v>
      </c>
      <c r="Y111" s="626" t="s">
        <v>895</v>
      </c>
      <c r="Z111" s="626" t="s">
        <v>895</v>
      </c>
      <c r="AA111" s="626" t="s">
        <v>895</v>
      </c>
      <c r="AB111" s="631" t="s">
        <v>894</v>
      </c>
      <c r="AC111" s="631" t="s">
        <v>894</v>
      </c>
      <c r="AD111" s="626"/>
    </row>
    <row r="112" spans="2:30">
      <c r="B112" s="625">
        <v>102</v>
      </c>
      <c r="C112" s="625">
        <v>190</v>
      </c>
      <c r="D112" s="627" t="s">
        <v>897</v>
      </c>
      <c r="E112" s="626" t="s">
        <v>891</v>
      </c>
      <c r="F112" s="625" t="s">
        <v>882</v>
      </c>
      <c r="G112" s="625" t="s">
        <v>892</v>
      </c>
      <c r="H112" s="625" t="s">
        <v>1020</v>
      </c>
      <c r="I112" s="625" t="s">
        <v>885</v>
      </c>
      <c r="J112" s="628" t="s">
        <v>897</v>
      </c>
      <c r="K112" s="628" t="s">
        <v>1021</v>
      </c>
      <c r="L112" s="626" t="s">
        <v>894</v>
      </c>
      <c r="M112" s="629" t="s">
        <v>894</v>
      </c>
      <c r="N112" s="626"/>
      <c r="O112" s="626"/>
      <c r="P112" s="626" t="s">
        <v>895</v>
      </c>
      <c r="Q112" s="626" t="s">
        <v>895</v>
      </c>
      <c r="R112" s="626" t="s">
        <v>895</v>
      </c>
      <c r="S112" s="626" t="s">
        <v>895</v>
      </c>
      <c r="T112" s="626" t="s">
        <v>895</v>
      </c>
      <c r="U112" s="626" t="s">
        <v>895</v>
      </c>
      <c r="V112" s="626" t="s">
        <v>895</v>
      </c>
      <c r="W112" s="626" t="s">
        <v>895</v>
      </c>
      <c r="X112" s="626" t="s">
        <v>895</v>
      </c>
      <c r="Y112" s="626" t="s">
        <v>895</v>
      </c>
      <c r="Z112" s="626" t="s">
        <v>895</v>
      </c>
      <c r="AA112" s="626" t="s">
        <v>895</v>
      </c>
      <c r="AB112" s="631" t="s">
        <v>894</v>
      </c>
      <c r="AC112" s="631" t="s">
        <v>894</v>
      </c>
      <c r="AD112" s="626"/>
    </row>
    <row r="113" spans="2:30">
      <c r="B113" s="625">
        <v>103</v>
      </c>
      <c r="C113" s="625">
        <v>191</v>
      </c>
      <c r="D113" s="627" t="s">
        <v>898</v>
      </c>
      <c r="E113" s="626" t="s">
        <v>891</v>
      </c>
      <c r="F113" s="625" t="s">
        <v>882</v>
      </c>
      <c r="G113" s="625" t="s">
        <v>892</v>
      </c>
      <c r="H113" s="625" t="s">
        <v>1020</v>
      </c>
      <c r="I113" s="625" t="s">
        <v>885</v>
      </c>
      <c r="J113" s="628" t="s">
        <v>898</v>
      </c>
      <c r="K113" s="628" t="s">
        <v>1021</v>
      </c>
      <c r="L113" s="626" t="s">
        <v>894</v>
      </c>
      <c r="M113" s="629" t="s">
        <v>894</v>
      </c>
      <c r="N113" s="626"/>
      <c r="O113" s="626"/>
      <c r="P113" s="626" t="s">
        <v>895</v>
      </c>
      <c r="Q113" s="626" t="s">
        <v>895</v>
      </c>
      <c r="R113" s="626" t="s">
        <v>895</v>
      </c>
      <c r="S113" s="626" t="s">
        <v>895</v>
      </c>
      <c r="T113" s="626" t="s">
        <v>895</v>
      </c>
      <c r="U113" s="626" t="s">
        <v>895</v>
      </c>
      <c r="V113" s="626" t="s">
        <v>895</v>
      </c>
      <c r="W113" s="626" t="s">
        <v>895</v>
      </c>
      <c r="X113" s="626" t="s">
        <v>895</v>
      </c>
      <c r="Y113" s="626" t="s">
        <v>895</v>
      </c>
      <c r="Z113" s="626" t="s">
        <v>895</v>
      </c>
      <c r="AA113" s="626" t="s">
        <v>895</v>
      </c>
      <c r="AB113" s="631" t="s">
        <v>894</v>
      </c>
      <c r="AC113" s="631" t="s">
        <v>894</v>
      </c>
      <c r="AD113" s="626"/>
    </row>
    <row r="114" spans="2:30">
      <c r="B114" s="625">
        <v>104</v>
      </c>
      <c r="C114" s="625">
        <v>192</v>
      </c>
      <c r="D114" s="627" t="s">
        <v>901</v>
      </c>
      <c r="E114" s="626" t="s">
        <v>891</v>
      </c>
      <c r="F114" s="625" t="s">
        <v>882</v>
      </c>
      <c r="G114" s="625" t="s">
        <v>892</v>
      </c>
      <c r="H114" s="625" t="s">
        <v>1020</v>
      </c>
      <c r="I114" s="625" t="s">
        <v>885</v>
      </c>
      <c r="J114" s="628" t="s">
        <v>901</v>
      </c>
      <c r="K114" s="628" t="s">
        <v>1021</v>
      </c>
      <c r="L114" s="626" t="s">
        <v>894</v>
      </c>
      <c r="M114" s="629" t="s">
        <v>894</v>
      </c>
      <c r="N114" s="626"/>
      <c r="O114" s="626"/>
      <c r="P114" s="626" t="s">
        <v>895</v>
      </c>
      <c r="Q114" s="626" t="s">
        <v>895</v>
      </c>
      <c r="R114" s="626" t="s">
        <v>895</v>
      </c>
      <c r="S114" s="626" t="s">
        <v>895</v>
      </c>
      <c r="T114" s="626" t="s">
        <v>895</v>
      </c>
      <c r="U114" s="626" t="s">
        <v>895</v>
      </c>
      <c r="V114" s="626" t="s">
        <v>895</v>
      </c>
      <c r="W114" s="626" t="s">
        <v>895</v>
      </c>
      <c r="X114" s="626" t="s">
        <v>895</v>
      </c>
      <c r="Y114" s="626" t="s">
        <v>895</v>
      </c>
      <c r="Z114" s="626" t="s">
        <v>895</v>
      </c>
      <c r="AA114" s="626" t="s">
        <v>895</v>
      </c>
      <c r="AB114" s="631" t="s">
        <v>894</v>
      </c>
      <c r="AC114" s="631" t="s">
        <v>894</v>
      </c>
      <c r="AD114" s="626"/>
    </row>
    <row r="115" spans="2:30">
      <c r="B115" s="625">
        <v>105</v>
      </c>
      <c r="C115" s="625">
        <v>193</v>
      </c>
      <c r="D115" s="627" t="s">
        <v>902</v>
      </c>
      <c r="E115" s="626" t="s">
        <v>903</v>
      </c>
      <c r="F115" s="625" t="s">
        <v>882</v>
      </c>
      <c r="G115" s="625" t="s">
        <v>892</v>
      </c>
      <c r="H115" s="625" t="s">
        <v>1020</v>
      </c>
      <c r="I115" s="625" t="s">
        <v>885</v>
      </c>
      <c r="J115" s="628" t="s">
        <v>902</v>
      </c>
      <c r="K115" s="628" t="s">
        <v>1021</v>
      </c>
      <c r="L115" s="626" t="s">
        <v>894</v>
      </c>
      <c r="M115" s="629" t="s">
        <v>894</v>
      </c>
      <c r="N115" s="626"/>
      <c r="O115" s="626"/>
      <c r="P115" s="626" t="s">
        <v>895</v>
      </c>
      <c r="Q115" s="626" t="s">
        <v>895</v>
      </c>
      <c r="R115" s="626" t="s">
        <v>895</v>
      </c>
      <c r="S115" s="626" t="s">
        <v>895</v>
      </c>
      <c r="T115" s="626" t="s">
        <v>895</v>
      </c>
      <c r="U115" s="626" t="s">
        <v>895</v>
      </c>
      <c r="V115" s="626" t="s">
        <v>895</v>
      </c>
      <c r="W115" s="626" t="s">
        <v>895</v>
      </c>
      <c r="X115" s="626" t="s">
        <v>895</v>
      </c>
      <c r="Y115" s="626" t="s">
        <v>895</v>
      </c>
      <c r="Z115" s="626" t="s">
        <v>895</v>
      </c>
      <c r="AA115" s="626" t="s">
        <v>895</v>
      </c>
      <c r="AB115" s="631" t="s">
        <v>894</v>
      </c>
      <c r="AC115" s="631" t="s">
        <v>894</v>
      </c>
      <c r="AD115" s="626"/>
    </row>
    <row r="116" spans="2:30" ht="123" customHeight="1">
      <c r="B116" s="625">
        <v>106</v>
      </c>
      <c r="C116" s="625">
        <v>196</v>
      </c>
      <c r="D116" s="626" t="s">
        <v>904</v>
      </c>
      <c r="E116" s="626" t="s">
        <v>891</v>
      </c>
      <c r="F116" s="625" t="s">
        <v>882</v>
      </c>
      <c r="G116" s="625" t="s">
        <v>883</v>
      </c>
      <c r="H116" s="625" t="s">
        <v>1020</v>
      </c>
      <c r="I116" s="625" t="s">
        <v>885</v>
      </c>
      <c r="J116" s="628" t="s">
        <v>904</v>
      </c>
      <c r="K116" s="625" t="s">
        <v>1021</v>
      </c>
      <c r="L116" s="626">
        <v>2016</v>
      </c>
      <c r="M116" s="629">
        <v>215162158</v>
      </c>
      <c r="N116" s="626"/>
      <c r="O116" s="626"/>
      <c r="P116" s="630">
        <v>7119286</v>
      </c>
      <c r="Q116" s="630">
        <v>251240361</v>
      </c>
      <c r="R116" s="630">
        <v>160167449</v>
      </c>
      <c r="S116" s="630">
        <v>154553906</v>
      </c>
      <c r="T116" s="630">
        <v>12723927</v>
      </c>
      <c r="U116" s="630">
        <v>14900410</v>
      </c>
      <c r="V116" s="630">
        <v>17485142</v>
      </c>
      <c r="W116" s="630">
        <v>15726506</v>
      </c>
      <c r="X116" s="630">
        <v>15726506</v>
      </c>
      <c r="Y116" s="630">
        <v>15726506</v>
      </c>
      <c r="Z116" s="630">
        <v>15726506</v>
      </c>
      <c r="AA116" s="630">
        <v>15726506</v>
      </c>
      <c r="AB116" s="631" t="s">
        <v>1022</v>
      </c>
      <c r="AC116" s="631" t="s">
        <v>889</v>
      </c>
      <c r="AD116" s="626"/>
    </row>
    <row r="117" spans="2:30" ht="123" customHeight="1">
      <c r="B117" s="625">
        <v>107</v>
      </c>
      <c r="C117" s="625">
        <v>197</v>
      </c>
      <c r="D117" s="626" t="s">
        <v>906</v>
      </c>
      <c r="E117" s="626" t="s">
        <v>891</v>
      </c>
      <c r="F117" s="625" t="s">
        <v>882</v>
      </c>
      <c r="G117" s="625" t="s">
        <v>883</v>
      </c>
      <c r="H117" s="625" t="s">
        <v>1020</v>
      </c>
      <c r="I117" s="625" t="s">
        <v>885</v>
      </c>
      <c r="J117" s="628" t="s">
        <v>906</v>
      </c>
      <c r="K117" s="625" t="s">
        <v>1021</v>
      </c>
      <c r="L117" s="626">
        <v>2016</v>
      </c>
      <c r="M117" s="629">
        <v>155638968</v>
      </c>
      <c r="N117" s="626"/>
      <c r="O117" s="626"/>
      <c r="P117" s="630">
        <v>3548237</v>
      </c>
      <c r="Q117" s="630">
        <v>169004660</v>
      </c>
      <c r="R117" s="630">
        <v>98283348</v>
      </c>
      <c r="S117" s="630">
        <v>94408883</v>
      </c>
      <c r="T117" s="630">
        <v>7444724</v>
      </c>
      <c r="U117" s="630">
        <v>8770473</v>
      </c>
      <c r="V117" s="630">
        <v>10292915</v>
      </c>
      <c r="W117" s="630">
        <v>9262963</v>
      </c>
      <c r="X117" s="630">
        <v>9262963</v>
      </c>
      <c r="Y117" s="630">
        <v>9262963</v>
      </c>
      <c r="Z117" s="630">
        <v>9262963</v>
      </c>
      <c r="AA117" s="630">
        <v>9262963</v>
      </c>
      <c r="AB117" s="631" t="s">
        <v>1002</v>
      </c>
      <c r="AC117" s="631" t="s">
        <v>889</v>
      </c>
      <c r="AD117" s="626"/>
    </row>
    <row r="118" spans="2:30" ht="123" customHeight="1">
      <c r="B118" s="625">
        <v>108</v>
      </c>
      <c r="C118" s="625">
        <v>198</v>
      </c>
      <c r="D118" s="626" t="s">
        <v>908</v>
      </c>
      <c r="E118" s="626" t="s">
        <v>891</v>
      </c>
      <c r="F118" s="625" t="s">
        <v>882</v>
      </c>
      <c r="G118" s="625" t="s">
        <v>883</v>
      </c>
      <c r="H118" s="625" t="s">
        <v>1020</v>
      </c>
      <c r="I118" s="625" t="s">
        <v>885</v>
      </c>
      <c r="J118" s="628" t="s">
        <v>908</v>
      </c>
      <c r="K118" s="625" t="s">
        <v>1021</v>
      </c>
      <c r="L118" s="626">
        <v>2016</v>
      </c>
      <c r="M118" s="629">
        <v>9847643</v>
      </c>
      <c r="N118" s="626"/>
      <c r="O118" s="626"/>
      <c r="P118" s="630">
        <v>435190</v>
      </c>
      <c r="Q118" s="630">
        <v>6659318</v>
      </c>
      <c r="R118" s="630">
        <v>9038767</v>
      </c>
      <c r="S118" s="630">
        <v>7729367</v>
      </c>
      <c r="T118" s="630">
        <v>92202</v>
      </c>
      <c r="U118" s="630">
        <v>235841</v>
      </c>
      <c r="V118" s="630">
        <v>195583</v>
      </c>
      <c r="W118" s="630">
        <v>77277</v>
      </c>
      <c r="X118" s="630">
        <v>77277</v>
      </c>
      <c r="Y118" s="630">
        <v>77277</v>
      </c>
      <c r="Z118" s="630">
        <v>77277</v>
      </c>
      <c r="AA118" s="630">
        <v>77277</v>
      </c>
      <c r="AB118" s="631" t="s">
        <v>1003</v>
      </c>
      <c r="AC118" s="631" t="s">
        <v>889</v>
      </c>
      <c r="AD118" s="626"/>
    </row>
    <row r="119" spans="2:30" ht="123" customHeight="1">
      <c r="B119" s="625">
        <v>109</v>
      </c>
      <c r="C119" s="625">
        <v>199</v>
      </c>
      <c r="D119" s="626" t="s">
        <v>910</v>
      </c>
      <c r="E119" s="626" t="s">
        <v>891</v>
      </c>
      <c r="F119" s="625" t="s">
        <v>882</v>
      </c>
      <c r="G119" s="625" t="s">
        <v>883</v>
      </c>
      <c r="H119" s="625" t="s">
        <v>1020</v>
      </c>
      <c r="I119" s="625" t="s">
        <v>885</v>
      </c>
      <c r="J119" s="628" t="s">
        <v>910</v>
      </c>
      <c r="K119" s="625" t="s">
        <v>1021</v>
      </c>
      <c r="L119" s="626">
        <v>2016</v>
      </c>
      <c r="M119" s="629">
        <v>6000838</v>
      </c>
      <c r="N119" s="626"/>
      <c r="O119" s="626"/>
      <c r="P119" s="630">
        <v>396177</v>
      </c>
      <c r="Q119" s="630">
        <v>4722339</v>
      </c>
      <c r="R119" s="630">
        <v>5903826</v>
      </c>
      <c r="S119" s="630">
        <v>5119877</v>
      </c>
      <c r="T119" s="630">
        <v>80456</v>
      </c>
      <c r="U119" s="630">
        <v>152572</v>
      </c>
      <c r="V119" s="630">
        <v>137904</v>
      </c>
      <c r="W119" s="630">
        <v>73010</v>
      </c>
      <c r="X119" s="630">
        <v>73010</v>
      </c>
      <c r="Y119" s="630">
        <v>73010</v>
      </c>
      <c r="Z119" s="630">
        <v>73010</v>
      </c>
      <c r="AA119" s="630">
        <v>73010</v>
      </c>
      <c r="AB119" s="631" t="s">
        <v>1004</v>
      </c>
      <c r="AC119" s="631" t="s">
        <v>889</v>
      </c>
      <c r="AD119" s="626"/>
    </row>
    <row r="120" spans="2:30" ht="123" customHeight="1">
      <c r="B120" s="625">
        <v>110</v>
      </c>
      <c r="C120" s="625">
        <v>200</v>
      </c>
      <c r="D120" s="626" t="s">
        <v>880</v>
      </c>
      <c r="E120" s="626" t="s">
        <v>881</v>
      </c>
      <c r="F120" s="625" t="s">
        <v>882</v>
      </c>
      <c r="G120" s="625" t="s">
        <v>883</v>
      </c>
      <c r="H120" s="625" t="s">
        <v>1020</v>
      </c>
      <c r="I120" s="625" t="s">
        <v>885</v>
      </c>
      <c r="J120" s="628" t="s">
        <v>886</v>
      </c>
      <c r="K120" s="625" t="s">
        <v>1023</v>
      </c>
      <c r="L120" s="626">
        <v>2016</v>
      </c>
      <c r="M120" s="629">
        <v>11222</v>
      </c>
      <c r="N120" s="626"/>
      <c r="O120" s="626"/>
      <c r="P120" s="626">
        <v>156</v>
      </c>
      <c r="Q120" s="630">
        <v>4553</v>
      </c>
      <c r="R120" s="630">
        <v>3293</v>
      </c>
      <c r="S120" s="630">
        <v>3008</v>
      </c>
      <c r="T120" s="626">
        <v>195</v>
      </c>
      <c r="U120" s="626">
        <v>175</v>
      </c>
      <c r="V120" s="626">
        <v>198</v>
      </c>
      <c r="W120" s="626">
        <v>178</v>
      </c>
      <c r="X120" s="626">
        <v>178</v>
      </c>
      <c r="Y120" s="626">
        <v>178</v>
      </c>
      <c r="Z120" s="626">
        <v>178</v>
      </c>
      <c r="AA120" s="626">
        <v>178</v>
      </c>
      <c r="AB120" s="631" t="s">
        <v>1013</v>
      </c>
      <c r="AC120" s="631" t="s">
        <v>889</v>
      </c>
      <c r="AD120" s="626"/>
    </row>
    <row r="121" spans="2:30">
      <c r="B121" s="625">
        <v>111</v>
      </c>
      <c r="C121" s="625">
        <v>201</v>
      </c>
      <c r="D121" s="627" t="s">
        <v>1024</v>
      </c>
      <c r="E121" s="626" t="s">
        <v>891</v>
      </c>
      <c r="F121" s="625" t="s">
        <v>882</v>
      </c>
      <c r="G121" s="625" t="s">
        <v>892</v>
      </c>
      <c r="H121" s="625" t="s">
        <v>1020</v>
      </c>
      <c r="I121" s="625" t="s">
        <v>885</v>
      </c>
      <c r="J121" s="628" t="s">
        <v>1025</v>
      </c>
      <c r="K121" s="628" t="s">
        <v>1026</v>
      </c>
      <c r="L121" s="626" t="s">
        <v>894</v>
      </c>
      <c r="M121" s="629" t="s">
        <v>894</v>
      </c>
      <c r="N121" s="626"/>
      <c r="O121" s="626"/>
      <c r="P121" s="626" t="s">
        <v>895</v>
      </c>
      <c r="Q121" s="626" t="s">
        <v>895</v>
      </c>
      <c r="R121" s="626" t="s">
        <v>895</v>
      </c>
      <c r="S121" s="626" t="s">
        <v>895</v>
      </c>
      <c r="T121" s="626" t="s">
        <v>895</v>
      </c>
      <c r="U121" s="626" t="s">
        <v>895</v>
      </c>
      <c r="V121" s="626" t="s">
        <v>895</v>
      </c>
      <c r="W121" s="626" t="s">
        <v>895</v>
      </c>
      <c r="X121" s="626" t="s">
        <v>895</v>
      </c>
      <c r="Y121" s="626" t="s">
        <v>895</v>
      </c>
      <c r="Z121" s="626" t="s">
        <v>895</v>
      </c>
      <c r="AA121" s="626" t="s">
        <v>895</v>
      </c>
      <c r="AB121" s="631" t="s">
        <v>894</v>
      </c>
      <c r="AC121" s="631" t="s">
        <v>894</v>
      </c>
      <c r="AD121" s="626"/>
    </row>
    <row r="122" spans="2:30" ht="30">
      <c r="B122" s="625">
        <v>112</v>
      </c>
      <c r="C122" s="625">
        <v>202</v>
      </c>
      <c r="D122" s="627" t="s">
        <v>1027</v>
      </c>
      <c r="E122" s="626" t="s">
        <v>891</v>
      </c>
      <c r="F122" s="625" t="s">
        <v>882</v>
      </c>
      <c r="G122" s="625" t="s">
        <v>892</v>
      </c>
      <c r="H122" s="625" t="s">
        <v>1020</v>
      </c>
      <c r="I122" s="625" t="s">
        <v>885</v>
      </c>
      <c r="J122" s="628" t="s">
        <v>1028</v>
      </c>
      <c r="K122" s="628" t="s">
        <v>1026</v>
      </c>
      <c r="L122" s="626" t="s">
        <v>894</v>
      </c>
      <c r="M122" s="629" t="s">
        <v>894</v>
      </c>
      <c r="N122" s="626"/>
      <c r="O122" s="626"/>
      <c r="P122" s="626" t="s">
        <v>895</v>
      </c>
      <c r="Q122" s="626" t="s">
        <v>895</v>
      </c>
      <c r="R122" s="626" t="s">
        <v>895</v>
      </c>
      <c r="S122" s="626" t="s">
        <v>895</v>
      </c>
      <c r="T122" s="626" t="s">
        <v>895</v>
      </c>
      <c r="U122" s="626" t="s">
        <v>895</v>
      </c>
      <c r="V122" s="626" t="s">
        <v>895</v>
      </c>
      <c r="W122" s="626" t="s">
        <v>895</v>
      </c>
      <c r="X122" s="626" t="s">
        <v>895</v>
      </c>
      <c r="Y122" s="626" t="s">
        <v>895</v>
      </c>
      <c r="Z122" s="626" t="s">
        <v>895</v>
      </c>
      <c r="AA122" s="626" t="s">
        <v>895</v>
      </c>
      <c r="AB122" s="631" t="s">
        <v>894</v>
      </c>
      <c r="AC122" s="631" t="s">
        <v>894</v>
      </c>
      <c r="AD122" s="626"/>
    </row>
    <row r="123" spans="2:30" ht="30">
      <c r="B123" s="625">
        <v>113</v>
      </c>
      <c r="C123" s="625">
        <v>203</v>
      </c>
      <c r="D123" s="627" t="s">
        <v>1029</v>
      </c>
      <c r="E123" s="626" t="s">
        <v>891</v>
      </c>
      <c r="F123" s="625" t="s">
        <v>882</v>
      </c>
      <c r="G123" s="625" t="s">
        <v>892</v>
      </c>
      <c r="H123" s="625" t="s">
        <v>1020</v>
      </c>
      <c r="I123" s="625" t="s">
        <v>885</v>
      </c>
      <c r="J123" s="628" t="s">
        <v>1030</v>
      </c>
      <c r="K123" s="628" t="s">
        <v>1026</v>
      </c>
      <c r="L123" s="626" t="s">
        <v>894</v>
      </c>
      <c r="M123" s="629" t="s">
        <v>894</v>
      </c>
      <c r="N123" s="626"/>
      <c r="O123" s="626"/>
      <c r="P123" s="626" t="s">
        <v>895</v>
      </c>
      <c r="Q123" s="626" t="s">
        <v>895</v>
      </c>
      <c r="R123" s="626" t="s">
        <v>895</v>
      </c>
      <c r="S123" s="626" t="s">
        <v>895</v>
      </c>
      <c r="T123" s="626" t="s">
        <v>895</v>
      </c>
      <c r="U123" s="626" t="s">
        <v>895</v>
      </c>
      <c r="V123" s="626" t="s">
        <v>895</v>
      </c>
      <c r="W123" s="626" t="s">
        <v>895</v>
      </c>
      <c r="X123" s="626" t="s">
        <v>895</v>
      </c>
      <c r="Y123" s="626" t="s">
        <v>895</v>
      </c>
      <c r="Z123" s="626" t="s">
        <v>895</v>
      </c>
      <c r="AA123" s="626" t="s">
        <v>895</v>
      </c>
      <c r="AB123" s="631" t="s">
        <v>894</v>
      </c>
      <c r="AC123" s="631" t="s">
        <v>894</v>
      </c>
      <c r="AD123" s="626"/>
    </row>
    <row r="124" spans="2:30" ht="30">
      <c r="B124" s="625">
        <v>114</v>
      </c>
      <c r="C124" s="625">
        <v>219</v>
      </c>
      <c r="D124" s="627" t="s">
        <v>1031</v>
      </c>
      <c r="E124" s="626" t="s">
        <v>891</v>
      </c>
      <c r="F124" s="625" t="s">
        <v>882</v>
      </c>
      <c r="G124" s="625" t="s">
        <v>892</v>
      </c>
      <c r="H124" s="625" t="s">
        <v>1020</v>
      </c>
      <c r="I124" s="625" t="s">
        <v>885</v>
      </c>
      <c r="J124" s="628" t="s">
        <v>1032</v>
      </c>
      <c r="K124" s="628" t="s">
        <v>1033</v>
      </c>
      <c r="L124" s="626" t="s">
        <v>894</v>
      </c>
      <c r="M124" s="629" t="s">
        <v>894</v>
      </c>
      <c r="N124" s="626"/>
      <c r="O124" s="626"/>
      <c r="P124" s="626" t="s">
        <v>895</v>
      </c>
      <c r="Q124" s="626" t="s">
        <v>895</v>
      </c>
      <c r="R124" s="626" t="s">
        <v>895</v>
      </c>
      <c r="S124" s="626" t="s">
        <v>895</v>
      </c>
      <c r="T124" s="626" t="s">
        <v>895</v>
      </c>
      <c r="U124" s="626" t="s">
        <v>895</v>
      </c>
      <c r="V124" s="626" t="s">
        <v>895</v>
      </c>
      <c r="W124" s="626" t="s">
        <v>895</v>
      </c>
      <c r="X124" s="626" t="s">
        <v>895</v>
      </c>
      <c r="Y124" s="626" t="s">
        <v>895</v>
      </c>
      <c r="Z124" s="626" t="s">
        <v>895</v>
      </c>
      <c r="AA124" s="626" t="s">
        <v>895</v>
      </c>
      <c r="AB124" s="631" t="s">
        <v>894</v>
      </c>
      <c r="AC124" s="631" t="s">
        <v>894</v>
      </c>
      <c r="AD124" s="626"/>
    </row>
    <row r="125" spans="2:30">
      <c r="B125" s="625">
        <v>115</v>
      </c>
      <c r="C125" s="625">
        <v>223</v>
      </c>
      <c r="D125" s="627" t="s">
        <v>890</v>
      </c>
      <c r="E125" s="626" t="s">
        <v>891</v>
      </c>
      <c r="F125" s="625" t="s">
        <v>882</v>
      </c>
      <c r="G125" s="625" t="s">
        <v>892</v>
      </c>
      <c r="H125" s="625" t="s">
        <v>1034</v>
      </c>
      <c r="I125" s="625" t="s">
        <v>885</v>
      </c>
      <c r="J125" s="628" t="s">
        <v>998</v>
      </c>
      <c r="K125" s="628" t="s">
        <v>1035</v>
      </c>
      <c r="L125" s="626" t="s">
        <v>894</v>
      </c>
      <c r="M125" s="629" t="s">
        <v>894</v>
      </c>
      <c r="N125" s="626"/>
      <c r="O125" s="626"/>
      <c r="P125" s="626" t="s">
        <v>895</v>
      </c>
      <c r="Q125" s="626" t="s">
        <v>895</v>
      </c>
      <c r="R125" s="626" t="s">
        <v>895</v>
      </c>
      <c r="S125" s="626" t="s">
        <v>895</v>
      </c>
      <c r="T125" s="626" t="s">
        <v>895</v>
      </c>
      <c r="U125" s="626" t="s">
        <v>895</v>
      </c>
      <c r="V125" s="626" t="s">
        <v>895</v>
      </c>
      <c r="W125" s="626" t="s">
        <v>895</v>
      </c>
      <c r="X125" s="626" t="s">
        <v>895</v>
      </c>
      <c r="Y125" s="626" t="s">
        <v>895</v>
      </c>
      <c r="Z125" s="626" t="s">
        <v>895</v>
      </c>
      <c r="AA125" s="626" t="s">
        <v>895</v>
      </c>
      <c r="AB125" s="631" t="s">
        <v>894</v>
      </c>
      <c r="AC125" s="631" t="s">
        <v>894</v>
      </c>
      <c r="AD125" s="626"/>
    </row>
    <row r="126" spans="2:30">
      <c r="B126" s="625">
        <v>116</v>
      </c>
      <c r="C126" s="625">
        <v>224</v>
      </c>
      <c r="D126" s="627" t="s">
        <v>896</v>
      </c>
      <c r="E126" s="626" t="s">
        <v>891</v>
      </c>
      <c r="F126" s="625" t="s">
        <v>882</v>
      </c>
      <c r="G126" s="625" t="s">
        <v>892</v>
      </c>
      <c r="H126" s="625" t="s">
        <v>1034</v>
      </c>
      <c r="I126" s="625" t="s">
        <v>885</v>
      </c>
      <c r="J126" s="628" t="s">
        <v>998</v>
      </c>
      <c r="K126" s="628" t="s">
        <v>1035</v>
      </c>
      <c r="L126" s="626" t="s">
        <v>894</v>
      </c>
      <c r="M126" s="629" t="s">
        <v>894</v>
      </c>
      <c r="N126" s="626"/>
      <c r="O126" s="626"/>
      <c r="P126" s="626" t="s">
        <v>895</v>
      </c>
      <c r="Q126" s="626" t="s">
        <v>895</v>
      </c>
      <c r="R126" s="626" t="s">
        <v>895</v>
      </c>
      <c r="S126" s="626" t="s">
        <v>895</v>
      </c>
      <c r="T126" s="626" t="s">
        <v>895</v>
      </c>
      <c r="U126" s="626" t="s">
        <v>895</v>
      </c>
      <c r="V126" s="626" t="s">
        <v>895</v>
      </c>
      <c r="W126" s="626" t="s">
        <v>895</v>
      </c>
      <c r="X126" s="626" t="s">
        <v>895</v>
      </c>
      <c r="Y126" s="626" t="s">
        <v>895</v>
      </c>
      <c r="Z126" s="626" t="s">
        <v>895</v>
      </c>
      <c r="AA126" s="626" t="s">
        <v>895</v>
      </c>
      <c r="AB126" s="631" t="s">
        <v>894</v>
      </c>
      <c r="AC126" s="631" t="s">
        <v>894</v>
      </c>
      <c r="AD126" s="626"/>
    </row>
    <row r="127" spans="2:30">
      <c r="B127" s="625">
        <v>117</v>
      </c>
      <c r="C127" s="625">
        <v>225</v>
      </c>
      <c r="D127" s="627" t="s">
        <v>897</v>
      </c>
      <c r="E127" s="626" t="s">
        <v>891</v>
      </c>
      <c r="F127" s="625" t="s">
        <v>882</v>
      </c>
      <c r="G127" s="625" t="s">
        <v>892</v>
      </c>
      <c r="H127" s="625" t="s">
        <v>1034</v>
      </c>
      <c r="I127" s="625" t="s">
        <v>885</v>
      </c>
      <c r="J127" s="628" t="s">
        <v>999</v>
      </c>
      <c r="K127" s="628" t="s">
        <v>1035</v>
      </c>
      <c r="L127" s="626" t="s">
        <v>894</v>
      </c>
      <c r="M127" s="629" t="s">
        <v>894</v>
      </c>
      <c r="N127" s="626"/>
      <c r="O127" s="626"/>
      <c r="P127" s="626" t="s">
        <v>895</v>
      </c>
      <c r="Q127" s="626" t="s">
        <v>895</v>
      </c>
      <c r="R127" s="626" t="s">
        <v>895</v>
      </c>
      <c r="S127" s="626" t="s">
        <v>895</v>
      </c>
      <c r="T127" s="626" t="s">
        <v>895</v>
      </c>
      <c r="U127" s="626" t="s">
        <v>895</v>
      </c>
      <c r="V127" s="626" t="s">
        <v>895</v>
      </c>
      <c r="W127" s="626" t="s">
        <v>895</v>
      </c>
      <c r="X127" s="626" t="s">
        <v>895</v>
      </c>
      <c r="Y127" s="626" t="s">
        <v>895</v>
      </c>
      <c r="Z127" s="626" t="s">
        <v>895</v>
      </c>
      <c r="AA127" s="626" t="s">
        <v>895</v>
      </c>
      <c r="AB127" s="631" t="s">
        <v>894</v>
      </c>
      <c r="AC127" s="631" t="s">
        <v>894</v>
      </c>
      <c r="AD127" s="626"/>
    </row>
    <row r="128" spans="2:30">
      <c r="B128" s="625">
        <v>118</v>
      </c>
      <c r="C128" s="625">
        <v>226</v>
      </c>
      <c r="D128" s="627" t="s">
        <v>898</v>
      </c>
      <c r="E128" s="626" t="s">
        <v>891</v>
      </c>
      <c r="F128" s="625" t="s">
        <v>882</v>
      </c>
      <c r="G128" s="625" t="s">
        <v>892</v>
      </c>
      <c r="H128" s="625" t="s">
        <v>1034</v>
      </c>
      <c r="I128" s="625" t="s">
        <v>885</v>
      </c>
      <c r="J128" s="628" t="s">
        <v>999</v>
      </c>
      <c r="K128" s="628" t="s">
        <v>1035</v>
      </c>
      <c r="L128" s="626" t="s">
        <v>894</v>
      </c>
      <c r="M128" s="629" t="s">
        <v>894</v>
      </c>
      <c r="N128" s="626"/>
      <c r="O128" s="626"/>
      <c r="P128" s="626" t="s">
        <v>895</v>
      </c>
      <c r="Q128" s="626" t="s">
        <v>895</v>
      </c>
      <c r="R128" s="626" t="s">
        <v>895</v>
      </c>
      <c r="S128" s="626" t="s">
        <v>895</v>
      </c>
      <c r="T128" s="626" t="s">
        <v>895</v>
      </c>
      <c r="U128" s="626" t="s">
        <v>895</v>
      </c>
      <c r="V128" s="626" t="s">
        <v>895</v>
      </c>
      <c r="W128" s="626" t="s">
        <v>895</v>
      </c>
      <c r="X128" s="626" t="s">
        <v>895</v>
      </c>
      <c r="Y128" s="626" t="s">
        <v>895</v>
      </c>
      <c r="Z128" s="626" t="s">
        <v>895</v>
      </c>
      <c r="AA128" s="626" t="s">
        <v>895</v>
      </c>
      <c r="AB128" s="631" t="s">
        <v>894</v>
      </c>
      <c r="AC128" s="631" t="s">
        <v>894</v>
      </c>
      <c r="AD128" s="626"/>
    </row>
    <row r="129" spans="2:30">
      <c r="B129" s="625">
        <v>119</v>
      </c>
      <c r="C129" s="625">
        <v>227</v>
      </c>
      <c r="D129" s="627" t="s">
        <v>901</v>
      </c>
      <c r="E129" s="626" t="s">
        <v>891</v>
      </c>
      <c r="F129" s="625" t="s">
        <v>882</v>
      </c>
      <c r="G129" s="625" t="s">
        <v>892</v>
      </c>
      <c r="H129" s="625" t="s">
        <v>1034</v>
      </c>
      <c r="I129" s="625" t="s">
        <v>885</v>
      </c>
      <c r="J129" s="628" t="s">
        <v>1000</v>
      </c>
      <c r="K129" s="628" t="s">
        <v>1035</v>
      </c>
      <c r="L129" s="626" t="s">
        <v>894</v>
      </c>
      <c r="M129" s="629" t="s">
        <v>894</v>
      </c>
      <c r="N129" s="626"/>
      <c r="O129" s="626"/>
      <c r="P129" s="626" t="s">
        <v>895</v>
      </c>
      <c r="Q129" s="626" t="s">
        <v>895</v>
      </c>
      <c r="R129" s="626" t="s">
        <v>895</v>
      </c>
      <c r="S129" s="626" t="s">
        <v>895</v>
      </c>
      <c r="T129" s="626" t="s">
        <v>895</v>
      </c>
      <c r="U129" s="626" t="s">
        <v>895</v>
      </c>
      <c r="V129" s="626" t="s">
        <v>895</v>
      </c>
      <c r="W129" s="626" t="s">
        <v>895</v>
      </c>
      <c r="X129" s="626" t="s">
        <v>895</v>
      </c>
      <c r="Y129" s="626" t="s">
        <v>895</v>
      </c>
      <c r="Z129" s="626" t="s">
        <v>895</v>
      </c>
      <c r="AA129" s="626" t="s">
        <v>895</v>
      </c>
      <c r="AB129" s="631" t="s">
        <v>894</v>
      </c>
      <c r="AC129" s="631" t="s">
        <v>894</v>
      </c>
      <c r="AD129" s="626"/>
    </row>
    <row r="130" spans="2:30">
      <c r="B130" s="625">
        <v>120</v>
      </c>
      <c r="C130" s="625">
        <v>228</v>
      </c>
      <c r="D130" s="627" t="s">
        <v>902</v>
      </c>
      <c r="E130" s="626" t="s">
        <v>903</v>
      </c>
      <c r="F130" s="625" t="s">
        <v>882</v>
      </c>
      <c r="G130" s="625" t="s">
        <v>892</v>
      </c>
      <c r="H130" s="625" t="s">
        <v>1034</v>
      </c>
      <c r="I130" s="625" t="s">
        <v>885</v>
      </c>
      <c r="J130" s="628" t="s">
        <v>1000</v>
      </c>
      <c r="K130" s="628" t="s">
        <v>1035</v>
      </c>
      <c r="L130" s="626" t="s">
        <v>894</v>
      </c>
      <c r="M130" s="629" t="s">
        <v>894</v>
      </c>
      <c r="N130" s="626"/>
      <c r="O130" s="626"/>
      <c r="P130" s="626" t="s">
        <v>895</v>
      </c>
      <c r="Q130" s="626" t="s">
        <v>895</v>
      </c>
      <c r="R130" s="626" t="s">
        <v>895</v>
      </c>
      <c r="S130" s="626" t="s">
        <v>895</v>
      </c>
      <c r="T130" s="626" t="s">
        <v>895</v>
      </c>
      <c r="U130" s="626" t="s">
        <v>895</v>
      </c>
      <c r="V130" s="626" t="s">
        <v>895</v>
      </c>
      <c r="W130" s="626" t="s">
        <v>895</v>
      </c>
      <c r="X130" s="626" t="s">
        <v>895</v>
      </c>
      <c r="Y130" s="626" t="s">
        <v>895</v>
      </c>
      <c r="Z130" s="626" t="s">
        <v>895</v>
      </c>
      <c r="AA130" s="626" t="s">
        <v>895</v>
      </c>
      <c r="AB130" s="631" t="s">
        <v>894</v>
      </c>
      <c r="AC130" s="631" t="s">
        <v>894</v>
      </c>
      <c r="AD130" s="626"/>
    </row>
    <row r="131" spans="2:30" ht="123" customHeight="1">
      <c r="B131" s="625">
        <v>121</v>
      </c>
      <c r="C131" s="625">
        <v>231</v>
      </c>
      <c r="D131" s="626" t="s">
        <v>904</v>
      </c>
      <c r="E131" s="626" t="s">
        <v>891</v>
      </c>
      <c r="F131" s="625" t="s">
        <v>882</v>
      </c>
      <c r="G131" s="625" t="s">
        <v>883</v>
      </c>
      <c r="H131" s="625" t="s">
        <v>1034</v>
      </c>
      <c r="I131" s="625" t="s">
        <v>885</v>
      </c>
      <c r="J131" s="628" t="s">
        <v>999</v>
      </c>
      <c r="K131" s="625" t="s">
        <v>1035</v>
      </c>
      <c r="L131" s="626">
        <v>2016</v>
      </c>
      <c r="M131" s="629">
        <v>39626177</v>
      </c>
      <c r="N131" s="626"/>
      <c r="O131" s="626"/>
      <c r="P131" s="630">
        <v>19897070</v>
      </c>
      <c r="Q131" s="630">
        <v>103047687</v>
      </c>
      <c r="R131" s="630">
        <v>87975449</v>
      </c>
      <c r="S131" s="630">
        <v>120178694</v>
      </c>
      <c r="T131" s="630">
        <v>97009615</v>
      </c>
      <c r="U131" s="630">
        <v>93409615</v>
      </c>
      <c r="V131" s="630">
        <v>90034615</v>
      </c>
      <c r="W131" s="630">
        <v>86659615</v>
      </c>
      <c r="X131" s="630">
        <v>86659615</v>
      </c>
      <c r="Y131" s="630">
        <v>86659615</v>
      </c>
      <c r="Z131" s="630">
        <v>86659615</v>
      </c>
      <c r="AA131" s="630">
        <v>86659615</v>
      </c>
      <c r="AB131" s="631" t="s">
        <v>1001</v>
      </c>
      <c r="AC131" s="631" t="s">
        <v>889</v>
      </c>
      <c r="AD131" s="626"/>
    </row>
    <row r="132" spans="2:30" ht="123" customHeight="1">
      <c r="B132" s="625">
        <v>122</v>
      </c>
      <c r="C132" s="625">
        <v>232</v>
      </c>
      <c r="D132" s="626" t="s">
        <v>906</v>
      </c>
      <c r="E132" s="626" t="s">
        <v>891</v>
      </c>
      <c r="F132" s="625" t="s">
        <v>882</v>
      </c>
      <c r="G132" s="625" t="s">
        <v>883</v>
      </c>
      <c r="H132" s="625" t="s">
        <v>1034</v>
      </c>
      <c r="I132" s="625" t="s">
        <v>885</v>
      </c>
      <c r="J132" s="628" t="s">
        <v>999</v>
      </c>
      <c r="K132" s="625" t="s">
        <v>1035</v>
      </c>
      <c r="L132" s="626">
        <v>2016</v>
      </c>
      <c r="M132" s="629">
        <v>25757016</v>
      </c>
      <c r="N132" s="626"/>
      <c r="O132" s="626"/>
      <c r="P132" s="630">
        <v>20866524</v>
      </c>
      <c r="Q132" s="630">
        <v>76184997</v>
      </c>
      <c r="R132" s="630">
        <v>65120090</v>
      </c>
      <c r="S132" s="630">
        <v>70469449</v>
      </c>
      <c r="T132" s="630">
        <v>96990645</v>
      </c>
      <c r="U132" s="630">
        <v>93390645</v>
      </c>
      <c r="V132" s="630">
        <v>90015645</v>
      </c>
      <c r="W132" s="630">
        <v>86640645</v>
      </c>
      <c r="X132" s="630">
        <v>86640645</v>
      </c>
      <c r="Y132" s="630">
        <v>86640645</v>
      </c>
      <c r="Z132" s="630">
        <v>86640645</v>
      </c>
      <c r="AA132" s="630">
        <v>86640645</v>
      </c>
      <c r="AB132" s="631" t="s">
        <v>1002</v>
      </c>
      <c r="AC132" s="631" t="s">
        <v>889</v>
      </c>
      <c r="AD132" s="626"/>
    </row>
    <row r="133" spans="2:30" ht="123" customHeight="1">
      <c r="B133" s="625">
        <v>123</v>
      </c>
      <c r="C133" s="625">
        <v>233</v>
      </c>
      <c r="D133" s="626" t="s">
        <v>908</v>
      </c>
      <c r="E133" s="626" t="s">
        <v>891</v>
      </c>
      <c r="F133" s="625" t="s">
        <v>882</v>
      </c>
      <c r="G133" s="625" t="s">
        <v>883</v>
      </c>
      <c r="H133" s="625" t="s">
        <v>1034</v>
      </c>
      <c r="I133" s="625" t="s">
        <v>885</v>
      </c>
      <c r="J133" s="628" t="s">
        <v>1000</v>
      </c>
      <c r="K133" s="625" t="s">
        <v>1035</v>
      </c>
      <c r="L133" s="626">
        <v>2016</v>
      </c>
      <c r="M133" s="629">
        <v>479626</v>
      </c>
      <c r="N133" s="626"/>
      <c r="O133" s="626"/>
      <c r="P133" s="630">
        <v>2081265</v>
      </c>
      <c r="Q133" s="630">
        <v>7923240</v>
      </c>
      <c r="R133" s="630">
        <v>6483812</v>
      </c>
      <c r="S133" s="630">
        <v>7667523</v>
      </c>
      <c r="T133" s="630">
        <v>1113996</v>
      </c>
      <c r="U133" s="630">
        <v>1001496</v>
      </c>
      <c r="V133" s="630">
        <v>888996</v>
      </c>
      <c r="W133" s="630">
        <v>888996</v>
      </c>
      <c r="X133" s="630">
        <v>888996</v>
      </c>
      <c r="Y133" s="630">
        <v>888996</v>
      </c>
      <c r="Z133" s="630">
        <v>888996</v>
      </c>
      <c r="AA133" s="630">
        <v>888996</v>
      </c>
      <c r="AB133" s="631" t="s">
        <v>1003</v>
      </c>
      <c r="AC133" s="631" t="s">
        <v>889</v>
      </c>
      <c r="AD133" s="626"/>
    </row>
    <row r="134" spans="2:30" ht="123" customHeight="1">
      <c r="B134" s="625">
        <v>124</v>
      </c>
      <c r="C134" s="625">
        <v>234</v>
      </c>
      <c r="D134" s="626" t="s">
        <v>910</v>
      </c>
      <c r="E134" s="626" t="s">
        <v>891</v>
      </c>
      <c r="F134" s="625" t="s">
        <v>882</v>
      </c>
      <c r="G134" s="625" t="s">
        <v>883</v>
      </c>
      <c r="H134" s="625" t="s">
        <v>1034</v>
      </c>
      <c r="I134" s="625" t="s">
        <v>885</v>
      </c>
      <c r="J134" s="628" t="s">
        <v>1000</v>
      </c>
      <c r="K134" s="625" t="s">
        <v>1035</v>
      </c>
      <c r="L134" s="626">
        <v>2016</v>
      </c>
      <c r="M134" s="629">
        <v>311757</v>
      </c>
      <c r="N134" s="626"/>
      <c r="O134" s="626"/>
      <c r="P134" s="630">
        <v>2045947</v>
      </c>
      <c r="Q134" s="630">
        <v>4708754</v>
      </c>
      <c r="R134" s="630">
        <v>3760457</v>
      </c>
      <c r="S134" s="630">
        <v>4201776</v>
      </c>
      <c r="T134" s="630">
        <v>1104897</v>
      </c>
      <c r="U134" s="630">
        <v>992397</v>
      </c>
      <c r="V134" s="630">
        <v>879897</v>
      </c>
      <c r="W134" s="630">
        <v>879897</v>
      </c>
      <c r="X134" s="630">
        <v>879897</v>
      </c>
      <c r="Y134" s="630">
        <v>879897</v>
      </c>
      <c r="Z134" s="630">
        <v>879897</v>
      </c>
      <c r="AA134" s="630">
        <v>879897</v>
      </c>
      <c r="AB134" s="631" t="s">
        <v>1004</v>
      </c>
      <c r="AC134" s="631" t="s">
        <v>889</v>
      </c>
      <c r="AD134" s="626"/>
    </row>
    <row r="135" spans="2:30" ht="123" customHeight="1">
      <c r="B135" s="625">
        <v>125</v>
      </c>
      <c r="C135" s="625">
        <v>235</v>
      </c>
      <c r="D135" s="626" t="s">
        <v>880</v>
      </c>
      <c r="E135" s="626" t="s">
        <v>881</v>
      </c>
      <c r="F135" s="625" t="s">
        <v>882</v>
      </c>
      <c r="G135" s="625" t="s">
        <v>883</v>
      </c>
      <c r="H135" s="625" t="s">
        <v>1034</v>
      </c>
      <c r="I135" s="625" t="s">
        <v>885</v>
      </c>
      <c r="J135" s="628" t="s">
        <v>886</v>
      </c>
      <c r="K135" s="625" t="s">
        <v>887</v>
      </c>
      <c r="L135" s="626">
        <v>2016</v>
      </c>
      <c r="M135" s="629">
        <v>1667</v>
      </c>
      <c r="N135" s="626"/>
      <c r="O135" s="626"/>
      <c r="P135" s="630">
        <v>1334</v>
      </c>
      <c r="Q135" s="630">
        <v>3070</v>
      </c>
      <c r="R135" s="630">
        <v>2863</v>
      </c>
      <c r="S135" s="630">
        <v>2166</v>
      </c>
      <c r="T135" s="630">
        <v>4632</v>
      </c>
      <c r="U135" s="630">
        <v>3811</v>
      </c>
      <c r="V135" s="630">
        <v>3615</v>
      </c>
      <c r="W135" s="630">
        <v>3479</v>
      </c>
      <c r="X135" s="630">
        <v>3479</v>
      </c>
      <c r="Y135" s="630">
        <v>3479</v>
      </c>
      <c r="Z135" s="630">
        <v>3479</v>
      </c>
      <c r="AA135" s="630">
        <v>3479</v>
      </c>
      <c r="AB135" s="631" t="s">
        <v>1013</v>
      </c>
      <c r="AC135" s="631" t="s">
        <v>889</v>
      </c>
      <c r="AD135" s="626"/>
    </row>
    <row r="136" spans="2:30">
      <c r="B136" s="625">
        <v>126</v>
      </c>
      <c r="C136" s="625">
        <v>260</v>
      </c>
      <c r="D136" s="627" t="s">
        <v>890</v>
      </c>
      <c r="E136" s="626" t="s">
        <v>891</v>
      </c>
      <c r="F136" s="625" t="s">
        <v>882</v>
      </c>
      <c r="G136" s="625" t="s">
        <v>892</v>
      </c>
      <c r="H136" s="625" t="s">
        <v>1036</v>
      </c>
      <c r="I136" s="625" t="s">
        <v>885</v>
      </c>
      <c r="J136" s="628" t="s">
        <v>998</v>
      </c>
      <c r="K136" s="628" t="s">
        <v>1037</v>
      </c>
      <c r="L136" s="626" t="s">
        <v>894</v>
      </c>
      <c r="M136" s="629" t="s">
        <v>894</v>
      </c>
      <c r="N136" s="626"/>
      <c r="O136" s="626"/>
      <c r="P136" s="626" t="s">
        <v>895</v>
      </c>
      <c r="Q136" s="626" t="s">
        <v>895</v>
      </c>
      <c r="R136" s="626" t="s">
        <v>895</v>
      </c>
      <c r="S136" s="626" t="s">
        <v>895</v>
      </c>
      <c r="T136" s="626" t="s">
        <v>895</v>
      </c>
      <c r="U136" s="626" t="s">
        <v>895</v>
      </c>
      <c r="V136" s="626" t="s">
        <v>895</v>
      </c>
      <c r="W136" s="626" t="s">
        <v>895</v>
      </c>
      <c r="X136" s="626" t="s">
        <v>895</v>
      </c>
      <c r="Y136" s="626" t="s">
        <v>895</v>
      </c>
      <c r="Z136" s="626" t="s">
        <v>895</v>
      </c>
      <c r="AA136" s="626" t="s">
        <v>895</v>
      </c>
      <c r="AB136" s="631" t="s">
        <v>894</v>
      </c>
      <c r="AC136" s="631" t="s">
        <v>894</v>
      </c>
      <c r="AD136" s="626"/>
    </row>
    <row r="137" spans="2:30">
      <c r="B137" s="625">
        <v>127</v>
      </c>
      <c r="C137" s="625">
        <v>261</v>
      </c>
      <c r="D137" s="627" t="s">
        <v>896</v>
      </c>
      <c r="E137" s="626" t="s">
        <v>891</v>
      </c>
      <c r="F137" s="625" t="s">
        <v>882</v>
      </c>
      <c r="G137" s="625" t="s">
        <v>892</v>
      </c>
      <c r="H137" s="625" t="s">
        <v>1036</v>
      </c>
      <c r="I137" s="625" t="s">
        <v>885</v>
      </c>
      <c r="J137" s="628" t="s">
        <v>998</v>
      </c>
      <c r="K137" s="628" t="s">
        <v>1037</v>
      </c>
      <c r="L137" s="626" t="s">
        <v>894</v>
      </c>
      <c r="M137" s="629" t="s">
        <v>894</v>
      </c>
      <c r="N137" s="626"/>
      <c r="O137" s="626"/>
      <c r="P137" s="626" t="s">
        <v>895</v>
      </c>
      <c r="Q137" s="626" t="s">
        <v>895</v>
      </c>
      <c r="R137" s="626" t="s">
        <v>895</v>
      </c>
      <c r="S137" s="626" t="s">
        <v>895</v>
      </c>
      <c r="T137" s="626" t="s">
        <v>895</v>
      </c>
      <c r="U137" s="626" t="s">
        <v>895</v>
      </c>
      <c r="V137" s="626" t="s">
        <v>895</v>
      </c>
      <c r="W137" s="626" t="s">
        <v>895</v>
      </c>
      <c r="X137" s="626" t="s">
        <v>895</v>
      </c>
      <c r="Y137" s="626" t="s">
        <v>895</v>
      </c>
      <c r="Z137" s="626" t="s">
        <v>895</v>
      </c>
      <c r="AA137" s="626" t="s">
        <v>895</v>
      </c>
      <c r="AB137" s="631" t="s">
        <v>894</v>
      </c>
      <c r="AC137" s="631" t="s">
        <v>894</v>
      </c>
      <c r="AD137" s="626"/>
    </row>
    <row r="138" spans="2:30">
      <c r="B138" s="625">
        <v>128</v>
      </c>
      <c r="C138" s="625">
        <v>262</v>
      </c>
      <c r="D138" s="627" t="s">
        <v>897</v>
      </c>
      <c r="E138" s="626" t="s">
        <v>891</v>
      </c>
      <c r="F138" s="625" t="s">
        <v>882</v>
      </c>
      <c r="G138" s="625" t="s">
        <v>892</v>
      </c>
      <c r="H138" s="625" t="s">
        <v>1036</v>
      </c>
      <c r="I138" s="625" t="s">
        <v>885</v>
      </c>
      <c r="J138" s="628" t="s">
        <v>999</v>
      </c>
      <c r="K138" s="628" t="s">
        <v>1037</v>
      </c>
      <c r="L138" s="626" t="s">
        <v>894</v>
      </c>
      <c r="M138" s="629" t="s">
        <v>894</v>
      </c>
      <c r="N138" s="626"/>
      <c r="O138" s="626"/>
      <c r="P138" s="626" t="s">
        <v>895</v>
      </c>
      <c r="Q138" s="626" t="s">
        <v>895</v>
      </c>
      <c r="R138" s="626" t="s">
        <v>895</v>
      </c>
      <c r="S138" s="626" t="s">
        <v>895</v>
      </c>
      <c r="T138" s="626" t="s">
        <v>895</v>
      </c>
      <c r="U138" s="626" t="s">
        <v>895</v>
      </c>
      <c r="V138" s="626" t="s">
        <v>895</v>
      </c>
      <c r="W138" s="626" t="s">
        <v>895</v>
      </c>
      <c r="X138" s="626" t="s">
        <v>895</v>
      </c>
      <c r="Y138" s="626" t="s">
        <v>895</v>
      </c>
      <c r="Z138" s="626" t="s">
        <v>895</v>
      </c>
      <c r="AA138" s="626" t="s">
        <v>895</v>
      </c>
      <c r="AB138" s="631" t="s">
        <v>894</v>
      </c>
      <c r="AC138" s="631" t="s">
        <v>894</v>
      </c>
      <c r="AD138" s="626"/>
    </row>
    <row r="139" spans="2:30">
      <c r="B139" s="625">
        <v>129</v>
      </c>
      <c r="C139" s="625">
        <v>263</v>
      </c>
      <c r="D139" s="627" t="s">
        <v>898</v>
      </c>
      <c r="E139" s="626" t="s">
        <v>891</v>
      </c>
      <c r="F139" s="625" t="s">
        <v>882</v>
      </c>
      <c r="G139" s="625" t="s">
        <v>892</v>
      </c>
      <c r="H139" s="625" t="s">
        <v>1036</v>
      </c>
      <c r="I139" s="625" t="s">
        <v>885</v>
      </c>
      <c r="J139" s="628" t="s">
        <v>999</v>
      </c>
      <c r="K139" s="628" t="s">
        <v>1037</v>
      </c>
      <c r="L139" s="626" t="s">
        <v>894</v>
      </c>
      <c r="M139" s="629" t="s">
        <v>894</v>
      </c>
      <c r="N139" s="626"/>
      <c r="O139" s="626"/>
      <c r="P139" s="626" t="s">
        <v>895</v>
      </c>
      <c r="Q139" s="626" t="s">
        <v>895</v>
      </c>
      <c r="R139" s="626" t="s">
        <v>895</v>
      </c>
      <c r="S139" s="626" t="s">
        <v>895</v>
      </c>
      <c r="T139" s="626" t="s">
        <v>895</v>
      </c>
      <c r="U139" s="626" t="s">
        <v>895</v>
      </c>
      <c r="V139" s="626" t="s">
        <v>895</v>
      </c>
      <c r="W139" s="626" t="s">
        <v>895</v>
      </c>
      <c r="X139" s="626" t="s">
        <v>895</v>
      </c>
      <c r="Y139" s="626" t="s">
        <v>895</v>
      </c>
      <c r="Z139" s="626" t="s">
        <v>895</v>
      </c>
      <c r="AA139" s="626" t="s">
        <v>895</v>
      </c>
      <c r="AB139" s="631" t="s">
        <v>894</v>
      </c>
      <c r="AC139" s="631" t="s">
        <v>894</v>
      </c>
      <c r="AD139" s="626"/>
    </row>
    <row r="140" spans="2:30">
      <c r="B140" s="625">
        <v>130</v>
      </c>
      <c r="C140" s="625">
        <v>264</v>
      </c>
      <c r="D140" s="627" t="s">
        <v>901</v>
      </c>
      <c r="E140" s="626" t="s">
        <v>891</v>
      </c>
      <c r="F140" s="625" t="s">
        <v>882</v>
      </c>
      <c r="G140" s="625" t="s">
        <v>892</v>
      </c>
      <c r="H140" s="625" t="s">
        <v>1036</v>
      </c>
      <c r="I140" s="625" t="s">
        <v>885</v>
      </c>
      <c r="J140" s="628" t="s">
        <v>1000</v>
      </c>
      <c r="K140" s="628" t="s">
        <v>1037</v>
      </c>
      <c r="L140" s="626" t="s">
        <v>894</v>
      </c>
      <c r="M140" s="629" t="s">
        <v>894</v>
      </c>
      <c r="N140" s="626"/>
      <c r="O140" s="626"/>
      <c r="P140" s="626" t="s">
        <v>895</v>
      </c>
      <c r="Q140" s="626" t="s">
        <v>895</v>
      </c>
      <c r="R140" s="626" t="s">
        <v>895</v>
      </c>
      <c r="S140" s="626" t="s">
        <v>895</v>
      </c>
      <c r="T140" s="626" t="s">
        <v>895</v>
      </c>
      <c r="U140" s="626" t="s">
        <v>895</v>
      </c>
      <c r="V140" s="626" t="s">
        <v>895</v>
      </c>
      <c r="W140" s="626" t="s">
        <v>895</v>
      </c>
      <c r="X140" s="626" t="s">
        <v>895</v>
      </c>
      <c r="Y140" s="626" t="s">
        <v>895</v>
      </c>
      <c r="Z140" s="626" t="s">
        <v>895</v>
      </c>
      <c r="AA140" s="626" t="s">
        <v>895</v>
      </c>
      <c r="AB140" s="631" t="s">
        <v>894</v>
      </c>
      <c r="AC140" s="631" t="s">
        <v>894</v>
      </c>
      <c r="AD140" s="626"/>
    </row>
    <row r="141" spans="2:30">
      <c r="B141" s="625">
        <v>131</v>
      </c>
      <c r="C141" s="625">
        <v>265</v>
      </c>
      <c r="D141" s="627" t="s">
        <v>902</v>
      </c>
      <c r="E141" s="626" t="s">
        <v>903</v>
      </c>
      <c r="F141" s="625" t="s">
        <v>882</v>
      </c>
      <c r="G141" s="625" t="s">
        <v>892</v>
      </c>
      <c r="H141" s="625" t="s">
        <v>1036</v>
      </c>
      <c r="I141" s="625" t="s">
        <v>885</v>
      </c>
      <c r="J141" s="628" t="s">
        <v>1000</v>
      </c>
      <c r="K141" s="628" t="s">
        <v>1037</v>
      </c>
      <c r="L141" s="626" t="s">
        <v>894</v>
      </c>
      <c r="M141" s="629" t="s">
        <v>894</v>
      </c>
      <c r="N141" s="626"/>
      <c r="O141" s="626"/>
      <c r="P141" s="626" t="s">
        <v>895</v>
      </c>
      <c r="Q141" s="626" t="s">
        <v>895</v>
      </c>
      <c r="R141" s="626" t="s">
        <v>895</v>
      </c>
      <c r="S141" s="626" t="s">
        <v>895</v>
      </c>
      <c r="T141" s="626" t="s">
        <v>895</v>
      </c>
      <c r="U141" s="626" t="s">
        <v>895</v>
      </c>
      <c r="V141" s="626" t="s">
        <v>895</v>
      </c>
      <c r="W141" s="626" t="s">
        <v>895</v>
      </c>
      <c r="X141" s="626" t="s">
        <v>895</v>
      </c>
      <c r="Y141" s="626" t="s">
        <v>895</v>
      </c>
      <c r="Z141" s="626" t="s">
        <v>895</v>
      </c>
      <c r="AA141" s="626" t="s">
        <v>895</v>
      </c>
      <c r="AB141" s="631" t="s">
        <v>894</v>
      </c>
      <c r="AC141" s="631" t="s">
        <v>894</v>
      </c>
      <c r="AD141" s="626"/>
    </row>
    <row r="142" spans="2:30" ht="123" customHeight="1">
      <c r="B142" s="625">
        <v>132</v>
      </c>
      <c r="C142" s="625">
        <v>268</v>
      </c>
      <c r="D142" s="626" t="s">
        <v>904</v>
      </c>
      <c r="E142" s="626" t="s">
        <v>891</v>
      </c>
      <c r="F142" s="625" t="s">
        <v>882</v>
      </c>
      <c r="G142" s="625" t="s">
        <v>883</v>
      </c>
      <c r="H142" s="625" t="s">
        <v>1036</v>
      </c>
      <c r="I142" s="625" t="s">
        <v>885</v>
      </c>
      <c r="J142" s="628" t="s">
        <v>999</v>
      </c>
      <c r="K142" s="625" t="s">
        <v>1037</v>
      </c>
      <c r="L142" s="626">
        <v>2016</v>
      </c>
      <c r="M142" s="629">
        <v>3201580</v>
      </c>
      <c r="N142" s="626"/>
      <c r="O142" s="626"/>
      <c r="P142" s="630">
        <v>45630</v>
      </c>
      <c r="Q142" s="630">
        <v>10756511</v>
      </c>
      <c r="R142" s="630">
        <v>12164163</v>
      </c>
      <c r="S142" s="630">
        <v>15596104</v>
      </c>
      <c r="T142" s="630">
        <v>402868</v>
      </c>
      <c r="U142" s="630">
        <v>402868</v>
      </c>
      <c r="V142" s="630">
        <v>402868</v>
      </c>
      <c r="W142" s="630">
        <v>402868</v>
      </c>
      <c r="X142" s="630">
        <v>402868</v>
      </c>
      <c r="Y142" s="630">
        <v>402868</v>
      </c>
      <c r="Z142" s="630">
        <v>402868</v>
      </c>
      <c r="AA142" s="630">
        <v>402868</v>
      </c>
      <c r="AB142" s="631" t="s">
        <v>1001</v>
      </c>
      <c r="AC142" s="631" t="s">
        <v>889</v>
      </c>
      <c r="AD142" s="626"/>
    </row>
    <row r="143" spans="2:30" ht="123" customHeight="1">
      <c r="B143" s="625">
        <v>133</v>
      </c>
      <c r="C143" s="625">
        <v>269</v>
      </c>
      <c r="D143" s="626" t="s">
        <v>906</v>
      </c>
      <c r="E143" s="626" t="s">
        <v>891</v>
      </c>
      <c r="F143" s="625" t="s">
        <v>882</v>
      </c>
      <c r="G143" s="625" t="s">
        <v>883</v>
      </c>
      <c r="H143" s="625" t="s">
        <v>1036</v>
      </c>
      <c r="I143" s="625" t="s">
        <v>885</v>
      </c>
      <c r="J143" s="628" t="s">
        <v>999</v>
      </c>
      <c r="K143" s="625" t="s">
        <v>1037</v>
      </c>
      <c r="L143" s="626">
        <v>2016</v>
      </c>
      <c r="M143" s="629">
        <v>2086029</v>
      </c>
      <c r="N143" s="626"/>
      <c r="O143" s="626"/>
      <c r="P143" s="630">
        <v>29660</v>
      </c>
      <c r="Q143" s="630">
        <v>6588944</v>
      </c>
      <c r="R143" s="630">
        <v>7432876</v>
      </c>
      <c r="S143" s="630">
        <v>8779958</v>
      </c>
      <c r="T143" s="630">
        <v>217539</v>
      </c>
      <c r="U143" s="630">
        <v>217539</v>
      </c>
      <c r="V143" s="630">
        <v>217539</v>
      </c>
      <c r="W143" s="630">
        <v>217539</v>
      </c>
      <c r="X143" s="630">
        <v>217539</v>
      </c>
      <c r="Y143" s="630">
        <v>217539</v>
      </c>
      <c r="Z143" s="630">
        <v>217539</v>
      </c>
      <c r="AA143" s="630">
        <v>217539</v>
      </c>
      <c r="AB143" s="631" t="s">
        <v>1002</v>
      </c>
      <c r="AC143" s="631" t="s">
        <v>889</v>
      </c>
      <c r="AD143" s="626"/>
    </row>
    <row r="144" spans="2:30" ht="123" customHeight="1">
      <c r="B144" s="625">
        <v>134</v>
      </c>
      <c r="C144" s="625">
        <v>270</v>
      </c>
      <c r="D144" s="626" t="s">
        <v>908</v>
      </c>
      <c r="E144" s="626" t="s">
        <v>891</v>
      </c>
      <c r="F144" s="625" t="s">
        <v>882</v>
      </c>
      <c r="G144" s="625" t="s">
        <v>883</v>
      </c>
      <c r="H144" s="625" t="s">
        <v>1036</v>
      </c>
      <c r="I144" s="625" t="s">
        <v>885</v>
      </c>
      <c r="J144" s="628" t="s">
        <v>1000</v>
      </c>
      <c r="K144" s="625" t="s">
        <v>1037</v>
      </c>
      <c r="L144" s="626">
        <v>2016</v>
      </c>
      <c r="M144" s="629">
        <v>586855</v>
      </c>
      <c r="N144" s="626"/>
      <c r="O144" s="626"/>
      <c r="P144" s="630">
        <v>860538</v>
      </c>
      <c r="Q144" s="630">
        <v>664878</v>
      </c>
      <c r="R144" s="630">
        <v>678066</v>
      </c>
      <c r="S144" s="630">
        <v>924813</v>
      </c>
      <c r="T144" s="626">
        <v>0</v>
      </c>
      <c r="U144" s="626">
        <v>0</v>
      </c>
      <c r="V144" s="626">
        <v>0</v>
      </c>
      <c r="W144" s="626">
        <v>0</v>
      </c>
      <c r="X144" s="626">
        <v>0</v>
      </c>
      <c r="Y144" s="626">
        <v>0</v>
      </c>
      <c r="Z144" s="626">
        <v>0</v>
      </c>
      <c r="AA144" s="626">
        <v>0</v>
      </c>
      <c r="AB144" s="631" t="s">
        <v>1003</v>
      </c>
      <c r="AC144" s="631" t="s">
        <v>889</v>
      </c>
      <c r="AD144" s="626"/>
    </row>
    <row r="145" spans="2:30" ht="123" customHeight="1">
      <c r="B145" s="625">
        <v>135</v>
      </c>
      <c r="C145" s="625">
        <v>271</v>
      </c>
      <c r="D145" s="626" t="s">
        <v>910</v>
      </c>
      <c r="E145" s="626" t="s">
        <v>891</v>
      </c>
      <c r="F145" s="625" t="s">
        <v>882</v>
      </c>
      <c r="G145" s="625" t="s">
        <v>883</v>
      </c>
      <c r="H145" s="625" t="s">
        <v>1036</v>
      </c>
      <c r="I145" s="625" t="s">
        <v>885</v>
      </c>
      <c r="J145" s="628" t="s">
        <v>1000</v>
      </c>
      <c r="K145" s="625" t="s">
        <v>1037</v>
      </c>
      <c r="L145" s="626">
        <v>2016</v>
      </c>
      <c r="M145" s="629">
        <v>384550</v>
      </c>
      <c r="N145" s="626"/>
      <c r="O145" s="626"/>
      <c r="P145" s="630">
        <v>470544</v>
      </c>
      <c r="Q145" s="630">
        <v>445952</v>
      </c>
      <c r="R145" s="630">
        <v>452224</v>
      </c>
      <c r="S145" s="630">
        <v>534329</v>
      </c>
      <c r="T145" s="626">
        <v>0</v>
      </c>
      <c r="U145" s="626">
        <v>0</v>
      </c>
      <c r="V145" s="626">
        <v>0</v>
      </c>
      <c r="W145" s="626">
        <v>0</v>
      </c>
      <c r="X145" s="626">
        <v>0</v>
      </c>
      <c r="Y145" s="626">
        <v>0</v>
      </c>
      <c r="Z145" s="626">
        <v>0</v>
      </c>
      <c r="AA145" s="626">
        <v>0</v>
      </c>
      <c r="AB145" s="631" t="s">
        <v>1004</v>
      </c>
      <c r="AC145" s="631" t="s">
        <v>889</v>
      </c>
      <c r="AD145" s="626"/>
    </row>
    <row r="146" spans="2:30" ht="123" customHeight="1">
      <c r="B146" s="625">
        <v>136</v>
      </c>
      <c r="C146" s="625">
        <v>272</v>
      </c>
      <c r="D146" s="626" t="s">
        <v>880</v>
      </c>
      <c r="E146" s="626" t="s">
        <v>891</v>
      </c>
      <c r="F146" s="625" t="s">
        <v>882</v>
      </c>
      <c r="G146" s="625" t="s">
        <v>883</v>
      </c>
      <c r="H146" s="625" t="s">
        <v>1036</v>
      </c>
      <c r="I146" s="625" t="s">
        <v>885</v>
      </c>
      <c r="J146" s="628" t="s">
        <v>886</v>
      </c>
      <c r="K146" s="625" t="s">
        <v>887</v>
      </c>
      <c r="L146" s="626">
        <v>2016</v>
      </c>
      <c r="M146" s="629">
        <v>555</v>
      </c>
      <c r="N146" s="626"/>
      <c r="O146" s="626"/>
      <c r="P146" s="626">
        <v>0.64</v>
      </c>
      <c r="Q146" s="626">
        <v>270</v>
      </c>
      <c r="R146" s="626">
        <v>293</v>
      </c>
      <c r="S146" s="626">
        <v>188</v>
      </c>
      <c r="T146" s="626">
        <v>4</v>
      </c>
      <c r="U146" s="626">
        <v>3</v>
      </c>
      <c r="V146" s="626">
        <v>3</v>
      </c>
      <c r="W146" s="626">
        <v>3</v>
      </c>
      <c r="X146" s="626">
        <v>3</v>
      </c>
      <c r="Y146" s="626">
        <v>3</v>
      </c>
      <c r="Z146" s="626">
        <v>3</v>
      </c>
      <c r="AA146" s="626">
        <v>3</v>
      </c>
      <c r="AB146" s="631" t="s">
        <v>1013</v>
      </c>
      <c r="AC146" s="631" t="s">
        <v>889</v>
      </c>
      <c r="AD146" s="626"/>
    </row>
    <row r="147" spans="2:30" ht="123" customHeight="1">
      <c r="B147" s="625">
        <v>137</v>
      </c>
      <c r="C147" s="625">
        <v>282</v>
      </c>
      <c r="D147" s="626" t="s">
        <v>1038</v>
      </c>
      <c r="E147" s="626" t="s">
        <v>891</v>
      </c>
      <c r="F147" s="625" t="s">
        <v>882</v>
      </c>
      <c r="G147" s="625" t="s">
        <v>883</v>
      </c>
      <c r="H147" s="625" t="s">
        <v>1039</v>
      </c>
      <c r="I147" s="625" t="s">
        <v>1040</v>
      </c>
      <c r="J147" s="628" t="s">
        <v>1041</v>
      </c>
      <c r="K147" s="625" t="s">
        <v>1042</v>
      </c>
      <c r="L147" s="626">
        <v>2016</v>
      </c>
      <c r="M147" s="629">
        <v>1402</v>
      </c>
      <c r="N147" s="626"/>
      <c r="O147" s="626"/>
      <c r="P147" s="626">
        <v>251</v>
      </c>
      <c r="Q147" s="626">
        <v>214</v>
      </c>
      <c r="R147" s="626">
        <v>200</v>
      </c>
      <c r="S147" s="626">
        <v>182</v>
      </c>
      <c r="T147" s="626">
        <v>141</v>
      </c>
      <c r="U147" s="626">
        <v>116</v>
      </c>
      <c r="V147" s="626">
        <v>107</v>
      </c>
      <c r="W147" s="626">
        <v>102</v>
      </c>
      <c r="X147" s="626">
        <v>102</v>
      </c>
      <c r="Y147" s="626">
        <v>102</v>
      </c>
      <c r="Z147" s="626">
        <v>102</v>
      </c>
      <c r="AA147" s="626">
        <v>102</v>
      </c>
      <c r="AB147" s="631" t="s">
        <v>1043</v>
      </c>
      <c r="AC147" s="631" t="s">
        <v>889</v>
      </c>
      <c r="AD147" s="626"/>
    </row>
    <row r="148" spans="2:30" ht="123" customHeight="1">
      <c r="B148" s="625">
        <v>138</v>
      </c>
      <c r="C148" s="625">
        <v>283</v>
      </c>
      <c r="D148" s="626" t="s">
        <v>1044</v>
      </c>
      <c r="E148" s="626" t="s">
        <v>891</v>
      </c>
      <c r="F148" s="625" t="s">
        <v>882</v>
      </c>
      <c r="G148" s="625" t="s">
        <v>883</v>
      </c>
      <c r="H148" s="625" t="s">
        <v>1039</v>
      </c>
      <c r="I148" s="625" t="s">
        <v>1040</v>
      </c>
      <c r="J148" s="628" t="s">
        <v>1045</v>
      </c>
      <c r="K148" s="625" t="s">
        <v>1046</v>
      </c>
      <c r="L148" s="626">
        <v>2016</v>
      </c>
      <c r="M148" s="629">
        <v>29</v>
      </c>
      <c r="N148" s="626"/>
      <c r="O148" s="626"/>
      <c r="P148" s="626">
        <v>3</v>
      </c>
      <c r="Q148" s="626">
        <v>2</v>
      </c>
      <c r="R148" s="626">
        <v>2</v>
      </c>
      <c r="S148" s="626">
        <v>2</v>
      </c>
      <c r="T148" s="626">
        <v>2</v>
      </c>
      <c r="U148" s="626">
        <v>2</v>
      </c>
      <c r="V148" s="626">
        <v>2</v>
      </c>
      <c r="W148" s="626">
        <v>2</v>
      </c>
      <c r="X148" s="626">
        <v>2</v>
      </c>
      <c r="Y148" s="626">
        <v>2</v>
      </c>
      <c r="Z148" s="626">
        <v>2</v>
      </c>
      <c r="AA148" s="626">
        <v>2</v>
      </c>
      <c r="AB148" s="631" t="s">
        <v>1047</v>
      </c>
      <c r="AC148" s="631" t="s">
        <v>889</v>
      </c>
      <c r="AD148" s="626"/>
    </row>
    <row r="149" spans="2:30" ht="123" customHeight="1">
      <c r="B149" s="625">
        <v>139</v>
      </c>
      <c r="C149" s="625">
        <v>284</v>
      </c>
      <c r="D149" s="626" t="s">
        <v>1048</v>
      </c>
      <c r="E149" s="626" t="s">
        <v>881</v>
      </c>
      <c r="F149" s="625" t="s">
        <v>882</v>
      </c>
      <c r="G149" s="625" t="s">
        <v>883</v>
      </c>
      <c r="H149" s="625" t="s">
        <v>1039</v>
      </c>
      <c r="I149" s="625" t="s">
        <v>1040</v>
      </c>
      <c r="J149" s="628" t="s">
        <v>1049</v>
      </c>
      <c r="K149" s="625" t="s">
        <v>1050</v>
      </c>
      <c r="L149" s="626">
        <v>2016</v>
      </c>
      <c r="M149" s="629">
        <v>272</v>
      </c>
      <c r="N149" s="626"/>
      <c r="O149" s="626"/>
      <c r="P149" s="626">
        <v>51</v>
      </c>
      <c r="Q149" s="626">
        <v>43</v>
      </c>
      <c r="R149" s="626">
        <v>41</v>
      </c>
      <c r="S149" s="626">
        <v>37</v>
      </c>
      <c r="T149" s="626">
        <v>30</v>
      </c>
      <c r="U149" s="626">
        <v>26</v>
      </c>
      <c r="V149" s="626">
        <v>25</v>
      </c>
      <c r="W149" s="626">
        <v>24</v>
      </c>
      <c r="X149" s="626">
        <v>24</v>
      </c>
      <c r="Y149" s="626">
        <v>24</v>
      </c>
      <c r="Z149" s="626">
        <v>24</v>
      </c>
      <c r="AA149" s="626">
        <v>24</v>
      </c>
      <c r="AB149" s="631" t="s">
        <v>1051</v>
      </c>
      <c r="AC149" s="631" t="s">
        <v>889</v>
      </c>
      <c r="AD149" s="626"/>
    </row>
    <row r="150" spans="2:30" ht="30">
      <c r="B150" s="625">
        <v>140</v>
      </c>
      <c r="C150" s="625">
        <v>291</v>
      </c>
      <c r="D150" s="627" t="s">
        <v>1052</v>
      </c>
      <c r="E150" s="626" t="s">
        <v>891</v>
      </c>
      <c r="F150" s="625" t="s">
        <v>882</v>
      </c>
      <c r="G150" s="625" t="s">
        <v>892</v>
      </c>
      <c r="H150" s="625" t="s">
        <v>1039</v>
      </c>
      <c r="I150" s="625" t="s">
        <v>1040</v>
      </c>
      <c r="J150" s="628" t="s">
        <v>1053</v>
      </c>
      <c r="K150" s="628" t="s">
        <v>1052</v>
      </c>
      <c r="L150" s="626" t="s">
        <v>894</v>
      </c>
      <c r="M150" s="629" t="s">
        <v>894</v>
      </c>
      <c r="N150" s="626"/>
      <c r="O150" s="626"/>
      <c r="P150" s="626" t="s">
        <v>895</v>
      </c>
      <c r="Q150" s="626" t="s">
        <v>895</v>
      </c>
      <c r="R150" s="626" t="s">
        <v>895</v>
      </c>
      <c r="S150" s="626" t="s">
        <v>895</v>
      </c>
      <c r="T150" s="626" t="s">
        <v>895</v>
      </c>
      <c r="U150" s="626" t="s">
        <v>895</v>
      </c>
      <c r="V150" s="626" t="s">
        <v>895</v>
      </c>
      <c r="W150" s="626" t="s">
        <v>895</v>
      </c>
      <c r="X150" s="626" t="s">
        <v>895</v>
      </c>
      <c r="Y150" s="626" t="s">
        <v>895</v>
      </c>
      <c r="Z150" s="626" t="s">
        <v>895</v>
      </c>
      <c r="AA150" s="626" t="s">
        <v>895</v>
      </c>
      <c r="AB150" s="631" t="s">
        <v>894</v>
      </c>
      <c r="AC150" s="631" t="s">
        <v>894</v>
      </c>
      <c r="AD150" s="626"/>
    </row>
    <row r="151" spans="2:30" ht="90">
      <c r="B151" s="625">
        <v>141</v>
      </c>
      <c r="C151" s="625">
        <v>292</v>
      </c>
      <c r="D151" s="627" t="s">
        <v>1054</v>
      </c>
      <c r="E151" s="626" t="s">
        <v>1055</v>
      </c>
      <c r="F151" s="625" t="s">
        <v>882</v>
      </c>
      <c r="G151" s="625" t="s">
        <v>892</v>
      </c>
      <c r="H151" s="625" t="s">
        <v>230</v>
      </c>
      <c r="I151" s="625" t="s">
        <v>1056</v>
      </c>
      <c r="J151" s="628" t="s">
        <v>1053</v>
      </c>
      <c r="K151" s="628" t="s">
        <v>1054</v>
      </c>
      <c r="L151" s="626" t="s">
        <v>894</v>
      </c>
      <c r="M151" s="629" t="s">
        <v>894</v>
      </c>
      <c r="N151" s="626"/>
      <c r="O151" s="626"/>
      <c r="P151" s="626" t="s">
        <v>895</v>
      </c>
      <c r="Q151" s="626" t="s">
        <v>895</v>
      </c>
      <c r="R151" s="626" t="s">
        <v>895</v>
      </c>
      <c r="S151" s="626" t="s">
        <v>895</v>
      </c>
      <c r="T151" s="626" t="s">
        <v>895</v>
      </c>
      <c r="U151" s="626" t="s">
        <v>895</v>
      </c>
      <c r="V151" s="626" t="s">
        <v>895</v>
      </c>
      <c r="W151" s="626" t="s">
        <v>895</v>
      </c>
      <c r="X151" s="626" t="s">
        <v>895</v>
      </c>
      <c r="Y151" s="626" t="s">
        <v>895</v>
      </c>
      <c r="Z151" s="626" t="s">
        <v>895</v>
      </c>
      <c r="AA151" s="626" t="s">
        <v>895</v>
      </c>
      <c r="AB151" s="631" t="s">
        <v>894</v>
      </c>
      <c r="AC151" s="631" t="s">
        <v>894</v>
      </c>
      <c r="AD151" s="626"/>
    </row>
    <row r="152" spans="2:30" ht="75">
      <c r="B152" s="625">
        <v>142</v>
      </c>
      <c r="C152" s="625">
        <v>293</v>
      </c>
      <c r="D152" s="627" t="s">
        <v>1057</v>
      </c>
      <c r="E152" s="626" t="s">
        <v>1055</v>
      </c>
      <c r="F152" s="625" t="s">
        <v>882</v>
      </c>
      <c r="G152" s="625" t="s">
        <v>892</v>
      </c>
      <c r="H152" s="625" t="s">
        <v>230</v>
      </c>
      <c r="I152" s="625" t="s">
        <v>1056</v>
      </c>
      <c r="J152" s="628" t="s">
        <v>1053</v>
      </c>
      <c r="K152" s="628" t="s">
        <v>1057</v>
      </c>
      <c r="L152" s="626" t="s">
        <v>894</v>
      </c>
      <c r="M152" s="629" t="s">
        <v>894</v>
      </c>
      <c r="N152" s="626"/>
      <c r="O152" s="626"/>
      <c r="P152" s="626" t="s">
        <v>895</v>
      </c>
      <c r="Q152" s="626" t="s">
        <v>895</v>
      </c>
      <c r="R152" s="626" t="s">
        <v>895</v>
      </c>
      <c r="S152" s="626" t="s">
        <v>895</v>
      </c>
      <c r="T152" s="626" t="s">
        <v>895</v>
      </c>
      <c r="U152" s="626" t="s">
        <v>895</v>
      </c>
      <c r="V152" s="626" t="s">
        <v>895</v>
      </c>
      <c r="W152" s="626" t="s">
        <v>895</v>
      </c>
      <c r="X152" s="626" t="s">
        <v>895</v>
      </c>
      <c r="Y152" s="626" t="s">
        <v>895</v>
      </c>
      <c r="Z152" s="626" t="s">
        <v>895</v>
      </c>
      <c r="AA152" s="626" t="s">
        <v>895</v>
      </c>
      <c r="AB152" s="631" t="s">
        <v>894</v>
      </c>
      <c r="AC152" s="631" t="s">
        <v>894</v>
      </c>
      <c r="AD152" s="626"/>
    </row>
    <row r="153" spans="2:30" ht="30">
      <c r="B153" s="625">
        <v>143</v>
      </c>
      <c r="C153" s="625">
        <v>294</v>
      </c>
      <c r="D153" s="627" t="s">
        <v>1058</v>
      </c>
      <c r="E153" s="626" t="s">
        <v>891</v>
      </c>
      <c r="F153" s="625" t="s">
        <v>882</v>
      </c>
      <c r="G153" s="625" t="s">
        <v>892</v>
      </c>
      <c r="H153" s="625" t="s">
        <v>1039</v>
      </c>
      <c r="I153" s="625" t="s">
        <v>1040</v>
      </c>
      <c r="J153" s="628" t="s">
        <v>1059</v>
      </c>
      <c r="K153" s="628" t="s">
        <v>1058</v>
      </c>
      <c r="L153" s="626" t="s">
        <v>894</v>
      </c>
      <c r="M153" s="629" t="s">
        <v>894</v>
      </c>
      <c r="N153" s="626"/>
      <c r="O153" s="626"/>
      <c r="P153" s="626" t="s">
        <v>895</v>
      </c>
      <c r="Q153" s="626" t="s">
        <v>895</v>
      </c>
      <c r="R153" s="626" t="s">
        <v>895</v>
      </c>
      <c r="S153" s="626" t="s">
        <v>895</v>
      </c>
      <c r="T153" s="626" t="s">
        <v>895</v>
      </c>
      <c r="U153" s="626" t="s">
        <v>895</v>
      </c>
      <c r="V153" s="626" t="s">
        <v>895</v>
      </c>
      <c r="W153" s="626" t="s">
        <v>895</v>
      </c>
      <c r="X153" s="626" t="s">
        <v>895</v>
      </c>
      <c r="Y153" s="626" t="s">
        <v>895</v>
      </c>
      <c r="Z153" s="626" t="s">
        <v>895</v>
      </c>
      <c r="AA153" s="626" t="s">
        <v>895</v>
      </c>
      <c r="AB153" s="631" t="s">
        <v>894</v>
      </c>
      <c r="AC153" s="631" t="s">
        <v>894</v>
      </c>
      <c r="AD153" s="626"/>
    </row>
    <row r="154" spans="2:30" ht="30">
      <c r="B154" s="625">
        <v>144</v>
      </c>
      <c r="C154" s="625">
        <v>296</v>
      </c>
      <c r="D154" s="627" t="s">
        <v>1060</v>
      </c>
      <c r="E154" s="626" t="s">
        <v>891</v>
      </c>
      <c r="F154" s="625" t="s">
        <v>882</v>
      </c>
      <c r="G154" s="625" t="s">
        <v>892</v>
      </c>
      <c r="H154" s="625" t="s">
        <v>1039</v>
      </c>
      <c r="I154" s="625" t="s">
        <v>1040</v>
      </c>
      <c r="J154" s="628" t="s">
        <v>1053</v>
      </c>
      <c r="K154" s="628" t="s">
        <v>1060</v>
      </c>
      <c r="L154" s="626" t="s">
        <v>894</v>
      </c>
      <c r="M154" s="629" t="s">
        <v>894</v>
      </c>
      <c r="N154" s="626"/>
      <c r="O154" s="626"/>
      <c r="P154" s="626" t="s">
        <v>895</v>
      </c>
      <c r="Q154" s="626" t="s">
        <v>895</v>
      </c>
      <c r="R154" s="626" t="s">
        <v>895</v>
      </c>
      <c r="S154" s="626" t="s">
        <v>895</v>
      </c>
      <c r="T154" s="626" t="s">
        <v>895</v>
      </c>
      <c r="U154" s="626" t="s">
        <v>895</v>
      </c>
      <c r="V154" s="626" t="s">
        <v>895</v>
      </c>
      <c r="W154" s="626" t="s">
        <v>895</v>
      </c>
      <c r="X154" s="626" t="s">
        <v>895</v>
      </c>
      <c r="Y154" s="626" t="s">
        <v>895</v>
      </c>
      <c r="Z154" s="626" t="s">
        <v>895</v>
      </c>
      <c r="AA154" s="626" t="s">
        <v>895</v>
      </c>
      <c r="AB154" s="631" t="s">
        <v>894</v>
      </c>
      <c r="AC154" s="631" t="s">
        <v>894</v>
      </c>
      <c r="AD154" s="626"/>
    </row>
    <row r="155" spans="2:30" ht="30">
      <c r="B155" s="625">
        <v>145</v>
      </c>
      <c r="C155" s="625">
        <v>297</v>
      </c>
      <c r="D155" s="627" t="s">
        <v>1060</v>
      </c>
      <c r="E155" s="626" t="s">
        <v>891</v>
      </c>
      <c r="F155" s="625" t="s">
        <v>882</v>
      </c>
      <c r="G155" s="625" t="s">
        <v>892</v>
      </c>
      <c r="H155" s="625" t="s">
        <v>1039</v>
      </c>
      <c r="I155" s="625" t="s">
        <v>1040</v>
      </c>
      <c r="J155" s="628" t="s">
        <v>1006</v>
      </c>
      <c r="K155" s="628" t="s">
        <v>1060</v>
      </c>
      <c r="L155" s="626" t="s">
        <v>894</v>
      </c>
      <c r="M155" s="629" t="s">
        <v>894</v>
      </c>
      <c r="N155" s="626"/>
      <c r="O155" s="626"/>
      <c r="P155" s="626" t="s">
        <v>895</v>
      </c>
      <c r="Q155" s="626" t="s">
        <v>895</v>
      </c>
      <c r="R155" s="626" t="s">
        <v>895</v>
      </c>
      <c r="S155" s="626" t="s">
        <v>895</v>
      </c>
      <c r="T155" s="626" t="s">
        <v>895</v>
      </c>
      <c r="U155" s="626" t="s">
        <v>895</v>
      </c>
      <c r="V155" s="626" t="s">
        <v>895</v>
      </c>
      <c r="W155" s="626" t="s">
        <v>895</v>
      </c>
      <c r="X155" s="626" t="s">
        <v>895</v>
      </c>
      <c r="Y155" s="626" t="s">
        <v>895</v>
      </c>
      <c r="Z155" s="626" t="s">
        <v>895</v>
      </c>
      <c r="AA155" s="626" t="s">
        <v>895</v>
      </c>
      <c r="AB155" s="631" t="s">
        <v>894</v>
      </c>
      <c r="AC155" s="631" t="s">
        <v>894</v>
      </c>
      <c r="AD155" s="626"/>
    </row>
    <row r="156" spans="2:30" ht="45">
      <c r="B156" s="625">
        <v>146</v>
      </c>
      <c r="C156" s="625">
        <v>307</v>
      </c>
      <c r="D156" s="627" t="s">
        <v>1061</v>
      </c>
      <c r="E156" s="626" t="s">
        <v>891</v>
      </c>
      <c r="F156" s="625" t="s">
        <v>882</v>
      </c>
      <c r="G156" s="625" t="s">
        <v>892</v>
      </c>
      <c r="H156" s="625" t="s">
        <v>1062</v>
      </c>
      <c r="I156" s="625" t="s">
        <v>1063</v>
      </c>
      <c r="J156" s="628" t="s">
        <v>1053</v>
      </c>
      <c r="K156" s="628" t="s">
        <v>1064</v>
      </c>
      <c r="L156" s="626" t="s">
        <v>894</v>
      </c>
      <c r="M156" s="629" t="s">
        <v>894</v>
      </c>
      <c r="N156" s="626"/>
      <c r="O156" s="626"/>
      <c r="P156" s="626" t="s">
        <v>895</v>
      </c>
      <c r="Q156" s="626" t="s">
        <v>895</v>
      </c>
      <c r="R156" s="626" t="s">
        <v>895</v>
      </c>
      <c r="S156" s="626" t="s">
        <v>895</v>
      </c>
      <c r="T156" s="626" t="s">
        <v>895</v>
      </c>
      <c r="U156" s="626" t="s">
        <v>895</v>
      </c>
      <c r="V156" s="626" t="s">
        <v>895</v>
      </c>
      <c r="W156" s="626" t="s">
        <v>895</v>
      </c>
      <c r="X156" s="626" t="s">
        <v>895</v>
      </c>
      <c r="Y156" s="626" t="s">
        <v>895</v>
      </c>
      <c r="Z156" s="626" t="s">
        <v>895</v>
      </c>
      <c r="AA156" s="626" t="s">
        <v>895</v>
      </c>
      <c r="AB156" s="631" t="s">
        <v>894</v>
      </c>
      <c r="AC156" s="631" t="s">
        <v>894</v>
      </c>
      <c r="AD156" s="626"/>
    </row>
    <row r="157" spans="2:30">
      <c r="B157" s="625">
        <v>147</v>
      </c>
      <c r="C157" s="625">
        <v>308</v>
      </c>
      <c r="D157" s="627" t="s">
        <v>1065</v>
      </c>
      <c r="E157" s="626" t="s">
        <v>891</v>
      </c>
      <c r="F157" s="625" t="s">
        <v>882</v>
      </c>
      <c r="G157" s="625" t="s">
        <v>892</v>
      </c>
      <c r="H157" s="625" t="s">
        <v>1062</v>
      </c>
      <c r="I157" s="625" t="s">
        <v>1063</v>
      </c>
      <c r="J157" s="628" t="s">
        <v>1066</v>
      </c>
      <c r="K157" s="628" t="s">
        <v>1067</v>
      </c>
      <c r="L157" s="626" t="s">
        <v>894</v>
      </c>
      <c r="M157" s="629" t="s">
        <v>894</v>
      </c>
      <c r="N157" s="626"/>
      <c r="O157" s="626"/>
      <c r="P157" s="626" t="s">
        <v>895</v>
      </c>
      <c r="Q157" s="626" t="s">
        <v>895</v>
      </c>
      <c r="R157" s="626" t="s">
        <v>895</v>
      </c>
      <c r="S157" s="626" t="s">
        <v>895</v>
      </c>
      <c r="T157" s="626" t="s">
        <v>895</v>
      </c>
      <c r="U157" s="626" t="s">
        <v>895</v>
      </c>
      <c r="V157" s="626" t="s">
        <v>895</v>
      </c>
      <c r="W157" s="626" t="s">
        <v>895</v>
      </c>
      <c r="X157" s="626" t="s">
        <v>895</v>
      </c>
      <c r="Y157" s="626" t="s">
        <v>895</v>
      </c>
      <c r="Z157" s="626" t="s">
        <v>895</v>
      </c>
      <c r="AA157" s="626" t="s">
        <v>895</v>
      </c>
      <c r="AB157" s="631" t="s">
        <v>894</v>
      </c>
      <c r="AC157" s="631" t="s">
        <v>894</v>
      </c>
      <c r="AD157" s="626"/>
    </row>
    <row r="158" spans="2:30">
      <c r="B158" s="625">
        <v>148</v>
      </c>
      <c r="C158" s="625">
        <v>309</v>
      </c>
      <c r="D158" s="627" t="s">
        <v>1068</v>
      </c>
      <c r="E158" s="626" t="s">
        <v>891</v>
      </c>
      <c r="F158" s="625" t="s">
        <v>882</v>
      </c>
      <c r="G158" s="625" t="s">
        <v>892</v>
      </c>
      <c r="H158" s="625" t="s">
        <v>1062</v>
      </c>
      <c r="I158" s="625" t="s">
        <v>1063</v>
      </c>
      <c r="J158" s="628" t="s">
        <v>1069</v>
      </c>
      <c r="K158" s="628" t="s">
        <v>1070</v>
      </c>
      <c r="L158" s="626" t="s">
        <v>894</v>
      </c>
      <c r="M158" s="629" t="s">
        <v>894</v>
      </c>
      <c r="N158" s="626"/>
      <c r="O158" s="626"/>
      <c r="P158" s="626" t="s">
        <v>895</v>
      </c>
      <c r="Q158" s="626" t="s">
        <v>895</v>
      </c>
      <c r="R158" s="626" t="s">
        <v>895</v>
      </c>
      <c r="S158" s="626" t="s">
        <v>895</v>
      </c>
      <c r="T158" s="626" t="s">
        <v>895</v>
      </c>
      <c r="U158" s="626" t="s">
        <v>895</v>
      </c>
      <c r="V158" s="626" t="s">
        <v>895</v>
      </c>
      <c r="W158" s="626" t="s">
        <v>895</v>
      </c>
      <c r="X158" s="626" t="s">
        <v>895</v>
      </c>
      <c r="Y158" s="626" t="s">
        <v>895</v>
      </c>
      <c r="Z158" s="626" t="s">
        <v>895</v>
      </c>
      <c r="AA158" s="626" t="s">
        <v>895</v>
      </c>
      <c r="AB158" s="631" t="s">
        <v>894</v>
      </c>
      <c r="AC158" s="631" t="s">
        <v>894</v>
      </c>
      <c r="AD158" s="626"/>
    </row>
    <row r="159" spans="2:30" ht="60">
      <c r="B159" s="625">
        <v>149</v>
      </c>
      <c r="C159" s="625">
        <v>310</v>
      </c>
      <c r="D159" s="627" t="s">
        <v>1071</v>
      </c>
      <c r="E159" s="626" t="s">
        <v>891</v>
      </c>
      <c r="F159" s="625" t="s">
        <v>882</v>
      </c>
      <c r="G159" s="625" t="s">
        <v>892</v>
      </c>
      <c r="H159" s="625" t="s">
        <v>1062</v>
      </c>
      <c r="I159" s="625" t="s">
        <v>1063</v>
      </c>
      <c r="J159" s="628" t="s">
        <v>1072</v>
      </c>
      <c r="K159" s="628" t="s">
        <v>1073</v>
      </c>
      <c r="L159" s="626" t="s">
        <v>894</v>
      </c>
      <c r="M159" s="629" t="s">
        <v>894</v>
      </c>
      <c r="N159" s="626"/>
      <c r="O159" s="626"/>
      <c r="P159" s="626" t="s">
        <v>895</v>
      </c>
      <c r="Q159" s="626" t="s">
        <v>895</v>
      </c>
      <c r="R159" s="626" t="s">
        <v>895</v>
      </c>
      <c r="S159" s="626" t="s">
        <v>895</v>
      </c>
      <c r="T159" s="626" t="s">
        <v>895</v>
      </c>
      <c r="U159" s="626" t="s">
        <v>895</v>
      </c>
      <c r="V159" s="626" t="s">
        <v>895</v>
      </c>
      <c r="W159" s="626" t="s">
        <v>895</v>
      </c>
      <c r="X159" s="626" t="s">
        <v>895</v>
      </c>
      <c r="Y159" s="626" t="s">
        <v>895</v>
      </c>
      <c r="Z159" s="626" t="s">
        <v>895</v>
      </c>
      <c r="AA159" s="626" t="s">
        <v>895</v>
      </c>
      <c r="AB159" s="631" t="s">
        <v>894</v>
      </c>
      <c r="AC159" s="631" t="s">
        <v>894</v>
      </c>
      <c r="AD159" s="626"/>
    </row>
    <row r="160" spans="2:30" ht="60">
      <c r="B160" s="625">
        <v>150</v>
      </c>
      <c r="C160" s="625">
        <v>311</v>
      </c>
      <c r="D160" s="627" t="s">
        <v>1074</v>
      </c>
      <c r="E160" s="626" t="s">
        <v>891</v>
      </c>
      <c r="F160" s="625" t="s">
        <v>882</v>
      </c>
      <c r="G160" s="625" t="s">
        <v>892</v>
      </c>
      <c r="H160" s="625" t="s">
        <v>1062</v>
      </c>
      <c r="I160" s="625" t="s">
        <v>1063</v>
      </c>
      <c r="J160" s="628" t="s">
        <v>1072</v>
      </c>
      <c r="K160" s="628" t="s">
        <v>1075</v>
      </c>
      <c r="L160" s="626" t="s">
        <v>894</v>
      </c>
      <c r="M160" s="629" t="s">
        <v>894</v>
      </c>
      <c r="N160" s="626"/>
      <c r="O160" s="626"/>
      <c r="P160" s="626" t="s">
        <v>895</v>
      </c>
      <c r="Q160" s="626" t="s">
        <v>895</v>
      </c>
      <c r="R160" s="626" t="s">
        <v>895</v>
      </c>
      <c r="S160" s="626" t="s">
        <v>895</v>
      </c>
      <c r="T160" s="626" t="s">
        <v>895</v>
      </c>
      <c r="U160" s="626" t="s">
        <v>895</v>
      </c>
      <c r="V160" s="626" t="s">
        <v>895</v>
      </c>
      <c r="W160" s="626" t="s">
        <v>895</v>
      </c>
      <c r="X160" s="626" t="s">
        <v>895</v>
      </c>
      <c r="Y160" s="626" t="s">
        <v>895</v>
      </c>
      <c r="Z160" s="626" t="s">
        <v>895</v>
      </c>
      <c r="AA160" s="626" t="s">
        <v>895</v>
      </c>
      <c r="AB160" s="631" t="s">
        <v>894</v>
      </c>
      <c r="AC160" s="631" t="s">
        <v>894</v>
      </c>
      <c r="AD160" s="626"/>
    </row>
    <row r="161" spans="2:30" ht="45">
      <c r="B161" s="625">
        <v>151</v>
      </c>
      <c r="C161" s="625">
        <v>312</v>
      </c>
      <c r="D161" s="627" t="s">
        <v>1076</v>
      </c>
      <c r="E161" s="626" t="s">
        <v>891</v>
      </c>
      <c r="F161" s="625" t="s">
        <v>882</v>
      </c>
      <c r="G161" s="625" t="s">
        <v>892</v>
      </c>
      <c r="H161" s="625" t="s">
        <v>1062</v>
      </c>
      <c r="I161" s="625" t="s">
        <v>1063</v>
      </c>
      <c r="J161" s="628" t="s">
        <v>1077</v>
      </c>
      <c r="K161" s="628" t="s">
        <v>1078</v>
      </c>
      <c r="L161" s="626" t="s">
        <v>894</v>
      </c>
      <c r="M161" s="629" t="s">
        <v>894</v>
      </c>
      <c r="N161" s="626"/>
      <c r="O161" s="626"/>
      <c r="P161" s="626" t="s">
        <v>895</v>
      </c>
      <c r="Q161" s="626" t="s">
        <v>895</v>
      </c>
      <c r="R161" s="626" t="s">
        <v>895</v>
      </c>
      <c r="S161" s="626" t="s">
        <v>895</v>
      </c>
      <c r="T161" s="626" t="s">
        <v>895</v>
      </c>
      <c r="U161" s="626" t="s">
        <v>895</v>
      </c>
      <c r="V161" s="626" t="s">
        <v>895</v>
      </c>
      <c r="W161" s="626" t="s">
        <v>895</v>
      </c>
      <c r="X161" s="626" t="s">
        <v>895</v>
      </c>
      <c r="Y161" s="626" t="s">
        <v>895</v>
      </c>
      <c r="Z161" s="626" t="s">
        <v>895</v>
      </c>
      <c r="AA161" s="626" t="s">
        <v>895</v>
      </c>
      <c r="AB161" s="631" t="s">
        <v>894</v>
      </c>
      <c r="AC161" s="631" t="s">
        <v>894</v>
      </c>
      <c r="AD161" s="626"/>
    </row>
    <row r="162" spans="2:30" ht="30">
      <c r="B162" s="625">
        <v>152</v>
      </c>
      <c r="C162" s="625">
        <v>313</v>
      </c>
      <c r="D162" s="627" t="s">
        <v>1079</v>
      </c>
      <c r="E162" s="626" t="s">
        <v>891</v>
      </c>
      <c r="F162" s="625" t="s">
        <v>882</v>
      </c>
      <c r="G162" s="625" t="s">
        <v>892</v>
      </c>
      <c r="H162" s="625" t="s">
        <v>1062</v>
      </c>
      <c r="I162" s="625" t="s">
        <v>1063</v>
      </c>
      <c r="J162" s="628" t="s">
        <v>1077</v>
      </c>
      <c r="K162" s="628" t="s">
        <v>1080</v>
      </c>
      <c r="L162" s="626" t="s">
        <v>894</v>
      </c>
      <c r="M162" s="629" t="s">
        <v>894</v>
      </c>
      <c r="N162" s="626"/>
      <c r="O162" s="626"/>
      <c r="P162" s="626" t="s">
        <v>895</v>
      </c>
      <c r="Q162" s="626" t="s">
        <v>895</v>
      </c>
      <c r="R162" s="626" t="s">
        <v>895</v>
      </c>
      <c r="S162" s="626" t="s">
        <v>895</v>
      </c>
      <c r="T162" s="626" t="s">
        <v>895</v>
      </c>
      <c r="U162" s="626" t="s">
        <v>895</v>
      </c>
      <c r="V162" s="626" t="s">
        <v>895</v>
      </c>
      <c r="W162" s="626" t="s">
        <v>895</v>
      </c>
      <c r="X162" s="626" t="s">
        <v>895</v>
      </c>
      <c r="Y162" s="626" t="s">
        <v>895</v>
      </c>
      <c r="Z162" s="626" t="s">
        <v>895</v>
      </c>
      <c r="AA162" s="626" t="s">
        <v>895</v>
      </c>
      <c r="AB162" s="631" t="s">
        <v>894</v>
      </c>
      <c r="AC162" s="631" t="s">
        <v>894</v>
      </c>
      <c r="AD162" s="626"/>
    </row>
    <row r="163" spans="2:30" ht="75">
      <c r="B163" s="625">
        <v>153</v>
      </c>
      <c r="C163" s="625">
        <v>321</v>
      </c>
      <c r="D163" s="627" t="s">
        <v>1081</v>
      </c>
      <c r="E163" s="626" t="s">
        <v>891</v>
      </c>
      <c r="F163" s="625" t="s">
        <v>882</v>
      </c>
      <c r="G163" s="625" t="s">
        <v>892</v>
      </c>
      <c r="H163" s="625" t="s">
        <v>1062</v>
      </c>
      <c r="I163" s="625" t="s">
        <v>1063</v>
      </c>
      <c r="J163" s="628" t="s">
        <v>1082</v>
      </c>
      <c r="K163" s="628" t="s">
        <v>1083</v>
      </c>
      <c r="L163" s="626" t="s">
        <v>894</v>
      </c>
      <c r="M163" s="629" t="s">
        <v>894</v>
      </c>
      <c r="N163" s="626"/>
      <c r="O163" s="626"/>
      <c r="P163" s="626" t="s">
        <v>895</v>
      </c>
      <c r="Q163" s="626" t="s">
        <v>895</v>
      </c>
      <c r="R163" s="626" t="s">
        <v>895</v>
      </c>
      <c r="S163" s="626" t="s">
        <v>895</v>
      </c>
      <c r="T163" s="626" t="s">
        <v>895</v>
      </c>
      <c r="U163" s="626" t="s">
        <v>895</v>
      </c>
      <c r="V163" s="626" t="s">
        <v>895</v>
      </c>
      <c r="W163" s="626" t="s">
        <v>895</v>
      </c>
      <c r="X163" s="626" t="s">
        <v>895</v>
      </c>
      <c r="Y163" s="626" t="s">
        <v>895</v>
      </c>
      <c r="Z163" s="626" t="s">
        <v>895</v>
      </c>
      <c r="AA163" s="626" t="s">
        <v>895</v>
      </c>
      <c r="AB163" s="631" t="s">
        <v>894</v>
      </c>
      <c r="AC163" s="631" t="s">
        <v>894</v>
      </c>
      <c r="AD163" s="626"/>
    </row>
    <row r="164" spans="2:30" ht="75">
      <c r="B164" s="625">
        <v>154</v>
      </c>
      <c r="C164" s="625">
        <v>322</v>
      </c>
      <c r="D164" s="627" t="s">
        <v>1084</v>
      </c>
      <c r="E164" s="626" t="s">
        <v>891</v>
      </c>
      <c r="F164" s="625" t="s">
        <v>882</v>
      </c>
      <c r="G164" s="625" t="s">
        <v>892</v>
      </c>
      <c r="H164" s="625" t="s">
        <v>1062</v>
      </c>
      <c r="I164" s="625" t="s">
        <v>1063</v>
      </c>
      <c r="J164" s="628" t="s">
        <v>1085</v>
      </c>
      <c r="K164" s="628" t="s">
        <v>1083</v>
      </c>
      <c r="L164" s="626" t="s">
        <v>894</v>
      </c>
      <c r="M164" s="629" t="s">
        <v>894</v>
      </c>
      <c r="N164" s="626"/>
      <c r="O164" s="626"/>
      <c r="P164" s="626" t="s">
        <v>895</v>
      </c>
      <c r="Q164" s="626" t="s">
        <v>895</v>
      </c>
      <c r="R164" s="626" t="s">
        <v>895</v>
      </c>
      <c r="S164" s="626" t="s">
        <v>895</v>
      </c>
      <c r="T164" s="626" t="s">
        <v>895</v>
      </c>
      <c r="U164" s="626" t="s">
        <v>895</v>
      </c>
      <c r="V164" s="626" t="s">
        <v>895</v>
      </c>
      <c r="W164" s="626" t="s">
        <v>895</v>
      </c>
      <c r="X164" s="626" t="s">
        <v>895</v>
      </c>
      <c r="Y164" s="626" t="s">
        <v>895</v>
      </c>
      <c r="Z164" s="626" t="s">
        <v>895</v>
      </c>
      <c r="AA164" s="626" t="s">
        <v>895</v>
      </c>
      <c r="AB164" s="631" t="s">
        <v>894</v>
      </c>
      <c r="AC164" s="631" t="s">
        <v>894</v>
      </c>
      <c r="AD164" s="626"/>
    </row>
    <row r="165" spans="2:30" ht="75">
      <c r="B165" s="625">
        <v>155</v>
      </c>
      <c r="C165" s="625">
        <v>323</v>
      </c>
      <c r="D165" s="627" t="s">
        <v>1086</v>
      </c>
      <c r="E165" s="626" t="s">
        <v>891</v>
      </c>
      <c r="F165" s="625" t="s">
        <v>882</v>
      </c>
      <c r="G165" s="625" t="s">
        <v>892</v>
      </c>
      <c r="H165" s="625" t="s">
        <v>1062</v>
      </c>
      <c r="I165" s="625" t="s">
        <v>1063</v>
      </c>
      <c r="J165" s="628" t="s">
        <v>1087</v>
      </c>
      <c r="K165" s="628" t="s">
        <v>1083</v>
      </c>
      <c r="L165" s="626" t="s">
        <v>894</v>
      </c>
      <c r="M165" s="629" t="s">
        <v>894</v>
      </c>
      <c r="N165" s="626"/>
      <c r="O165" s="626"/>
      <c r="P165" s="626" t="s">
        <v>895</v>
      </c>
      <c r="Q165" s="626" t="s">
        <v>895</v>
      </c>
      <c r="R165" s="626" t="s">
        <v>895</v>
      </c>
      <c r="S165" s="626" t="s">
        <v>895</v>
      </c>
      <c r="T165" s="626" t="s">
        <v>895</v>
      </c>
      <c r="U165" s="626" t="s">
        <v>895</v>
      </c>
      <c r="V165" s="626" t="s">
        <v>895</v>
      </c>
      <c r="W165" s="626" t="s">
        <v>895</v>
      </c>
      <c r="X165" s="626" t="s">
        <v>895</v>
      </c>
      <c r="Y165" s="626" t="s">
        <v>895</v>
      </c>
      <c r="Z165" s="626" t="s">
        <v>895</v>
      </c>
      <c r="AA165" s="626" t="s">
        <v>895</v>
      </c>
      <c r="AB165" s="631" t="s">
        <v>894</v>
      </c>
      <c r="AC165" s="631" t="s">
        <v>894</v>
      </c>
      <c r="AD165" s="626"/>
    </row>
    <row r="166" spans="2:30" ht="75">
      <c r="B166" s="625">
        <v>156</v>
      </c>
      <c r="C166" s="625">
        <v>324</v>
      </c>
      <c r="D166" s="627" t="s">
        <v>1088</v>
      </c>
      <c r="E166" s="626" t="s">
        <v>891</v>
      </c>
      <c r="F166" s="625" t="s">
        <v>882</v>
      </c>
      <c r="G166" s="625" t="s">
        <v>892</v>
      </c>
      <c r="H166" s="625" t="s">
        <v>1062</v>
      </c>
      <c r="I166" s="625" t="s">
        <v>1063</v>
      </c>
      <c r="J166" s="628" t="s">
        <v>1089</v>
      </c>
      <c r="K166" s="628" t="s">
        <v>1083</v>
      </c>
      <c r="L166" s="626" t="s">
        <v>894</v>
      </c>
      <c r="M166" s="629" t="s">
        <v>894</v>
      </c>
      <c r="N166" s="626"/>
      <c r="O166" s="626"/>
      <c r="P166" s="626" t="s">
        <v>895</v>
      </c>
      <c r="Q166" s="626" t="s">
        <v>895</v>
      </c>
      <c r="R166" s="626" t="s">
        <v>895</v>
      </c>
      <c r="S166" s="626" t="s">
        <v>895</v>
      </c>
      <c r="T166" s="626" t="s">
        <v>895</v>
      </c>
      <c r="U166" s="626" t="s">
        <v>895</v>
      </c>
      <c r="V166" s="626" t="s">
        <v>895</v>
      </c>
      <c r="W166" s="626" t="s">
        <v>895</v>
      </c>
      <c r="X166" s="626" t="s">
        <v>895</v>
      </c>
      <c r="Y166" s="626" t="s">
        <v>895</v>
      </c>
      <c r="Z166" s="626" t="s">
        <v>895</v>
      </c>
      <c r="AA166" s="626" t="s">
        <v>895</v>
      </c>
      <c r="AB166" s="631" t="s">
        <v>894</v>
      </c>
      <c r="AC166" s="631" t="s">
        <v>894</v>
      </c>
      <c r="AD166" s="626"/>
    </row>
    <row r="167" spans="2:30" ht="75">
      <c r="B167" s="625">
        <v>157</v>
      </c>
      <c r="C167" s="625">
        <v>325</v>
      </c>
      <c r="D167" s="627" t="s">
        <v>1090</v>
      </c>
      <c r="E167" s="626" t="s">
        <v>891</v>
      </c>
      <c r="F167" s="625" t="s">
        <v>882</v>
      </c>
      <c r="G167" s="625" t="s">
        <v>892</v>
      </c>
      <c r="H167" s="625" t="s">
        <v>1062</v>
      </c>
      <c r="I167" s="625" t="s">
        <v>1063</v>
      </c>
      <c r="J167" s="628" t="s">
        <v>1082</v>
      </c>
      <c r="K167" s="628" t="s">
        <v>1091</v>
      </c>
      <c r="L167" s="626" t="s">
        <v>894</v>
      </c>
      <c r="M167" s="629" t="s">
        <v>894</v>
      </c>
      <c r="N167" s="626"/>
      <c r="O167" s="626"/>
      <c r="P167" s="626" t="s">
        <v>895</v>
      </c>
      <c r="Q167" s="626" t="s">
        <v>895</v>
      </c>
      <c r="R167" s="626" t="s">
        <v>895</v>
      </c>
      <c r="S167" s="626" t="s">
        <v>895</v>
      </c>
      <c r="T167" s="626" t="s">
        <v>895</v>
      </c>
      <c r="U167" s="626" t="s">
        <v>895</v>
      </c>
      <c r="V167" s="626" t="s">
        <v>895</v>
      </c>
      <c r="W167" s="626" t="s">
        <v>895</v>
      </c>
      <c r="X167" s="626" t="s">
        <v>895</v>
      </c>
      <c r="Y167" s="626" t="s">
        <v>895</v>
      </c>
      <c r="Z167" s="626" t="s">
        <v>895</v>
      </c>
      <c r="AA167" s="626" t="s">
        <v>895</v>
      </c>
      <c r="AB167" s="631" t="s">
        <v>894</v>
      </c>
      <c r="AC167" s="631" t="s">
        <v>894</v>
      </c>
      <c r="AD167" s="626"/>
    </row>
    <row r="168" spans="2:30" ht="75">
      <c r="B168" s="625">
        <v>158</v>
      </c>
      <c r="C168" s="625">
        <v>326</v>
      </c>
      <c r="D168" s="627" t="s">
        <v>1092</v>
      </c>
      <c r="E168" s="626" t="s">
        <v>891</v>
      </c>
      <c r="F168" s="625" t="s">
        <v>882</v>
      </c>
      <c r="G168" s="625" t="s">
        <v>892</v>
      </c>
      <c r="H168" s="625" t="s">
        <v>1062</v>
      </c>
      <c r="I168" s="625" t="s">
        <v>1063</v>
      </c>
      <c r="J168" s="628" t="s">
        <v>1085</v>
      </c>
      <c r="K168" s="628" t="s">
        <v>1091</v>
      </c>
      <c r="L168" s="626" t="s">
        <v>894</v>
      </c>
      <c r="M168" s="629" t="s">
        <v>894</v>
      </c>
      <c r="N168" s="626"/>
      <c r="O168" s="626"/>
      <c r="P168" s="626" t="s">
        <v>895</v>
      </c>
      <c r="Q168" s="626" t="s">
        <v>895</v>
      </c>
      <c r="R168" s="626" t="s">
        <v>895</v>
      </c>
      <c r="S168" s="626" t="s">
        <v>895</v>
      </c>
      <c r="T168" s="626" t="s">
        <v>895</v>
      </c>
      <c r="U168" s="626" t="s">
        <v>895</v>
      </c>
      <c r="V168" s="626" t="s">
        <v>895</v>
      </c>
      <c r="W168" s="626" t="s">
        <v>895</v>
      </c>
      <c r="X168" s="626" t="s">
        <v>895</v>
      </c>
      <c r="Y168" s="626" t="s">
        <v>895</v>
      </c>
      <c r="Z168" s="626" t="s">
        <v>895</v>
      </c>
      <c r="AA168" s="626" t="s">
        <v>895</v>
      </c>
      <c r="AB168" s="631" t="s">
        <v>894</v>
      </c>
      <c r="AC168" s="631" t="s">
        <v>894</v>
      </c>
      <c r="AD168" s="626"/>
    </row>
    <row r="169" spans="2:30" ht="75">
      <c r="B169" s="625">
        <v>159</v>
      </c>
      <c r="C169" s="625">
        <v>327</v>
      </c>
      <c r="D169" s="627" t="s">
        <v>1093</v>
      </c>
      <c r="E169" s="626" t="s">
        <v>891</v>
      </c>
      <c r="F169" s="625" t="s">
        <v>882</v>
      </c>
      <c r="G169" s="625" t="s">
        <v>892</v>
      </c>
      <c r="H169" s="625" t="s">
        <v>1062</v>
      </c>
      <c r="I169" s="625" t="s">
        <v>1063</v>
      </c>
      <c r="J169" s="628" t="s">
        <v>1087</v>
      </c>
      <c r="K169" s="628" t="s">
        <v>1091</v>
      </c>
      <c r="L169" s="626" t="s">
        <v>894</v>
      </c>
      <c r="M169" s="629" t="s">
        <v>894</v>
      </c>
      <c r="N169" s="626"/>
      <c r="O169" s="626"/>
      <c r="P169" s="626" t="s">
        <v>895</v>
      </c>
      <c r="Q169" s="626" t="s">
        <v>895</v>
      </c>
      <c r="R169" s="626" t="s">
        <v>895</v>
      </c>
      <c r="S169" s="626" t="s">
        <v>895</v>
      </c>
      <c r="T169" s="626" t="s">
        <v>895</v>
      </c>
      <c r="U169" s="626" t="s">
        <v>895</v>
      </c>
      <c r="V169" s="626" t="s">
        <v>895</v>
      </c>
      <c r="W169" s="626" t="s">
        <v>895</v>
      </c>
      <c r="X169" s="626" t="s">
        <v>895</v>
      </c>
      <c r="Y169" s="626" t="s">
        <v>895</v>
      </c>
      <c r="Z169" s="626" t="s">
        <v>895</v>
      </c>
      <c r="AA169" s="626" t="s">
        <v>895</v>
      </c>
      <c r="AB169" s="631" t="s">
        <v>894</v>
      </c>
      <c r="AC169" s="631" t="s">
        <v>894</v>
      </c>
      <c r="AD169" s="626"/>
    </row>
    <row r="170" spans="2:30" ht="75">
      <c r="B170" s="625">
        <v>160</v>
      </c>
      <c r="C170" s="625">
        <v>328</v>
      </c>
      <c r="D170" s="627" t="s">
        <v>1094</v>
      </c>
      <c r="E170" s="626" t="s">
        <v>891</v>
      </c>
      <c r="F170" s="625" t="s">
        <v>882</v>
      </c>
      <c r="G170" s="625" t="s">
        <v>892</v>
      </c>
      <c r="H170" s="625" t="s">
        <v>1062</v>
      </c>
      <c r="I170" s="625" t="s">
        <v>1063</v>
      </c>
      <c r="J170" s="628" t="s">
        <v>1089</v>
      </c>
      <c r="K170" s="628" t="s">
        <v>1091</v>
      </c>
      <c r="L170" s="626" t="s">
        <v>894</v>
      </c>
      <c r="M170" s="629" t="s">
        <v>894</v>
      </c>
      <c r="N170" s="626"/>
      <c r="O170" s="626"/>
      <c r="P170" s="626" t="s">
        <v>895</v>
      </c>
      <c r="Q170" s="626" t="s">
        <v>895</v>
      </c>
      <c r="R170" s="626" t="s">
        <v>895</v>
      </c>
      <c r="S170" s="626" t="s">
        <v>895</v>
      </c>
      <c r="T170" s="626" t="s">
        <v>895</v>
      </c>
      <c r="U170" s="626" t="s">
        <v>895</v>
      </c>
      <c r="V170" s="626" t="s">
        <v>895</v>
      </c>
      <c r="W170" s="626" t="s">
        <v>895</v>
      </c>
      <c r="X170" s="626" t="s">
        <v>895</v>
      </c>
      <c r="Y170" s="626" t="s">
        <v>895</v>
      </c>
      <c r="Z170" s="626" t="s">
        <v>895</v>
      </c>
      <c r="AA170" s="626" t="s">
        <v>895</v>
      </c>
      <c r="AB170" s="631" t="s">
        <v>894</v>
      </c>
      <c r="AC170" s="631" t="s">
        <v>894</v>
      </c>
      <c r="AD170" s="626"/>
    </row>
    <row r="171" spans="2:30" ht="30">
      <c r="B171" s="625" t="s">
        <v>1095</v>
      </c>
      <c r="C171" s="625" t="s">
        <v>1096</v>
      </c>
      <c r="D171" s="627" t="s">
        <v>1097</v>
      </c>
      <c r="E171" s="626" t="s">
        <v>1098</v>
      </c>
      <c r="F171" s="625" t="s">
        <v>36</v>
      </c>
      <c r="G171" s="625" t="s">
        <v>892</v>
      </c>
      <c r="H171" s="625" t="s">
        <v>18</v>
      </c>
      <c r="I171" s="625" t="s">
        <v>36</v>
      </c>
      <c r="J171" s="628" t="s">
        <v>1053</v>
      </c>
      <c r="K171" s="628" t="s">
        <v>1099</v>
      </c>
      <c r="L171" s="626" t="s">
        <v>894</v>
      </c>
      <c r="M171" s="629" t="s">
        <v>894</v>
      </c>
      <c r="N171" s="626"/>
      <c r="O171" s="626"/>
      <c r="P171" s="626" t="s">
        <v>895</v>
      </c>
      <c r="Q171" s="626" t="s">
        <v>895</v>
      </c>
      <c r="R171" s="626" t="s">
        <v>895</v>
      </c>
      <c r="S171" s="626" t="s">
        <v>895</v>
      </c>
      <c r="T171" s="626" t="s">
        <v>895</v>
      </c>
      <c r="U171" s="626" t="s">
        <v>895</v>
      </c>
      <c r="V171" s="626" t="s">
        <v>895</v>
      </c>
      <c r="W171" s="626" t="s">
        <v>895</v>
      </c>
      <c r="X171" s="626" t="s">
        <v>895</v>
      </c>
      <c r="Y171" s="626" t="s">
        <v>895</v>
      </c>
      <c r="Z171" s="626" t="s">
        <v>895</v>
      </c>
      <c r="AA171" s="626" t="s">
        <v>895</v>
      </c>
      <c r="AB171" s="631" t="s">
        <v>894</v>
      </c>
      <c r="AC171" s="631" t="s">
        <v>894</v>
      </c>
      <c r="AD171" s="626"/>
    </row>
    <row r="172" spans="2:30" ht="30">
      <c r="B172" s="625" t="s">
        <v>1100</v>
      </c>
      <c r="C172" s="625" t="s">
        <v>1096</v>
      </c>
      <c r="D172" s="627" t="s">
        <v>1097</v>
      </c>
      <c r="E172" s="626" t="s">
        <v>1098</v>
      </c>
      <c r="F172" s="625" t="s">
        <v>36</v>
      </c>
      <c r="G172" s="625" t="s">
        <v>892</v>
      </c>
      <c r="H172" s="625" t="s">
        <v>997</v>
      </c>
      <c r="I172" s="625" t="s">
        <v>36</v>
      </c>
      <c r="J172" s="628" t="s">
        <v>1053</v>
      </c>
      <c r="K172" s="625"/>
      <c r="L172" s="626" t="s">
        <v>894</v>
      </c>
      <c r="M172" s="629" t="s">
        <v>894</v>
      </c>
      <c r="N172" s="626"/>
      <c r="O172" s="626"/>
      <c r="P172" s="626" t="s">
        <v>895</v>
      </c>
      <c r="Q172" s="626" t="s">
        <v>895</v>
      </c>
      <c r="R172" s="626" t="s">
        <v>895</v>
      </c>
      <c r="S172" s="626" t="s">
        <v>895</v>
      </c>
      <c r="T172" s="626" t="s">
        <v>895</v>
      </c>
      <c r="U172" s="626" t="s">
        <v>895</v>
      </c>
      <c r="V172" s="626" t="s">
        <v>895</v>
      </c>
      <c r="W172" s="626" t="s">
        <v>895</v>
      </c>
      <c r="X172" s="626" t="s">
        <v>895</v>
      </c>
      <c r="Y172" s="626" t="s">
        <v>895</v>
      </c>
      <c r="Z172" s="626" t="s">
        <v>895</v>
      </c>
      <c r="AA172" s="626" t="s">
        <v>895</v>
      </c>
      <c r="AB172" s="631" t="s">
        <v>894</v>
      </c>
      <c r="AC172" s="631" t="s">
        <v>894</v>
      </c>
      <c r="AD172" s="626"/>
    </row>
    <row r="173" spans="2:30" ht="30">
      <c r="B173" s="625" t="s">
        <v>1101</v>
      </c>
      <c r="C173" s="625" t="s">
        <v>1096</v>
      </c>
      <c r="D173" s="627" t="s">
        <v>1097</v>
      </c>
      <c r="E173" s="626" t="s">
        <v>1098</v>
      </c>
      <c r="F173" s="625" t="s">
        <v>36</v>
      </c>
      <c r="G173" s="625" t="s">
        <v>892</v>
      </c>
      <c r="H173" s="625" t="s">
        <v>1020</v>
      </c>
      <c r="I173" s="625" t="s">
        <v>36</v>
      </c>
      <c r="J173" s="628" t="s">
        <v>1053</v>
      </c>
      <c r="K173" s="625"/>
      <c r="L173" s="626" t="s">
        <v>894</v>
      </c>
      <c r="M173" s="629" t="s">
        <v>894</v>
      </c>
      <c r="N173" s="626"/>
      <c r="O173" s="626"/>
      <c r="P173" s="626" t="s">
        <v>895</v>
      </c>
      <c r="Q173" s="626" t="s">
        <v>895</v>
      </c>
      <c r="R173" s="626" t="s">
        <v>895</v>
      </c>
      <c r="S173" s="626" t="s">
        <v>895</v>
      </c>
      <c r="T173" s="626" t="s">
        <v>895</v>
      </c>
      <c r="U173" s="626" t="s">
        <v>895</v>
      </c>
      <c r="V173" s="626" t="s">
        <v>895</v>
      </c>
      <c r="W173" s="626" t="s">
        <v>895</v>
      </c>
      <c r="X173" s="626" t="s">
        <v>895</v>
      </c>
      <c r="Y173" s="626" t="s">
        <v>895</v>
      </c>
      <c r="Z173" s="626" t="s">
        <v>895</v>
      </c>
      <c r="AA173" s="626" t="s">
        <v>895</v>
      </c>
      <c r="AB173" s="631" t="s">
        <v>894</v>
      </c>
      <c r="AC173" s="631" t="s">
        <v>894</v>
      </c>
      <c r="AD173" s="626"/>
    </row>
    <row r="174" spans="2:30" ht="30">
      <c r="B174" s="625" t="s">
        <v>1102</v>
      </c>
      <c r="C174" s="625" t="s">
        <v>1096</v>
      </c>
      <c r="D174" s="627" t="s">
        <v>1097</v>
      </c>
      <c r="E174" s="626" t="s">
        <v>1098</v>
      </c>
      <c r="F174" s="625" t="s">
        <v>36</v>
      </c>
      <c r="G174" s="625" t="s">
        <v>892</v>
      </c>
      <c r="H174" s="625" t="s">
        <v>1036</v>
      </c>
      <c r="I174" s="625" t="s">
        <v>36</v>
      </c>
      <c r="J174" s="628" t="s">
        <v>1053</v>
      </c>
      <c r="K174" s="625"/>
      <c r="L174" s="626" t="s">
        <v>894</v>
      </c>
      <c r="M174" s="629" t="s">
        <v>894</v>
      </c>
      <c r="N174" s="626"/>
      <c r="O174" s="626"/>
      <c r="P174" s="626" t="s">
        <v>895</v>
      </c>
      <c r="Q174" s="626" t="s">
        <v>895</v>
      </c>
      <c r="R174" s="626" t="s">
        <v>895</v>
      </c>
      <c r="S174" s="626" t="s">
        <v>895</v>
      </c>
      <c r="T174" s="626" t="s">
        <v>895</v>
      </c>
      <c r="U174" s="626" t="s">
        <v>895</v>
      </c>
      <c r="V174" s="626" t="s">
        <v>895</v>
      </c>
      <c r="W174" s="626" t="s">
        <v>895</v>
      </c>
      <c r="X174" s="626" t="s">
        <v>895</v>
      </c>
      <c r="Y174" s="626" t="s">
        <v>895</v>
      </c>
      <c r="Z174" s="626" t="s">
        <v>895</v>
      </c>
      <c r="AA174" s="626" t="s">
        <v>895</v>
      </c>
      <c r="AB174" s="631" t="s">
        <v>894</v>
      </c>
      <c r="AC174" s="631" t="s">
        <v>894</v>
      </c>
      <c r="AD174" s="626"/>
    </row>
    <row r="175" spans="2:30" ht="30">
      <c r="B175" s="625" t="s">
        <v>1103</v>
      </c>
      <c r="C175" s="625" t="s">
        <v>1096</v>
      </c>
      <c r="D175" s="627" t="s">
        <v>1097</v>
      </c>
      <c r="E175" s="626" t="s">
        <v>1098</v>
      </c>
      <c r="F175" s="625" t="s">
        <v>36</v>
      </c>
      <c r="G175" s="625" t="s">
        <v>892</v>
      </c>
      <c r="H175" s="625" t="s">
        <v>1034</v>
      </c>
      <c r="I175" s="625" t="s">
        <v>36</v>
      </c>
      <c r="J175" s="628" t="s">
        <v>1053</v>
      </c>
      <c r="K175" s="625"/>
      <c r="L175" s="626" t="s">
        <v>894</v>
      </c>
      <c r="M175" s="629" t="s">
        <v>894</v>
      </c>
      <c r="N175" s="626"/>
      <c r="O175" s="626"/>
      <c r="P175" s="626" t="s">
        <v>895</v>
      </c>
      <c r="Q175" s="626" t="s">
        <v>895</v>
      </c>
      <c r="R175" s="626" t="s">
        <v>895</v>
      </c>
      <c r="S175" s="626" t="s">
        <v>895</v>
      </c>
      <c r="T175" s="626" t="s">
        <v>895</v>
      </c>
      <c r="U175" s="626" t="s">
        <v>895</v>
      </c>
      <c r="V175" s="626" t="s">
        <v>895</v>
      </c>
      <c r="W175" s="626" t="s">
        <v>895</v>
      </c>
      <c r="X175" s="626" t="s">
        <v>895</v>
      </c>
      <c r="Y175" s="626" t="s">
        <v>895</v>
      </c>
      <c r="Z175" s="626" t="s">
        <v>895</v>
      </c>
      <c r="AA175" s="626" t="s">
        <v>895</v>
      </c>
      <c r="AB175" s="631" t="s">
        <v>894</v>
      </c>
      <c r="AC175" s="631" t="s">
        <v>894</v>
      </c>
      <c r="AD175" s="626"/>
    </row>
    <row r="176" spans="2:30" ht="30">
      <c r="B176" s="625" t="s">
        <v>1104</v>
      </c>
      <c r="C176" s="625" t="s">
        <v>1096</v>
      </c>
      <c r="D176" s="627" t="s">
        <v>1097</v>
      </c>
      <c r="E176" s="626" t="s">
        <v>1098</v>
      </c>
      <c r="F176" s="625" t="s">
        <v>36</v>
      </c>
      <c r="G176" s="625" t="s">
        <v>892</v>
      </c>
      <c r="H176" s="625" t="s">
        <v>230</v>
      </c>
      <c r="I176" s="625" t="s">
        <v>36</v>
      </c>
      <c r="J176" s="628" t="s">
        <v>1053</v>
      </c>
      <c r="K176" s="625"/>
      <c r="L176" s="626" t="s">
        <v>894</v>
      </c>
      <c r="M176" s="629" t="s">
        <v>894</v>
      </c>
      <c r="N176" s="626"/>
      <c r="O176" s="626"/>
      <c r="P176" s="626" t="s">
        <v>895</v>
      </c>
      <c r="Q176" s="626" t="s">
        <v>895</v>
      </c>
      <c r="R176" s="626" t="s">
        <v>895</v>
      </c>
      <c r="S176" s="626" t="s">
        <v>895</v>
      </c>
      <c r="T176" s="626" t="s">
        <v>895</v>
      </c>
      <c r="U176" s="626" t="s">
        <v>895</v>
      </c>
      <c r="V176" s="626" t="s">
        <v>895</v>
      </c>
      <c r="W176" s="626" t="s">
        <v>895</v>
      </c>
      <c r="X176" s="626" t="s">
        <v>895</v>
      </c>
      <c r="Y176" s="626" t="s">
        <v>895</v>
      </c>
      <c r="Z176" s="626" t="s">
        <v>895</v>
      </c>
      <c r="AA176" s="626" t="s">
        <v>895</v>
      </c>
      <c r="AB176" s="631" t="s">
        <v>894</v>
      </c>
      <c r="AC176" s="631" t="s">
        <v>894</v>
      </c>
      <c r="AD176" s="626"/>
    </row>
    <row r="177" spans="2:30" ht="30">
      <c r="B177" s="625" t="s">
        <v>1105</v>
      </c>
      <c r="C177" s="625" t="s">
        <v>1106</v>
      </c>
      <c r="D177" s="627" t="s">
        <v>1107</v>
      </c>
      <c r="E177" s="626" t="s">
        <v>1098</v>
      </c>
      <c r="F177" s="625" t="s">
        <v>36</v>
      </c>
      <c r="G177" s="625" t="s">
        <v>892</v>
      </c>
      <c r="H177" s="625" t="s">
        <v>18</v>
      </c>
      <c r="I177" s="625" t="s">
        <v>36</v>
      </c>
      <c r="J177" s="628" t="s">
        <v>1032</v>
      </c>
      <c r="K177" s="625" t="s">
        <v>1108</v>
      </c>
      <c r="L177" s="626" t="s">
        <v>894</v>
      </c>
      <c r="M177" s="629" t="s">
        <v>894</v>
      </c>
      <c r="N177" s="626"/>
      <c r="O177" s="626"/>
      <c r="P177" s="626" t="s">
        <v>895</v>
      </c>
      <c r="Q177" s="626" t="s">
        <v>895</v>
      </c>
      <c r="R177" s="626" t="s">
        <v>895</v>
      </c>
      <c r="S177" s="626" t="s">
        <v>895</v>
      </c>
      <c r="T177" s="626" t="s">
        <v>895</v>
      </c>
      <c r="U177" s="626" t="s">
        <v>895</v>
      </c>
      <c r="V177" s="626" t="s">
        <v>895</v>
      </c>
      <c r="W177" s="626" t="s">
        <v>895</v>
      </c>
      <c r="X177" s="626" t="s">
        <v>895</v>
      </c>
      <c r="Y177" s="626" t="s">
        <v>895</v>
      </c>
      <c r="Z177" s="626" t="s">
        <v>895</v>
      </c>
      <c r="AA177" s="626" t="s">
        <v>895</v>
      </c>
      <c r="AB177" s="631" t="s">
        <v>894</v>
      </c>
      <c r="AC177" s="631" t="s">
        <v>894</v>
      </c>
      <c r="AD177" s="626"/>
    </row>
    <row r="178" spans="2:30" ht="30">
      <c r="B178" s="625" t="s">
        <v>1109</v>
      </c>
      <c r="C178" s="625" t="s">
        <v>1106</v>
      </c>
      <c r="D178" s="627" t="s">
        <v>1107</v>
      </c>
      <c r="E178" s="626" t="s">
        <v>1098</v>
      </c>
      <c r="F178" s="625" t="s">
        <v>36</v>
      </c>
      <c r="G178" s="625" t="s">
        <v>892</v>
      </c>
      <c r="H178" s="625" t="s">
        <v>997</v>
      </c>
      <c r="I178" s="625" t="s">
        <v>36</v>
      </c>
      <c r="J178" s="628" t="s">
        <v>1032</v>
      </c>
      <c r="K178" s="625" t="s">
        <v>1108</v>
      </c>
      <c r="L178" s="626" t="s">
        <v>894</v>
      </c>
      <c r="M178" s="629" t="s">
        <v>894</v>
      </c>
      <c r="N178" s="626"/>
      <c r="O178" s="626"/>
      <c r="P178" s="626" t="s">
        <v>895</v>
      </c>
      <c r="Q178" s="626" t="s">
        <v>895</v>
      </c>
      <c r="R178" s="626" t="s">
        <v>895</v>
      </c>
      <c r="S178" s="626" t="s">
        <v>895</v>
      </c>
      <c r="T178" s="626" t="s">
        <v>895</v>
      </c>
      <c r="U178" s="626" t="s">
        <v>895</v>
      </c>
      <c r="V178" s="626" t="s">
        <v>895</v>
      </c>
      <c r="W178" s="626" t="s">
        <v>895</v>
      </c>
      <c r="X178" s="626" t="s">
        <v>895</v>
      </c>
      <c r="Y178" s="626" t="s">
        <v>895</v>
      </c>
      <c r="Z178" s="626" t="s">
        <v>895</v>
      </c>
      <c r="AA178" s="626" t="s">
        <v>895</v>
      </c>
      <c r="AB178" s="631" t="s">
        <v>894</v>
      </c>
      <c r="AC178" s="631" t="s">
        <v>894</v>
      </c>
      <c r="AD178" s="626"/>
    </row>
    <row r="179" spans="2:30" ht="30">
      <c r="B179" s="625" t="s">
        <v>1110</v>
      </c>
      <c r="C179" s="625" t="s">
        <v>1106</v>
      </c>
      <c r="D179" s="627" t="s">
        <v>1107</v>
      </c>
      <c r="E179" s="626" t="s">
        <v>1098</v>
      </c>
      <c r="F179" s="625" t="s">
        <v>36</v>
      </c>
      <c r="G179" s="625" t="s">
        <v>892</v>
      </c>
      <c r="H179" s="625" t="s">
        <v>1020</v>
      </c>
      <c r="I179" s="625" t="s">
        <v>36</v>
      </c>
      <c r="J179" s="628" t="s">
        <v>1032</v>
      </c>
      <c r="K179" s="625" t="s">
        <v>1108</v>
      </c>
      <c r="L179" s="626" t="s">
        <v>894</v>
      </c>
      <c r="M179" s="629" t="s">
        <v>894</v>
      </c>
      <c r="N179" s="626"/>
      <c r="O179" s="626"/>
      <c r="P179" s="626" t="s">
        <v>895</v>
      </c>
      <c r="Q179" s="626" t="s">
        <v>895</v>
      </c>
      <c r="R179" s="626" t="s">
        <v>895</v>
      </c>
      <c r="S179" s="626" t="s">
        <v>895</v>
      </c>
      <c r="T179" s="626" t="s">
        <v>895</v>
      </c>
      <c r="U179" s="626" t="s">
        <v>895</v>
      </c>
      <c r="V179" s="626" t="s">
        <v>895</v>
      </c>
      <c r="W179" s="626" t="s">
        <v>895</v>
      </c>
      <c r="X179" s="626" t="s">
        <v>895</v>
      </c>
      <c r="Y179" s="626" t="s">
        <v>895</v>
      </c>
      <c r="Z179" s="626" t="s">
        <v>895</v>
      </c>
      <c r="AA179" s="626" t="s">
        <v>895</v>
      </c>
      <c r="AB179" s="631" t="s">
        <v>894</v>
      </c>
      <c r="AC179" s="631" t="s">
        <v>894</v>
      </c>
      <c r="AD179" s="626"/>
    </row>
    <row r="180" spans="2:30" ht="30">
      <c r="B180" s="625" t="s">
        <v>1111</v>
      </c>
      <c r="C180" s="625" t="s">
        <v>1106</v>
      </c>
      <c r="D180" s="627" t="s">
        <v>1107</v>
      </c>
      <c r="E180" s="626" t="s">
        <v>1098</v>
      </c>
      <c r="F180" s="625" t="s">
        <v>36</v>
      </c>
      <c r="G180" s="625" t="s">
        <v>892</v>
      </c>
      <c r="H180" s="625" t="s">
        <v>1036</v>
      </c>
      <c r="I180" s="625" t="s">
        <v>36</v>
      </c>
      <c r="J180" s="628" t="s">
        <v>1032</v>
      </c>
      <c r="K180" s="625" t="s">
        <v>1108</v>
      </c>
      <c r="L180" s="626" t="s">
        <v>894</v>
      </c>
      <c r="M180" s="629" t="s">
        <v>894</v>
      </c>
      <c r="N180" s="626"/>
      <c r="O180" s="626"/>
      <c r="P180" s="626" t="s">
        <v>895</v>
      </c>
      <c r="Q180" s="626" t="s">
        <v>895</v>
      </c>
      <c r="R180" s="626" t="s">
        <v>895</v>
      </c>
      <c r="S180" s="626" t="s">
        <v>895</v>
      </c>
      <c r="T180" s="626" t="s">
        <v>895</v>
      </c>
      <c r="U180" s="626" t="s">
        <v>895</v>
      </c>
      <c r="V180" s="626" t="s">
        <v>895</v>
      </c>
      <c r="W180" s="626" t="s">
        <v>895</v>
      </c>
      <c r="X180" s="626" t="s">
        <v>895</v>
      </c>
      <c r="Y180" s="626" t="s">
        <v>895</v>
      </c>
      <c r="Z180" s="626" t="s">
        <v>895</v>
      </c>
      <c r="AA180" s="626" t="s">
        <v>895</v>
      </c>
      <c r="AB180" s="631" t="s">
        <v>894</v>
      </c>
      <c r="AC180" s="631" t="s">
        <v>894</v>
      </c>
      <c r="AD180" s="626"/>
    </row>
    <row r="181" spans="2:30" ht="30">
      <c r="B181" s="625" t="s">
        <v>1112</v>
      </c>
      <c r="C181" s="625" t="s">
        <v>1106</v>
      </c>
      <c r="D181" s="627" t="s">
        <v>1107</v>
      </c>
      <c r="E181" s="626" t="s">
        <v>1098</v>
      </c>
      <c r="F181" s="625" t="s">
        <v>36</v>
      </c>
      <c r="G181" s="625" t="s">
        <v>892</v>
      </c>
      <c r="H181" s="625" t="s">
        <v>1034</v>
      </c>
      <c r="I181" s="625" t="s">
        <v>36</v>
      </c>
      <c r="J181" s="628" t="s">
        <v>1032</v>
      </c>
      <c r="K181" s="625" t="s">
        <v>1108</v>
      </c>
      <c r="L181" s="626" t="s">
        <v>894</v>
      </c>
      <c r="M181" s="629" t="s">
        <v>894</v>
      </c>
      <c r="N181" s="626"/>
      <c r="O181" s="626"/>
      <c r="P181" s="626" t="s">
        <v>895</v>
      </c>
      <c r="Q181" s="626" t="s">
        <v>895</v>
      </c>
      <c r="R181" s="626" t="s">
        <v>895</v>
      </c>
      <c r="S181" s="626" t="s">
        <v>895</v>
      </c>
      <c r="T181" s="626" t="s">
        <v>895</v>
      </c>
      <c r="U181" s="626" t="s">
        <v>895</v>
      </c>
      <c r="V181" s="626" t="s">
        <v>895</v>
      </c>
      <c r="W181" s="626" t="s">
        <v>895</v>
      </c>
      <c r="X181" s="626" t="s">
        <v>895</v>
      </c>
      <c r="Y181" s="626" t="s">
        <v>895</v>
      </c>
      <c r="Z181" s="626" t="s">
        <v>895</v>
      </c>
      <c r="AA181" s="626" t="s">
        <v>895</v>
      </c>
      <c r="AB181" s="631" t="s">
        <v>894</v>
      </c>
      <c r="AC181" s="631" t="s">
        <v>894</v>
      </c>
      <c r="AD181" s="626"/>
    </row>
    <row r="182" spans="2:30" ht="30">
      <c r="B182" s="625" t="s">
        <v>1113</v>
      </c>
      <c r="C182" s="625" t="s">
        <v>1106</v>
      </c>
      <c r="D182" s="627" t="s">
        <v>1107</v>
      </c>
      <c r="E182" s="626" t="s">
        <v>1098</v>
      </c>
      <c r="F182" s="625" t="s">
        <v>36</v>
      </c>
      <c r="G182" s="625" t="s">
        <v>892</v>
      </c>
      <c r="H182" s="625" t="s">
        <v>230</v>
      </c>
      <c r="I182" s="625" t="s">
        <v>36</v>
      </c>
      <c r="J182" s="628" t="s">
        <v>1032</v>
      </c>
      <c r="K182" s="625" t="s">
        <v>1108</v>
      </c>
      <c r="L182" s="626" t="s">
        <v>894</v>
      </c>
      <c r="M182" s="629" t="s">
        <v>894</v>
      </c>
      <c r="N182" s="626"/>
      <c r="O182" s="626"/>
      <c r="P182" s="626" t="s">
        <v>895</v>
      </c>
      <c r="Q182" s="626" t="s">
        <v>895</v>
      </c>
      <c r="R182" s="626" t="s">
        <v>895</v>
      </c>
      <c r="S182" s="626" t="s">
        <v>895</v>
      </c>
      <c r="T182" s="626" t="s">
        <v>895</v>
      </c>
      <c r="U182" s="626" t="s">
        <v>895</v>
      </c>
      <c r="V182" s="626" t="s">
        <v>895</v>
      </c>
      <c r="W182" s="626" t="s">
        <v>895</v>
      </c>
      <c r="X182" s="626" t="s">
        <v>895</v>
      </c>
      <c r="Y182" s="626" t="s">
        <v>895</v>
      </c>
      <c r="Z182" s="626" t="s">
        <v>895</v>
      </c>
      <c r="AA182" s="626" t="s">
        <v>895</v>
      </c>
      <c r="AB182" s="631" t="s">
        <v>894</v>
      </c>
      <c r="AC182" s="631" t="s">
        <v>894</v>
      </c>
      <c r="AD182" s="626"/>
    </row>
    <row r="183" spans="2:30" ht="30">
      <c r="B183" s="625" t="s">
        <v>1114</v>
      </c>
      <c r="C183" s="625" t="s">
        <v>1115</v>
      </c>
      <c r="D183" s="627" t="s">
        <v>1116</v>
      </c>
      <c r="E183" s="626" t="s">
        <v>1098</v>
      </c>
      <c r="F183" s="625" t="s">
        <v>36</v>
      </c>
      <c r="G183" s="625" t="s">
        <v>892</v>
      </c>
      <c r="H183" s="625" t="s">
        <v>18</v>
      </c>
      <c r="I183" s="625" t="s">
        <v>1056</v>
      </c>
      <c r="J183" s="628" t="s">
        <v>1053</v>
      </c>
      <c r="K183" s="625" t="s">
        <v>1117</v>
      </c>
      <c r="L183" s="626" t="s">
        <v>894</v>
      </c>
      <c r="M183" s="629" t="s">
        <v>894</v>
      </c>
      <c r="N183" s="626"/>
      <c r="O183" s="626"/>
      <c r="P183" s="626" t="s">
        <v>895</v>
      </c>
      <c r="Q183" s="626" t="s">
        <v>895</v>
      </c>
      <c r="R183" s="626" t="s">
        <v>895</v>
      </c>
      <c r="S183" s="626" t="s">
        <v>895</v>
      </c>
      <c r="T183" s="626" t="s">
        <v>895</v>
      </c>
      <c r="U183" s="626" t="s">
        <v>895</v>
      </c>
      <c r="V183" s="626" t="s">
        <v>895</v>
      </c>
      <c r="W183" s="626" t="s">
        <v>895</v>
      </c>
      <c r="X183" s="626" t="s">
        <v>895</v>
      </c>
      <c r="Y183" s="626" t="s">
        <v>895</v>
      </c>
      <c r="Z183" s="626" t="s">
        <v>895</v>
      </c>
      <c r="AA183" s="626" t="s">
        <v>895</v>
      </c>
      <c r="AB183" s="631" t="s">
        <v>894</v>
      </c>
      <c r="AC183" s="631" t="s">
        <v>894</v>
      </c>
      <c r="AD183" s="626"/>
    </row>
    <row r="184" spans="2:30" ht="30">
      <c r="B184" s="625" t="s">
        <v>1118</v>
      </c>
      <c r="C184" s="625" t="s">
        <v>1115</v>
      </c>
      <c r="D184" s="627" t="s">
        <v>1116</v>
      </c>
      <c r="E184" s="626" t="s">
        <v>1098</v>
      </c>
      <c r="F184" s="625" t="s">
        <v>36</v>
      </c>
      <c r="G184" s="625" t="s">
        <v>892</v>
      </c>
      <c r="H184" s="625" t="s">
        <v>997</v>
      </c>
      <c r="I184" s="625" t="s">
        <v>1056</v>
      </c>
      <c r="J184" s="628" t="s">
        <v>1053</v>
      </c>
      <c r="K184" s="625"/>
      <c r="L184" s="626" t="s">
        <v>894</v>
      </c>
      <c r="M184" s="629" t="s">
        <v>894</v>
      </c>
      <c r="N184" s="626"/>
      <c r="O184" s="626"/>
      <c r="P184" s="626" t="s">
        <v>895</v>
      </c>
      <c r="Q184" s="626" t="s">
        <v>895</v>
      </c>
      <c r="R184" s="626" t="s">
        <v>895</v>
      </c>
      <c r="S184" s="626" t="s">
        <v>895</v>
      </c>
      <c r="T184" s="626" t="s">
        <v>895</v>
      </c>
      <c r="U184" s="626" t="s">
        <v>895</v>
      </c>
      <c r="V184" s="626" t="s">
        <v>895</v>
      </c>
      <c r="W184" s="626" t="s">
        <v>895</v>
      </c>
      <c r="X184" s="626" t="s">
        <v>895</v>
      </c>
      <c r="Y184" s="626" t="s">
        <v>895</v>
      </c>
      <c r="Z184" s="626" t="s">
        <v>895</v>
      </c>
      <c r="AA184" s="626" t="s">
        <v>895</v>
      </c>
      <c r="AB184" s="631" t="s">
        <v>894</v>
      </c>
      <c r="AC184" s="631" t="s">
        <v>894</v>
      </c>
      <c r="AD184" s="626"/>
    </row>
    <row r="185" spans="2:30" ht="30">
      <c r="B185" s="625" t="s">
        <v>1119</v>
      </c>
      <c r="C185" s="625" t="s">
        <v>1115</v>
      </c>
      <c r="D185" s="627" t="s">
        <v>1116</v>
      </c>
      <c r="E185" s="626" t="s">
        <v>1098</v>
      </c>
      <c r="F185" s="625" t="s">
        <v>36</v>
      </c>
      <c r="G185" s="625" t="s">
        <v>892</v>
      </c>
      <c r="H185" s="625" t="s">
        <v>1020</v>
      </c>
      <c r="I185" s="625" t="s">
        <v>1056</v>
      </c>
      <c r="J185" s="628" t="s">
        <v>1053</v>
      </c>
      <c r="K185" s="625"/>
      <c r="L185" s="626" t="s">
        <v>894</v>
      </c>
      <c r="M185" s="629" t="s">
        <v>894</v>
      </c>
      <c r="N185" s="626"/>
      <c r="O185" s="626"/>
      <c r="P185" s="626" t="s">
        <v>895</v>
      </c>
      <c r="Q185" s="626" t="s">
        <v>895</v>
      </c>
      <c r="R185" s="626" t="s">
        <v>895</v>
      </c>
      <c r="S185" s="626" t="s">
        <v>895</v>
      </c>
      <c r="T185" s="626" t="s">
        <v>895</v>
      </c>
      <c r="U185" s="626" t="s">
        <v>895</v>
      </c>
      <c r="V185" s="626" t="s">
        <v>895</v>
      </c>
      <c r="W185" s="626" t="s">
        <v>895</v>
      </c>
      <c r="X185" s="626" t="s">
        <v>895</v>
      </c>
      <c r="Y185" s="626" t="s">
        <v>895</v>
      </c>
      <c r="Z185" s="626" t="s">
        <v>895</v>
      </c>
      <c r="AA185" s="626" t="s">
        <v>895</v>
      </c>
      <c r="AB185" s="631" t="s">
        <v>894</v>
      </c>
      <c r="AC185" s="631" t="s">
        <v>894</v>
      </c>
      <c r="AD185" s="626"/>
    </row>
    <row r="186" spans="2:30" ht="30">
      <c r="B186" s="625" t="s">
        <v>1120</v>
      </c>
      <c r="C186" s="625" t="s">
        <v>1115</v>
      </c>
      <c r="D186" s="627" t="s">
        <v>1116</v>
      </c>
      <c r="E186" s="626" t="s">
        <v>1098</v>
      </c>
      <c r="F186" s="625" t="s">
        <v>36</v>
      </c>
      <c r="G186" s="625" t="s">
        <v>892</v>
      </c>
      <c r="H186" s="625" t="s">
        <v>1036</v>
      </c>
      <c r="I186" s="625" t="s">
        <v>1056</v>
      </c>
      <c r="J186" s="628" t="s">
        <v>1053</v>
      </c>
      <c r="K186" s="625"/>
      <c r="L186" s="626" t="s">
        <v>894</v>
      </c>
      <c r="M186" s="629" t="s">
        <v>894</v>
      </c>
      <c r="N186" s="626"/>
      <c r="O186" s="626"/>
      <c r="P186" s="626" t="s">
        <v>895</v>
      </c>
      <c r="Q186" s="626" t="s">
        <v>895</v>
      </c>
      <c r="R186" s="626" t="s">
        <v>895</v>
      </c>
      <c r="S186" s="626" t="s">
        <v>895</v>
      </c>
      <c r="T186" s="626" t="s">
        <v>895</v>
      </c>
      <c r="U186" s="626" t="s">
        <v>895</v>
      </c>
      <c r="V186" s="626" t="s">
        <v>895</v>
      </c>
      <c r="W186" s="626" t="s">
        <v>895</v>
      </c>
      <c r="X186" s="626" t="s">
        <v>895</v>
      </c>
      <c r="Y186" s="626" t="s">
        <v>895</v>
      </c>
      <c r="Z186" s="626" t="s">
        <v>895</v>
      </c>
      <c r="AA186" s="626" t="s">
        <v>895</v>
      </c>
      <c r="AB186" s="631" t="s">
        <v>894</v>
      </c>
      <c r="AC186" s="631" t="s">
        <v>894</v>
      </c>
      <c r="AD186" s="626"/>
    </row>
    <row r="187" spans="2:30" ht="30">
      <c r="B187" s="625" t="s">
        <v>1121</v>
      </c>
      <c r="C187" s="625" t="s">
        <v>1115</v>
      </c>
      <c r="D187" s="627" t="s">
        <v>1116</v>
      </c>
      <c r="E187" s="626" t="s">
        <v>1098</v>
      </c>
      <c r="F187" s="625" t="s">
        <v>36</v>
      </c>
      <c r="G187" s="625" t="s">
        <v>892</v>
      </c>
      <c r="H187" s="625" t="s">
        <v>1034</v>
      </c>
      <c r="I187" s="625" t="s">
        <v>1056</v>
      </c>
      <c r="J187" s="628" t="s">
        <v>1053</v>
      </c>
      <c r="K187" s="625"/>
      <c r="L187" s="626" t="s">
        <v>894</v>
      </c>
      <c r="M187" s="629" t="s">
        <v>894</v>
      </c>
      <c r="N187" s="626"/>
      <c r="O187" s="626"/>
      <c r="P187" s="626" t="s">
        <v>895</v>
      </c>
      <c r="Q187" s="626" t="s">
        <v>895</v>
      </c>
      <c r="R187" s="626" t="s">
        <v>895</v>
      </c>
      <c r="S187" s="626" t="s">
        <v>895</v>
      </c>
      <c r="T187" s="626" t="s">
        <v>895</v>
      </c>
      <c r="U187" s="626" t="s">
        <v>895</v>
      </c>
      <c r="V187" s="626" t="s">
        <v>895</v>
      </c>
      <c r="W187" s="626" t="s">
        <v>895</v>
      </c>
      <c r="X187" s="626" t="s">
        <v>895</v>
      </c>
      <c r="Y187" s="626" t="s">
        <v>895</v>
      </c>
      <c r="Z187" s="626" t="s">
        <v>895</v>
      </c>
      <c r="AA187" s="626" t="s">
        <v>895</v>
      </c>
      <c r="AB187" s="631" t="s">
        <v>894</v>
      </c>
      <c r="AC187" s="631" t="s">
        <v>894</v>
      </c>
      <c r="AD187" s="626"/>
    </row>
    <row r="188" spans="2:30" ht="30">
      <c r="B188" s="625" t="s">
        <v>1122</v>
      </c>
      <c r="C188" s="625" t="s">
        <v>1115</v>
      </c>
      <c r="D188" s="627" t="s">
        <v>1116</v>
      </c>
      <c r="E188" s="626" t="s">
        <v>1098</v>
      </c>
      <c r="F188" s="625" t="s">
        <v>36</v>
      </c>
      <c r="G188" s="625" t="s">
        <v>892</v>
      </c>
      <c r="H188" s="625" t="s">
        <v>230</v>
      </c>
      <c r="I188" s="625" t="s">
        <v>1056</v>
      </c>
      <c r="J188" s="628" t="s">
        <v>1053</v>
      </c>
      <c r="K188" s="625"/>
      <c r="L188" s="626" t="s">
        <v>894</v>
      </c>
      <c r="M188" s="629" t="s">
        <v>894</v>
      </c>
      <c r="N188" s="626"/>
      <c r="O188" s="626"/>
      <c r="P188" s="626" t="s">
        <v>895</v>
      </c>
      <c r="Q188" s="626" t="s">
        <v>895</v>
      </c>
      <c r="R188" s="626" t="s">
        <v>895</v>
      </c>
      <c r="S188" s="626" t="s">
        <v>895</v>
      </c>
      <c r="T188" s="626" t="s">
        <v>895</v>
      </c>
      <c r="U188" s="626" t="s">
        <v>895</v>
      </c>
      <c r="V188" s="626" t="s">
        <v>895</v>
      </c>
      <c r="W188" s="626" t="s">
        <v>895</v>
      </c>
      <c r="X188" s="626" t="s">
        <v>895</v>
      </c>
      <c r="Y188" s="626" t="s">
        <v>895</v>
      </c>
      <c r="Z188" s="626" t="s">
        <v>895</v>
      </c>
      <c r="AA188" s="626" t="s">
        <v>895</v>
      </c>
      <c r="AB188" s="631" t="s">
        <v>894</v>
      </c>
      <c r="AC188" s="631" t="s">
        <v>894</v>
      </c>
      <c r="AD188" s="626"/>
    </row>
    <row r="189" spans="2:30" ht="30">
      <c r="B189" s="625" t="s">
        <v>1123</v>
      </c>
      <c r="C189" s="625" t="s">
        <v>1124</v>
      </c>
      <c r="D189" s="627" t="s">
        <v>1125</v>
      </c>
      <c r="E189" s="626" t="s">
        <v>1098</v>
      </c>
      <c r="F189" s="625" t="s">
        <v>36</v>
      </c>
      <c r="G189" s="625" t="s">
        <v>892</v>
      </c>
      <c r="H189" s="625" t="s">
        <v>18</v>
      </c>
      <c r="I189" s="625" t="s">
        <v>20</v>
      </c>
      <c r="J189" s="628" t="s">
        <v>1053</v>
      </c>
      <c r="K189" s="625" t="s">
        <v>1117</v>
      </c>
      <c r="L189" s="626" t="s">
        <v>894</v>
      </c>
      <c r="M189" s="629" t="s">
        <v>894</v>
      </c>
      <c r="N189" s="626"/>
      <c r="O189" s="626"/>
      <c r="P189" s="626" t="s">
        <v>895</v>
      </c>
      <c r="Q189" s="626" t="s">
        <v>895</v>
      </c>
      <c r="R189" s="626" t="s">
        <v>895</v>
      </c>
      <c r="S189" s="626" t="s">
        <v>895</v>
      </c>
      <c r="T189" s="626" t="s">
        <v>895</v>
      </c>
      <c r="U189" s="626" t="s">
        <v>895</v>
      </c>
      <c r="V189" s="626" t="s">
        <v>895</v>
      </c>
      <c r="W189" s="626" t="s">
        <v>895</v>
      </c>
      <c r="X189" s="626" t="s">
        <v>895</v>
      </c>
      <c r="Y189" s="626" t="s">
        <v>895</v>
      </c>
      <c r="Z189" s="626" t="s">
        <v>895</v>
      </c>
      <c r="AA189" s="626" t="s">
        <v>895</v>
      </c>
      <c r="AB189" s="631" t="s">
        <v>894</v>
      </c>
      <c r="AC189" s="631" t="s">
        <v>894</v>
      </c>
      <c r="AD189" s="626"/>
    </row>
    <row r="190" spans="2:30" ht="30">
      <c r="B190" s="625" t="s">
        <v>1126</v>
      </c>
      <c r="C190" s="625" t="s">
        <v>1124</v>
      </c>
      <c r="D190" s="627" t="s">
        <v>1125</v>
      </c>
      <c r="E190" s="626" t="s">
        <v>1098</v>
      </c>
      <c r="F190" s="625" t="s">
        <v>36</v>
      </c>
      <c r="G190" s="625" t="s">
        <v>892</v>
      </c>
      <c r="H190" s="625" t="s">
        <v>997</v>
      </c>
      <c r="I190" s="625" t="s">
        <v>20</v>
      </c>
      <c r="J190" s="628" t="s">
        <v>1053</v>
      </c>
      <c r="K190" s="625"/>
      <c r="L190" s="626" t="s">
        <v>894</v>
      </c>
      <c r="M190" s="629" t="s">
        <v>894</v>
      </c>
      <c r="N190" s="626"/>
      <c r="O190" s="626"/>
      <c r="P190" s="626" t="s">
        <v>895</v>
      </c>
      <c r="Q190" s="626" t="s">
        <v>895</v>
      </c>
      <c r="R190" s="626" t="s">
        <v>895</v>
      </c>
      <c r="S190" s="626" t="s">
        <v>895</v>
      </c>
      <c r="T190" s="626" t="s">
        <v>895</v>
      </c>
      <c r="U190" s="626" t="s">
        <v>895</v>
      </c>
      <c r="V190" s="626" t="s">
        <v>895</v>
      </c>
      <c r="W190" s="626" t="s">
        <v>895</v>
      </c>
      <c r="X190" s="626" t="s">
        <v>895</v>
      </c>
      <c r="Y190" s="626" t="s">
        <v>895</v>
      </c>
      <c r="Z190" s="626" t="s">
        <v>895</v>
      </c>
      <c r="AA190" s="626" t="s">
        <v>895</v>
      </c>
      <c r="AB190" s="631" t="s">
        <v>894</v>
      </c>
      <c r="AC190" s="631" t="s">
        <v>894</v>
      </c>
      <c r="AD190" s="626"/>
    </row>
    <row r="191" spans="2:30" ht="30">
      <c r="B191" s="625" t="s">
        <v>1127</v>
      </c>
      <c r="C191" s="625" t="s">
        <v>1124</v>
      </c>
      <c r="D191" s="627" t="s">
        <v>1125</v>
      </c>
      <c r="E191" s="626" t="s">
        <v>1098</v>
      </c>
      <c r="F191" s="625" t="s">
        <v>36</v>
      </c>
      <c r="G191" s="625" t="s">
        <v>892</v>
      </c>
      <c r="H191" s="625" t="s">
        <v>1020</v>
      </c>
      <c r="I191" s="625" t="s">
        <v>20</v>
      </c>
      <c r="J191" s="628" t="s">
        <v>1053</v>
      </c>
      <c r="K191" s="625"/>
      <c r="L191" s="626" t="s">
        <v>894</v>
      </c>
      <c r="M191" s="629" t="s">
        <v>894</v>
      </c>
      <c r="N191" s="626"/>
      <c r="O191" s="626"/>
      <c r="P191" s="626" t="s">
        <v>895</v>
      </c>
      <c r="Q191" s="626" t="s">
        <v>895</v>
      </c>
      <c r="R191" s="626" t="s">
        <v>895</v>
      </c>
      <c r="S191" s="626" t="s">
        <v>895</v>
      </c>
      <c r="T191" s="626" t="s">
        <v>895</v>
      </c>
      <c r="U191" s="626" t="s">
        <v>895</v>
      </c>
      <c r="V191" s="626" t="s">
        <v>895</v>
      </c>
      <c r="W191" s="626" t="s">
        <v>895</v>
      </c>
      <c r="X191" s="626" t="s">
        <v>895</v>
      </c>
      <c r="Y191" s="626" t="s">
        <v>895</v>
      </c>
      <c r="Z191" s="626" t="s">
        <v>895</v>
      </c>
      <c r="AA191" s="626" t="s">
        <v>895</v>
      </c>
      <c r="AB191" s="631" t="s">
        <v>894</v>
      </c>
      <c r="AC191" s="631" t="s">
        <v>894</v>
      </c>
      <c r="AD191" s="626"/>
    </row>
    <row r="192" spans="2:30" ht="30">
      <c r="B192" s="625" t="s">
        <v>1128</v>
      </c>
      <c r="C192" s="625" t="s">
        <v>1124</v>
      </c>
      <c r="D192" s="627" t="s">
        <v>1125</v>
      </c>
      <c r="E192" s="626" t="s">
        <v>1098</v>
      </c>
      <c r="F192" s="625" t="s">
        <v>36</v>
      </c>
      <c r="G192" s="625" t="s">
        <v>892</v>
      </c>
      <c r="H192" s="625" t="s">
        <v>1036</v>
      </c>
      <c r="I192" s="625" t="s">
        <v>20</v>
      </c>
      <c r="J192" s="628" t="s">
        <v>1053</v>
      </c>
      <c r="K192" s="625"/>
      <c r="L192" s="626" t="s">
        <v>894</v>
      </c>
      <c r="M192" s="629" t="s">
        <v>894</v>
      </c>
      <c r="N192" s="626"/>
      <c r="O192" s="626"/>
      <c r="P192" s="626" t="s">
        <v>895</v>
      </c>
      <c r="Q192" s="626" t="s">
        <v>895</v>
      </c>
      <c r="R192" s="626" t="s">
        <v>895</v>
      </c>
      <c r="S192" s="626" t="s">
        <v>895</v>
      </c>
      <c r="T192" s="626" t="s">
        <v>895</v>
      </c>
      <c r="U192" s="626" t="s">
        <v>895</v>
      </c>
      <c r="V192" s="626" t="s">
        <v>895</v>
      </c>
      <c r="W192" s="626" t="s">
        <v>895</v>
      </c>
      <c r="X192" s="626" t="s">
        <v>895</v>
      </c>
      <c r="Y192" s="626" t="s">
        <v>895</v>
      </c>
      <c r="Z192" s="626" t="s">
        <v>895</v>
      </c>
      <c r="AA192" s="626" t="s">
        <v>895</v>
      </c>
      <c r="AB192" s="631" t="s">
        <v>894</v>
      </c>
      <c r="AC192" s="631" t="s">
        <v>894</v>
      </c>
      <c r="AD192" s="626"/>
    </row>
    <row r="193" spans="2:30" ht="30">
      <c r="B193" s="625" t="s">
        <v>1129</v>
      </c>
      <c r="C193" s="625" t="s">
        <v>1124</v>
      </c>
      <c r="D193" s="627" t="s">
        <v>1125</v>
      </c>
      <c r="E193" s="626" t="s">
        <v>1098</v>
      </c>
      <c r="F193" s="625" t="s">
        <v>36</v>
      </c>
      <c r="G193" s="625" t="s">
        <v>892</v>
      </c>
      <c r="H193" s="625" t="s">
        <v>1034</v>
      </c>
      <c r="I193" s="625" t="s">
        <v>20</v>
      </c>
      <c r="J193" s="628" t="s">
        <v>1053</v>
      </c>
      <c r="K193" s="625"/>
      <c r="L193" s="626" t="s">
        <v>894</v>
      </c>
      <c r="M193" s="629" t="s">
        <v>894</v>
      </c>
      <c r="N193" s="626"/>
      <c r="O193" s="626"/>
      <c r="P193" s="626" t="s">
        <v>895</v>
      </c>
      <c r="Q193" s="626" t="s">
        <v>895</v>
      </c>
      <c r="R193" s="626" t="s">
        <v>895</v>
      </c>
      <c r="S193" s="626" t="s">
        <v>895</v>
      </c>
      <c r="T193" s="626" t="s">
        <v>895</v>
      </c>
      <c r="U193" s="626" t="s">
        <v>895</v>
      </c>
      <c r="V193" s="626" t="s">
        <v>895</v>
      </c>
      <c r="W193" s="626" t="s">
        <v>895</v>
      </c>
      <c r="X193" s="626" t="s">
        <v>895</v>
      </c>
      <c r="Y193" s="626" t="s">
        <v>895</v>
      </c>
      <c r="Z193" s="626" t="s">
        <v>895</v>
      </c>
      <c r="AA193" s="626" t="s">
        <v>895</v>
      </c>
      <c r="AB193" s="631" t="s">
        <v>894</v>
      </c>
      <c r="AC193" s="631" t="s">
        <v>894</v>
      </c>
      <c r="AD193" s="626"/>
    </row>
    <row r="194" spans="2:30" ht="30">
      <c r="B194" s="625" t="s">
        <v>1130</v>
      </c>
      <c r="C194" s="625" t="s">
        <v>1124</v>
      </c>
      <c r="D194" s="627" t="s">
        <v>1125</v>
      </c>
      <c r="E194" s="626" t="s">
        <v>1098</v>
      </c>
      <c r="F194" s="625" t="s">
        <v>36</v>
      </c>
      <c r="G194" s="625" t="s">
        <v>892</v>
      </c>
      <c r="H194" s="625" t="s">
        <v>230</v>
      </c>
      <c r="I194" s="625" t="s">
        <v>20</v>
      </c>
      <c r="J194" s="628" t="s">
        <v>1053</v>
      </c>
      <c r="K194" s="625"/>
      <c r="L194" s="626" t="s">
        <v>894</v>
      </c>
      <c r="M194" s="629" t="s">
        <v>894</v>
      </c>
      <c r="N194" s="626"/>
      <c r="O194" s="626"/>
      <c r="P194" s="626" t="s">
        <v>895</v>
      </c>
      <c r="Q194" s="626" t="s">
        <v>895</v>
      </c>
      <c r="R194" s="626" t="s">
        <v>895</v>
      </c>
      <c r="S194" s="626" t="s">
        <v>895</v>
      </c>
      <c r="T194" s="626" t="s">
        <v>895</v>
      </c>
      <c r="U194" s="626" t="s">
        <v>895</v>
      </c>
      <c r="V194" s="626" t="s">
        <v>895</v>
      </c>
      <c r="W194" s="626" t="s">
        <v>895</v>
      </c>
      <c r="X194" s="626" t="s">
        <v>895</v>
      </c>
      <c r="Y194" s="626" t="s">
        <v>895</v>
      </c>
      <c r="Z194" s="626" t="s">
        <v>895</v>
      </c>
      <c r="AA194" s="626" t="s">
        <v>895</v>
      </c>
      <c r="AB194" s="631" t="s">
        <v>894</v>
      </c>
      <c r="AC194" s="631" t="s">
        <v>894</v>
      </c>
      <c r="AD194" s="626"/>
    </row>
    <row r="195" spans="2:30" ht="45">
      <c r="B195" s="625" t="s">
        <v>1131</v>
      </c>
      <c r="C195" s="625" t="s">
        <v>1132</v>
      </c>
      <c r="D195" s="627" t="s">
        <v>1133</v>
      </c>
      <c r="E195" s="626" t="s">
        <v>1134</v>
      </c>
      <c r="F195" s="625" t="s">
        <v>36</v>
      </c>
      <c r="G195" s="625" t="s">
        <v>892</v>
      </c>
      <c r="H195" s="625" t="s">
        <v>18</v>
      </c>
      <c r="I195" s="625" t="s">
        <v>36</v>
      </c>
      <c r="J195" s="628" t="s">
        <v>1135</v>
      </c>
      <c r="K195" s="625" t="s">
        <v>1136</v>
      </c>
      <c r="L195" s="626" t="s">
        <v>894</v>
      </c>
      <c r="M195" s="629" t="s">
        <v>894</v>
      </c>
      <c r="N195" s="626"/>
      <c r="O195" s="626"/>
      <c r="P195" s="626" t="s">
        <v>895</v>
      </c>
      <c r="Q195" s="626" t="s">
        <v>895</v>
      </c>
      <c r="R195" s="626" t="s">
        <v>895</v>
      </c>
      <c r="S195" s="626" t="s">
        <v>895</v>
      </c>
      <c r="T195" s="626" t="s">
        <v>895</v>
      </c>
      <c r="U195" s="626" t="s">
        <v>895</v>
      </c>
      <c r="V195" s="626" t="s">
        <v>895</v>
      </c>
      <c r="W195" s="626" t="s">
        <v>895</v>
      </c>
      <c r="X195" s="626" t="s">
        <v>895</v>
      </c>
      <c r="Y195" s="626" t="s">
        <v>895</v>
      </c>
      <c r="Z195" s="626" t="s">
        <v>895</v>
      </c>
      <c r="AA195" s="626" t="s">
        <v>895</v>
      </c>
      <c r="AB195" s="631" t="s">
        <v>894</v>
      </c>
      <c r="AC195" s="631" t="s">
        <v>894</v>
      </c>
      <c r="AD195" s="626"/>
    </row>
    <row r="196" spans="2:30" ht="45">
      <c r="B196" s="625" t="s">
        <v>1137</v>
      </c>
      <c r="C196" s="625" t="s">
        <v>1132</v>
      </c>
      <c r="D196" s="627" t="s">
        <v>1138</v>
      </c>
      <c r="E196" s="626" t="s">
        <v>1134</v>
      </c>
      <c r="F196" s="625" t="s">
        <v>36</v>
      </c>
      <c r="G196" s="625" t="s">
        <v>892</v>
      </c>
      <c r="H196" s="625" t="s">
        <v>18</v>
      </c>
      <c r="I196" s="625" t="s">
        <v>36</v>
      </c>
      <c r="J196" s="628" t="s">
        <v>1135</v>
      </c>
      <c r="K196" s="625" t="s">
        <v>1136</v>
      </c>
      <c r="L196" s="626" t="s">
        <v>894</v>
      </c>
      <c r="M196" s="629" t="s">
        <v>894</v>
      </c>
      <c r="N196" s="626"/>
      <c r="O196" s="626"/>
      <c r="P196" s="626" t="s">
        <v>895</v>
      </c>
      <c r="Q196" s="626" t="s">
        <v>895</v>
      </c>
      <c r="R196" s="626" t="s">
        <v>895</v>
      </c>
      <c r="S196" s="626" t="s">
        <v>895</v>
      </c>
      <c r="T196" s="626" t="s">
        <v>895</v>
      </c>
      <c r="U196" s="626" t="s">
        <v>895</v>
      </c>
      <c r="V196" s="626" t="s">
        <v>895</v>
      </c>
      <c r="W196" s="626" t="s">
        <v>895</v>
      </c>
      <c r="X196" s="626" t="s">
        <v>895</v>
      </c>
      <c r="Y196" s="626" t="s">
        <v>895</v>
      </c>
      <c r="Z196" s="626" t="s">
        <v>895</v>
      </c>
      <c r="AA196" s="626" t="s">
        <v>895</v>
      </c>
      <c r="AB196" s="631" t="s">
        <v>894</v>
      </c>
      <c r="AC196" s="631" t="s">
        <v>894</v>
      </c>
      <c r="AD196" s="626"/>
    </row>
    <row r="197" spans="2:30" ht="45">
      <c r="B197" s="625" t="s">
        <v>1139</v>
      </c>
      <c r="C197" s="625" t="s">
        <v>1132</v>
      </c>
      <c r="D197" s="627" t="s">
        <v>1140</v>
      </c>
      <c r="E197" s="626" t="s">
        <v>1134</v>
      </c>
      <c r="F197" s="625" t="s">
        <v>36</v>
      </c>
      <c r="G197" s="625" t="s">
        <v>892</v>
      </c>
      <c r="H197" s="625" t="s">
        <v>18</v>
      </c>
      <c r="I197" s="625" t="s">
        <v>36</v>
      </c>
      <c r="J197" s="628" t="s">
        <v>1135</v>
      </c>
      <c r="K197" s="625" t="s">
        <v>1136</v>
      </c>
      <c r="L197" s="626" t="s">
        <v>894</v>
      </c>
      <c r="M197" s="629" t="s">
        <v>894</v>
      </c>
      <c r="N197" s="626"/>
      <c r="O197" s="626"/>
      <c r="P197" s="626" t="s">
        <v>895</v>
      </c>
      <c r="Q197" s="626" t="s">
        <v>895</v>
      </c>
      <c r="R197" s="626" t="s">
        <v>895</v>
      </c>
      <c r="S197" s="626" t="s">
        <v>895</v>
      </c>
      <c r="T197" s="626" t="s">
        <v>895</v>
      </c>
      <c r="U197" s="626" t="s">
        <v>895</v>
      </c>
      <c r="V197" s="626" t="s">
        <v>895</v>
      </c>
      <c r="W197" s="626" t="s">
        <v>895</v>
      </c>
      <c r="X197" s="626" t="s">
        <v>895</v>
      </c>
      <c r="Y197" s="626" t="s">
        <v>895</v>
      </c>
      <c r="Z197" s="626" t="s">
        <v>895</v>
      </c>
      <c r="AA197" s="626" t="s">
        <v>895</v>
      </c>
      <c r="AB197" s="631" t="s">
        <v>894</v>
      </c>
      <c r="AC197" s="631" t="s">
        <v>894</v>
      </c>
      <c r="AD197" s="626"/>
    </row>
    <row r="198" spans="2:30" ht="45">
      <c r="B198" s="625" t="s">
        <v>1141</v>
      </c>
      <c r="C198" s="625" t="s">
        <v>1132</v>
      </c>
      <c r="D198" s="627" t="s">
        <v>1142</v>
      </c>
      <c r="E198" s="626" t="s">
        <v>1134</v>
      </c>
      <c r="F198" s="625" t="s">
        <v>36</v>
      </c>
      <c r="G198" s="625" t="s">
        <v>892</v>
      </c>
      <c r="H198" s="625" t="s">
        <v>18</v>
      </c>
      <c r="I198" s="625" t="s">
        <v>36</v>
      </c>
      <c r="J198" s="628" t="s">
        <v>1135</v>
      </c>
      <c r="K198" s="625" t="s">
        <v>1136</v>
      </c>
      <c r="L198" s="626" t="s">
        <v>894</v>
      </c>
      <c r="M198" s="629" t="s">
        <v>894</v>
      </c>
      <c r="N198" s="626"/>
      <c r="O198" s="626"/>
      <c r="P198" s="626" t="s">
        <v>895</v>
      </c>
      <c r="Q198" s="626" t="s">
        <v>895</v>
      </c>
      <c r="R198" s="626" t="s">
        <v>895</v>
      </c>
      <c r="S198" s="626" t="s">
        <v>895</v>
      </c>
      <c r="T198" s="626" t="s">
        <v>895</v>
      </c>
      <c r="U198" s="626" t="s">
        <v>895</v>
      </c>
      <c r="V198" s="626" t="s">
        <v>895</v>
      </c>
      <c r="W198" s="626" t="s">
        <v>895</v>
      </c>
      <c r="X198" s="626" t="s">
        <v>895</v>
      </c>
      <c r="Y198" s="626" t="s">
        <v>895</v>
      </c>
      <c r="Z198" s="626" t="s">
        <v>895</v>
      </c>
      <c r="AA198" s="626" t="s">
        <v>895</v>
      </c>
      <c r="AB198" s="631" t="s">
        <v>894</v>
      </c>
      <c r="AC198" s="631" t="s">
        <v>894</v>
      </c>
      <c r="AD198" s="626"/>
    </row>
    <row r="199" spans="2:30" ht="45">
      <c r="B199" s="625" t="s">
        <v>1143</v>
      </c>
      <c r="C199" s="625" t="s">
        <v>1132</v>
      </c>
      <c r="D199" s="627" t="s">
        <v>1133</v>
      </c>
      <c r="E199" s="626" t="s">
        <v>1134</v>
      </c>
      <c r="F199" s="625" t="s">
        <v>36</v>
      </c>
      <c r="G199" s="625" t="s">
        <v>892</v>
      </c>
      <c r="H199" s="625" t="s">
        <v>997</v>
      </c>
      <c r="I199" s="625" t="s">
        <v>36</v>
      </c>
      <c r="J199" s="628" t="s">
        <v>1135</v>
      </c>
      <c r="K199" s="625" t="s">
        <v>1136</v>
      </c>
      <c r="L199" s="626" t="s">
        <v>894</v>
      </c>
      <c r="M199" s="629" t="s">
        <v>894</v>
      </c>
      <c r="N199" s="626"/>
      <c r="O199" s="626"/>
      <c r="P199" s="626" t="s">
        <v>895</v>
      </c>
      <c r="Q199" s="626" t="s">
        <v>895</v>
      </c>
      <c r="R199" s="626" t="s">
        <v>895</v>
      </c>
      <c r="S199" s="626" t="s">
        <v>895</v>
      </c>
      <c r="T199" s="626" t="s">
        <v>895</v>
      </c>
      <c r="U199" s="626" t="s">
        <v>895</v>
      </c>
      <c r="V199" s="626" t="s">
        <v>895</v>
      </c>
      <c r="W199" s="626" t="s">
        <v>895</v>
      </c>
      <c r="X199" s="626" t="s">
        <v>895</v>
      </c>
      <c r="Y199" s="626" t="s">
        <v>895</v>
      </c>
      <c r="Z199" s="626" t="s">
        <v>895</v>
      </c>
      <c r="AA199" s="626" t="s">
        <v>895</v>
      </c>
      <c r="AB199" s="631" t="s">
        <v>894</v>
      </c>
      <c r="AC199" s="631" t="s">
        <v>894</v>
      </c>
      <c r="AD199" s="626"/>
    </row>
    <row r="200" spans="2:30" ht="45">
      <c r="B200" s="625" t="s">
        <v>1144</v>
      </c>
      <c r="C200" s="625" t="s">
        <v>1132</v>
      </c>
      <c r="D200" s="627" t="s">
        <v>1138</v>
      </c>
      <c r="E200" s="626" t="s">
        <v>1134</v>
      </c>
      <c r="F200" s="625" t="s">
        <v>36</v>
      </c>
      <c r="G200" s="625" t="s">
        <v>892</v>
      </c>
      <c r="H200" s="625" t="s">
        <v>997</v>
      </c>
      <c r="I200" s="625" t="s">
        <v>36</v>
      </c>
      <c r="J200" s="628" t="s">
        <v>1135</v>
      </c>
      <c r="K200" s="625" t="s">
        <v>1136</v>
      </c>
      <c r="L200" s="626" t="s">
        <v>894</v>
      </c>
      <c r="M200" s="629" t="s">
        <v>894</v>
      </c>
      <c r="N200" s="626"/>
      <c r="O200" s="626"/>
      <c r="P200" s="626" t="s">
        <v>895</v>
      </c>
      <c r="Q200" s="626" t="s">
        <v>895</v>
      </c>
      <c r="R200" s="626" t="s">
        <v>895</v>
      </c>
      <c r="S200" s="626" t="s">
        <v>895</v>
      </c>
      <c r="T200" s="626" t="s">
        <v>895</v>
      </c>
      <c r="U200" s="626" t="s">
        <v>895</v>
      </c>
      <c r="V200" s="626" t="s">
        <v>895</v>
      </c>
      <c r="W200" s="626" t="s">
        <v>895</v>
      </c>
      <c r="X200" s="626" t="s">
        <v>895</v>
      </c>
      <c r="Y200" s="626" t="s">
        <v>895</v>
      </c>
      <c r="Z200" s="626" t="s">
        <v>895</v>
      </c>
      <c r="AA200" s="626" t="s">
        <v>895</v>
      </c>
      <c r="AB200" s="631" t="s">
        <v>894</v>
      </c>
      <c r="AC200" s="631" t="s">
        <v>894</v>
      </c>
      <c r="AD200" s="626"/>
    </row>
    <row r="201" spans="2:30" ht="45">
      <c r="B201" s="625" t="s">
        <v>1145</v>
      </c>
      <c r="C201" s="625" t="s">
        <v>1132</v>
      </c>
      <c r="D201" s="627" t="s">
        <v>1140</v>
      </c>
      <c r="E201" s="626" t="s">
        <v>1134</v>
      </c>
      <c r="F201" s="625" t="s">
        <v>36</v>
      </c>
      <c r="G201" s="625" t="s">
        <v>892</v>
      </c>
      <c r="H201" s="625" t="s">
        <v>997</v>
      </c>
      <c r="I201" s="625" t="s">
        <v>36</v>
      </c>
      <c r="J201" s="628" t="s">
        <v>1135</v>
      </c>
      <c r="K201" s="625" t="s">
        <v>1136</v>
      </c>
      <c r="L201" s="626" t="s">
        <v>894</v>
      </c>
      <c r="M201" s="629" t="s">
        <v>894</v>
      </c>
      <c r="N201" s="626"/>
      <c r="O201" s="626"/>
      <c r="P201" s="626" t="s">
        <v>895</v>
      </c>
      <c r="Q201" s="626" t="s">
        <v>895</v>
      </c>
      <c r="R201" s="626" t="s">
        <v>895</v>
      </c>
      <c r="S201" s="626" t="s">
        <v>895</v>
      </c>
      <c r="T201" s="626" t="s">
        <v>895</v>
      </c>
      <c r="U201" s="626" t="s">
        <v>895</v>
      </c>
      <c r="V201" s="626" t="s">
        <v>895</v>
      </c>
      <c r="W201" s="626" t="s">
        <v>895</v>
      </c>
      <c r="X201" s="626" t="s">
        <v>895</v>
      </c>
      <c r="Y201" s="626" t="s">
        <v>895</v>
      </c>
      <c r="Z201" s="626" t="s">
        <v>895</v>
      </c>
      <c r="AA201" s="626" t="s">
        <v>895</v>
      </c>
      <c r="AB201" s="631" t="s">
        <v>894</v>
      </c>
      <c r="AC201" s="631" t="s">
        <v>894</v>
      </c>
      <c r="AD201" s="626"/>
    </row>
    <row r="202" spans="2:30" ht="45">
      <c r="B202" s="625" t="s">
        <v>1146</v>
      </c>
      <c r="C202" s="625" t="s">
        <v>1132</v>
      </c>
      <c r="D202" s="627" t="s">
        <v>1142</v>
      </c>
      <c r="E202" s="626" t="s">
        <v>1134</v>
      </c>
      <c r="F202" s="625" t="s">
        <v>36</v>
      </c>
      <c r="G202" s="625" t="s">
        <v>892</v>
      </c>
      <c r="H202" s="625" t="s">
        <v>997</v>
      </c>
      <c r="I202" s="625" t="s">
        <v>36</v>
      </c>
      <c r="J202" s="628" t="s">
        <v>1135</v>
      </c>
      <c r="K202" s="625" t="s">
        <v>1136</v>
      </c>
      <c r="L202" s="626" t="s">
        <v>894</v>
      </c>
      <c r="M202" s="629" t="s">
        <v>894</v>
      </c>
      <c r="N202" s="626"/>
      <c r="O202" s="626"/>
      <c r="P202" s="626" t="s">
        <v>895</v>
      </c>
      <c r="Q202" s="626" t="s">
        <v>895</v>
      </c>
      <c r="R202" s="626" t="s">
        <v>895</v>
      </c>
      <c r="S202" s="626" t="s">
        <v>895</v>
      </c>
      <c r="T202" s="626" t="s">
        <v>895</v>
      </c>
      <c r="U202" s="626" t="s">
        <v>895</v>
      </c>
      <c r="V202" s="626" t="s">
        <v>895</v>
      </c>
      <c r="W202" s="626" t="s">
        <v>895</v>
      </c>
      <c r="X202" s="626" t="s">
        <v>895</v>
      </c>
      <c r="Y202" s="626" t="s">
        <v>895</v>
      </c>
      <c r="Z202" s="626" t="s">
        <v>895</v>
      </c>
      <c r="AA202" s="626" t="s">
        <v>895</v>
      </c>
      <c r="AB202" s="631" t="s">
        <v>894</v>
      </c>
      <c r="AC202" s="631" t="s">
        <v>894</v>
      </c>
      <c r="AD202" s="626"/>
    </row>
    <row r="203" spans="2:30" ht="45">
      <c r="B203" s="625" t="s">
        <v>1147</v>
      </c>
      <c r="C203" s="625" t="s">
        <v>1132</v>
      </c>
      <c r="D203" s="627" t="s">
        <v>1133</v>
      </c>
      <c r="E203" s="626" t="s">
        <v>1134</v>
      </c>
      <c r="F203" s="625" t="s">
        <v>36</v>
      </c>
      <c r="G203" s="625" t="s">
        <v>892</v>
      </c>
      <c r="H203" s="625" t="s">
        <v>1020</v>
      </c>
      <c r="I203" s="625" t="s">
        <v>36</v>
      </c>
      <c r="J203" s="628" t="s">
        <v>1135</v>
      </c>
      <c r="K203" s="625" t="s">
        <v>1136</v>
      </c>
      <c r="L203" s="626" t="s">
        <v>894</v>
      </c>
      <c r="M203" s="629" t="s">
        <v>894</v>
      </c>
      <c r="N203" s="626"/>
      <c r="O203" s="626"/>
      <c r="P203" s="626" t="s">
        <v>895</v>
      </c>
      <c r="Q203" s="626" t="s">
        <v>895</v>
      </c>
      <c r="R203" s="626" t="s">
        <v>895</v>
      </c>
      <c r="S203" s="626" t="s">
        <v>895</v>
      </c>
      <c r="T203" s="626" t="s">
        <v>895</v>
      </c>
      <c r="U203" s="626" t="s">
        <v>895</v>
      </c>
      <c r="V203" s="626" t="s">
        <v>895</v>
      </c>
      <c r="W203" s="626" t="s">
        <v>895</v>
      </c>
      <c r="X203" s="626" t="s">
        <v>895</v>
      </c>
      <c r="Y203" s="626" t="s">
        <v>895</v>
      </c>
      <c r="Z203" s="626" t="s">
        <v>895</v>
      </c>
      <c r="AA203" s="626" t="s">
        <v>895</v>
      </c>
      <c r="AB203" s="631" t="s">
        <v>894</v>
      </c>
      <c r="AC203" s="631" t="s">
        <v>894</v>
      </c>
      <c r="AD203" s="626"/>
    </row>
    <row r="204" spans="2:30" ht="45">
      <c r="B204" s="625" t="s">
        <v>1148</v>
      </c>
      <c r="C204" s="625" t="s">
        <v>1132</v>
      </c>
      <c r="D204" s="627" t="s">
        <v>1138</v>
      </c>
      <c r="E204" s="626" t="s">
        <v>1134</v>
      </c>
      <c r="F204" s="625" t="s">
        <v>36</v>
      </c>
      <c r="G204" s="625" t="s">
        <v>892</v>
      </c>
      <c r="H204" s="625" t="s">
        <v>1020</v>
      </c>
      <c r="I204" s="625" t="s">
        <v>36</v>
      </c>
      <c r="J204" s="628" t="s">
        <v>1135</v>
      </c>
      <c r="K204" s="625" t="s">
        <v>1136</v>
      </c>
      <c r="L204" s="626" t="s">
        <v>894</v>
      </c>
      <c r="M204" s="629" t="s">
        <v>894</v>
      </c>
      <c r="N204" s="626"/>
      <c r="O204" s="626"/>
      <c r="P204" s="626" t="s">
        <v>895</v>
      </c>
      <c r="Q204" s="626" t="s">
        <v>895</v>
      </c>
      <c r="R204" s="626" t="s">
        <v>895</v>
      </c>
      <c r="S204" s="626" t="s">
        <v>895</v>
      </c>
      <c r="T204" s="626" t="s">
        <v>895</v>
      </c>
      <c r="U204" s="626" t="s">
        <v>895</v>
      </c>
      <c r="V204" s="626" t="s">
        <v>895</v>
      </c>
      <c r="W204" s="626" t="s">
        <v>895</v>
      </c>
      <c r="X204" s="626" t="s">
        <v>895</v>
      </c>
      <c r="Y204" s="626" t="s">
        <v>895</v>
      </c>
      <c r="Z204" s="626" t="s">
        <v>895</v>
      </c>
      <c r="AA204" s="626" t="s">
        <v>895</v>
      </c>
      <c r="AB204" s="631" t="s">
        <v>894</v>
      </c>
      <c r="AC204" s="631" t="s">
        <v>894</v>
      </c>
      <c r="AD204" s="626"/>
    </row>
    <row r="205" spans="2:30" ht="45">
      <c r="B205" s="625" t="s">
        <v>1149</v>
      </c>
      <c r="C205" s="625" t="s">
        <v>1132</v>
      </c>
      <c r="D205" s="627" t="s">
        <v>1140</v>
      </c>
      <c r="E205" s="626" t="s">
        <v>1134</v>
      </c>
      <c r="F205" s="625" t="s">
        <v>36</v>
      </c>
      <c r="G205" s="625" t="s">
        <v>892</v>
      </c>
      <c r="H205" s="625" t="s">
        <v>1020</v>
      </c>
      <c r="I205" s="625" t="s">
        <v>36</v>
      </c>
      <c r="J205" s="628" t="s">
        <v>1135</v>
      </c>
      <c r="K205" s="625" t="s">
        <v>1136</v>
      </c>
      <c r="L205" s="626" t="s">
        <v>894</v>
      </c>
      <c r="M205" s="629" t="s">
        <v>894</v>
      </c>
      <c r="N205" s="626"/>
      <c r="O205" s="626"/>
      <c r="P205" s="626" t="s">
        <v>895</v>
      </c>
      <c r="Q205" s="626" t="s">
        <v>895</v>
      </c>
      <c r="R205" s="626" t="s">
        <v>895</v>
      </c>
      <c r="S205" s="626" t="s">
        <v>895</v>
      </c>
      <c r="T205" s="626" t="s">
        <v>895</v>
      </c>
      <c r="U205" s="626" t="s">
        <v>895</v>
      </c>
      <c r="V205" s="626" t="s">
        <v>895</v>
      </c>
      <c r="W205" s="626" t="s">
        <v>895</v>
      </c>
      <c r="X205" s="626" t="s">
        <v>895</v>
      </c>
      <c r="Y205" s="626" t="s">
        <v>895</v>
      </c>
      <c r="Z205" s="626" t="s">
        <v>895</v>
      </c>
      <c r="AA205" s="626" t="s">
        <v>895</v>
      </c>
      <c r="AB205" s="631" t="s">
        <v>894</v>
      </c>
      <c r="AC205" s="631" t="s">
        <v>894</v>
      </c>
      <c r="AD205" s="626"/>
    </row>
    <row r="206" spans="2:30" ht="45">
      <c r="B206" s="625" t="s">
        <v>1150</v>
      </c>
      <c r="C206" s="625" t="s">
        <v>1132</v>
      </c>
      <c r="D206" s="627" t="s">
        <v>1142</v>
      </c>
      <c r="E206" s="626" t="s">
        <v>1134</v>
      </c>
      <c r="F206" s="625" t="s">
        <v>36</v>
      </c>
      <c r="G206" s="625" t="s">
        <v>892</v>
      </c>
      <c r="H206" s="625" t="s">
        <v>1020</v>
      </c>
      <c r="I206" s="625" t="s">
        <v>36</v>
      </c>
      <c r="J206" s="628" t="s">
        <v>1135</v>
      </c>
      <c r="K206" s="625" t="s">
        <v>1136</v>
      </c>
      <c r="L206" s="626" t="s">
        <v>894</v>
      </c>
      <c r="M206" s="629" t="s">
        <v>894</v>
      </c>
      <c r="N206" s="626"/>
      <c r="O206" s="626"/>
      <c r="P206" s="626" t="s">
        <v>895</v>
      </c>
      <c r="Q206" s="626" t="s">
        <v>895</v>
      </c>
      <c r="R206" s="626" t="s">
        <v>895</v>
      </c>
      <c r="S206" s="626" t="s">
        <v>895</v>
      </c>
      <c r="T206" s="626" t="s">
        <v>895</v>
      </c>
      <c r="U206" s="626" t="s">
        <v>895</v>
      </c>
      <c r="V206" s="626" t="s">
        <v>895</v>
      </c>
      <c r="W206" s="626" t="s">
        <v>895</v>
      </c>
      <c r="X206" s="626" t="s">
        <v>895</v>
      </c>
      <c r="Y206" s="626" t="s">
        <v>895</v>
      </c>
      <c r="Z206" s="626" t="s">
        <v>895</v>
      </c>
      <c r="AA206" s="626" t="s">
        <v>895</v>
      </c>
      <c r="AB206" s="631" t="s">
        <v>894</v>
      </c>
      <c r="AC206" s="631" t="s">
        <v>894</v>
      </c>
      <c r="AD206" s="626"/>
    </row>
    <row r="207" spans="2:30" ht="45">
      <c r="B207" s="625" t="s">
        <v>1151</v>
      </c>
      <c r="C207" s="625" t="s">
        <v>1132</v>
      </c>
      <c r="D207" s="627" t="s">
        <v>1133</v>
      </c>
      <c r="E207" s="626" t="s">
        <v>1134</v>
      </c>
      <c r="F207" s="625" t="s">
        <v>36</v>
      </c>
      <c r="G207" s="625" t="s">
        <v>892</v>
      </c>
      <c r="H207" s="625" t="s">
        <v>1036</v>
      </c>
      <c r="I207" s="625" t="s">
        <v>36</v>
      </c>
      <c r="J207" s="628" t="s">
        <v>1135</v>
      </c>
      <c r="K207" s="625" t="s">
        <v>1136</v>
      </c>
      <c r="L207" s="626" t="s">
        <v>894</v>
      </c>
      <c r="M207" s="629" t="s">
        <v>894</v>
      </c>
      <c r="N207" s="626"/>
      <c r="O207" s="626"/>
      <c r="P207" s="626" t="s">
        <v>895</v>
      </c>
      <c r="Q207" s="626" t="s">
        <v>895</v>
      </c>
      <c r="R207" s="626" t="s">
        <v>895</v>
      </c>
      <c r="S207" s="626" t="s">
        <v>895</v>
      </c>
      <c r="T207" s="626" t="s">
        <v>895</v>
      </c>
      <c r="U207" s="626" t="s">
        <v>895</v>
      </c>
      <c r="V207" s="626" t="s">
        <v>895</v>
      </c>
      <c r="W207" s="626" t="s">
        <v>895</v>
      </c>
      <c r="X207" s="626" t="s">
        <v>895</v>
      </c>
      <c r="Y207" s="626" t="s">
        <v>895</v>
      </c>
      <c r="Z207" s="626" t="s">
        <v>895</v>
      </c>
      <c r="AA207" s="626" t="s">
        <v>895</v>
      </c>
      <c r="AB207" s="631" t="s">
        <v>894</v>
      </c>
      <c r="AC207" s="631" t="s">
        <v>894</v>
      </c>
      <c r="AD207" s="626"/>
    </row>
    <row r="208" spans="2:30" ht="45">
      <c r="B208" s="625" t="s">
        <v>1152</v>
      </c>
      <c r="C208" s="625" t="s">
        <v>1132</v>
      </c>
      <c r="D208" s="627" t="s">
        <v>1138</v>
      </c>
      <c r="E208" s="626" t="s">
        <v>1134</v>
      </c>
      <c r="F208" s="625" t="s">
        <v>36</v>
      </c>
      <c r="G208" s="625" t="s">
        <v>892</v>
      </c>
      <c r="H208" s="625" t="s">
        <v>1036</v>
      </c>
      <c r="I208" s="625" t="s">
        <v>36</v>
      </c>
      <c r="J208" s="628" t="s">
        <v>1135</v>
      </c>
      <c r="K208" s="625" t="s">
        <v>1136</v>
      </c>
      <c r="L208" s="626" t="s">
        <v>894</v>
      </c>
      <c r="M208" s="629" t="s">
        <v>894</v>
      </c>
      <c r="N208" s="626"/>
      <c r="O208" s="626"/>
      <c r="P208" s="626" t="s">
        <v>895</v>
      </c>
      <c r="Q208" s="626" t="s">
        <v>895</v>
      </c>
      <c r="R208" s="626" t="s">
        <v>895</v>
      </c>
      <c r="S208" s="626" t="s">
        <v>895</v>
      </c>
      <c r="T208" s="626" t="s">
        <v>895</v>
      </c>
      <c r="U208" s="626" t="s">
        <v>895</v>
      </c>
      <c r="V208" s="626" t="s">
        <v>895</v>
      </c>
      <c r="W208" s="626" t="s">
        <v>895</v>
      </c>
      <c r="X208" s="626" t="s">
        <v>895</v>
      </c>
      <c r="Y208" s="626" t="s">
        <v>895</v>
      </c>
      <c r="Z208" s="626" t="s">
        <v>895</v>
      </c>
      <c r="AA208" s="626" t="s">
        <v>895</v>
      </c>
      <c r="AB208" s="631" t="s">
        <v>894</v>
      </c>
      <c r="AC208" s="631" t="s">
        <v>894</v>
      </c>
      <c r="AD208" s="626"/>
    </row>
    <row r="209" spans="2:30" ht="45">
      <c r="B209" s="625" t="s">
        <v>1153</v>
      </c>
      <c r="C209" s="625" t="s">
        <v>1132</v>
      </c>
      <c r="D209" s="627" t="s">
        <v>1140</v>
      </c>
      <c r="E209" s="626" t="s">
        <v>1134</v>
      </c>
      <c r="F209" s="625" t="s">
        <v>36</v>
      </c>
      <c r="G209" s="625" t="s">
        <v>892</v>
      </c>
      <c r="H209" s="625" t="s">
        <v>1036</v>
      </c>
      <c r="I209" s="625" t="s">
        <v>36</v>
      </c>
      <c r="J209" s="628" t="s">
        <v>1135</v>
      </c>
      <c r="K209" s="625" t="s">
        <v>1136</v>
      </c>
      <c r="L209" s="626" t="s">
        <v>894</v>
      </c>
      <c r="M209" s="629" t="s">
        <v>894</v>
      </c>
      <c r="N209" s="626"/>
      <c r="O209" s="626"/>
      <c r="P209" s="626" t="s">
        <v>895</v>
      </c>
      <c r="Q209" s="626" t="s">
        <v>895</v>
      </c>
      <c r="R209" s="626" t="s">
        <v>895</v>
      </c>
      <c r="S209" s="626" t="s">
        <v>895</v>
      </c>
      <c r="T209" s="626" t="s">
        <v>895</v>
      </c>
      <c r="U209" s="626" t="s">
        <v>895</v>
      </c>
      <c r="V209" s="626" t="s">
        <v>895</v>
      </c>
      <c r="W209" s="626" t="s">
        <v>895</v>
      </c>
      <c r="X209" s="626" t="s">
        <v>895</v>
      </c>
      <c r="Y209" s="626" t="s">
        <v>895</v>
      </c>
      <c r="Z209" s="626" t="s">
        <v>895</v>
      </c>
      <c r="AA209" s="626" t="s">
        <v>895</v>
      </c>
      <c r="AB209" s="631" t="s">
        <v>894</v>
      </c>
      <c r="AC209" s="631" t="s">
        <v>894</v>
      </c>
      <c r="AD209" s="626"/>
    </row>
    <row r="210" spans="2:30" ht="45">
      <c r="B210" s="625" t="s">
        <v>1154</v>
      </c>
      <c r="C210" s="625" t="s">
        <v>1132</v>
      </c>
      <c r="D210" s="627" t="s">
        <v>1142</v>
      </c>
      <c r="E210" s="626" t="s">
        <v>1134</v>
      </c>
      <c r="F210" s="625" t="s">
        <v>36</v>
      </c>
      <c r="G210" s="625" t="s">
        <v>892</v>
      </c>
      <c r="H210" s="625" t="s">
        <v>1036</v>
      </c>
      <c r="I210" s="625" t="s">
        <v>36</v>
      </c>
      <c r="J210" s="628" t="s">
        <v>1135</v>
      </c>
      <c r="K210" s="625" t="s">
        <v>1136</v>
      </c>
      <c r="L210" s="626" t="s">
        <v>894</v>
      </c>
      <c r="M210" s="629" t="s">
        <v>894</v>
      </c>
      <c r="N210" s="626"/>
      <c r="O210" s="626"/>
      <c r="P210" s="626" t="s">
        <v>895</v>
      </c>
      <c r="Q210" s="626" t="s">
        <v>895</v>
      </c>
      <c r="R210" s="626" t="s">
        <v>895</v>
      </c>
      <c r="S210" s="626" t="s">
        <v>895</v>
      </c>
      <c r="T210" s="626" t="s">
        <v>895</v>
      </c>
      <c r="U210" s="626" t="s">
        <v>895</v>
      </c>
      <c r="V210" s="626" t="s">
        <v>895</v>
      </c>
      <c r="W210" s="626" t="s">
        <v>895</v>
      </c>
      <c r="X210" s="626" t="s">
        <v>895</v>
      </c>
      <c r="Y210" s="626" t="s">
        <v>895</v>
      </c>
      <c r="Z210" s="626" t="s">
        <v>895</v>
      </c>
      <c r="AA210" s="626" t="s">
        <v>895</v>
      </c>
      <c r="AB210" s="631" t="s">
        <v>894</v>
      </c>
      <c r="AC210" s="631" t="s">
        <v>894</v>
      </c>
      <c r="AD210" s="626"/>
    </row>
    <row r="211" spans="2:30" ht="45">
      <c r="B211" s="625" t="s">
        <v>1155</v>
      </c>
      <c r="C211" s="625" t="s">
        <v>1132</v>
      </c>
      <c r="D211" s="627" t="s">
        <v>1133</v>
      </c>
      <c r="E211" s="626" t="s">
        <v>1134</v>
      </c>
      <c r="F211" s="625" t="s">
        <v>36</v>
      </c>
      <c r="G211" s="625" t="s">
        <v>892</v>
      </c>
      <c r="H211" s="625" t="s">
        <v>1034</v>
      </c>
      <c r="I211" s="625" t="s">
        <v>36</v>
      </c>
      <c r="J211" s="628" t="s">
        <v>1135</v>
      </c>
      <c r="K211" s="625" t="s">
        <v>1136</v>
      </c>
      <c r="L211" s="626" t="s">
        <v>894</v>
      </c>
      <c r="M211" s="629" t="s">
        <v>894</v>
      </c>
      <c r="N211" s="626"/>
      <c r="O211" s="626"/>
      <c r="P211" s="626" t="s">
        <v>895</v>
      </c>
      <c r="Q211" s="626" t="s">
        <v>895</v>
      </c>
      <c r="R211" s="626" t="s">
        <v>895</v>
      </c>
      <c r="S211" s="626" t="s">
        <v>895</v>
      </c>
      <c r="T211" s="626" t="s">
        <v>895</v>
      </c>
      <c r="U211" s="626" t="s">
        <v>895</v>
      </c>
      <c r="V211" s="626" t="s">
        <v>895</v>
      </c>
      <c r="W211" s="626" t="s">
        <v>895</v>
      </c>
      <c r="X211" s="626" t="s">
        <v>895</v>
      </c>
      <c r="Y211" s="626" t="s">
        <v>895</v>
      </c>
      <c r="Z211" s="626" t="s">
        <v>895</v>
      </c>
      <c r="AA211" s="626" t="s">
        <v>895</v>
      </c>
      <c r="AB211" s="631" t="s">
        <v>894</v>
      </c>
      <c r="AC211" s="631" t="s">
        <v>894</v>
      </c>
      <c r="AD211" s="626"/>
    </row>
    <row r="212" spans="2:30" ht="45">
      <c r="B212" s="625" t="s">
        <v>1156</v>
      </c>
      <c r="C212" s="625" t="s">
        <v>1132</v>
      </c>
      <c r="D212" s="627" t="s">
        <v>1138</v>
      </c>
      <c r="E212" s="626" t="s">
        <v>1134</v>
      </c>
      <c r="F212" s="625" t="s">
        <v>36</v>
      </c>
      <c r="G212" s="625" t="s">
        <v>892</v>
      </c>
      <c r="H212" s="625" t="s">
        <v>1034</v>
      </c>
      <c r="I212" s="625" t="s">
        <v>36</v>
      </c>
      <c r="J212" s="628" t="s">
        <v>1135</v>
      </c>
      <c r="K212" s="625" t="s">
        <v>1136</v>
      </c>
      <c r="L212" s="626" t="s">
        <v>894</v>
      </c>
      <c r="M212" s="629" t="s">
        <v>894</v>
      </c>
      <c r="N212" s="626"/>
      <c r="O212" s="626"/>
      <c r="P212" s="626" t="s">
        <v>895</v>
      </c>
      <c r="Q212" s="626" t="s">
        <v>895</v>
      </c>
      <c r="R212" s="626" t="s">
        <v>895</v>
      </c>
      <c r="S212" s="626" t="s">
        <v>895</v>
      </c>
      <c r="T212" s="626" t="s">
        <v>895</v>
      </c>
      <c r="U212" s="626" t="s">
        <v>895</v>
      </c>
      <c r="V212" s="626" t="s">
        <v>895</v>
      </c>
      <c r="W212" s="626" t="s">
        <v>895</v>
      </c>
      <c r="X212" s="626" t="s">
        <v>895</v>
      </c>
      <c r="Y212" s="626" t="s">
        <v>895</v>
      </c>
      <c r="Z212" s="626" t="s">
        <v>895</v>
      </c>
      <c r="AA212" s="626" t="s">
        <v>895</v>
      </c>
      <c r="AB212" s="631" t="s">
        <v>894</v>
      </c>
      <c r="AC212" s="631" t="s">
        <v>894</v>
      </c>
      <c r="AD212" s="626"/>
    </row>
    <row r="213" spans="2:30" ht="45">
      <c r="B213" s="625" t="s">
        <v>1157</v>
      </c>
      <c r="C213" s="625" t="s">
        <v>1132</v>
      </c>
      <c r="D213" s="627" t="s">
        <v>1140</v>
      </c>
      <c r="E213" s="626" t="s">
        <v>1134</v>
      </c>
      <c r="F213" s="625" t="s">
        <v>36</v>
      </c>
      <c r="G213" s="625" t="s">
        <v>892</v>
      </c>
      <c r="H213" s="625" t="s">
        <v>1034</v>
      </c>
      <c r="I213" s="625" t="s">
        <v>36</v>
      </c>
      <c r="J213" s="628" t="s">
        <v>1135</v>
      </c>
      <c r="K213" s="625" t="s">
        <v>1136</v>
      </c>
      <c r="L213" s="626" t="s">
        <v>894</v>
      </c>
      <c r="M213" s="629" t="s">
        <v>894</v>
      </c>
      <c r="N213" s="626"/>
      <c r="O213" s="626"/>
      <c r="P213" s="626" t="s">
        <v>895</v>
      </c>
      <c r="Q213" s="626" t="s">
        <v>895</v>
      </c>
      <c r="R213" s="626" t="s">
        <v>895</v>
      </c>
      <c r="S213" s="626" t="s">
        <v>895</v>
      </c>
      <c r="T213" s="626" t="s">
        <v>895</v>
      </c>
      <c r="U213" s="626" t="s">
        <v>895</v>
      </c>
      <c r="V213" s="626" t="s">
        <v>895</v>
      </c>
      <c r="W213" s="626" t="s">
        <v>895</v>
      </c>
      <c r="X213" s="626" t="s">
        <v>895</v>
      </c>
      <c r="Y213" s="626" t="s">
        <v>895</v>
      </c>
      <c r="Z213" s="626" t="s">
        <v>895</v>
      </c>
      <c r="AA213" s="626" t="s">
        <v>895</v>
      </c>
      <c r="AB213" s="631" t="s">
        <v>894</v>
      </c>
      <c r="AC213" s="631" t="s">
        <v>894</v>
      </c>
      <c r="AD213" s="626"/>
    </row>
    <row r="214" spans="2:30" ht="45">
      <c r="B214" s="625" t="s">
        <v>1158</v>
      </c>
      <c r="C214" s="625" t="s">
        <v>1132</v>
      </c>
      <c r="D214" s="627" t="s">
        <v>1142</v>
      </c>
      <c r="E214" s="626" t="s">
        <v>1134</v>
      </c>
      <c r="F214" s="625" t="s">
        <v>36</v>
      </c>
      <c r="G214" s="625" t="s">
        <v>892</v>
      </c>
      <c r="H214" s="625" t="s">
        <v>1034</v>
      </c>
      <c r="I214" s="625" t="s">
        <v>36</v>
      </c>
      <c r="J214" s="628" t="s">
        <v>1135</v>
      </c>
      <c r="K214" s="625" t="s">
        <v>1136</v>
      </c>
      <c r="L214" s="626" t="s">
        <v>894</v>
      </c>
      <c r="M214" s="629" t="s">
        <v>894</v>
      </c>
      <c r="N214" s="626"/>
      <c r="O214" s="626"/>
      <c r="P214" s="626" t="s">
        <v>895</v>
      </c>
      <c r="Q214" s="626" t="s">
        <v>895</v>
      </c>
      <c r="R214" s="626" t="s">
        <v>895</v>
      </c>
      <c r="S214" s="626" t="s">
        <v>895</v>
      </c>
      <c r="T214" s="626" t="s">
        <v>895</v>
      </c>
      <c r="U214" s="626" t="s">
        <v>895</v>
      </c>
      <c r="V214" s="626" t="s">
        <v>895</v>
      </c>
      <c r="W214" s="626" t="s">
        <v>895</v>
      </c>
      <c r="X214" s="626" t="s">
        <v>895</v>
      </c>
      <c r="Y214" s="626" t="s">
        <v>895</v>
      </c>
      <c r="Z214" s="626" t="s">
        <v>895</v>
      </c>
      <c r="AA214" s="626" t="s">
        <v>895</v>
      </c>
      <c r="AB214" s="631" t="s">
        <v>894</v>
      </c>
      <c r="AC214" s="631" t="s">
        <v>894</v>
      </c>
      <c r="AD214" s="626"/>
    </row>
    <row r="215" spans="2:30" ht="45">
      <c r="B215" s="625" t="s">
        <v>1159</v>
      </c>
      <c r="C215" s="625" t="s">
        <v>1132</v>
      </c>
      <c r="D215" s="627" t="s">
        <v>1133</v>
      </c>
      <c r="E215" s="626" t="s">
        <v>1134</v>
      </c>
      <c r="F215" s="625" t="s">
        <v>36</v>
      </c>
      <c r="G215" s="625" t="s">
        <v>892</v>
      </c>
      <c r="H215" s="625" t="s">
        <v>230</v>
      </c>
      <c r="I215" s="625" t="s">
        <v>36</v>
      </c>
      <c r="J215" s="628" t="s">
        <v>1135</v>
      </c>
      <c r="K215" s="625" t="s">
        <v>1136</v>
      </c>
      <c r="L215" s="626" t="s">
        <v>894</v>
      </c>
      <c r="M215" s="629" t="s">
        <v>894</v>
      </c>
      <c r="N215" s="626"/>
      <c r="O215" s="626"/>
      <c r="P215" s="626" t="s">
        <v>895</v>
      </c>
      <c r="Q215" s="626" t="s">
        <v>895</v>
      </c>
      <c r="R215" s="626" t="s">
        <v>895</v>
      </c>
      <c r="S215" s="626" t="s">
        <v>895</v>
      </c>
      <c r="T215" s="626" t="s">
        <v>895</v>
      </c>
      <c r="U215" s="626" t="s">
        <v>895</v>
      </c>
      <c r="V215" s="626" t="s">
        <v>895</v>
      </c>
      <c r="W215" s="626" t="s">
        <v>895</v>
      </c>
      <c r="X215" s="626" t="s">
        <v>895</v>
      </c>
      <c r="Y215" s="626" t="s">
        <v>895</v>
      </c>
      <c r="Z215" s="626" t="s">
        <v>895</v>
      </c>
      <c r="AA215" s="626" t="s">
        <v>895</v>
      </c>
      <c r="AB215" s="631" t="s">
        <v>894</v>
      </c>
      <c r="AC215" s="631" t="s">
        <v>894</v>
      </c>
      <c r="AD215" s="626"/>
    </row>
    <row r="216" spans="2:30" ht="45">
      <c r="B216" s="625" t="s">
        <v>1160</v>
      </c>
      <c r="C216" s="625" t="s">
        <v>1132</v>
      </c>
      <c r="D216" s="627" t="s">
        <v>1138</v>
      </c>
      <c r="E216" s="626" t="s">
        <v>1134</v>
      </c>
      <c r="F216" s="625" t="s">
        <v>36</v>
      </c>
      <c r="G216" s="625" t="s">
        <v>892</v>
      </c>
      <c r="H216" s="625" t="s">
        <v>230</v>
      </c>
      <c r="I216" s="625" t="s">
        <v>36</v>
      </c>
      <c r="J216" s="628" t="s">
        <v>1135</v>
      </c>
      <c r="K216" s="625" t="s">
        <v>1136</v>
      </c>
      <c r="L216" s="626" t="s">
        <v>894</v>
      </c>
      <c r="M216" s="629" t="s">
        <v>894</v>
      </c>
      <c r="N216" s="626"/>
      <c r="O216" s="626"/>
      <c r="P216" s="626" t="s">
        <v>895</v>
      </c>
      <c r="Q216" s="626" t="s">
        <v>895</v>
      </c>
      <c r="R216" s="626" t="s">
        <v>895</v>
      </c>
      <c r="S216" s="626" t="s">
        <v>895</v>
      </c>
      <c r="T216" s="626" t="s">
        <v>895</v>
      </c>
      <c r="U216" s="626" t="s">
        <v>895</v>
      </c>
      <c r="V216" s="626" t="s">
        <v>895</v>
      </c>
      <c r="W216" s="626" t="s">
        <v>895</v>
      </c>
      <c r="X216" s="626" t="s">
        <v>895</v>
      </c>
      <c r="Y216" s="626" t="s">
        <v>895</v>
      </c>
      <c r="Z216" s="626" t="s">
        <v>895</v>
      </c>
      <c r="AA216" s="626" t="s">
        <v>895</v>
      </c>
      <c r="AB216" s="631" t="s">
        <v>894</v>
      </c>
      <c r="AC216" s="631" t="s">
        <v>894</v>
      </c>
      <c r="AD216" s="626"/>
    </row>
    <row r="217" spans="2:30" ht="45">
      <c r="B217" s="625" t="s">
        <v>1161</v>
      </c>
      <c r="C217" s="625" t="s">
        <v>1132</v>
      </c>
      <c r="D217" s="627" t="s">
        <v>1140</v>
      </c>
      <c r="E217" s="626" t="s">
        <v>1134</v>
      </c>
      <c r="F217" s="625" t="s">
        <v>36</v>
      </c>
      <c r="G217" s="625" t="s">
        <v>892</v>
      </c>
      <c r="H217" s="625" t="s">
        <v>230</v>
      </c>
      <c r="I217" s="625" t="s">
        <v>36</v>
      </c>
      <c r="J217" s="628" t="s">
        <v>1135</v>
      </c>
      <c r="K217" s="625" t="s">
        <v>1136</v>
      </c>
      <c r="L217" s="626" t="s">
        <v>894</v>
      </c>
      <c r="M217" s="629" t="s">
        <v>894</v>
      </c>
      <c r="N217" s="626"/>
      <c r="O217" s="626"/>
      <c r="P217" s="626" t="s">
        <v>895</v>
      </c>
      <c r="Q217" s="626" t="s">
        <v>895</v>
      </c>
      <c r="R217" s="626" t="s">
        <v>895</v>
      </c>
      <c r="S217" s="626" t="s">
        <v>895</v>
      </c>
      <c r="T217" s="626" t="s">
        <v>895</v>
      </c>
      <c r="U217" s="626" t="s">
        <v>895</v>
      </c>
      <c r="V217" s="626" t="s">
        <v>895</v>
      </c>
      <c r="W217" s="626" t="s">
        <v>895</v>
      </c>
      <c r="X217" s="626" t="s">
        <v>895</v>
      </c>
      <c r="Y217" s="626" t="s">
        <v>895</v>
      </c>
      <c r="Z217" s="626" t="s">
        <v>895</v>
      </c>
      <c r="AA217" s="626" t="s">
        <v>895</v>
      </c>
      <c r="AB217" s="631" t="s">
        <v>894</v>
      </c>
      <c r="AC217" s="631" t="s">
        <v>894</v>
      </c>
      <c r="AD217" s="626"/>
    </row>
    <row r="218" spans="2:30" ht="45">
      <c r="B218" s="625" t="s">
        <v>1162</v>
      </c>
      <c r="C218" s="625" t="s">
        <v>1132</v>
      </c>
      <c r="D218" s="627" t="s">
        <v>1142</v>
      </c>
      <c r="E218" s="626" t="s">
        <v>1134</v>
      </c>
      <c r="F218" s="625" t="s">
        <v>36</v>
      </c>
      <c r="G218" s="625" t="s">
        <v>892</v>
      </c>
      <c r="H218" s="625" t="s">
        <v>230</v>
      </c>
      <c r="I218" s="625" t="s">
        <v>36</v>
      </c>
      <c r="J218" s="628" t="s">
        <v>1135</v>
      </c>
      <c r="K218" s="625" t="s">
        <v>1136</v>
      </c>
      <c r="L218" s="626" t="s">
        <v>894</v>
      </c>
      <c r="M218" s="629" t="s">
        <v>894</v>
      </c>
      <c r="N218" s="626"/>
      <c r="O218" s="626"/>
      <c r="P218" s="626" t="s">
        <v>895</v>
      </c>
      <c r="Q218" s="626" t="s">
        <v>895</v>
      </c>
      <c r="R218" s="626" t="s">
        <v>895</v>
      </c>
      <c r="S218" s="626" t="s">
        <v>895</v>
      </c>
      <c r="T218" s="626" t="s">
        <v>895</v>
      </c>
      <c r="U218" s="626" t="s">
        <v>895</v>
      </c>
      <c r="V218" s="626" t="s">
        <v>895</v>
      </c>
      <c r="W218" s="626" t="s">
        <v>895</v>
      </c>
      <c r="X218" s="626" t="s">
        <v>895</v>
      </c>
      <c r="Y218" s="626" t="s">
        <v>895</v>
      </c>
      <c r="Z218" s="626" t="s">
        <v>895</v>
      </c>
      <c r="AA218" s="626" t="s">
        <v>895</v>
      </c>
      <c r="AB218" s="631" t="s">
        <v>894</v>
      </c>
      <c r="AC218" s="631" t="s">
        <v>894</v>
      </c>
      <c r="AD218" s="626"/>
    </row>
    <row r="219" spans="2:30" ht="30">
      <c r="B219" s="625" t="s">
        <v>1163</v>
      </c>
      <c r="C219" s="625" t="s">
        <v>1164</v>
      </c>
      <c r="D219" s="627" t="s">
        <v>1165</v>
      </c>
      <c r="E219" s="626" t="s">
        <v>1134</v>
      </c>
      <c r="F219" s="625" t="s">
        <v>36</v>
      </c>
      <c r="G219" s="625" t="s">
        <v>892</v>
      </c>
      <c r="H219" s="625" t="s">
        <v>18</v>
      </c>
      <c r="I219" s="625" t="s">
        <v>36</v>
      </c>
      <c r="J219" s="628" t="s">
        <v>999</v>
      </c>
      <c r="K219" s="625" t="s">
        <v>1166</v>
      </c>
      <c r="L219" s="626" t="s">
        <v>894</v>
      </c>
      <c r="M219" s="629" t="s">
        <v>894</v>
      </c>
      <c r="N219" s="626"/>
      <c r="O219" s="626"/>
      <c r="P219" s="626" t="s">
        <v>895</v>
      </c>
      <c r="Q219" s="626" t="s">
        <v>895</v>
      </c>
      <c r="R219" s="626" t="s">
        <v>895</v>
      </c>
      <c r="S219" s="626" t="s">
        <v>895</v>
      </c>
      <c r="T219" s="626" t="s">
        <v>895</v>
      </c>
      <c r="U219" s="626" t="s">
        <v>895</v>
      </c>
      <c r="V219" s="626" t="s">
        <v>895</v>
      </c>
      <c r="W219" s="626" t="s">
        <v>895</v>
      </c>
      <c r="X219" s="626" t="s">
        <v>895</v>
      </c>
      <c r="Y219" s="626" t="s">
        <v>895</v>
      </c>
      <c r="Z219" s="626" t="s">
        <v>895</v>
      </c>
      <c r="AA219" s="626" t="s">
        <v>895</v>
      </c>
      <c r="AB219" s="631" t="s">
        <v>894</v>
      </c>
      <c r="AC219" s="631" t="s">
        <v>894</v>
      </c>
      <c r="AD219" s="626"/>
    </row>
    <row r="220" spans="2:30" ht="30">
      <c r="B220" s="625" t="s">
        <v>1167</v>
      </c>
      <c r="C220" s="625" t="s">
        <v>1164</v>
      </c>
      <c r="D220" s="627" t="s">
        <v>1168</v>
      </c>
      <c r="E220" s="626" t="s">
        <v>1134</v>
      </c>
      <c r="F220" s="625" t="s">
        <v>36</v>
      </c>
      <c r="G220" s="625" t="s">
        <v>892</v>
      </c>
      <c r="H220" s="625" t="s">
        <v>18</v>
      </c>
      <c r="I220" s="625" t="s">
        <v>36</v>
      </c>
      <c r="J220" s="628" t="s">
        <v>999</v>
      </c>
      <c r="K220" s="625" t="s">
        <v>1166</v>
      </c>
      <c r="L220" s="626" t="s">
        <v>894</v>
      </c>
      <c r="M220" s="629" t="s">
        <v>894</v>
      </c>
      <c r="N220" s="626"/>
      <c r="O220" s="626"/>
      <c r="P220" s="626" t="s">
        <v>895</v>
      </c>
      <c r="Q220" s="626" t="s">
        <v>895</v>
      </c>
      <c r="R220" s="626" t="s">
        <v>895</v>
      </c>
      <c r="S220" s="626" t="s">
        <v>895</v>
      </c>
      <c r="T220" s="626" t="s">
        <v>895</v>
      </c>
      <c r="U220" s="626" t="s">
        <v>895</v>
      </c>
      <c r="V220" s="626" t="s">
        <v>895</v>
      </c>
      <c r="W220" s="626" t="s">
        <v>895</v>
      </c>
      <c r="X220" s="626" t="s">
        <v>895</v>
      </c>
      <c r="Y220" s="626" t="s">
        <v>895</v>
      </c>
      <c r="Z220" s="626" t="s">
        <v>895</v>
      </c>
      <c r="AA220" s="626" t="s">
        <v>895</v>
      </c>
      <c r="AB220" s="631" t="s">
        <v>894</v>
      </c>
      <c r="AC220" s="631" t="s">
        <v>894</v>
      </c>
      <c r="AD220" s="626"/>
    </row>
    <row r="221" spans="2:30" ht="30">
      <c r="B221" s="625" t="s">
        <v>1169</v>
      </c>
      <c r="C221" s="625" t="s">
        <v>1164</v>
      </c>
      <c r="D221" s="627" t="s">
        <v>1170</v>
      </c>
      <c r="E221" s="626" t="s">
        <v>1134</v>
      </c>
      <c r="F221" s="625" t="s">
        <v>36</v>
      </c>
      <c r="G221" s="625" t="s">
        <v>892</v>
      </c>
      <c r="H221" s="625" t="s">
        <v>18</v>
      </c>
      <c r="I221" s="625" t="s">
        <v>36</v>
      </c>
      <c r="J221" s="628" t="s">
        <v>999</v>
      </c>
      <c r="K221" s="625" t="s">
        <v>1166</v>
      </c>
      <c r="L221" s="626" t="s">
        <v>894</v>
      </c>
      <c r="M221" s="629" t="s">
        <v>894</v>
      </c>
      <c r="N221" s="626"/>
      <c r="O221" s="626"/>
      <c r="P221" s="626" t="s">
        <v>895</v>
      </c>
      <c r="Q221" s="626" t="s">
        <v>895</v>
      </c>
      <c r="R221" s="626" t="s">
        <v>895</v>
      </c>
      <c r="S221" s="626" t="s">
        <v>895</v>
      </c>
      <c r="T221" s="626" t="s">
        <v>895</v>
      </c>
      <c r="U221" s="626" t="s">
        <v>895</v>
      </c>
      <c r="V221" s="626" t="s">
        <v>895</v>
      </c>
      <c r="W221" s="626" t="s">
        <v>895</v>
      </c>
      <c r="X221" s="626" t="s">
        <v>895</v>
      </c>
      <c r="Y221" s="626" t="s">
        <v>895</v>
      </c>
      <c r="Z221" s="626" t="s">
        <v>895</v>
      </c>
      <c r="AA221" s="626" t="s">
        <v>895</v>
      </c>
      <c r="AB221" s="631" t="s">
        <v>894</v>
      </c>
      <c r="AC221" s="631" t="s">
        <v>894</v>
      </c>
      <c r="AD221" s="626"/>
    </row>
    <row r="222" spans="2:30" ht="30">
      <c r="B222" s="625" t="s">
        <v>1171</v>
      </c>
      <c r="C222" s="625" t="s">
        <v>1164</v>
      </c>
      <c r="D222" s="627" t="s">
        <v>1172</v>
      </c>
      <c r="E222" s="626" t="s">
        <v>1134</v>
      </c>
      <c r="F222" s="625" t="s">
        <v>36</v>
      </c>
      <c r="G222" s="625" t="s">
        <v>892</v>
      </c>
      <c r="H222" s="625" t="s">
        <v>18</v>
      </c>
      <c r="I222" s="625" t="s">
        <v>36</v>
      </c>
      <c r="J222" s="628" t="s">
        <v>999</v>
      </c>
      <c r="K222" s="625" t="s">
        <v>1166</v>
      </c>
      <c r="L222" s="626" t="s">
        <v>894</v>
      </c>
      <c r="M222" s="629" t="s">
        <v>894</v>
      </c>
      <c r="N222" s="626"/>
      <c r="O222" s="626"/>
      <c r="P222" s="626" t="s">
        <v>895</v>
      </c>
      <c r="Q222" s="626" t="s">
        <v>895</v>
      </c>
      <c r="R222" s="626" t="s">
        <v>895</v>
      </c>
      <c r="S222" s="626" t="s">
        <v>895</v>
      </c>
      <c r="T222" s="626" t="s">
        <v>895</v>
      </c>
      <c r="U222" s="626" t="s">
        <v>895</v>
      </c>
      <c r="V222" s="626" t="s">
        <v>895</v>
      </c>
      <c r="W222" s="626" t="s">
        <v>895</v>
      </c>
      <c r="X222" s="626" t="s">
        <v>895</v>
      </c>
      <c r="Y222" s="626" t="s">
        <v>895</v>
      </c>
      <c r="Z222" s="626" t="s">
        <v>895</v>
      </c>
      <c r="AA222" s="626" t="s">
        <v>895</v>
      </c>
      <c r="AB222" s="631" t="s">
        <v>894</v>
      </c>
      <c r="AC222" s="631" t="s">
        <v>894</v>
      </c>
      <c r="AD222" s="626"/>
    </row>
    <row r="223" spans="2:30" ht="30">
      <c r="B223" s="625" t="s">
        <v>1173</v>
      </c>
      <c r="C223" s="625" t="s">
        <v>1164</v>
      </c>
      <c r="D223" s="627" t="s">
        <v>1165</v>
      </c>
      <c r="E223" s="626" t="s">
        <v>1134</v>
      </c>
      <c r="F223" s="625" t="s">
        <v>36</v>
      </c>
      <c r="G223" s="625" t="s">
        <v>892</v>
      </c>
      <c r="H223" s="625" t="s">
        <v>997</v>
      </c>
      <c r="I223" s="625" t="s">
        <v>36</v>
      </c>
      <c r="J223" s="628" t="s">
        <v>999</v>
      </c>
      <c r="K223" s="625" t="s">
        <v>1166</v>
      </c>
      <c r="L223" s="626" t="s">
        <v>894</v>
      </c>
      <c r="M223" s="629" t="s">
        <v>894</v>
      </c>
      <c r="N223" s="626"/>
      <c r="O223" s="626"/>
      <c r="P223" s="626" t="s">
        <v>895</v>
      </c>
      <c r="Q223" s="626" t="s">
        <v>895</v>
      </c>
      <c r="R223" s="626" t="s">
        <v>895</v>
      </c>
      <c r="S223" s="626" t="s">
        <v>895</v>
      </c>
      <c r="T223" s="626" t="s">
        <v>895</v>
      </c>
      <c r="U223" s="626" t="s">
        <v>895</v>
      </c>
      <c r="V223" s="626" t="s">
        <v>895</v>
      </c>
      <c r="W223" s="626" t="s">
        <v>895</v>
      </c>
      <c r="X223" s="626" t="s">
        <v>895</v>
      </c>
      <c r="Y223" s="626" t="s">
        <v>895</v>
      </c>
      <c r="Z223" s="626" t="s">
        <v>895</v>
      </c>
      <c r="AA223" s="626" t="s">
        <v>895</v>
      </c>
      <c r="AB223" s="631" t="s">
        <v>894</v>
      </c>
      <c r="AC223" s="631" t="s">
        <v>894</v>
      </c>
      <c r="AD223" s="626"/>
    </row>
    <row r="224" spans="2:30" ht="30">
      <c r="B224" s="625" t="s">
        <v>1174</v>
      </c>
      <c r="C224" s="625" t="s">
        <v>1164</v>
      </c>
      <c r="D224" s="627" t="s">
        <v>1168</v>
      </c>
      <c r="E224" s="626" t="s">
        <v>1134</v>
      </c>
      <c r="F224" s="625" t="s">
        <v>36</v>
      </c>
      <c r="G224" s="625" t="s">
        <v>892</v>
      </c>
      <c r="H224" s="625" t="s">
        <v>997</v>
      </c>
      <c r="I224" s="625" t="s">
        <v>36</v>
      </c>
      <c r="J224" s="628" t="s">
        <v>999</v>
      </c>
      <c r="K224" s="625" t="s">
        <v>1166</v>
      </c>
      <c r="L224" s="626" t="s">
        <v>894</v>
      </c>
      <c r="M224" s="629" t="s">
        <v>894</v>
      </c>
      <c r="N224" s="626"/>
      <c r="O224" s="626"/>
      <c r="P224" s="626" t="s">
        <v>895</v>
      </c>
      <c r="Q224" s="626" t="s">
        <v>895</v>
      </c>
      <c r="R224" s="626" t="s">
        <v>895</v>
      </c>
      <c r="S224" s="626" t="s">
        <v>895</v>
      </c>
      <c r="T224" s="626" t="s">
        <v>895</v>
      </c>
      <c r="U224" s="626" t="s">
        <v>895</v>
      </c>
      <c r="V224" s="626" t="s">
        <v>895</v>
      </c>
      <c r="W224" s="626" t="s">
        <v>895</v>
      </c>
      <c r="X224" s="626" t="s">
        <v>895</v>
      </c>
      <c r="Y224" s="626" t="s">
        <v>895</v>
      </c>
      <c r="Z224" s="626" t="s">
        <v>895</v>
      </c>
      <c r="AA224" s="626" t="s">
        <v>895</v>
      </c>
      <c r="AB224" s="631" t="s">
        <v>894</v>
      </c>
      <c r="AC224" s="631" t="s">
        <v>894</v>
      </c>
      <c r="AD224" s="626"/>
    </row>
    <row r="225" spans="2:30" ht="30">
      <c r="B225" s="625" t="s">
        <v>1175</v>
      </c>
      <c r="C225" s="625" t="s">
        <v>1164</v>
      </c>
      <c r="D225" s="627" t="s">
        <v>1170</v>
      </c>
      <c r="E225" s="626" t="s">
        <v>1134</v>
      </c>
      <c r="F225" s="625" t="s">
        <v>36</v>
      </c>
      <c r="G225" s="625" t="s">
        <v>892</v>
      </c>
      <c r="H225" s="625" t="s">
        <v>997</v>
      </c>
      <c r="I225" s="625" t="s">
        <v>36</v>
      </c>
      <c r="J225" s="628" t="s">
        <v>999</v>
      </c>
      <c r="K225" s="625" t="s">
        <v>1166</v>
      </c>
      <c r="L225" s="626" t="s">
        <v>894</v>
      </c>
      <c r="M225" s="629" t="s">
        <v>894</v>
      </c>
      <c r="N225" s="626"/>
      <c r="O225" s="626"/>
      <c r="P225" s="626" t="s">
        <v>895</v>
      </c>
      <c r="Q225" s="626" t="s">
        <v>895</v>
      </c>
      <c r="R225" s="626" t="s">
        <v>895</v>
      </c>
      <c r="S225" s="626" t="s">
        <v>895</v>
      </c>
      <c r="T225" s="626" t="s">
        <v>895</v>
      </c>
      <c r="U225" s="626" t="s">
        <v>895</v>
      </c>
      <c r="V225" s="626" t="s">
        <v>895</v>
      </c>
      <c r="W225" s="626" t="s">
        <v>895</v>
      </c>
      <c r="X225" s="626" t="s">
        <v>895</v>
      </c>
      <c r="Y225" s="626" t="s">
        <v>895</v>
      </c>
      <c r="Z225" s="626" t="s">
        <v>895</v>
      </c>
      <c r="AA225" s="626" t="s">
        <v>895</v>
      </c>
      <c r="AB225" s="631" t="s">
        <v>894</v>
      </c>
      <c r="AC225" s="631" t="s">
        <v>894</v>
      </c>
      <c r="AD225" s="626"/>
    </row>
    <row r="226" spans="2:30" ht="30">
      <c r="B226" s="625" t="s">
        <v>1176</v>
      </c>
      <c r="C226" s="625" t="s">
        <v>1164</v>
      </c>
      <c r="D226" s="627" t="s">
        <v>1172</v>
      </c>
      <c r="E226" s="626" t="s">
        <v>1134</v>
      </c>
      <c r="F226" s="625" t="s">
        <v>36</v>
      </c>
      <c r="G226" s="625" t="s">
        <v>892</v>
      </c>
      <c r="H226" s="625" t="s">
        <v>997</v>
      </c>
      <c r="I226" s="625" t="s">
        <v>36</v>
      </c>
      <c r="J226" s="628" t="s">
        <v>999</v>
      </c>
      <c r="K226" s="625" t="s">
        <v>1166</v>
      </c>
      <c r="L226" s="626" t="s">
        <v>894</v>
      </c>
      <c r="M226" s="629" t="s">
        <v>894</v>
      </c>
      <c r="N226" s="626"/>
      <c r="O226" s="626"/>
      <c r="P226" s="626" t="s">
        <v>895</v>
      </c>
      <c r="Q226" s="626" t="s">
        <v>895</v>
      </c>
      <c r="R226" s="626" t="s">
        <v>895</v>
      </c>
      <c r="S226" s="626" t="s">
        <v>895</v>
      </c>
      <c r="T226" s="626" t="s">
        <v>895</v>
      </c>
      <c r="U226" s="626" t="s">
        <v>895</v>
      </c>
      <c r="V226" s="626" t="s">
        <v>895</v>
      </c>
      <c r="W226" s="626" t="s">
        <v>895</v>
      </c>
      <c r="X226" s="626" t="s">
        <v>895</v>
      </c>
      <c r="Y226" s="626" t="s">
        <v>895</v>
      </c>
      <c r="Z226" s="626" t="s">
        <v>895</v>
      </c>
      <c r="AA226" s="626" t="s">
        <v>895</v>
      </c>
      <c r="AB226" s="631" t="s">
        <v>894</v>
      </c>
      <c r="AC226" s="631" t="s">
        <v>894</v>
      </c>
      <c r="AD226" s="626"/>
    </row>
    <row r="227" spans="2:30" ht="30">
      <c r="B227" s="625" t="s">
        <v>1177</v>
      </c>
      <c r="C227" s="625" t="s">
        <v>1164</v>
      </c>
      <c r="D227" s="627" t="s">
        <v>1165</v>
      </c>
      <c r="E227" s="626" t="s">
        <v>1134</v>
      </c>
      <c r="F227" s="625" t="s">
        <v>36</v>
      </c>
      <c r="G227" s="625" t="s">
        <v>892</v>
      </c>
      <c r="H227" s="625" t="s">
        <v>1020</v>
      </c>
      <c r="I227" s="625" t="s">
        <v>36</v>
      </c>
      <c r="J227" s="628" t="s">
        <v>999</v>
      </c>
      <c r="K227" s="625" t="s">
        <v>1166</v>
      </c>
      <c r="L227" s="626" t="s">
        <v>894</v>
      </c>
      <c r="M227" s="629" t="s">
        <v>894</v>
      </c>
      <c r="N227" s="626"/>
      <c r="O227" s="626"/>
      <c r="P227" s="626" t="s">
        <v>895</v>
      </c>
      <c r="Q227" s="626" t="s">
        <v>895</v>
      </c>
      <c r="R227" s="626" t="s">
        <v>895</v>
      </c>
      <c r="S227" s="626" t="s">
        <v>895</v>
      </c>
      <c r="T227" s="626" t="s">
        <v>895</v>
      </c>
      <c r="U227" s="626" t="s">
        <v>895</v>
      </c>
      <c r="V227" s="626" t="s">
        <v>895</v>
      </c>
      <c r="W227" s="626" t="s">
        <v>895</v>
      </c>
      <c r="X227" s="626" t="s">
        <v>895</v>
      </c>
      <c r="Y227" s="626" t="s">
        <v>895</v>
      </c>
      <c r="Z227" s="626" t="s">
        <v>895</v>
      </c>
      <c r="AA227" s="626" t="s">
        <v>895</v>
      </c>
      <c r="AB227" s="631" t="s">
        <v>894</v>
      </c>
      <c r="AC227" s="631" t="s">
        <v>894</v>
      </c>
      <c r="AD227" s="626"/>
    </row>
    <row r="228" spans="2:30" ht="30">
      <c r="B228" s="625" t="s">
        <v>1178</v>
      </c>
      <c r="C228" s="625" t="s">
        <v>1164</v>
      </c>
      <c r="D228" s="627" t="s">
        <v>1168</v>
      </c>
      <c r="E228" s="626" t="s">
        <v>1134</v>
      </c>
      <c r="F228" s="625" t="s">
        <v>36</v>
      </c>
      <c r="G228" s="625" t="s">
        <v>892</v>
      </c>
      <c r="H228" s="625" t="s">
        <v>1020</v>
      </c>
      <c r="I228" s="625" t="s">
        <v>36</v>
      </c>
      <c r="J228" s="628" t="s">
        <v>999</v>
      </c>
      <c r="K228" s="625" t="s">
        <v>1166</v>
      </c>
      <c r="L228" s="626" t="s">
        <v>894</v>
      </c>
      <c r="M228" s="629" t="s">
        <v>894</v>
      </c>
      <c r="N228" s="626"/>
      <c r="O228" s="626"/>
      <c r="P228" s="626" t="s">
        <v>895</v>
      </c>
      <c r="Q228" s="626" t="s">
        <v>895</v>
      </c>
      <c r="R228" s="626" t="s">
        <v>895</v>
      </c>
      <c r="S228" s="626" t="s">
        <v>895</v>
      </c>
      <c r="T228" s="626" t="s">
        <v>895</v>
      </c>
      <c r="U228" s="626" t="s">
        <v>895</v>
      </c>
      <c r="V228" s="626" t="s">
        <v>895</v>
      </c>
      <c r="W228" s="626" t="s">
        <v>895</v>
      </c>
      <c r="X228" s="626" t="s">
        <v>895</v>
      </c>
      <c r="Y228" s="626" t="s">
        <v>895</v>
      </c>
      <c r="Z228" s="626" t="s">
        <v>895</v>
      </c>
      <c r="AA228" s="626" t="s">
        <v>895</v>
      </c>
      <c r="AB228" s="631" t="s">
        <v>894</v>
      </c>
      <c r="AC228" s="631" t="s">
        <v>894</v>
      </c>
      <c r="AD228" s="626"/>
    </row>
    <row r="229" spans="2:30" ht="30">
      <c r="B229" s="625" t="s">
        <v>1179</v>
      </c>
      <c r="C229" s="625" t="s">
        <v>1164</v>
      </c>
      <c r="D229" s="627" t="s">
        <v>1170</v>
      </c>
      <c r="E229" s="626" t="s">
        <v>1134</v>
      </c>
      <c r="F229" s="625" t="s">
        <v>36</v>
      </c>
      <c r="G229" s="625" t="s">
        <v>892</v>
      </c>
      <c r="H229" s="625" t="s">
        <v>1020</v>
      </c>
      <c r="I229" s="625" t="s">
        <v>36</v>
      </c>
      <c r="J229" s="628" t="s">
        <v>999</v>
      </c>
      <c r="K229" s="625" t="s">
        <v>1166</v>
      </c>
      <c r="L229" s="626" t="s">
        <v>894</v>
      </c>
      <c r="M229" s="629" t="s">
        <v>894</v>
      </c>
      <c r="N229" s="626"/>
      <c r="O229" s="626"/>
      <c r="P229" s="626" t="s">
        <v>895</v>
      </c>
      <c r="Q229" s="626" t="s">
        <v>895</v>
      </c>
      <c r="R229" s="626" t="s">
        <v>895</v>
      </c>
      <c r="S229" s="626" t="s">
        <v>895</v>
      </c>
      <c r="T229" s="626" t="s">
        <v>895</v>
      </c>
      <c r="U229" s="626" t="s">
        <v>895</v>
      </c>
      <c r="V229" s="626" t="s">
        <v>895</v>
      </c>
      <c r="W229" s="626" t="s">
        <v>895</v>
      </c>
      <c r="X229" s="626" t="s">
        <v>895</v>
      </c>
      <c r="Y229" s="626" t="s">
        <v>895</v>
      </c>
      <c r="Z229" s="626" t="s">
        <v>895</v>
      </c>
      <c r="AA229" s="626" t="s">
        <v>895</v>
      </c>
      <c r="AB229" s="631" t="s">
        <v>894</v>
      </c>
      <c r="AC229" s="631" t="s">
        <v>894</v>
      </c>
      <c r="AD229" s="626"/>
    </row>
    <row r="230" spans="2:30" ht="30">
      <c r="B230" s="625" t="s">
        <v>1180</v>
      </c>
      <c r="C230" s="625" t="s">
        <v>1164</v>
      </c>
      <c r="D230" s="627" t="s">
        <v>1172</v>
      </c>
      <c r="E230" s="626" t="s">
        <v>1134</v>
      </c>
      <c r="F230" s="625" t="s">
        <v>36</v>
      </c>
      <c r="G230" s="625" t="s">
        <v>892</v>
      </c>
      <c r="H230" s="625" t="s">
        <v>1020</v>
      </c>
      <c r="I230" s="625" t="s">
        <v>36</v>
      </c>
      <c r="J230" s="628" t="s">
        <v>999</v>
      </c>
      <c r="K230" s="625" t="s">
        <v>1166</v>
      </c>
      <c r="L230" s="626" t="s">
        <v>894</v>
      </c>
      <c r="M230" s="629" t="s">
        <v>894</v>
      </c>
      <c r="N230" s="626"/>
      <c r="O230" s="626"/>
      <c r="P230" s="626" t="s">
        <v>895</v>
      </c>
      <c r="Q230" s="626" t="s">
        <v>895</v>
      </c>
      <c r="R230" s="626" t="s">
        <v>895</v>
      </c>
      <c r="S230" s="626" t="s">
        <v>895</v>
      </c>
      <c r="T230" s="626" t="s">
        <v>895</v>
      </c>
      <c r="U230" s="626" t="s">
        <v>895</v>
      </c>
      <c r="V230" s="626" t="s">
        <v>895</v>
      </c>
      <c r="W230" s="626" t="s">
        <v>895</v>
      </c>
      <c r="X230" s="626" t="s">
        <v>895</v>
      </c>
      <c r="Y230" s="626" t="s">
        <v>895</v>
      </c>
      <c r="Z230" s="626" t="s">
        <v>895</v>
      </c>
      <c r="AA230" s="626" t="s">
        <v>895</v>
      </c>
      <c r="AB230" s="631" t="s">
        <v>894</v>
      </c>
      <c r="AC230" s="631" t="s">
        <v>894</v>
      </c>
      <c r="AD230" s="626"/>
    </row>
    <row r="231" spans="2:30" ht="30">
      <c r="B231" s="625" t="s">
        <v>1181</v>
      </c>
      <c r="C231" s="625" t="s">
        <v>1164</v>
      </c>
      <c r="D231" s="627" t="s">
        <v>1165</v>
      </c>
      <c r="E231" s="626" t="s">
        <v>1134</v>
      </c>
      <c r="F231" s="625" t="s">
        <v>36</v>
      </c>
      <c r="G231" s="625" t="s">
        <v>892</v>
      </c>
      <c r="H231" s="625" t="s">
        <v>1036</v>
      </c>
      <c r="I231" s="625" t="s">
        <v>36</v>
      </c>
      <c r="J231" s="628" t="s">
        <v>999</v>
      </c>
      <c r="K231" s="625" t="s">
        <v>1166</v>
      </c>
      <c r="L231" s="626" t="s">
        <v>894</v>
      </c>
      <c r="M231" s="629" t="s">
        <v>894</v>
      </c>
      <c r="N231" s="626"/>
      <c r="O231" s="626"/>
      <c r="P231" s="626" t="s">
        <v>895</v>
      </c>
      <c r="Q231" s="626" t="s">
        <v>895</v>
      </c>
      <c r="R231" s="626" t="s">
        <v>895</v>
      </c>
      <c r="S231" s="626" t="s">
        <v>895</v>
      </c>
      <c r="T231" s="626" t="s">
        <v>895</v>
      </c>
      <c r="U231" s="626" t="s">
        <v>895</v>
      </c>
      <c r="V231" s="626" t="s">
        <v>895</v>
      </c>
      <c r="W231" s="626" t="s">
        <v>895</v>
      </c>
      <c r="X231" s="626" t="s">
        <v>895</v>
      </c>
      <c r="Y231" s="626" t="s">
        <v>895</v>
      </c>
      <c r="Z231" s="626" t="s">
        <v>895</v>
      </c>
      <c r="AA231" s="626" t="s">
        <v>895</v>
      </c>
      <c r="AB231" s="631" t="s">
        <v>894</v>
      </c>
      <c r="AC231" s="631" t="s">
        <v>894</v>
      </c>
      <c r="AD231" s="626"/>
    </row>
    <row r="232" spans="2:30" ht="30">
      <c r="B232" s="625" t="s">
        <v>1182</v>
      </c>
      <c r="C232" s="625" t="s">
        <v>1164</v>
      </c>
      <c r="D232" s="627" t="s">
        <v>1168</v>
      </c>
      <c r="E232" s="626" t="s">
        <v>1134</v>
      </c>
      <c r="F232" s="625" t="s">
        <v>36</v>
      </c>
      <c r="G232" s="625" t="s">
        <v>892</v>
      </c>
      <c r="H232" s="625" t="s">
        <v>1036</v>
      </c>
      <c r="I232" s="625" t="s">
        <v>36</v>
      </c>
      <c r="J232" s="628" t="s">
        <v>999</v>
      </c>
      <c r="K232" s="625" t="s">
        <v>1166</v>
      </c>
      <c r="L232" s="626" t="s">
        <v>894</v>
      </c>
      <c r="M232" s="629" t="s">
        <v>894</v>
      </c>
      <c r="N232" s="626"/>
      <c r="O232" s="626"/>
      <c r="P232" s="626" t="s">
        <v>895</v>
      </c>
      <c r="Q232" s="626" t="s">
        <v>895</v>
      </c>
      <c r="R232" s="626" t="s">
        <v>895</v>
      </c>
      <c r="S232" s="626" t="s">
        <v>895</v>
      </c>
      <c r="T232" s="626" t="s">
        <v>895</v>
      </c>
      <c r="U232" s="626" t="s">
        <v>895</v>
      </c>
      <c r="V232" s="626" t="s">
        <v>895</v>
      </c>
      <c r="W232" s="626" t="s">
        <v>895</v>
      </c>
      <c r="X232" s="626" t="s">
        <v>895</v>
      </c>
      <c r="Y232" s="626" t="s">
        <v>895</v>
      </c>
      <c r="Z232" s="626" t="s">
        <v>895</v>
      </c>
      <c r="AA232" s="626" t="s">
        <v>895</v>
      </c>
      <c r="AB232" s="631" t="s">
        <v>894</v>
      </c>
      <c r="AC232" s="631" t="s">
        <v>894</v>
      </c>
      <c r="AD232" s="626"/>
    </row>
    <row r="233" spans="2:30" ht="30">
      <c r="B233" s="625" t="s">
        <v>1183</v>
      </c>
      <c r="C233" s="625" t="s">
        <v>1164</v>
      </c>
      <c r="D233" s="627" t="s">
        <v>1170</v>
      </c>
      <c r="E233" s="626" t="s">
        <v>1134</v>
      </c>
      <c r="F233" s="625" t="s">
        <v>36</v>
      </c>
      <c r="G233" s="625" t="s">
        <v>892</v>
      </c>
      <c r="H233" s="625" t="s">
        <v>1036</v>
      </c>
      <c r="I233" s="625" t="s">
        <v>36</v>
      </c>
      <c r="J233" s="628" t="s">
        <v>999</v>
      </c>
      <c r="K233" s="625" t="s">
        <v>1166</v>
      </c>
      <c r="L233" s="626" t="s">
        <v>894</v>
      </c>
      <c r="M233" s="629" t="s">
        <v>894</v>
      </c>
      <c r="N233" s="626"/>
      <c r="O233" s="626"/>
      <c r="P233" s="626" t="s">
        <v>895</v>
      </c>
      <c r="Q233" s="626" t="s">
        <v>895</v>
      </c>
      <c r="R233" s="626" t="s">
        <v>895</v>
      </c>
      <c r="S233" s="626" t="s">
        <v>895</v>
      </c>
      <c r="T233" s="626" t="s">
        <v>895</v>
      </c>
      <c r="U233" s="626" t="s">
        <v>895</v>
      </c>
      <c r="V233" s="626" t="s">
        <v>895</v>
      </c>
      <c r="W233" s="626" t="s">
        <v>895</v>
      </c>
      <c r="X233" s="626" t="s">
        <v>895</v>
      </c>
      <c r="Y233" s="626" t="s">
        <v>895</v>
      </c>
      <c r="Z233" s="626" t="s">
        <v>895</v>
      </c>
      <c r="AA233" s="626" t="s">
        <v>895</v>
      </c>
      <c r="AB233" s="631" t="s">
        <v>894</v>
      </c>
      <c r="AC233" s="631" t="s">
        <v>894</v>
      </c>
      <c r="AD233" s="626"/>
    </row>
    <row r="234" spans="2:30" ht="30">
      <c r="B234" s="625" t="s">
        <v>1184</v>
      </c>
      <c r="C234" s="625" t="s">
        <v>1164</v>
      </c>
      <c r="D234" s="627" t="s">
        <v>1172</v>
      </c>
      <c r="E234" s="626" t="s">
        <v>1134</v>
      </c>
      <c r="F234" s="625" t="s">
        <v>36</v>
      </c>
      <c r="G234" s="625" t="s">
        <v>892</v>
      </c>
      <c r="H234" s="625" t="s">
        <v>1036</v>
      </c>
      <c r="I234" s="625" t="s">
        <v>36</v>
      </c>
      <c r="J234" s="628" t="s">
        <v>999</v>
      </c>
      <c r="K234" s="625" t="s">
        <v>1166</v>
      </c>
      <c r="L234" s="626" t="s">
        <v>894</v>
      </c>
      <c r="M234" s="629" t="s">
        <v>894</v>
      </c>
      <c r="N234" s="626"/>
      <c r="O234" s="626"/>
      <c r="P234" s="626" t="s">
        <v>895</v>
      </c>
      <c r="Q234" s="626" t="s">
        <v>895</v>
      </c>
      <c r="R234" s="626" t="s">
        <v>895</v>
      </c>
      <c r="S234" s="626" t="s">
        <v>895</v>
      </c>
      <c r="T234" s="626" t="s">
        <v>895</v>
      </c>
      <c r="U234" s="626" t="s">
        <v>895</v>
      </c>
      <c r="V234" s="626" t="s">
        <v>895</v>
      </c>
      <c r="W234" s="626" t="s">
        <v>895</v>
      </c>
      <c r="X234" s="626" t="s">
        <v>895</v>
      </c>
      <c r="Y234" s="626" t="s">
        <v>895</v>
      </c>
      <c r="Z234" s="626" t="s">
        <v>895</v>
      </c>
      <c r="AA234" s="626" t="s">
        <v>895</v>
      </c>
      <c r="AB234" s="631" t="s">
        <v>894</v>
      </c>
      <c r="AC234" s="631" t="s">
        <v>894</v>
      </c>
      <c r="AD234" s="626"/>
    </row>
    <row r="235" spans="2:30" ht="30">
      <c r="B235" s="625" t="s">
        <v>1185</v>
      </c>
      <c r="C235" s="625" t="s">
        <v>1164</v>
      </c>
      <c r="D235" s="627" t="s">
        <v>1165</v>
      </c>
      <c r="E235" s="626" t="s">
        <v>1134</v>
      </c>
      <c r="F235" s="625" t="s">
        <v>36</v>
      </c>
      <c r="G235" s="625" t="s">
        <v>892</v>
      </c>
      <c r="H235" s="625" t="s">
        <v>1034</v>
      </c>
      <c r="I235" s="625" t="s">
        <v>36</v>
      </c>
      <c r="J235" s="628" t="s">
        <v>999</v>
      </c>
      <c r="K235" s="625" t="s">
        <v>1166</v>
      </c>
      <c r="L235" s="626" t="s">
        <v>894</v>
      </c>
      <c r="M235" s="629" t="s">
        <v>894</v>
      </c>
      <c r="N235" s="626"/>
      <c r="O235" s="626"/>
      <c r="P235" s="626" t="s">
        <v>895</v>
      </c>
      <c r="Q235" s="626" t="s">
        <v>895</v>
      </c>
      <c r="R235" s="626" t="s">
        <v>895</v>
      </c>
      <c r="S235" s="626" t="s">
        <v>895</v>
      </c>
      <c r="T235" s="626" t="s">
        <v>895</v>
      </c>
      <c r="U235" s="626" t="s">
        <v>895</v>
      </c>
      <c r="V235" s="626" t="s">
        <v>895</v>
      </c>
      <c r="W235" s="626" t="s">
        <v>895</v>
      </c>
      <c r="X235" s="626" t="s">
        <v>895</v>
      </c>
      <c r="Y235" s="626" t="s">
        <v>895</v>
      </c>
      <c r="Z235" s="626" t="s">
        <v>895</v>
      </c>
      <c r="AA235" s="626" t="s">
        <v>895</v>
      </c>
      <c r="AB235" s="631" t="s">
        <v>894</v>
      </c>
      <c r="AC235" s="631" t="s">
        <v>894</v>
      </c>
      <c r="AD235" s="626"/>
    </row>
    <row r="236" spans="2:30" ht="30">
      <c r="B236" s="625" t="s">
        <v>1186</v>
      </c>
      <c r="C236" s="625" t="s">
        <v>1164</v>
      </c>
      <c r="D236" s="627" t="s">
        <v>1168</v>
      </c>
      <c r="E236" s="626" t="s">
        <v>1134</v>
      </c>
      <c r="F236" s="625" t="s">
        <v>36</v>
      </c>
      <c r="G236" s="625" t="s">
        <v>892</v>
      </c>
      <c r="H236" s="625" t="s">
        <v>1034</v>
      </c>
      <c r="I236" s="625" t="s">
        <v>36</v>
      </c>
      <c r="J236" s="628" t="s">
        <v>999</v>
      </c>
      <c r="K236" s="625" t="s">
        <v>1166</v>
      </c>
      <c r="L236" s="626" t="s">
        <v>894</v>
      </c>
      <c r="M236" s="629" t="s">
        <v>894</v>
      </c>
      <c r="N236" s="626"/>
      <c r="O236" s="626"/>
      <c r="P236" s="626" t="s">
        <v>895</v>
      </c>
      <c r="Q236" s="626" t="s">
        <v>895</v>
      </c>
      <c r="R236" s="626" t="s">
        <v>895</v>
      </c>
      <c r="S236" s="626" t="s">
        <v>895</v>
      </c>
      <c r="T236" s="626" t="s">
        <v>895</v>
      </c>
      <c r="U236" s="626" t="s">
        <v>895</v>
      </c>
      <c r="V236" s="626" t="s">
        <v>895</v>
      </c>
      <c r="W236" s="626" t="s">
        <v>895</v>
      </c>
      <c r="X236" s="626" t="s">
        <v>895</v>
      </c>
      <c r="Y236" s="626" t="s">
        <v>895</v>
      </c>
      <c r="Z236" s="626" t="s">
        <v>895</v>
      </c>
      <c r="AA236" s="626" t="s">
        <v>895</v>
      </c>
      <c r="AB236" s="631" t="s">
        <v>894</v>
      </c>
      <c r="AC236" s="631" t="s">
        <v>894</v>
      </c>
      <c r="AD236" s="626"/>
    </row>
    <row r="237" spans="2:30" ht="30">
      <c r="B237" s="625" t="s">
        <v>1187</v>
      </c>
      <c r="C237" s="625" t="s">
        <v>1164</v>
      </c>
      <c r="D237" s="627" t="s">
        <v>1170</v>
      </c>
      <c r="E237" s="626" t="s">
        <v>1134</v>
      </c>
      <c r="F237" s="625" t="s">
        <v>36</v>
      </c>
      <c r="G237" s="625" t="s">
        <v>892</v>
      </c>
      <c r="H237" s="625" t="s">
        <v>1034</v>
      </c>
      <c r="I237" s="625" t="s">
        <v>36</v>
      </c>
      <c r="J237" s="628" t="s">
        <v>999</v>
      </c>
      <c r="K237" s="625" t="s">
        <v>1166</v>
      </c>
      <c r="L237" s="626" t="s">
        <v>894</v>
      </c>
      <c r="M237" s="629" t="s">
        <v>894</v>
      </c>
      <c r="N237" s="626"/>
      <c r="O237" s="626"/>
      <c r="P237" s="626" t="s">
        <v>895</v>
      </c>
      <c r="Q237" s="626" t="s">
        <v>895</v>
      </c>
      <c r="R237" s="626" t="s">
        <v>895</v>
      </c>
      <c r="S237" s="626" t="s">
        <v>895</v>
      </c>
      <c r="T237" s="626" t="s">
        <v>895</v>
      </c>
      <c r="U237" s="626" t="s">
        <v>895</v>
      </c>
      <c r="V237" s="626" t="s">
        <v>895</v>
      </c>
      <c r="W237" s="626" t="s">
        <v>895</v>
      </c>
      <c r="X237" s="626" t="s">
        <v>895</v>
      </c>
      <c r="Y237" s="626" t="s">
        <v>895</v>
      </c>
      <c r="Z237" s="626" t="s">
        <v>895</v>
      </c>
      <c r="AA237" s="626" t="s">
        <v>895</v>
      </c>
      <c r="AB237" s="631" t="s">
        <v>894</v>
      </c>
      <c r="AC237" s="631" t="s">
        <v>894</v>
      </c>
      <c r="AD237" s="626"/>
    </row>
    <row r="238" spans="2:30" ht="30">
      <c r="B238" s="625" t="s">
        <v>1188</v>
      </c>
      <c r="C238" s="625" t="s">
        <v>1164</v>
      </c>
      <c r="D238" s="627" t="s">
        <v>1172</v>
      </c>
      <c r="E238" s="626" t="s">
        <v>1134</v>
      </c>
      <c r="F238" s="625" t="s">
        <v>36</v>
      </c>
      <c r="G238" s="625" t="s">
        <v>892</v>
      </c>
      <c r="H238" s="625" t="s">
        <v>1034</v>
      </c>
      <c r="I238" s="625" t="s">
        <v>36</v>
      </c>
      <c r="J238" s="628" t="s">
        <v>999</v>
      </c>
      <c r="K238" s="625" t="s">
        <v>1166</v>
      </c>
      <c r="L238" s="626" t="s">
        <v>894</v>
      </c>
      <c r="M238" s="629" t="s">
        <v>894</v>
      </c>
      <c r="N238" s="626"/>
      <c r="O238" s="626"/>
      <c r="P238" s="626" t="s">
        <v>895</v>
      </c>
      <c r="Q238" s="626" t="s">
        <v>895</v>
      </c>
      <c r="R238" s="626" t="s">
        <v>895</v>
      </c>
      <c r="S238" s="626" t="s">
        <v>895</v>
      </c>
      <c r="T238" s="626" t="s">
        <v>895</v>
      </c>
      <c r="U238" s="626" t="s">
        <v>895</v>
      </c>
      <c r="V238" s="626" t="s">
        <v>895</v>
      </c>
      <c r="W238" s="626" t="s">
        <v>895</v>
      </c>
      <c r="X238" s="626" t="s">
        <v>895</v>
      </c>
      <c r="Y238" s="626" t="s">
        <v>895</v>
      </c>
      <c r="Z238" s="626" t="s">
        <v>895</v>
      </c>
      <c r="AA238" s="626" t="s">
        <v>895</v>
      </c>
      <c r="AB238" s="631" t="s">
        <v>894</v>
      </c>
      <c r="AC238" s="631" t="s">
        <v>894</v>
      </c>
      <c r="AD238" s="626"/>
    </row>
    <row r="239" spans="2:30" ht="30">
      <c r="B239" s="625" t="s">
        <v>1189</v>
      </c>
      <c r="C239" s="625" t="s">
        <v>1164</v>
      </c>
      <c r="D239" s="627" t="s">
        <v>1165</v>
      </c>
      <c r="E239" s="626" t="s">
        <v>1134</v>
      </c>
      <c r="F239" s="625" t="s">
        <v>36</v>
      </c>
      <c r="G239" s="625" t="s">
        <v>892</v>
      </c>
      <c r="H239" s="625" t="s">
        <v>230</v>
      </c>
      <c r="I239" s="625" t="s">
        <v>36</v>
      </c>
      <c r="J239" s="628" t="s">
        <v>999</v>
      </c>
      <c r="K239" s="625" t="s">
        <v>1166</v>
      </c>
      <c r="L239" s="626" t="s">
        <v>894</v>
      </c>
      <c r="M239" s="629" t="s">
        <v>894</v>
      </c>
      <c r="N239" s="626"/>
      <c r="O239" s="626"/>
      <c r="P239" s="626" t="s">
        <v>895</v>
      </c>
      <c r="Q239" s="626" t="s">
        <v>895</v>
      </c>
      <c r="R239" s="626" t="s">
        <v>895</v>
      </c>
      <c r="S239" s="626" t="s">
        <v>895</v>
      </c>
      <c r="T239" s="626" t="s">
        <v>895</v>
      </c>
      <c r="U239" s="626" t="s">
        <v>895</v>
      </c>
      <c r="V239" s="626" t="s">
        <v>895</v>
      </c>
      <c r="W239" s="626" t="s">
        <v>895</v>
      </c>
      <c r="X239" s="626" t="s">
        <v>895</v>
      </c>
      <c r="Y239" s="626" t="s">
        <v>895</v>
      </c>
      <c r="Z239" s="626" t="s">
        <v>895</v>
      </c>
      <c r="AA239" s="626" t="s">
        <v>895</v>
      </c>
      <c r="AB239" s="631" t="s">
        <v>894</v>
      </c>
      <c r="AC239" s="631" t="s">
        <v>894</v>
      </c>
      <c r="AD239" s="626"/>
    </row>
    <row r="240" spans="2:30" ht="30">
      <c r="B240" s="625" t="s">
        <v>1190</v>
      </c>
      <c r="C240" s="625" t="s">
        <v>1164</v>
      </c>
      <c r="D240" s="627" t="s">
        <v>1168</v>
      </c>
      <c r="E240" s="626" t="s">
        <v>1134</v>
      </c>
      <c r="F240" s="625" t="s">
        <v>36</v>
      </c>
      <c r="G240" s="625" t="s">
        <v>892</v>
      </c>
      <c r="H240" s="625" t="s">
        <v>230</v>
      </c>
      <c r="I240" s="625" t="s">
        <v>36</v>
      </c>
      <c r="J240" s="628" t="s">
        <v>999</v>
      </c>
      <c r="K240" s="625" t="s">
        <v>1166</v>
      </c>
      <c r="L240" s="626" t="s">
        <v>894</v>
      </c>
      <c r="M240" s="629" t="s">
        <v>894</v>
      </c>
      <c r="N240" s="626"/>
      <c r="O240" s="626"/>
      <c r="P240" s="626" t="s">
        <v>895</v>
      </c>
      <c r="Q240" s="626" t="s">
        <v>895</v>
      </c>
      <c r="R240" s="626" t="s">
        <v>895</v>
      </c>
      <c r="S240" s="626" t="s">
        <v>895</v>
      </c>
      <c r="T240" s="626" t="s">
        <v>895</v>
      </c>
      <c r="U240" s="626" t="s">
        <v>895</v>
      </c>
      <c r="V240" s="626" t="s">
        <v>895</v>
      </c>
      <c r="W240" s="626" t="s">
        <v>895</v>
      </c>
      <c r="X240" s="626" t="s">
        <v>895</v>
      </c>
      <c r="Y240" s="626" t="s">
        <v>895</v>
      </c>
      <c r="Z240" s="626" t="s">
        <v>895</v>
      </c>
      <c r="AA240" s="626" t="s">
        <v>895</v>
      </c>
      <c r="AB240" s="631" t="s">
        <v>894</v>
      </c>
      <c r="AC240" s="631" t="s">
        <v>894</v>
      </c>
      <c r="AD240" s="626"/>
    </row>
    <row r="241" spans="2:30" ht="30">
      <c r="B241" s="625" t="s">
        <v>1191</v>
      </c>
      <c r="C241" s="625" t="s">
        <v>1164</v>
      </c>
      <c r="D241" s="627" t="s">
        <v>1170</v>
      </c>
      <c r="E241" s="626" t="s">
        <v>1134</v>
      </c>
      <c r="F241" s="625" t="s">
        <v>36</v>
      </c>
      <c r="G241" s="625" t="s">
        <v>892</v>
      </c>
      <c r="H241" s="625" t="s">
        <v>230</v>
      </c>
      <c r="I241" s="625" t="s">
        <v>36</v>
      </c>
      <c r="J241" s="628" t="s">
        <v>999</v>
      </c>
      <c r="K241" s="625" t="s">
        <v>1166</v>
      </c>
      <c r="L241" s="626" t="s">
        <v>894</v>
      </c>
      <c r="M241" s="629" t="s">
        <v>894</v>
      </c>
      <c r="N241" s="626"/>
      <c r="O241" s="626"/>
      <c r="P241" s="626" t="s">
        <v>895</v>
      </c>
      <c r="Q241" s="626" t="s">
        <v>895</v>
      </c>
      <c r="R241" s="626" t="s">
        <v>895</v>
      </c>
      <c r="S241" s="626" t="s">
        <v>895</v>
      </c>
      <c r="T241" s="626" t="s">
        <v>895</v>
      </c>
      <c r="U241" s="626" t="s">
        <v>895</v>
      </c>
      <c r="V241" s="626" t="s">
        <v>895</v>
      </c>
      <c r="W241" s="626" t="s">
        <v>895</v>
      </c>
      <c r="X241" s="626" t="s">
        <v>895</v>
      </c>
      <c r="Y241" s="626" t="s">
        <v>895</v>
      </c>
      <c r="Z241" s="626" t="s">
        <v>895</v>
      </c>
      <c r="AA241" s="626" t="s">
        <v>895</v>
      </c>
      <c r="AB241" s="631" t="s">
        <v>894</v>
      </c>
      <c r="AC241" s="631" t="s">
        <v>894</v>
      </c>
      <c r="AD241" s="626"/>
    </row>
    <row r="242" spans="2:30" ht="30">
      <c r="B242" s="625" t="s">
        <v>1192</v>
      </c>
      <c r="C242" s="625" t="s">
        <v>1164</v>
      </c>
      <c r="D242" s="627" t="s">
        <v>1172</v>
      </c>
      <c r="E242" s="626" t="s">
        <v>1134</v>
      </c>
      <c r="F242" s="625" t="s">
        <v>36</v>
      </c>
      <c r="G242" s="625" t="s">
        <v>892</v>
      </c>
      <c r="H242" s="625" t="s">
        <v>230</v>
      </c>
      <c r="I242" s="625" t="s">
        <v>36</v>
      </c>
      <c r="J242" s="628" t="s">
        <v>999</v>
      </c>
      <c r="K242" s="625" t="s">
        <v>1166</v>
      </c>
      <c r="L242" s="626" t="s">
        <v>894</v>
      </c>
      <c r="M242" s="629" t="s">
        <v>894</v>
      </c>
      <c r="N242" s="626"/>
      <c r="O242" s="626"/>
      <c r="P242" s="626" t="s">
        <v>895</v>
      </c>
      <c r="Q242" s="626" t="s">
        <v>895</v>
      </c>
      <c r="R242" s="626" t="s">
        <v>895</v>
      </c>
      <c r="S242" s="626" t="s">
        <v>895</v>
      </c>
      <c r="T242" s="626" t="s">
        <v>895</v>
      </c>
      <c r="U242" s="626" t="s">
        <v>895</v>
      </c>
      <c r="V242" s="626" t="s">
        <v>895</v>
      </c>
      <c r="W242" s="626" t="s">
        <v>895</v>
      </c>
      <c r="X242" s="626" t="s">
        <v>895</v>
      </c>
      <c r="Y242" s="626" t="s">
        <v>895</v>
      </c>
      <c r="Z242" s="626" t="s">
        <v>895</v>
      </c>
      <c r="AA242" s="626" t="s">
        <v>895</v>
      </c>
      <c r="AB242" s="631" t="s">
        <v>894</v>
      </c>
      <c r="AC242" s="631" t="s">
        <v>894</v>
      </c>
      <c r="AD242" s="626"/>
    </row>
    <row r="243" spans="2:30" ht="30">
      <c r="B243" s="625" t="s">
        <v>1193</v>
      </c>
      <c r="C243" s="625" t="s">
        <v>1194</v>
      </c>
      <c r="D243" s="627" t="s">
        <v>1195</v>
      </c>
      <c r="E243" s="626" t="s">
        <v>1134</v>
      </c>
      <c r="F243" s="625" t="s">
        <v>36</v>
      </c>
      <c r="G243" s="625" t="s">
        <v>892</v>
      </c>
      <c r="H243" s="625" t="s">
        <v>18</v>
      </c>
      <c r="I243" s="625" t="s">
        <v>36</v>
      </c>
      <c r="J243" s="628" t="s">
        <v>998</v>
      </c>
      <c r="K243" s="625" t="s">
        <v>1196</v>
      </c>
      <c r="L243" s="626" t="s">
        <v>894</v>
      </c>
      <c r="M243" s="629" t="s">
        <v>894</v>
      </c>
      <c r="N243" s="626"/>
      <c r="O243" s="626"/>
      <c r="P243" s="626" t="s">
        <v>895</v>
      </c>
      <c r="Q243" s="626" t="s">
        <v>895</v>
      </c>
      <c r="R243" s="626" t="s">
        <v>895</v>
      </c>
      <c r="S243" s="626" t="s">
        <v>895</v>
      </c>
      <c r="T243" s="626" t="s">
        <v>895</v>
      </c>
      <c r="U243" s="626" t="s">
        <v>895</v>
      </c>
      <c r="V243" s="626" t="s">
        <v>895</v>
      </c>
      <c r="W243" s="626" t="s">
        <v>895</v>
      </c>
      <c r="X243" s="626" t="s">
        <v>895</v>
      </c>
      <c r="Y243" s="626" t="s">
        <v>895</v>
      </c>
      <c r="Z243" s="626" t="s">
        <v>895</v>
      </c>
      <c r="AA243" s="626" t="s">
        <v>895</v>
      </c>
      <c r="AB243" s="631" t="s">
        <v>894</v>
      </c>
      <c r="AC243" s="631" t="s">
        <v>894</v>
      </c>
      <c r="AD243" s="626"/>
    </row>
    <row r="244" spans="2:30" ht="30">
      <c r="B244" s="625" t="s">
        <v>1197</v>
      </c>
      <c r="C244" s="625" t="s">
        <v>1194</v>
      </c>
      <c r="D244" s="627" t="s">
        <v>1198</v>
      </c>
      <c r="E244" s="626" t="s">
        <v>1134</v>
      </c>
      <c r="F244" s="625" t="s">
        <v>36</v>
      </c>
      <c r="G244" s="625" t="s">
        <v>892</v>
      </c>
      <c r="H244" s="625" t="s">
        <v>18</v>
      </c>
      <c r="I244" s="625" t="s">
        <v>36</v>
      </c>
      <c r="J244" s="628" t="s">
        <v>998</v>
      </c>
      <c r="K244" s="625" t="s">
        <v>1196</v>
      </c>
      <c r="L244" s="626" t="s">
        <v>894</v>
      </c>
      <c r="M244" s="629" t="s">
        <v>894</v>
      </c>
      <c r="N244" s="626"/>
      <c r="O244" s="626"/>
      <c r="P244" s="626" t="s">
        <v>895</v>
      </c>
      <c r="Q244" s="626" t="s">
        <v>895</v>
      </c>
      <c r="R244" s="626" t="s">
        <v>895</v>
      </c>
      <c r="S244" s="626" t="s">
        <v>895</v>
      </c>
      <c r="T244" s="626" t="s">
        <v>895</v>
      </c>
      <c r="U244" s="626" t="s">
        <v>895</v>
      </c>
      <c r="V244" s="626" t="s">
        <v>895</v>
      </c>
      <c r="W244" s="626" t="s">
        <v>895</v>
      </c>
      <c r="X244" s="626" t="s">
        <v>895</v>
      </c>
      <c r="Y244" s="626" t="s">
        <v>895</v>
      </c>
      <c r="Z244" s="626" t="s">
        <v>895</v>
      </c>
      <c r="AA244" s="626" t="s">
        <v>895</v>
      </c>
      <c r="AB244" s="631" t="s">
        <v>894</v>
      </c>
      <c r="AC244" s="631" t="s">
        <v>894</v>
      </c>
      <c r="AD244" s="626"/>
    </row>
    <row r="245" spans="2:30" ht="30">
      <c r="B245" s="625" t="s">
        <v>1199</v>
      </c>
      <c r="C245" s="625" t="s">
        <v>1194</v>
      </c>
      <c r="D245" s="627" t="s">
        <v>1195</v>
      </c>
      <c r="E245" s="626" t="s">
        <v>1134</v>
      </c>
      <c r="F245" s="625" t="s">
        <v>36</v>
      </c>
      <c r="G245" s="625" t="s">
        <v>892</v>
      </c>
      <c r="H245" s="625" t="s">
        <v>997</v>
      </c>
      <c r="I245" s="625" t="s">
        <v>36</v>
      </c>
      <c r="J245" s="628" t="s">
        <v>998</v>
      </c>
      <c r="K245" s="625" t="s">
        <v>1196</v>
      </c>
      <c r="L245" s="626" t="s">
        <v>894</v>
      </c>
      <c r="M245" s="629" t="s">
        <v>894</v>
      </c>
      <c r="N245" s="626"/>
      <c r="O245" s="626"/>
      <c r="P245" s="626" t="s">
        <v>895</v>
      </c>
      <c r="Q245" s="626" t="s">
        <v>895</v>
      </c>
      <c r="R245" s="626" t="s">
        <v>895</v>
      </c>
      <c r="S245" s="626" t="s">
        <v>895</v>
      </c>
      <c r="T245" s="626" t="s">
        <v>895</v>
      </c>
      <c r="U245" s="626" t="s">
        <v>895</v>
      </c>
      <c r="V245" s="626" t="s">
        <v>895</v>
      </c>
      <c r="W245" s="626" t="s">
        <v>895</v>
      </c>
      <c r="X245" s="626" t="s">
        <v>895</v>
      </c>
      <c r="Y245" s="626" t="s">
        <v>895</v>
      </c>
      <c r="Z245" s="626" t="s">
        <v>895</v>
      </c>
      <c r="AA245" s="626" t="s">
        <v>895</v>
      </c>
      <c r="AB245" s="631" t="s">
        <v>894</v>
      </c>
      <c r="AC245" s="631" t="s">
        <v>894</v>
      </c>
      <c r="AD245" s="626"/>
    </row>
    <row r="246" spans="2:30" ht="30">
      <c r="B246" s="625" t="s">
        <v>1200</v>
      </c>
      <c r="C246" s="625" t="s">
        <v>1194</v>
      </c>
      <c r="D246" s="627" t="s">
        <v>1198</v>
      </c>
      <c r="E246" s="626" t="s">
        <v>1134</v>
      </c>
      <c r="F246" s="625" t="s">
        <v>36</v>
      </c>
      <c r="G246" s="625" t="s">
        <v>892</v>
      </c>
      <c r="H246" s="625" t="s">
        <v>997</v>
      </c>
      <c r="I246" s="625" t="s">
        <v>36</v>
      </c>
      <c r="J246" s="628" t="s">
        <v>998</v>
      </c>
      <c r="K246" s="625" t="s">
        <v>1196</v>
      </c>
      <c r="L246" s="626" t="s">
        <v>894</v>
      </c>
      <c r="M246" s="629" t="s">
        <v>894</v>
      </c>
      <c r="N246" s="626"/>
      <c r="O246" s="626"/>
      <c r="P246" s="626" t="s">
        <v>895</v>
      </c>
      <c r="Q246" s="626" t="s">
        <v>895</v>
      </c>
      <c r="R246" s="626" t="s">
        <v>895</v>
      </c>
      <c r="S246" s="626" t="s">
        <v>895</v>
      </c>
      <c r="T246" s="626" t="s">
        <v>895</v>
      </c>
      <c r="U246" s="626" t="s">
        <v>895</v>
      </c>
      <c r="V246" s="626" t="s">
        <v>895</v>
      </c>
      <c r="W246" s="626" t="s">
        <v>895</v>
      </c>
      <c r="X246" s="626" t="s">
        <v>895</v>
      </c>
      <c r="Y246" s="626" t="s">
        <v>895</v>
      </c>
      <c r="Z246" s="626" t="s">
        <v>895</v>
      </c>
      <c r="AA246" s="626" t="s">
        <v>895</v>
      </c>
      <c r="AB246" s="631" t="s">
        <v>894</v>
      </c>
      <c r="AC246" s="631" t="s">
        <v>894</v>
      </c>
      <c r="AD246" s="626"/>
    </row>
    <row r="247" spans="2:30" ht="30">
      <c r="B247" s="625" t="s">
        <v>1201</v>
      </c>
      <c r="C247" s="625" t="s">
        <v>1194</v>
      </c>
      <c r="D247" s="627" t="s">
        <v>1195</v>
      </c>
      <c r="E247" s="626" t="s">
        <v>1134</v>
      </c>
      <c r="F247" s="625" t="s">
        <v>36</v>
      </c>
      <c r="G247" s="625" t="s">
        <v>892</v>
      </c>
      <c r="H247" s="625" t="s">
        <v>1020</v>
      </c>
      <c r="I247" s="625" t="s">
        <v>36</v>
      </c>
      <c r="J247" s="628" t="s">
        <v>998</v>
      </c>
      <c r="K247" s="625" t="s">
        <v>1196</v>
      </c>
      <c r="L247" s="626" t="s">
        <v>894</v>
      </c>
      <c r="M247" s="629" t="s">
        <v>894</v>
      </c>
      <c r="N247" s="626"/>
      <c r="O247" s="626"/>
      <c r="P247" s="626" t="s">
        <v>895</v>
      </c>
      <c r="Q247" s="626" t="s">
        <v>895</v>
      </c>
      <c r="R247" s="626" t="s">
        <v>895</v>
      </c>
      <c r="S247" s="626" t="s">
        <v>895</v>
      </c>
      <c r="T247" s="626" t="s">
        <v>895</v>
      </c>
      <c r="U247" s="626" t="s">
        <v>895</v>
      </c>
      <c r="V247" s="626" t="s">
        <v>895</v>
      </c>
      <c r="W247" s="626" t="s">
        <v>895</v>
      </c>
      <c r="X247" s="626" t="s">
        <v>895</v>
      </c>
      <c r="Y247" s="626" t="s">
        <v>895</v>
      </c>
      <c r="Z247" s="626" t="s">
        <v>895</v>
      </c>
      <c r="AA247" s="626" t="s">
        <v>895</v>
      </c>
      <c r="AB247" s="631" t="s">
        <v>894</v>
      </c>
      <c r="AC247" s="631" t="s">
        <v>894</v>
      </c>
      <c r="AD247" s="626"/>
    </row>
    <row r="248" spans="2:30" ht="30">
      <c r="B248" s="625" t="s">
        <v>1202</v>
      </c>
      <c r="C248" s="625" t="s">
        <v>1194</v>
      </c>
      <c r="D248" s="627" t="s">
        <v>1198</v>
      </c>
      <c r="E248" s="626" t="s">
        <v>1134</v>
      </c>
      <c r="F248" s="625" t="s">
        <v>36</v>
      </c>
      <c r="G248" s="625" t="s">
        <v>892</v>
      </c>
      <c r="H248" s="625" t="s">
        <v>1020</v>
      </c>
      <c r="I248" s="625" t="s">
        <v>36</v>
      </c>
      <c r="J248" s="628" t="s">
        <v>998</v>
      </c>
      <c r="K248" s="625" t="s">
        <v>1196</v>
      </c>
      <c r="L248" s="626" t="s">
        <v>894</v>
      </c>
      <c r="M248" s="629" t="s">
        <v>894</v>
      </c>
      <c r="N248" s="626"/>
      <c r="O248" s="626"/>
      <c r="P248" s="626" t="s">
        <v>895</v>
      </c>
      <c r="Q248" s="626" t="s">
        <v>895</v>
      </c>
      <c r="R248" s="626" t="s">
        <v>895</v>
      </c>
      <c r="S248" s="626" t="s">
        <v>895</v>
      </c>
      <c r="T248" s="626" t="s">
        <v>895</v>
      </c>
      <c r="U248" s="626" t="s">
        <v>895</v>
      </c>
      <c r="V248" s="626" t="s">
        <v>895</v>
      </c>
      <c r="W248" s="626" t="s">
        <v>895</v>
      </c>
      <c r="X248" s="626" t="s">
        <v>895</v>
      </c>
      <c r="Y248" s="626" t="s">
        <v>895</v>
      </c>
      <c r="Z248" s="626" t="s">
        <v>895</v>
      </c>
      <c r="AA248" s="626" t="s">
        <v>895</v>
      </c>
      <c r="AB248" s="631" t="s">
        <v>894</v>
      </c>
      <c r="AC248" s="631" t="s">
        <v>894</v>
      </c>
      <c r="AD248" s="626"/>
    </row>
    <row r="249" spans="2:30" ht="30">
      <c r="B249" s="625" t="s">
        <v>1203</v>
      </c>
      <c r="C249" s="625" t="s">
        <v>1194</v>
      </c>
      <c r="D249" s="627" t="s">
        <v>1195</v>
      </c>
      <c r="E249" s="626" t="s">
        <v>1134</v>
      </c>
      <c r="F249" s="625" t="s">
        <v>36</v>
      </c>
      <c r="G249" s="625" t="s">
        <v>892</v>
      </c>
      <c r="H249" s="625" t="s">
        <v>1036</v>
      </c>
      <c r="I249" s="625" t="s">
        <v>36</v>
      </c>
      <c r="J249" s="628" t="s">
        <v>998</v>
      </c>
      <c r="K249" s="625" t="s">
        <v>1196</v>
      </c>
      <c r="L249" s="626" t="s">
        <v>894</v>
      </c>
      <c r="M249" s="629" t="s">
        <v>894</v>
      </c>
      <c r="N249" s="626"/>
      <c r="O249" s="626"/>
      <c r="P249" s="626" t="s">
        <v>895</v>
      </c>
      <c r="Q249" s="626" t="s">
        <v>895</v>
      </c>
      <c r="R249" s="626" t="s">
        <v>895</v>
      </c>
      <c r="S249" s="626" t="s">
        <v>895</v>
      </c>
      <c r="T249" s="626" t="s">
        <v>895</v>
      </c>
      <c r="U249" s="626" t="s">
        <v>895</v>
      </c>
      <c r="V249" s="626" t="s">
        <v>895</v>
      </c>
      <c r="W249" s="626" t="s">
        <v>895</v>
      </c>
      <c r="X249" s="626" t="s">
        <v>895</v>
      </c>
      <c r="Y249" s="626" t="s">
        <v>895</v>
      </c>
      <c r="Z249" s="626" t="s">
        <v>895</v>
      </c>
      <c r="AA249" s="626" t="s">
        <v>895</v>
      </c>
      <c r="AB249" s="631" t="s">
        <v>894</v>
      </c>
      <c r="AC249" s="631" t="s">
        <v>894</v>
      </c>
      <c r="AD249" s="626"/>
    </row>
    <row r="250" spans="2:30" ht="30">
      <c r="B250" s="625" t="s">
        <v>1204</v>
      </c>
      <c r="C250" s="625" t="s">
        <v>1194</v>
      </c>
      <c r="D250" s="627" t="s">
        <v>1198</v>
      </c>
      <c r="E250" s="626" t="s">
        <v>1134</v>
      </c>
      <c r="F250" s="625" t="s">
        <v>36</v>
      </c>
      <c r="G250" s="625" t="s">
        <v>892</v>
      </c>
      <c r="H250" s="625" t="s">
        <v>1036</v>
      </c>
      <c r="I250" s="625" t="s">
        <v>36</v>
      </c>
      <c r="J250" s="628" t="s">
        <v>998</v>
      </c>
      <c r="K250" s="625" t="s">
        <v>1196</v>
      </c>
      <c r="L250" s="626" t="s">
        <v>894</v>
      </c>
      <c r="M250" s="629" t="s">
        <v>894</v>
      </c>
      <c r="N250" s="626"/>
      <c r="O250" s="626"/>
      <c r="P250" s="626" t="s">
        <v>895</v>
      </c>
      <c r="Q250" s="626" t="s">
        <v>895</v>
      </c>
      <c r="R250" s="626" t="s">
        <v>895</v>
      </c>
      <c r="S250" s="626" t="s">
        <v>895</v>
      </c>
      <c r="T250" s="626" t="s">
        <v>895</v>
      </c>
      <c r="U250" s="626" t="s">
        <v>895</v>
      </c>
      <c r="V250" s="626" t="s">
        <v>895</v>
      </c>
      <c r="W250" s="626" t="s">
        <v>895</v>
      </c>
      <c r="X250" s="626" t="s">
        <v>895</v>
      </c>
      <c r="Y250" s="626" t="s">
        <v>895</v>
      </c>
      <c r="Z250" s="626" t="s">
        <v>895</v>
      </c>
      <c r="AA250" s="626" t="s">
        <v>895</v>
      </c>
      <c r="AB250" s="631" t="s">
        <v>894</v>
      </c>
      <c r="AC250" s="631" t="s">
        <v>894</v>
      </c>
      <c r="AD250" s="626"/>
    </row>
    <row r="251" spans="2:30" ht="30">
      <c r="B251" s="625" t="s">
        <v>1205</v>
      </c>
      <c r="C251" s="625" t="s">
        <v>1194</v>
      </c>
      <c r="D251" s="627" t="s">
        <v>1195</v>
      </c>
      <c r="E251" s="626" t="s">
        <v>1134</v>
      </c>
      <c r="F251" s="625" t="s">
        <v>36</v>
      </c>
      <c r="G251" s="625" t="s">
        <v>892</v>
      </c>
      <c r="H251" s="625" t="s">
        <v>1034</v>
      </c>
      <c r="I251" s="625" t="s">
        <v>36</v>
      </c>
      <c r="J251" s="628" t="s">
        <v>998</v>
      </c>
      <c r="K251" s="625" t="s">
        <v>1196</v>
      </c>
      <c r="L251" s="626" t="s">
        <v>894</v>
      </c>
      <c r="M251" s="629" t="s">
        <v>894</v>
      </c>
      <c r="N251" s="626"/>
      <c r="O251" s="626"/>
      <c r="P251" s="626" t="s">
        <v>895</v>
      </c>
      <c r="Q251" s="626" t="s">
        <v>895</v>
      </c>
      <c r="R251" s="626" t="s">
        <v>895</v>
      </c>
      <c r="S251" s="626" t="s">
        <v>895</v>
      </c>
      <c r="T251" s="626" t="s">
        <v>895</v>
      </c>
      <c r="U251" s="626" t="s">
        <v>895</v>
      </c>
      <c r="V251" s="626" t="s">
        <v>895</v>
      </c>
      <c r="W251" s="626" t="s">
        <v>895</v>
      </c>
      <c r="X251" s="626" t="s">
        <v>895</v>
      </c>
      <c r="Y251" s="626" t="s">
        <v>895</v>
      </c>
      <c r="Z251" s="626" t="s">
        <v>895</v>
      </c>
      <c r="AA251" s="626" t="s">
        <v>895</v>
      </c>
      <c r="AB251" s="631" t="s">
        <v>894</v>
      </c>
      <c r="AC251" s="631" t="s">
        <v>894</v>
      </c>
      <c r="AD251" s="626"/>
    </row>
    <row r="252" spans="2:30" ht="30">
      <c r="B252" s="625" t="s">
        <v>1206</v>
      </c>
      <c r="C252" s="625" t="s">
        <v>1194</v>
      </c>
      <c r="D252" s="627" t="s">
        <v>1198</v>
      </c>
      <c r="E252" s="626" t="s">
        <v>1134</v>
      </c>
      <c r="F252" s="625" t="s">
        <v>36</v>
      </c>
      <c r="G252" s="625" t="s">
        <v>892</v>
      </c>
      <c r="H252" s="625" t="s">
        <v>1034</v>
      </c>
      <c r="I252" s="625" t="s">
        <v>36</v>
      </c>
      <c r="J252" s="628" t="s">
        <v>998</v>
      </c>
      <c r="K252" s="625" t="s">
        <v>1196</v>
      </c>
      <c r="L252" s="626" t="s">
        <v>894</v>
      </c>
      <c r="M252" s="629" t="s">
        <v>894</v>
      </c>
      <c r="N252" s="626"/>
      <c r="O252" s="626"/>
      <c r="P252" s="626" t="s">
        <v>895</v>
      </c>
      <c r="Q252" s="626" t="s">
        <v>895</v>
      </c>
      <c r="R252" s="626" t="s">
        <v>895</v>
      </c>
      <c r="S252" s="626" t="s">
        <v>895</v>
      </c>
      <c r="T252" s="626" t="s">
        <v>895</v>
      </c>
      <c r="U252" s="626" t="s">
        <v>895</v>
      </c>
      <c r="V252" s="626" t="s">
        <v>895</v>
      </c>
      <c r="W252" s="626" t="s">
        <v>895</v>
      </c>
      <c r="X252" s="626" t="s">
        <v>895</v>
      </c>
      <c r="Y252" s="626" t="s">
        <v>895</v>
      </c>
      <c r="Z252" s="626" t="s">
        <v>895</v>
      </c>
      <c r="AA252" s="626" t="s">
        <v>895</v>
      </c>
      <c r="AB252" s="631" t="s">
        <v>894</v>
      </c>
      <c r="AC252" s="631" t="s">
        <v>894</v>
      </c>
      <c r="AD252" s="626"/>
    </row>
    <row r="253" spans="2:30" ht="30">
      <c r="B253" s="625" t="s">
        <v>1207</v>
      </c>
      <c r="C253" s="625" t="s">
        <v>1194</v>
      </c>
      <c r="D253" s="627" t="s">
        <v>1195</v>
      </c>
      <c r="E253" s="626" t="s">
        <v>1134</v>
      </c>
      <c r="F253" s="625" t="s">
        <v>36</v>
      </c>
      <c r="G253" s="625" t="s">
        <v>892</v>
      </c>
      <c r="H253" s="625" t="s">
        <v>230</v>
      </c>
      <c r="I253" s="625" t="s">
        <v>36</v>
      </c>
      <c r="J253" s="628" t="s">
        <v>998</v>
      </c>
      <c r="K253" s="625" t="s">
        <v>1196</v>
      </c>
      <c r="L253" s="626" t="s">
        <v>894</v>
      </c>
      <c r="M253" s="629" t="s">
        <v>894</v>
      </c>
      <c r="N253" s="626"/>
      <c r="O253" s="626"/>
      <c r="P253" s="626" t="s">
        <v>895</v>
      </c>
      <c r="Q253" s="626" t="s">
        <v>895</v>
      </c>
      <c r="R253" s="626" t="s">
        <v>895</v>
      </c>
      <c r="S253" s="626" t="s">
        <v>895</v>
      </c>
      <c r="T253" s="626" t="s">
        <v>895</v>
      </c>
      <c r="U253" s="626" t="s">
        <v>895</v>
      </c>
      <c r="V253" s="626" t="s">
        <v>895</v>
      </c>
      <c r="W253" s="626" t="s">
        <v>895</v>
      </c>
      <c r="X253" s="626" t="s">
        <v>895</v>
      </c>
      <c r="Y253" s="626" t="s">
        <v>895</v>
      </c>
      <c r="Z253" s="626" t="s">
        <v>895</v>
      </c>
      <c r="AA253" s="626" t="s">
        <v>895</v>
      </c>
      <c r="AB253" s="631" t="s">
        <v>894</v>
      </c>
      <c r="AC253" s="631" t="s">
        <v>894</v>
      </c>
      <c r="AD253" s="626"/>
    </row>
    <row r="254" spans="2:30" ht="30">
      <c r="B254" s="625" t="s">
        <v>1208</v>
      </c>
      <c r="C254" s="625" t="s">
        <v>1194</v>
      </c>
      <c r="D254" s="627" t="s">
        <v>1198</v>
      </c>
      <c r="E254" s="626" t="s">
        <v>1134</v>
      </c>
      <c r="F254" s="625" t="s">
        <v>36</v>
      </c>
      <c r="G254" s="625" t="s">
        <v>892</v>
      </c>
      <c r="H254" s="625" t="s">
        <v>230</v>
      </c>
      <c r="I254" s="625" t="s">
        <v>36</v>
      </c>
      <c r="J254" s="628" t="s">
        <v>998</v>
      </c>
      <c r="K254" s="625" t="s">
        <v>1196</v>
      </c>
      <c r="L254" s="626" t="s">
        <v>894</v>
      </c>
      <c r="M254" s="629" t="s">
        <v>894</v>
      </c>
      <c r="N254" s="626"/>
      <c r="O254" s="626"/>
      <c r="P254" s="626" t="s">
        <v>895</v>
      </c>
      <c r="Q254" s="626" t="s">
        <v>895</v>
      </c>
      <c r="R254" s="626" t="s">
        <v>895</v>
      </c>
      <c r="S254" s="626" t="s">
        <v>895</v>
      </c>
      <c r="T254" s="626" t="s">
        <v>895</v>
      </c>
      <c r="U254" s="626" t="s">
        <v>895</v>
      </c>
      <c r="V254" s="626" t="s">
        <v>895</v>
      </c>
      <c r="W254" s="626" t="s">
        <v>895</v>
      </c>
      <c r="X254" s="626" t="s">
        <v>895</v>
      </c>
      <c r="Y254" s="626" t="s">
        <v>895</v>
      </c>
      <c r="Z254" s="626" t="s">
        <v>895</v>
      </c>
      <c r="AA254" s="626" t="s">
        <v>895</v>
      </c>
      <c r="AB254" s="631" t="s">
        <v>894</v>
      </c>
      <c r="AC254" s="631" t="s">
        <v>894</v>
      </c>
      <c r="AD254" s="626"/>
    </row>
    <row r="255" spans="2:30" ht="30">
      <c r="B255" s="625" t="s">
        <v>1209</v>
      </c>
      <c r="C255" s="625" t="s">
        <v>1210</v>
      </c>
      <c r="D255" s="627" t="s">
        <v>1211</v>
      </c>
      <c r="E255" s="626" t="s">
        <v>1134</v>
      </c>
      <c r="F255" s="625" t="s">
        <v>36</v>
      </c>
      <c r="G255" s="625" t="s">
        <v>892</v>
      </c>
      <c r="H255" s="625" t="s">
        <v>18</v>
      </c>
      <c r="I255" s="625" t="s">
        <v>36</v>
      </c>
      <c r="J255" s="628" t="s">
        <v>1000</v>
      </c>
      <c r="K255" s="625" t="s">
        <v>1166</v>
      </c>
      <c r="L255" s="626" t="s">
        <v>894</v>
      </c>
      <c r="M255" s="629" t="s">
        <v>894</v>
      </c>
      <c r="N255" s="626"/>
      <c r="O255" s="626"/>
      <c r="P255" s="626" t="s">
        <v>895</v>
      </c>
      <c r="Q255" s="626" t="s">
        <v>895</v>
      </c>
      <c r="R255" s="626" t="s">
        <v>895</v>
      </c>
      <c r="S255" s="626" t="s">
        <v>895</v>
      </c>
      <c r="T255" s="626" t="s">
        <v>895</v>
      </c>
      <c r="U255" s="626" t="s">
        <v>895</v>
      </c>
      <c r="V255" s="626" t="s">
        <v>895</v>
      </c>
      <c r="W255" s="626" t="s">
        <v>895</v>
      </c>
      <c r="X255" s="626" t="s">
        <v>895</v>
      </c>
      <c r="Y255" s="626" t="s">
        <v>895</v>
      </c>
      <c r="Z255" s="626" t="s">
        <v>895</v>
      </c>
      <c r="AA255" s="626" t="s">
        <v>895</v>
      </c>
      <c r="AB255" s="631" t="s">
        <v>894</v>
      </c>
      <c r="AC255" s="631" t="s">
        <v>894</v>
      </c>
      <c r="AD255" s="626"/>
    </row>
    <row r="256" spans="2:30" ht="30">
      <c r="B256" s="625" t="s">
        <v>1212</v>
      </c>
      <c r="C256" s="625" t="s">
        <v>1210</v>
      </c>
      <c r="D256" s="627" t="s">
        <v>1213</v>
      </c>
      <c r="E256" s="626" t="s">
        <v>1134</v>
      </c>
      <c r="F256" s="625" t="s">
        <v>36</v>
      </c>
      <c r="G256" s="625" t="s">
        <v>892</v>
      </c>
      <c r="H256" s="625" t="s">
        <v>18</v>
      </c>
      <c r="I256" s="625" t="s">
        <v>36</v>
      </c>
      <c r="J256" s="628" t="s">
        <v>1000</v>
      </c>
      <c r="K256" s="625" t="s">
        <v>1166</v>
      </c>
      <c r="L256" s="626" t="s">
        <v>894</v>
      </c>
      <c r="M256" s="629" t="s">
        <v>894</v>
      </c>
      <c r="N256" s="626"/>
      <c r="O256" s="626"/>
      <c r="P256" s="626" t="s">
        <v>895</v>
      </c>
      <c r="Q256" s="626" t="s">
        <v>895</v>
      </c>
      <c r="R256" s="626" t="s">
        <v>895</v>
      </c>
      <c r="S256" s="626" t="s">
        <v>895</v>
      </c>
      <c r="T256" s="626" t="s">
        <v>895</v>
      </c>
      <c r="U256" s="626" t="s">
        <v>895</v>
      </c>
      <c r="V256" s="626" t="s">
        <v>895</v>
      </c>
      <c r="W256" s="626" t="s">
        <v>895</v>
      </c>
      <c r="X256" s="626" t="s">
        <v>895</v>
      </c>
      <c r="Y256" s="626" t="s">
        <v>895</v>
      </c>
      <c r="Z256" s="626" t="s">
        <v>895</v>
      </c>
      <c r="AA256" s="626" t="s">
        <v>895</v>
      </c>
      <c r="AB256" s="631" t="s">
        <v>894</v>
      </c>
      <c r="AC256" s="631" t="s">
        <v>894</v>
      </c>
      <c r="AD256" s="626"/>
    </row>
    <row r="257" spans="2:30" ht="30">
      <c r="B257" s="625" t="s">
        <v>1214</v>
      </c>
      <c r="C257" s="625" t="s">
        <v>1210</v>
      </c>
      <c r="D257" s="627" t="s">
        <v>1215</v>
      </c>
      <c r="E257" s="626" t="s">
        <v>1134</v>
      </c>
      <c r="F257" s="625" t="s">
        <v>36</v>
      </c>
      <c r="G257" s="625" t="s">
        <v>892</v>
      </c>
      <c r="H257" s="625" t="s">
        <v>18</v>
      </c>
      <c r="I257" s="625" t="s">
        <v>36</v>
      </c>
      <c r="J257" s="628" t="s">
        <v>1000</v>
      </c>
      <c r="K257" s="625" t="s">
        <v>1166</v>
      </c>
      <c r="L257" s="626" t="s">
        <v>894</v>
      </c>
      <c r="M257" s="629" t="s">
        <v>894</v>
      </c>
      <c r="N257" s="626"/>
      <c r="O257" s="626"/>
      <c r="P257" s="626" t="s">
        <v>895</v>
      </c>
      <c r="Q257" s="626" t="s">
        <v>895</v>
      </c>
      <c r="R257" s="626" t="s">
        <v>895</v>
      </c>
      <c r="S257" s="626" t="s">
        <v>895</v>
      </c>
      <c r="T257" s="626" t="s">
        <v>895</v>
      </c>
      <c r="U257" s="626" t="s">
        <v>895</v>
      </c>
      <c r="V257" s="626" t="s">
        <v>895</v>
      </c>
      <c r="W257" s="626" t="s">
        <v>895</v>
      </c>
      <c r="X257" s="626" t="s">
        <v>895</v>
      </c>
      <c r="Y257" s="626" t="s">
        <v>895</v>
      </c>
      <c r="Z257" s="626" t="s">
        <v>895</v>
      </c>
      <c r="AA257" s="626" t="s">
        <v>895</v>
      </c>
      <c r="AB257" s="631" t="s">
        <v>894</v>
      </c>
      <c r="AC257" s="631" t="s">
        <v>894</v>
      </c>
      <c r="AD257" s="626"/>
    </row>
    <row r="258" spans="2:30" ht="30">
      <c r="B258" s="625" t="s">
        <v>1216</v>
      </c>
      <c r="C258" s="625" t="s">
        <v>1210</v>
      </c>
      <c r="D258" s="627" t="s">
        <v>1217</v>
      </c>
      <c r="E258" s="626" t="s">
        <v>1134</v>
      </c>
      <c r="F258" s="625" t="s">
        <v>36</v>
      </c>
      <c r="G258" s="625" t="s">
        <v>892</v>
      </c>
      <c r="H258" s="625" t="s">
        <v>18</v>
      </c>
      <c r="I258" s="625" t="s">
        <v>36</v>
      </c>
      <c r="J258" s="628" t="s">
        <v>1000</v>
      </c>
      <c r="K258" s="625" t="s">
        <v>1166</v>
      </c>
      <c r="L258" s="626" t="s">
        <v>894</v>
      </c>
      <c r="M258" s="629" t="s">
        <v>894</v>
      </c>
      <c r="N258" s="626"/>
      <c r="O258" s="626"/>
      <c r="P258" s="626" t="s">
        <v>895</v>
      </c>
      <c r="Q258" s="626" t="s">
        <v>895</v>
      </c>
      <c r="R258" s="626" t="s">
        <v>895</v>
      </c>
      <c r="S258" s="626" t="s">
        <v>895</v>
      </c>
      <c r="T258" s="626" t="s">
        <v>895</v>
      </c>
      <c r="U258" s="626" t="s">
        <v>895</v>
      </c>
      <c r="V258" s="626" t="s">
        <v>895</v>
      </c>
      <c r="W258" s="626" t="s">
        <v>895</v>
      </c>
      <c r="X258" s="626" t="s">
        <v>895</v>
      </c>
      <c r="Y258" s="626" t="s">
        <v>895</v>
      </c>
      <c r="Z258" s="626" t="s">
        <v>895</v>
      </c>
      <c r="AA258" s="626" t="s">
        <v>895</v>
      </c>
      <c r="AB258" s="631" t="s">
        <v>894</v>
      </c>
      <c r="AC258" s="631" t="s">
        <v>894</v>
      </c>
      <c r="AD258" s="626"/>
    </row>
    <row r="259" spans="2:30" ht="30">
      <c r="B259" s="625" t="s">
        <v>1218</v>
      </c>
      <c r="C259" s="625" t="s">
        <v>1210</v>
      </c>
      <c r="D259" s="627" t="s">
        <v>1211</v>
      </c>
      <c r="E259" s="626" t="s">
        <v>1134</v>
      </c>
      <c r="F259" s="625" t="s">
        <v>36</v>
      </c>
      <c r="G259" s="625" t="s">
        <v>892</v>
      </c>
      <c r="H259" s="625" t="s">
        <v>997</v>
      </c>
      <c r="I259" s="625" t="s">
        <v>36</v>
      </c>
      <c r="J259" s="628" t="s">
        <v>1000</v>
      </c>
      <c r="K259" s="625" t="s">
        <v>1166</v>
      </c>
      <c r="L259" s="626" t="s">
        <v>894</v>
      </c>
      <c r="M259" s="629" t="s">
        <v>894</v>
      </c>
      <c r="N259" s="626"/>
      <c r="O259" s="626"/>
      <c r="P259" s="626" t="s">
        <v>895</v>
      </c>
      <c r="Q259" s="626" t="s">
        <v>895</v>
      </c>
      <c r="R259" s="626" t="s">
        <v>895</v>
      </c>
      <c r="S259" s="626" t="s">
        <v>895</v>
      </c>
      <c r="T259" s="626" t="s">
        <v>895</v>
      </c>
      <c r="U259" s="626" t="s">
        <v>895</v>
      </c>
      <c r="V259" s="626" t="s">
        <v>895</v>
      </c>
      <c r="W259" s="626" t="s">
        <v>895</v>
      </c>
      <c r="X259" s="626" t="s">
        <v>895</v>
      </c>
      <c r="Y259" s="626" t="s">
        <v>895</v>
      </c>
      <c r="Z259" s="626" t="s">
        <v>895</v>
      </c>
      <c r="AA259" s="626" t="s">
        <v>895</v>
      </c>
      <c r="AB259" s="631" t="s">
        <v>894</v>
      </c>
      <c r="AC259" s="631" t="s">
        <v>894</v>
      </c>
      <c r="AD259" s="626"/>
    </row>
    <row r="260" spans="2:30" ht="30">
      <c r="B260" s="625" t="s">
        <v>1219</v>
      </c>
      <c r="C260" s="625" t="s">
        <v>1210</v>
      </c>
      <c r="D260" s="627" t="s">
        <v>1213</v>
      </c>
      <c r="E260" s="626" t="s">
        <v>1134</v>
      </c>
      <c r="F260" s="625" t="s">
        <v>36</v>
      </c>
      <c r="G260" s="625" t="s">
        <v>892</v>
      </c>
      <c r="H260" s="625" t="s">
        <v>997</v>
      </c>
      <c r="I260" s="625" t="s">
        <v>36</v>
      </c>
      <c r="J260" s="628" t="s">
        <v>1000</v>
      </c>
      <c r="K260" s="625" t="s">
        <v>1166</v>
      </c>
      <c r="L260" s="626" t="s">
        <v>894</v>
      </c>
      <c r="M260" s="629" t="s">
        <v>894</v>
      </c>
      <c r="N260" s="626"/>
      <c r="O260" s="626"/>
      <c r="P260" s="626" t="s">
        <v>895</v>
      </c>
      <c r="Q260" s="626" t="s">
        <v>895</v>
      </c>
      <c r="R260" s="626" t="s">
        <v>895</v>
      </c>
      <c r="S260" s="626" t="s">
        <v>895</v>
      </c>
      <c r="T260" s="626" t="s">
        <v>895</v>
      </c>
      <c r="U260" s="626" t="s">
        <v>895</v>
      </c>
      <c r="V260" s="626" t="s">
        <v>895</v>
      </c>
      <c r="W260" s="626" t="s">
        <v>895</v>
      </c>
      <c r="X260" s="626" t="s">
        <v>895</v>
      </c>
      <c r="Y260" s="626" t="s">
        <v>895</v>
      </c>
      <c r="Z260" s="626" t="s">
        <v>895</v>
      </c>
      <c r="AA260" s="626" t="s">
        <v>895</v>
      </c>
      <c r="AB260" s="631" t="s">
        <v>894</v>
      </c>
      <c r="AC260" s="631" t="s">
        <v>894</v>
      </c>
      <c r="AD260" s="626"/>
    </row>
    <row r="261" spans="2:30" ht="30">
      <c r="B261" s="625" t="s">
        <v>1220</v>
      </c>
      <c r="C261" s="625" t="s">
        <v>1210</v>
      </c>
      <c r="D261" s="627" t="s">
        <v>1215</v>
      </c>
      <c r="E261" s="626" t="s">
        <v>1134</v>
      </c>
      <c r="F261" s="625" t="s">
        <v>36</v>
      </c>
      <c r="G261" s="625" t="s">
        <v>892</v>
      </c>
      <c r="H261" s="625" t="s">
        <v>997</v>
      </c>
      <c r="I261" s="625" t="s">
        <v>36</v>
      </c>
      <c r="J261" s="628" t="s">
        <v>1000</v>
      </c>
      <c r="K261" s="625" t="s">
        <v>1166</v>
      </c>
      <c r="L261" s="626" t="s">
        <v>894</v>
      </c>
      <c r="M261" s="629" t="s">
        <v>894</v>
      </c>
      <c r="N261" s="626"/>
      <c r="O261" s="626"/>
      <c r="P261" s="626" t="s">
        <v>895</v>
      </c>
      <c r="Q261" s="626" t="s">
        <v>895</v>
      </c>
      <c r="R261" s="626" t="s">
        <v>895</v>
      </c>
      <c r="S261" s="626" t="s">
        <v>895</v>
      </c>
      <c r="T261" s="626" t="s">
        <v>895</v>
      </c>
      <c r="U261" s="626" t="s">
        <v>895</v>
      </c>
      <c r="V261" s="626" t="s">
        <v>895</v>
      </c>
      <c r="W261" s="626" t="s">
        <v>895</v>
      </c>
      <c r="X261" s="626" t="s">
        <v>895</v>
      </c>
      <c r="Y261" s="626" t="s">
        <v>895</v>
      </c>
      <c r="Z261" s="626" t="s">
        <v>895</v>
      </c>
      <c r="AA261" s="626" t="s">
        <v>895</v>
      </c>
      <c r="AB261" s="631" t="s">
        <v>894</v>
      </c>
      <c r="AC261" s="631" t="s">
        <v>894</v>
      </c>
      <c r="AD261" s="626"/>
    </row>
    <row r="262" spans="2:30" ht="30">
      <c r="B262" s="625" t="s">
        <v>1221</v>
      </c>
      <c r="C262" s="625" t="s">
        <v>1210</v>
      </c>
      <c r="D262" s="627" t="s">
        <v>1217</v>
      </c>
      <c r="E262" s="626" t="s">
        <v>1134</v>
      </c>
      <c r="F262" s="625" t="s">
        <v>36</v>
      </c>
      <c r="G262" s="625" t="s">
        <v>892</v>
      </c>
      <c r="H262" s="625" t="s">
        <v>997</v>
      </c>
      <c r="I262" s="625" t="s">
        <v>36</v>
      </c>
      <c r="J262" s="628" t="s">
        <v>1000</v>
      </c>
      <c r="K262" s="625" t="s">
        <v>1166</v>
      </c>
      <c r="L262" s="626" t="s">
        <v>894</v>
      </c>
      <c r="M262" s="629" t="s">
        <v>894</v>
      </c>
      <c r="N262" s="626"/>
      <c r="O262" s="626"/>
      <c r="P262" s="626" t="s">
        <v>895</v>
      </c>
      <c r="Q262" s="626" t="s">
        <v>895</v>
      </c>
      <c r="R262" s="626" t="s">
        <v>895</v>
      </c>
      <c r="S262" s="626" t="s">
        <v>895</v>
      </c>
      <c r="T262" s="626" t="s">
        <v>895</v>
      </c>
      <c r="U262" s="626" t="s">
        <v>895</v>
      </c>
      <c r="V262" s="626" t="s">
        <v>895</v>
      </c>
      <c r="W262" s="626" t="s">
        <v>895</v>
      </c>
      <c r="X262" s="626" t="s">
        <v>895</v>
      </c>
      <c r="Y262" s="626" t="s">
        <v>895</v>
      </c>
      <c r="Z262" s="626" t="s">
        <v>895</v>
      </c>
      <c r="AA262" s="626" t="s">
        <v>895</v>
      </c>
      <c r="AB262" s="631" t="s">
        <v>894</v>
      </c>
      <c r="AC262" s="631" t="s">
        <v>894</v>
      </c>
      <c r="AD262" s="626"/>
    </row>
    <row r="263" spans="2:30" ht="30">
      <c r="B263" s="625" t="s">
        <v>1222</v>
      </c>
      <c r="C263" s="625" t="s">
        <v>1210</v>
      </c>
      <c r="D263" s="627" t="s">
        <v>1211</v>
      </c>
      <c r="E263" s="626" t="s">
        <v>1134</v>
      </c>
      <c r="F263" s="625" t="s">
        <v>36</v>
      </c>
      <c r="G263" s="625" t="s">
        <v>892</v>
      </c>
      <c r="H263" s="625" t="s">
        <v>1020</v>
      </c>
      <c r="I263" s="625" t="s">
        <v>36</v>
      </c>
      <c r="J263" s="628" t="s">
        <v>1000</v>
      </c>
      <c r="K263" s="625" t="s">
        <v>1166</v>
      </c>
      <c r="L263" s="626" t="s">
        <v>894</v>
      </c>
      <c r="M263" s="629" t="s">
        <v>894</v>
      </c>
      <c r="N263" s="626"/>
      <c r="O263" s="626"/>
      <c r="P263" s="626" t="s">
        <v>895</v>
      </c>
      <c r="Q263" s="626" t="s">
        <v>895</v>
      </c>
      <c r="R263" s="626" t="s">
        <v>895</v>
      </c>
      <c r="S263" s="626" t="s">
        <v>895</v>
      </c>
      <c r="T263" s="626" t="s">
        <v>895</v>
      </c>
      <c r="U263" s="626" t="s">
        <v>895</v>
      </c>
      <c r="V263" s="626" t="s">
        <v>895</v>
      </c>
      <c r="W263" s="626" t="s">
        <v>895</v>
      </c>
      <c r="X263" s="626" t="s">
        <v>895</v>
      </c>
      <c r="Y263" s="626" t="s">
        <v>895</v>
      </c>
      <c r="Z263" s="626" t="s">
        <v>895</v>
      </c>
      <c r="AA263" s="626" t="s">
        <v>895</v>
      </c>
      <c r="AB263" s="631" t="s">
        <v>894</v>
      </c>
      <c r="AC263" s="631" t="s">
        <v>894</v>
      </c>
      <c r="AD263" s="626"/>
    </row>
    <row r="264" spans="2:30" ht="30">
      <c r="B264" s="625" t="s">
        <v>1223</v>
      </c>
      <c r="C264" s="625" t="s">
        <v>1210</v>
      </c>
      <c r="D264" s="627" t="s">
        <v>1213</v>
      </c>
      <c r="E264" s="626" t="s">
        <v>1134</v>
      </c>
      <c r="F264" s="625" t="s">
        <v>36</v>
      </c>
      <c r="G264" s="625" t="s">
        <v>892</v>
      </c>
      <c r="H264" s="625" t="s">
        <v>1020</v>
      </c>
      <c r="I264" s="625" t="s">
        <v>36</v>
      </c>
      <c r="J264" s="628" t="s">
        <v>1000</v>
      </c>
      <c r="K264" s="625" t="s">
        <v>1166</v>
      </c>
      <c r="L264" s="626" t="s">
        <v>894</v>
      </c>
      <c r="M264" s="629" t="s">
        <v>894</v>
      </c>
      <c r="N264" s="626"/>
      <c r="O264" s="626"/>
      <c r="P264" s="626" t="s">
        <v>895</v>
      </c>
      <c r="Q264" s="626" t="s">
        <v>895</v>
      </c>
      <c r="R264" s="626" t="s">
        <v>895</v>
      </c>
      <c r="S264" s="626" t="s">
        <v>895</v>
      </c>
      <c r="T264" s="626" t="s">
        <v>895</v>
      </c>
      <c r="U264" s="626" t="s">
        <v>895</v>
      </c>
      <c r="V264" s="626" t="s">
        <v>895</v>
      </c>
      <c r="W264" s="626" t="s">
        <v>895</v>
      </c>
      <c r="X264" s="626" t="s">
        <v>895</v>
      </c>
      <c r="Y264" s="626" t="s">
        <v>895</v>
      </c>
      <c r="Z264" s="626" t="s">
        <v>895</v>
      </c>
      <c r="AA264" s="626" t="s">
        <v>895</v>
      </c>
      <c r="AB264" s="631" t="s">
        <v>894</v>
      </c>
      <c r="AC264" s="631" t="s">
        <v>894</v>
      </c>
      <c r="AD264" s="626"/>
    </row>
    <row r="265" spans="2:30" ht="30">
      <c r="B265" s="625" t="s">
        <v>1224</v>
      </c>
      <c r="C265" s="625" t="s">
        <v>1210</v>
      </c>
      <c r="D265" s="627" t="s">
        <v>1215</v>
      </c>
      <c r="E265" s="626" t="s">
        <v>1134</v>
      </c>
      <c r="F265" s="625" t="s">
        <v>36</v>
      </c>
      <c r="G265" s="625" t="s">
        <v>892</v>
      </c>
      <c r="H265" s="625" t="s">
        <v>1020</v>
      </c>
      <c r="I265" s="625" t="s">
        <v>36</v>
      </c>
      <c r="J265" s="628" t="s">
        <v>1000</v>
      </c>
      <c r="K265" s="625" t="s">
        <v>1166</v>
      </c>
      <c r="L265" s="626" t="s">
        <v>894</v>
      </c>
      <c r="M265" s="629" t="s">
        <v>894</v>
      </c>
      <c r="N265" s="626"/>
      <c r="O265" s="626"/>
      <c r="P265" s="626" t="s">
        <v>895</v>
      </c>
      <c r="Q265" s="626" t="s">
        <v>895</v>
      </c>
      <c r="R265" s="626" t="s">
        <v>895</v>
      </c>
      <c r="S265" s="626" t="s">
        <v>895</v>
      </c>
      <c r="T265" s="626" t="s">
        <v>895</v>
      </c>
      <c r="U265" s="626" t="s">
        <v>895</v>
      </c>
      <c r="V265" s="626" t="s">
        <v>895</v>
      </c>
      <c r="W265" s="626" t="s">
        <v>895</v>
      </c>
      <c r="X265" s="626" t="s">
        <v>895</v>
      </c>
      <c r="Y265" s="626" t="s">
        <v>895</v>
      </c>
      <c r="Z265" s="626" t="s">
        <v>895</v>
      </c>
      <c r="AA265" s="626" t="s">
        <v>895</v>
      </c>
      <c r="AB265" s="631" t="s">
        <v>894</v>
      </c>
      <c r="AC265" s="631" t="s">
        <v>894</v>
      </c>
      <c r="AD265" s="626"/>
    </row>
    <row r="266" spans="2:30" ht="30">
      <c r="B266" s="625" t="s">
        <v>1225</v>
      </c>
      <c r="C266" s="625" t="s">
        <v>1210</v>
      </c>
      <c r="D266" s="627" t="s">
        <v>1217</v>
      </c>
      <c r="E266" s="626" t="s">
        <v>1134</v>
      </c>
      <c r="F266" s="625" t="s">
        <v>36</v>
      </c>
      <c r="G266" s="625" t="s">
        <v>892</v>
      </c>
      <c r="H266" s="625" t="s">
        <v>1020</v>
      </c>
      <c r="I266" s="625" t="s">
        <v>36</v>
      </c>
      <c r="J266" s="628" t="s">
        <v>1000</v>
      </c>
      <c r="K266" s="625" t="s">
        <v>1166</v>
      </c>
      <c r="L266" s="626" t="s">
        <v>894</v>
      </c>
      <c r="M266" s="629" t="s">
        <v>894</v>
      </c>
      <c r="N266" s="626"/>
      <c r="O266" s="626"/>
      <c r="P266" s="626" t="s">
        <v>895</v>
      </c>
      <c r="Q266" s="626" t="s">
        <v>895</v>
      </c>
      <c r="R266" s="626" t="s">
        <v>895</v>
      </c>
      <c r="S266" s="626" t="s">
        <v>895</v>
      </c>
      <c r="T266" s="626" t="s">
        <v>895</v>
      </c>
      <c r="U266" s="626" t="s">
        <v>895</v>
      </c>
      <c r="V266" s="626" t="s">
        <v>895</v>
      </c>
      <c r="W266" s="626" t="s">
        <v>895</v>
      </c>
      <c r="X266" s="626" t="s">
        <v>895</v>
      </c>
      <c r="Y266" s="626" t="s">
        <v>895</v>
      </c>
      <c r="Z266" s="626" t="s">
        <v>895</v>
      </c>
      <c r="AA266" s="626" t="s">
        <v>895</v>
      </c>
      <c r="AB266" s="631" t="s">
        <v>894</v>
      </c>
      <c r="AC266" s="631" t="s">
        <v>894</v>
      </c>
      <c r="AD266" s="626"/>
    </row>
    <row r="267" spans="2:30" ht="30">
      <c r="B267" s="625" t="s">
        <v>1226</v>
      </c>
      <c r="C267" s="625" t="s">
        <v>1210</v>
      </c>
      <c r="D267" s="627" t="s">
        <v>1211</v>
      </c>
      <c r="E267" s="626" t="s">
        <v>1134</v>
      </c>
      <c r="F267" s="625" t="s">
        <v>36</v>
      </c>
      <c r="G267" s="625" t="s">
        <v>892</v>
      </c>
      <c r="H267" s="625" t="s">
        <v>1036</v>
      </c>
      <c r="I267" s="625" t="s">
        <v>36</v>
      </c>
      <c r="J267" s="628" t="s">
        <v>1000</v>
      </c>
      <c r="K267" s="625" t="s">
        <v>1166</v>
      </c>
      <c r="L267" s="626" t="s">
        <v>894</v>
      </c>
      <c r="M267" s="629" t="s">
        <v>894</v>
      </c>
      <c r="N267" s="626"/>
      <c r="O267" s="626"/>
      <c r="P267" s="626" t="s">
        <v>895</v>
      </c>
      <c r="Q267" s="626" t="s">
        <v>895</v>
      </c>
      <c r="R267" s="626" t="s">
        <v>895</v>
      </c>
      <c r="S267" s="626" t="s">
        <v>895</v>
      </c>
      <c r="T267" s="626" t="s">
        <v>895</v>
      </c>
      <c r="U267" s="626" t="s">
        <v>895</v>
      </c>
      <c r="V267" s="626" t="s">
        <v>895</v>
      </c>
      <c r="W267" s="626" t="s">
        <v>895</v>
      </c>
      <c r="X267" s="626" t="s">
        <v>895</v>
      </c>
      <c r="Y267" s="626" t="s">
        <v>895</v>
      </c>
      <c r="Z267" s="626" t="s">
        <v>895</v>
      </c>
      <c r="AA267" s="626" t="s">
        <v>895</v>
      </c>
      <c r="AB267" s="631" t="s">
        <v>894</v>
      </c>
      <c r="AC267" s="631" t="s">
        <v>894</v>
      </c>
      <c r="AD267" s="626"/>
    </row>
    <row r="268" spans="2:30" ht="30">
      <c r="B268" s="625" t="s">
        <v>1227</v>
      </c>
      <c r="C268" s="625" t="s">
        <v>1210</v>
      </c>
      <c r="D268" s="627" t="s">
        <v>1213</v>
      </c>
      <c r="E268" s="626" t="s">
        <v>1134</v>
      </c>
      <c r="F268" s="625" t="s">
        <v>36</v>
      </c>
      <c r="G268" s="625" t="s">
        <v>892</v>
      </c>
      <c r="H268" s="625" t="s">
        <v>1036</v>
      </c>
      <c r="I268" s="625" t="s">
        <v>36</v>
      </c>
      <c r="J268" s="628" t="s">
        <v>1000</v>
      </c>
      <c r="K268" s="625" t="s">
        <v>1166</v>
      </c>
      <c r="L268" s="626" t="s">
        <v>894</v>
      </c>
      <c r="M268" s="629" t="s">
        <v>894</v>
      </c>
      <c r="N268" s="626"/>
      <c r="O268" s="626"/>
      <c r="P268" s="626" t="s">
        <v>895</v>
      </c>
      <c r="Q268" s="626" t="s">
        <v>895</v>
      </c>
      <c r="R268" s="626" t="s">
        <v>895</v>
      </c>
      <c r="S268" s="626" t="s">
        <v>895</v>
      </c>
      <c r="T268" s="626" t="s">
        <v>895</v>
      </c>
      <c r="U268" s="626" t="s">
        <v>895</v>
      </c>
      <c r="V268" s="626" t="s">
        <v>895</v>
      </c>
      <c r="W268" s="626" t="s">
        <v>895</v>
      </c>
      <c r="X268" s="626" t="s">
        <v>895</v>
      </c>
      <c r="Y268" s="626" t="s">
        <v>895</v>
      </c>
      <c r="Z268" s="626" t="s">
        <v>895</v>
      </c>
      <c r="AA268" s="626" t="s">
        <v>895</v>
      </c>
      <c r="AB268" s="631" t="s">
        <v>894</v>
      </c>
      <c r="AC268" s="631" t="s">
        <v>894</v>
      </c>
      <c r="AD268" s="626"/>
    </row>
    <row r="269" spans="2:30" ht="30">
      <c r="B269" s="625" t="s">
        <v>1228</v>
      </c>
      <c r="C269" s="625" t="s">
        <v>1210</v>
      </c>
      <c r="D269" s="627" t="s">
        <v>1215</v>
      </c>
      <c r="E269" s="626" t="s">
        <v>1134</v>
      </c>
      <c r="F269" s="625" t="s">
        <v>36</v>
      </c>
      <c r="G269" s="625" t="s">
        <v>892</v>
      </c>
      <c r="H269" s="625" t="s">
        <v>1036</v>
      </c>
      <c r="I269" s="625" t="s">
        <v>36</v>
      </c>
      <c r="J269" s="628" t="s">
        <v>1000</v>
      </c>
      <c r="K269" s="625" t="s">
        <v>1166</v>
      </c>
      <c r="L269" s="626" t="s">
        <v>894</v>
      </c>
      <c r="M269" s="629" t="s">
        <v>894</v>
      </c>
      <c r="N269" s="626"/>
      <c r="O269" s="626"/>
      <c r="P269" s="626" t="s">
        <v>895</v>
      </c>
      <c r="Q269" s="626" t="s">
        <v>895</v>
      </c>
      <c r="R269" s="626" t="s">
        <v>895</v>
      </c>
      <c r="S269" s="626" t="s">
        <v>895</v>
      </c>
      <c r="T269" s="626" t="s">
        <v>895</v>
      </c>
      <c r="U269" s="626" t="s">
        <v>895</v>
      </c>
      <c r="V269" s="626" t="s">
        <v>895</v>
      </c>
      <c r="W269" s="626" t="s">
        <v>895</v>
      </c>
      <c r="X269" s="626" t="s">
        <v>895</v>
      </c>
      <c r="Y269" s="626" t="s">
        <v>895</v>
      </c>
      <c r="Z269" s="626" t="s">
        <v>895</v>
      </c>
      <c r="AA269" s="626" t="s">
        <v>895</v>
      </c>
      <c r="AB269" s="631" t="s">
        <v>894</v>
      </c>
      <c r="AC269" s="631" t="s">
        <v>894</v>
      </c>
      <c r="AD269" s="626"/>
    </row>
    <row r="270" spans="2:30" ht="30">
      <c r="B270" s="625" t="s">
        <v>1229</v>
      </c>
      <c r="C270" s="625" t="s">
        <v>1210</v>
      </c>
      <c r="D270" s="627" t="s">
        <v>1217</v>
      </c>
      <c r="E270" s="626" t="s">
        <v>1134</v>
      </c>
      <c r="F270" s="625" t="s">
        <v>36</v>
      </c>
      <c r="G270" s="625" t="s">
        <v>892</v>
      </c>
      <c r="H270" s="625" t="s">
        <v>1036</v>
      </c>
      <c r="I270" s="625" t="s">
        <v>36</v>
      </c>
      <c r="J270" s="628" t="s">
        <v>1000</v>
      </c>
      <c r="K270" s="625" t="s">
        <v>1166</v>
      </c>
      <c r="L270" s="626" t="s">
        <v>894</v>
      </c>
      <c r="M270" s="629" t="s">
        <v>894</v>
      </c>
      <c r="N270" s="626"/>
      <c r="O270" s="626"/>
      <c r="P270" s="626" t="s">
        <v>895</v>
      </c>
      <c r="Q270" s="626" t="s">
        <v>895</v>
      </c>
      <c r="R270" s="626" t="s">
        <v>895</v>
      </c>
      <c r="S270" s="626" t="s">
        <v>895</v>
      </c>
      <c r="T270" s="626" t="s">
        <v>895</v>
      </c>
      <c r="U270" s="626" t="s">
        <v>895</v>
      </c>
      <c r="V270" s="626" t="s">
        <v>895</v>
      </c>
      <c r="W270" s="626" t="s">
        <v>895</v>
      </c>
      <c r="X270" s="626" t="s">
        <v>895</v>
      </c>
      <c r="Y270" s="626" t="s">
        <v>895</v>
      </c>
      <c r="Z270" s="626" t="s">
        <v>895</v>
      </c>
      <c r="AA270" s="626" t="s">
        <v>895</v>
      </c>
      <c r="AB270" s="631" t="s">
        <v>894</v>
      </c>
      <c r="AC270" s="631" t="s">
        <v>894</v>
      </c>
      <c r="AD270" s="626"/>
    </row>
    <row r="271" spans="2:30" ht="30">
      <c r="B271" s="625" t="s">
        <v>1230</v>
      </c>
      <c r="C271" s="625" t="s">
        <v>1210</v>
      </c>
      <c r="D271" s="627" t="s">
        <v>1211</v>
      </c>
      <c r="E271" s="626" t="s">
        <v>1134</v>
      </c>
      <c r="F271" s="625" t="s">
        <v>36</v>
      </c>
      <c r="G271" s="625" t="s">
        <v>892</v>
      </c>
      <c r="H271" s="625" t="s">
        <v>1034</v>
      </c>
      <c r="I271" s="625" t="s">
        <v>36</v>
      </c>
      <c r="J271" s="628" t="s">
        <v>1000</v>
      </c>
      <c r="K271" s="625" t="s">
        <v>1166</v>
      </c>
      <c r="L271" s="626" t="s">
        <v>894</v>
      </c>
      <c r="M271" s="629" t="s">
        <v>894</v>
      </c>
      <c r="N271" s="626"/>
      <c r="O271" s="626"/>
      <c r="P271" s="626" t="s">
        <v>895</v>
      </c>
      <c r="Q271" s="626" t="s">
        <v>895</v>
      </c>
      <c r="R271" s="626" t="s">
        <v>895</v>
      </c>
      <c r="S271" s="626" t="s">
        <v>895</v>
      </c>
      <c r="T271" s="626" t="s">
        <v>895</v>
      </c>
      <c r="U271" s="626" t="s">
        <v>895</v>
      </c>
      <c r="V271" s="626" t="s">
        <v>895</v>
      </c>
      <c r="W271" s="626" t="s">
        <v>895</v>
      </c>
      <c r="X271" s="626" t="s">
        <v>895</v>
      </c>
      <c r="Y271" s="626" t="s">
        <v>895</v>
      </c>
      <c r="Z271" s="626" t="s">
        <v>895</v>
      </c>
      <c r="AA271" s="626" t="s">
        <v>895</v>
      </c>
      <c r="AB271" s="631" t="s">
        <v>894</v>
      </c>
      <c r="AC271" s="631" t="s">
        <v>894</v>
      </c>
      <c r="AD271" s="626"/>
    </row>
    <row r="272" spans="2:30" ht="30">
      <c r="B272" s="625" t="s">
        <v>1231</v>
      </c>
      <c r="C272" s="625" t="s">
        <v>1210</v>
      </c>
      <c r="D272" s="627" t="s">
        <v>1213</v>
      </c>
      <c r="E272" s="626" t="s">
        <v>1134</v>
      </c>
      <c r="F272" s="625" t="s">
        <v>36</v>
      </c>
      <c r="G272" s="625" t="s">
        <v>892</v>
      </c>
      <c r="H272" s="625" t="s">
        <v>1034</v>
      </c>
      <c r="I272" s="625" t="s">
        <v>36</v>
      </c>
      <c r="J272" s="628" t="s">
        <v>1000</v>
      </c>
      <c r="K272" s="625" t="s">
        <v>1166</v>
      </c>
      <c r="L272" s="626" t="s">
        <v>894</v>
      </c>
      <c r="M272" s="629" t="s">
        <v>894</v>
      </c>
      <c r="N272" s="626"/>
      <c r="O272" s="626"/>
      <c r="P272" s="626" t="s">
        <v>895</v>
      </c>
      <c r="Q272" s="626" t="s">
        <v>895</v>
      </c>
      <c r="R272" s="626" t="s">
        <v>895</v>
      </c>
      <c r="S272" s="626" t="s">
        <v>895</v>
      </c>
      <c r="T272" s="626" t="s">
        <v>895</v>
      </c>
      <c r="U272" s="626" t="s">
        <v>895</v>
      </c>
      <c r="V272" s="626" t="s">
        <v>895</v>
      </c>
      <c r="W272" s="626" t="s">
        <v>895</v>
      </c>
      <c r="X272" s="626" t="s">
        <v>895</v>
      </c>
      <c r="Y272" s="626" t="s">
        <v>895</v>
      </c>
      <c r="Z272" s="626" t="s">
        <v>895</v>
      </c>
      <c r="AA272" s="626" t="s">
        <v>895</v>
      </c>
      <c r="AB272" s="631" t="s">
        <v>894</v>
      </c>
      <c r="AC272" s="631" t="s">
        <v>894</v>
      </c>
      <c r="AD272" s="626"/>
    </row>
    <row r="273" spans="2:30" ht="30">
      <c r="B273" s="625" t="s">
        <v>1232</v>
      </c>
      <c r="C273" s="625" t="s">
        <v>1210</v>
      </c>
      <c r="D273" s="627" t="s">
        <v>1215</v>
      </c>
      <c r="E273" s="626" t="s">
        <v>1134</v>
      </c>
      <c r="F273" s="625" t="s">
        <v>36</v>
      </c>
      <c r="G273" s="625" t="s">
        <v>892</v>
      </c>
      <c r="H273" s="625" t="s">
        <v>1034</v>
      </c>
      <c r="I273" s="625" t="s">
        <v>36</v>
      </c>
      <c r="J273" s="628" t="s">
        <v>1000</v>
      </c>
      <c r="K273" s="625" t="s">
        <v>1166</v>
      </c>
      <c r="L273" s="626" t="s">
        <v>894</v>
      </c>
      <c r="M273" s="629" t="s">
        <v>894</v>
      </c>
      <c r="N273" s="626"/>
      <c r="O273" s="626"/>
      <c r="P273" s="626" t="s">
        <v>895</v>
      </c>
      <c r="Q273" s="626" t="s">
        <v>895</v>
      </c>
      <c r="R273" s="626" t="s">
        <v>895</v>
      </c>
      <c r="S273" s="626" t="s">
        <v>895</v>
      </c>
      <c r="T273" s="626" t="s">
        <v>895</v>
      </c>
      <c r="U273" s="626" t="s">
        <v>895</v>
      </c>
      <c r="V273" s="626" t="s">
        <v>895</v>
      </c>
      <c r="W273" s="626" t="s">
        <v>895</v>
      </c>
      <c r="X273" s="626" t="s">
        <v>895</v>
      </c>
      <c r="Y273" s="626" t="s">
        <v>895</v>
      </c>
      <c r="Z273" s="626" t="s">
        <v>895</v>
      </c>
      <c r="AA273" s="626" t="s">
        <v>895</v>
      </c>
      <c r="AB273" s="631" t="s">
        <v>894</v>
      </c>
      <c r="AC273" s="631" t="s">
        <v>894</v>
      </c>
      <c r="AD273" s="626"/>
    </row>
    <row r="274" spans="2:30" ht="30">
      <c r="B274" s="625" t="s">
        <v>1233</v>
      </c>
      <c r="C274" s="625" t="s">
        <v>1210</v>
      </c>
      <c r="D274" s="627" t="s">
        <v>1217</v>
      </c>
      <c r="E274" s="626" t="s">
        <v>1134</v>
      </c>
      <c r="F274" s="625" t="s">
        <v>36</v>
      </c>
      <c r="G274" s="625" t="s">
        <v>892</v>
      </c>
      <c r="H274" s="625" t="s">
        <v>1034</v>
      </c>
      <c r="I274" s="625" t="s">
        <v>36</v>
      </c>
      <c r="J274" s="628" t="s">
        <v>1000</v>
      </c>
      <c r="K274" s="625" t="s">
        <v>1166</v>
      </c>
      <c r="L274" s="626" t="s">
        <v>894</v>
      </c>
      <c r="M274" s="629" t="s">
        <v>894</v>
      </c>
      <c r="N274" s="626"/>
      <c r="O274" s="626"/>
      <c r="P274" s="626" t="s">
        <v>895</v>
      </c>
      <c r="Q274" s="626" t="s">
        <v>895</v>
      </c>
      <c r="R274" s="626" t="s">
        <v>895</v>
      </c>
      <c r="S274" s="626" t="s">
        <v>895</v>
      </c>
      <c r="T274" s="626" t="s">
        <v>895</v>
      </c>
      <c r="U274" s="626" t="s">
        <v>895</v>
      </c>
      <c r="V274" s="626" t="s">
        <v>895</v>
      </c>
      <c r="W274" s="626" t="s">
        <v>895</v>
      </c>
      <c r="X274" s="626" t="s">
        <v>895</v>
      </c>
      <c r="Y274" s="626" t="s">
        <v>895</v>
      </c>
      <c r="Z274" s="626" t="s">
        <v>895</v>
      </c>
      <c r="AA274" s="626" t="s">
        <v>895</v>
      </c>
      <c r="AB274" s="631" t="s">
        <v>894</v>
      </c>
      <c r="AC274" s="631" t="s">
        <v>894</v>
      </c>
      <c r="AD274" s="626"/>
    </row>
    <row r="275" spans="2:30" ht="30">
      <c r="B275" s="625" t="s">
        <v>1234</v>
      </c>
      <c r="C275" s="625" t="s">
        <v>1210</v>
      </c>
      <c r="D275" s="627" t="s">
        <v>1211</v>
      </c>
      <c r="E275" s="626" t="s">
        <v>1134</v>
      </c>
      <c r="F275" s="625" t="s">
        <v>36</v>
      </c>
      <c r="G275" s="625" t="s">
        <v>892</v>
      </c>
      <c r="H275" s="625" t="s">
        <v>230</v>
      </c>
      <c r="I275" s="625" t="s">
        <v>36</v>
      </c>
      <c r="J275" s="628" t="s">
        <v>1000</v>
      </c>
      <c r="K275" s="625" t="s">
        <v>1166</v>
      </c>
      <c r="L275" s="626" t="s">
        <v>894</v>
      </c>
      <c r="M275" s="629" t="s">
        <v>894</v>
      </c>
      <c r="N275" s="626"/>
      <c r="O275" s="626"/>
      <c r="P275" s="626" t="s">
        <v>895</v>
      </c>
      <c r="Q275" s="626" t="s">
        <v>895</v>
      </c>
      <c r="R275" s="626" t="s">
        <v>895</v>
      </c>
      <c r="S275" s="626" t="s">
        <v>895</v>
      </c>
      <c r="T275" s="626" t="s">
        <v>895</v>
      </c>
      <c r="U275" s="626" t="s">
        <v>895</v>
      </c>
      <c r="V275" s="626" t="s">
        <v>895</v>
      </c>
      <c r="W275" s="626" t="s">
        <v>895</v>
      </c>
      <c r="X275" s="626" t="s">
        <v>895</v>
      </c>
      <c r="Y275" s="626" t="s">
        <v>895</v>
      </c>
      <c r="Z275" s="626" t="s">
        <v>895</v>
      </c>
      <c r="AA275" s="626" t="s">
        <v>895</v>
      </c>
      <c r="AB275" s="631" t="s">
        <v>894</v>
      </c>
      <c r="AC275" s="631" t="s">
        <v>894</v>
      </c>
      <c r="AD275" s="626"/>
    </row>
    <row r="276" spans="2:30" ht="30">
      <c r="B276" s="625" t="s">
        <v>1235</v>
      </c>
      <c r="C276" s="625" t="s">
        <v>1210</v>
      </c>
      <c r="D276" s="627" t="s">
        <v>1213</v>
      </c>
      <c r="E276" s="626" t="s">
        <v>1134</v>
      </c>
      <c r="F276" s="625" t="s">
        <v>36</v>
      </c>
      <c r="G276" s="625" t="s">
        <v>892</v>
      </c>
      <c r="H276" s="625" t="s">
        <v>230</v>
      </c>
      <c r="I276" s="625" t="s">
        <v>36</v>
      </c>
      <c r="J276" s="628" t="s">
        <v>1000</v>
      </c>
      <c r="K276" s="625" t="s">
        <v>1166</v>
      </c>
      <c r="L276" s="626" t="s">
        <v>894</v>
      </c>
      <c r="M276" s="629" t="s">
        <v>894</v>
      </c>
      <c r="N276" s="626"/>
      <c r="O276" s="626"/>
      <c r="P276" s="626" t="s">
        <v>895</v>
      </c>
      <c r="Q276" s="626" t="s">
        <v>895</v>
      </c>
      <c r="R276" s="626" t="s">
        <v>895</v>
      </c>
      <c r="S276" s="626" t="s">
        <v>895</v>
      </c>
      <c r="T276" s="626" t="s">
        <v>895</v>
      </c>
      <c r="U276" s="626" t="s">
        <v>895</v>
      </c>
      <c r="V276" s="626" t="s">
        <v>895</v>
      </c>
      <c r="W276" s="626" t="s">
        <v>895</v>
      </c>
      <c r="X276" s="626" t="s">
        <v>895</v>
      </c>
      <c r="Y276" s="626" t="s">
        <v>895</v>
      </c>
      <c r="Z276" s="626" t="s">
        <v>895</v>
      </c>
      <c r="AA276" s="626" t="s">
        <v>895</v>
      </c>
      <c r="AB276" s="631" t="s">
        <v>894</v>
      </c>
      <c r="AC276" s="631" t="s">
        <v>894</v>
      </c>
      <c r="AD276" s="626"/>
    </row>
    <row r="277" spans="2:30" ht="30">
      <c r="B277" s="625" t="s">
        <v>1236</v>
      </c>
      <c r="C277" s="625" t="s">
        <v>1210</v>
      </c>
      <c r="D277" s="627" t="s">
        <v>1215</v>
      </c>
      <c r="E277" s="626" t="s">
        <v>1134</v>
      </c>
      <c r="F277" s="625" t="s">
        <v>36</v>
      </c>
      <c r="G277" s="625" t="s">
        <v>892</v>
      </c>
      <c r="H277" s="625" t="s">
        <v>230</v>
      </c>
      <c r="I277" s="625" t="s">
        <v>36</v>
      </c>
      <c r="J277" s="628" t="s">
        <v>1000</v>
      </c>
      <c r="K277" s="625" t="s">
        <v>1166</v>
      </c>
      <c r="L277" s="626" t="s">
        <v>894</v>
      </c>
      <c r="M277" s="629" t="s">
        <v>894</v>
      </c>
      <c r="N277" s="626"/>
      <c r="O277" s="626"/>
      <c r="P277" s="626" t="s">
        <v>895</v>
      </c>
      <c r="Q277" s="626" t="s">
        <v>895</v>
      </c>
      <c r="R277" s="626" t="s">
        <v>895</v>
      </c>
      <c r="S277" s="626" t="s">
        <v>895</v>
      </c>
      <c r="T277" s="626" t="s">
        <v>895</v>
      </c>
      <c r="U277" s="626" t="s">
        <v>895</v>
      </c>
      <c r="V277" s="626" t="s">
        <v>895</v>
      </c>
      <c r="W277" s="626" t="s">
        <v>895</v>
      </c>
      <c r="X277" s="626" t="s">
        <v>895</v>
      </c>
      <c r="Y277" s="626" t="s">
        <v>895</v>
      </c>
      <c r="Z277" s="626" t="s">
        <v>895</v>
      </c>
      <c r="AA277" s="626" t="s">
        <v>895</v>
      </c>
      <c r="AB277" s="631" t="s">
        <v>894</v>
      </c>
      <c r="AC277" s="631" t="s">
        <v>894</v>
      </c>
      <c r="AD277" s="626"/>
    </row>
    <row r="278" spans="2:30" ht="30">
      <c r="B278" s="625" t="s">
        <v>1237</v>
      </c>
      <c r="C278" s="625" t="s">
        <v>1210</v>
      </c>
      <c r="D278" s="627" t="s">
        <v>1217</v>
      </c>
      <c r="E278" s="626" t="s">
        <v>1134</v>
      </c>
      <c r="F278" s="625" t="s">
        <v>36</v>
      </c>
      <c r="G278" s="625" t="s">
        <v>892</v>
      </c>
      <c r="H278" s="625" t="s">
        <v>230</v>
      </c>
      <c r="I278" s="625" t="s">
        <v>36</v>
      </c>
      <c r="J278" s="628" t="s">
        <v>1000</v>
      </c>
      <c r="K278" s="625" t="s">
        <v>1166</v>
      </c>
      <c r="L278" s="626" t="s">
        <v>894</v>
      </c>
      <c r="M278" s="629" t="s">
        <v>894</v>
      </c>
      <c r="N278" s="626"/>
      <c r="O278" s="626"/>
      <c r="P278" s="626" t="s">
        <v>895</v>
      </c>
      <c r="Q278" s="626" t="s">
        <v>895</v>
      </c>
      <c r="R278" s="626" t="s">
        <v>895</v>
      </c>
      <c r="S278" s="626" t="s">
        <v>895</v>
      </c>
      <c r="T278" s="626" t="s">
        <v>895</v>
      </c>
      <c r="U278" s="626" t="s">
        <v>895</v>
      </c>
      <c r="V278" s="626" t="s">
        <v>895</v>
      </c>
      <c r="W278" s="626" t="s">
        <v>895</v>
      </c>
      <c r="X278" s="626" t="s">
        <v>895</v>
      </c>
      <c r="Y278" s="626" t="s">
        <v>895</v>
      </c>
      <c r="Z278" s="626" t="s">
        <v>895</v>
      </c>
      <c r="AA278" s="626" t="s">
        <v>895</v>
      </c>
      <c r="AB278" s="631" t="s">
        <v>894</v>
      </c>
      <c r="AC278" s="631" t="s">
        <v>894</v>
      </c>
      <c r="AD278" s="626"/>
    </row>
    <row r="279" spans="2:30" ht="30">
      <c r="B279" s="625" t="s">
        <v>1238</v>
      </c>
      <c r="C279" s="625" t="s">
        <v>1239</v>
      </c>
      <c r="D279" s="627" t="s">
        <v>1240</v>
      </c>
      <c r="E279" s="626" t="s">
        <v>1098</v>
      </c>
      <c r="F279" s="625" t="s">
        <v>36</v>
      </c>
      <c r="G279" s="625" t="s">
        <v>892</v>
      </c>
      <c r="H279" s="625" t="s">
        <v>18</v>
      </c>
      <c r="I279" s="625" t="s">
        <v>36</v>
      </c>
      <c r="J279" s="628" t="s">
        <v>371</v>
      </c>
      <c r="K279" s="625" t="s">
        <v>1241</v>
      </c>
      <c r="L279" s="626" t="s">
        <v>894</v>
      </c>
      <c r="M279" s="629" t="s">
        <v>894</v>
      </c>
      <c r="N279" s="626"/>
      <c r="O279" s="626"/>
      <c r="P279" s="626" t="s">
        <v>895</v>
      </c>
      <c r="Q279" s="626" t="s">
        <v>895</v>
      </c>
      <c r="R279" s="626" t="s">
        <v>895</v>
      </c>
      <c r="S279" s="626" t="s">
        <v>895</v>
      </c>
      <c r="T279" s="626" t="s">
        <v>895</v>
      </c>
      <c r="U279" s="626" t="s">
        <v>895</v>
      </c>
      <c r="V279" s="626" t="s">
        <v>895</v>
      </c>
      <c r="W279" s="626" t="s">
        <v>895</v>
      </c>
      <c r="X279" s="626" t="s">
        <v>895</v>
      </c>
      <c r="Y279" s="626" t="s">
        <v>895</v>
      </c>
      <c r="Z279" s="626" t="s">
        <v>895</v>
      </c>
      <c r="AA279" s="626" t="s">
        <v>895</v>
      </c>
      <c r="AB279" s="631" t="s">
        <v>894</v>
      </c>
      <c r="AC279" s="631" t="s">
        <v>894</v>
      </c>
      <c r="AD279" s="626"/>
    </row>
    <row r="280" spans="2:30" ht="30">
      <c r="B280" s="625" t="s">
        <v>1242</v>
      </c>
      <c r="C280" s="625" t="s">
        <v>1239</v>
      </c>
      <c r="D280" s="627" t="s">
        <v>1240</v>
      </c>
      <c r="E280" s="626" t="s">
        <v>1098</v>
      </c>
      <c r="F280" s="625" t="s">
        <v>36</v>
      </c>
      <c r="G280" s="625" t="s">
        <v>892</v>
      </c>
      <c r="H280" s="625" t="s">
        <v>997</v>
      </c>
      <c r="I280" s="625" t="s">
        <v>36</v>
      </c>
      <c r="J280" s="628" t="s">
        <v>371</v>
      </c>
      <c r="K280" s="625" t="s">
        <v>1241</v>
      </c>
      <c r="L280" s="626" t="s">
        <v>894</v>
      </c>
      <c r="M280" s="629" t="s">
        <v>894</v>
      </c>
      <c r="N280" s="626"/>
      <c r="O280" s="626"/>
      <c r="P280" s="626" t="s">
        <v>895</v>
      </c>
      <c r="Q280" s="626" t="s">
        <v>895</v>
      </c>
      <c r="R280" s="626" t="s">
        <v>895</v>
      </c>
      <c r="S280" s="626" t="s">
        <v>895</v>
      </c>
      <c r="T280" s="626" t="s">
        <v>895</v>
      </c>
      <c r="U280" s="626" t="s">
        <v>895</v>
      </c>
      <c r="V280" s="626" t="s">
        <v>895</v>
      </c>
      <c r="W280" s="626" t="s">
        <v>895</v>
      </c>
      <c r="X280" s="626" t="s">
        <v>895</v>
      </c>
      <c r="Y280" s="626" t="s">
        <v>895</v>
      </c>
      <c r="Z280" s="626" t="s">
        <v>895</v>
      </c>
      <c r="AA280" s="626" t="s">
        <v>895</v>
      </c>
      <c r="AB280" s="631" t="s">
        <v>894</v>
      </c>
      <c r="AC280" s="631" t="s">
        <v>894</v>
      </c>
      <c r="AD280" s="626"/>
    </row>
    <row r="281" spans="2:30" ht="30">
      <c r="B281" s="625" t="s">
        <v>1243</v>
      </c>
      <c r="C281" s="625" t="s">
        <v>1239</v>
      </c>
      <c r="D281" s="627" t="s">
        <v>1240</v>
      </c>
      <c r="E281" s="626" t="s">
        <v>1098</v>
      </c>
      <c r="F281" s="625" t="s">
        <v>36</v>
      </c>
      <c r="G281" s="625" t="s">
        <v>892</v>
      </c>
      <c r="H281" s="625" t="s">
        <v>1020</v>
      </c>
      <c r="I281" s="625" t="s">
        <v>36</v>
      </c>
      <c r="J281" s="628" t="s">
        <v>371</v>
      </c>
      <c r="K281" s="625" t="s">
        <v>1241</v>
      </c>
      <c r="L281" s="626" t="s">
        <v>894</v>
      </c>
      <c r="M281" s="629" t="s">
        <v>894</v>
      </c>
      <c r="N281" s="626"/>
      <c r="O281" s="626"/>
      <c r="P281" s="626" t="s">
        <v>895</v>
      </c>
      <c r="Q281" s="626" t="s">
        <v>895</v>
      </c>
      <c r="R281" s="626" t="s">
        <v>895</v>
      </c>
      <c r="S281" s="626" t="s">
        <v>895</v>
      </c>
      <c r="T281" s="626" t="s">
        <v>895</v>
      </c>
      <c r="U281" s="626" t="s">
        <v>895</v>
      </c>
      <c r="V281" s="626" t="s">
        <v>895</v>
      </c>
      <c r="W281" s="626" t="s">
        <v>895</v>
      </c>
      <c r="X281" s="626" t="s">
        <v>895</v>
      </c>
      <c r="Y281" s="626" t="s">
        <v>895</v>
      </c>
      <c r="Z281" s="626" t="s">
        <v>895</v>
      </c>
      <c r="AA281" s="626" t="s">
        <v>895</v>
      </c>
      <c r="AB281" s="631" t="s">
        <v>894</v>
      </c>
      <c r="AC281" s="631" t="s">
        <v>894</v>
      </c>
      <c r="AD281" s="626"/>
    </row>
    <row r="282" spans="2:30" ht="30">
      <c r="B282" s="625" t="s">
        <v>1244</v>
      </c>
      <c r="C282" s="625" t="s">
        <v>1239</v>
      </c>
      <c r="D282" s="627" t="s">
        <v>1240</v>
      </c>
      <c r="E282" s="626" t="s">
        <v>1098</v>
      </c>
      <c r="F282" s="625" t="s">
        <v>36</v>
      </c>
      <c r="G282" s="625" t="s">
        <v>892</v>
      </c>
      <c r="H282" s="625" t="s">
        <v>1036</v>
      </c>
      <c r="I282" s="625" t="s">
        <v>36</v>
      </c>
      <c r="J282" s="628" t="s">
        <v>371</v>
      </c>
      <c r="K282" s="625" t="s">
        <v>1241</v>
      </c>
      <c r="L282" s="626" t="s">
        <v>894</v>
      </c>
      <c r="M282" s="629" t="s">
        <v>894</v>
      </c>
      <c r="N282" s="626"/>
      <c r="O282" s="626"/>
      <c r="P282" s="626" t="s">
        <v>895</v>
      </c>
      <c r="Q282" s="626" t="s">
        <v>895</v>
      </c>
      <c r="R282" s="626" t="s">
        <v>895</v>
      </c>
      <c r="S282" s="626" t="s">
        <v>895</v>
      </c>
      <c r="T282" s="626" t="s">
        <v>895</v>
      </c>
      <c r="U282" s="626" t="s">
        <v>895</v>
      </c>
      <c r="V282" s="626" t="s">
        <v>895</v>
      </c>
      <c r="W282" s="626" t="s">
        <v>895</v>
      </c>
      <c r="X282" s="626" t="s">
        <v>895</v>
      </c>
      <c r="Y282" s="626" t="s">
        <v>895</v>
      </c>
      <c r="Z282" s="626" t="s">
        <v>895</v>
      </c>
      <c r="AA282" s="626" t="s">
        <v>895</v>
      </c>
      <c r="AB282" s="631" t="s">
        <v>894</v>
      </c>
      <c r="AC282" s="631" t="s">
        <v>894</v>
      </c>
      <c r="AD282" s="626"/>
    </row>
    <row r="283" spans="2:30" ht="30">
      <c r="B283" s="625" t="s">
        <v>1245</v>
      </c>
      <c r="C283" s="625" t="s">
        <v>1239</v>
      </c>
      <c r="D283" s="627" t="s">
        <v>1240</v>
      </c>
      <c r="E283" s="626" t="s">
        <v>1098</v>
      </c>
      <c r="F283" s="625" t="s">
        <v>36</v>
      </c>
      <c r="G283" s="625" t="s">
        <v>892</v>
      </c>
      <c r="H283" s="625" t="s">
        <v>1034</v>
      </c>
      <c r="I283" s="625" t="s">
        <v>36</v>
      </c>
      <c r="J283" s="628" t="s">
        <v>371</v>
      </c>
      <c r="K283" s="625" t="s">
        <v>1241</v>
      </c>
      <c r="L283" s="626" t="s">
        <v>894</v>
      </c>
      <c r="M283" s="629" t="s">
        <v>894</v>
      </c>
      <c r="N283" s="626"/>
      <c r="O283" s="626"/>
      <c r="P283" s="626" t="s">
        <v>895</v>
      </c>
      <c r="Q283" s="626" t="s">
        <v>895</v>
      </c>
      <c r="R283" s="626" t="s">
        <v>895</v>
      </c>
      <c r="S283" s="626" t="s">
        <v>895</v>
      </c>
      <c r="T283" s="626" t="s">
        <v>895</v>
      </c>
      <c r="U283" s="626" t="s">
        <v>895</v>
      </c>
      <c r="V283" s="626" t="s">
        <v>895</v>
      </c>
      <c r="W283" s="626" t="s">
        <v>895</v>
      </c>
      <c r="X283" s="626" t="s">
        <v>895</v>
      </c>
      <c r="Y283" s="626" t="s">
        <v>895</v>
      </c>
      <c r="Z283" s="626" t="s">
        <v>895</v>
      </c>
      <c r="AA283" s="626" t="s">
        <v>895</v>
      </c>
      <c r="AB283" s="631" t="s">
        <v>894</v>
      </c>
      <c r="AC283" s="631" t="s">
        <v>894</v>
      </c>
      <c r="AD283" s="626"/>
    </row>
    <row r="284" spans="2:30" ht="30">
      <c r="B284" s="625" t="s">
        <v>1246</v>
      </c>
      <c r="C284" s="625" t="s">
        <v>1239</v>
      </c>
      <c r="D284" s="627" t="s">
        <v>1240</v>
      </c>
      <c r="E284" s="626" t="s">
        <v>1098</v>
      </c>
      <c r="F284" s="625" t="s">
        <v>36</v>
      </c>
      <c r="G284" s="625" t="s">
        <v>892</v>
      </c>
      <c r="H284" s="625" t="s">
        <v>230</v>
      </c>
      <c r="I284" s="625" t="s">
        <v>36</v>
      </c>
      <c r="J284" s="628" t="s">
        <v>371</v>
      </c>
      <c r="K284" s="625" t="s">
        <v>1241</v>
      </c>
      <c r="L284" s="626" t="s">
        <v>894</v>
      </c>
      <c r="M284" s="629" t="s">
        <v>894</v>
      </c>
      <c r="N284" s="626"/>
      <c r="O284" s="626"/>
      <c r="P284" s="626" t="s">
        <v>895</v>
      </c>
      <c r="Q284" s="626" t="s">
        <v>895</v>
      </c>
      <c r="R284" s="626" t="s">
        <v>895</v>
      </c>
      <c r="S284" s="626" t="s">
        <v>895</v>
      </c>
      <c r="T284" s="626" t="s">
        <v>895</v>
      </c>
      <c r="U284" s="626" t="s">
        <v>895</v>
      </c>
      <c r="V284" s="626" t="s">
        <v>895</v>
      </c>
      <c r="W284" s="626" t="s">
        <v>895</v>
      </c>
      <c r="X284" s="626" t="s">
        <v>895</v>
      </c>
      <c r="Y284" s="626" t="s">
        <v>895</v>
      </c>
      <c r="Z284" s="626" t="s">
        <v>895</v>
      </c>
      <c r="AA284" s="626" t="s">
        <v>895</v>
      </c>
      <c r="AB284" s="631" t="s">
        <v>894</v>
      </c>
      <c r="AC284" s="631" t="s">
        <v>894</v>
      </c>
      <c r="AD284" s="626"/>
    </row>
    <row r="285" spans="2:30" ht="30">
      <c r="B285" s="625" t="s">
        <v>1247</v>
      </c>
      <c r="C285" s="625" t="s">
        <v>1248</v>
      </c>
      <c r="D285" s="627" t="s">
        <v>1249</v>
      </c>
      <c r="E285" s="626" t="s">
        <v>1098</v>
      </c>
      <c r="F285" s="625" t="s">
        <v>36</v>
      </c>
      <c r="G285" s="625" t="s">
        <v>892</v>
      </c>
      <c r="H285" s="625" t="s">
        <v>18</v>
      </c>
      <c r="I285" s="625" t="s">
        <v>36</v>
      </c>
      <c r="J285" s="628" t="s">
        <v>1032</v>
      </c>
      <c r="K285" s="625" t="s">
        <v>1108</v>
      </c>
      <c r="L285" s="626" t="s">
        <v>894</v>
      </c>
      <c r="M285" s="629" t="s">
        <v>894</v>
      </c>
      <c r="N285" s="626"/>
      <c r="O285" s="626"/>
      <c r="P285" s="626" t="s">
        <v>895</v>
      </c>
      <c r="Q285" s="626" t="s">
        <v>895</v>
      </c>
      <c r="R285" s="626" t="s">
        <v>895</v>
      </c>
      <c r="S285" s="626" t="s">
        <v>895</v>
      </c>
      <c r="T285" s="626" t="s">
        <v>895</v>
      </c>
      <c r="U285" s="626" t="s">
        <v>895</v>
      </c>
      <c r="V285" s="626" t="s">
        <v>895</v>
      </c>
      <c r="W285" s="626" t="s">
        <v>895</v>
      </c>
      <c r="X285" s="626" t="s">
        <v>895</v>
      </c>
      <c r="Y285" s="626" t="s">
        <v>895</v>
      </c>
      <c r="Z285" s="626" t="s">
        <v>895</v>
      </c>
      <c r="AA285" s="626" t="s">
        <v>895</v>
      </c>
      <c r="AB285" s="631" t="s">
        <v>894</v>
      </c>
      <c r="AC285" s="631" t="s">
        <v>894</v>
      </c>
      <c r="AD285" s="626"/>
    </row>
    <row r="286" spans="2:30" ht="30">
      <c r="B286" s="625" t="s">
        <v>1250</v>
      </c>
      <c r="C286" s="625" t="s">
        <v>1248</v>
      </c>
      <c r="D286" s="627" t="s">
        <v>1249</v>
      </c>
      <c r="E286" s="626" t="s">
        <v>1098</v>
      </c>
      <c r="F286" s="625" t="s">
        <v>36</v>
      </c>
      <c r="G286" s="625" t="s">
        <v>892</v>
      </c>
      <c r="H286" s="625" t="s">
        <v>997</v>
      </c>
      <c r="I286" s="625" t="s">
        <v>36</v>
      </c>
      <c r="J286" s="628" t="s">
        <v>1032</v>
      </c>
      <c r="K286" s="625"/>
      <c r="L286" s="626" t="s">
        <v>894</v>
      </c>
      <c r="M286" s="629" t="s">
        <v>894</v>
      </c>
      <c r="N286" s="626"/>
      <c r="O286" s="626"/>
      <c r="P286" s="626" t="s">
        <v>895</v>
      </c>
      <c r="Q286" s="626" t="s">
        <v>895</v>
      </c>
      <c r="R286" s="626" t="s">
        <v>895</v>
      </c>
      <c r="S286" s="626" t="s">
        <v>895</v>
      </c>
      <c r="T286" s="626" t="s">
        <v>895</v>
      </c>
      <c r="U286" s="626" t="s">
        <v>895</v>
      </c>
      <c r="V286" s="626" t="s">
        <v>895</v>
      </c>
      <c r="W286" s="626" t="s">
        <v>895</v>
      </c>
      <c r="X286" s="626" t="s">
        <v>895</v>
      </c>
      <c r="Y286" s="626" t="s">
        <v>895</v>
      </c>
      <c r="Z286" s="626" t="s">
        <v>895</v>
      </c>
      <c r="AA286" s="626" t="s">
        <v>895</v>
      </c>
      <c r="AB286" s="631" t="s">
        <v>894</v>
      </c>
      <c r="AC286" s="631" t="s">
        <v>894</v>
      </c>
      <c r="AD286" s="626"/>
    </row>
    <row r="287" spans="2:30" ht="30">
      <c r="B287" s="625" t="s">
        <v>1251</v>
      </c>
      <c r="C287" s="625" t="s">
        <v>1248</v>
      </c>
      <c r="D287" s="627" t="s">
        <v>1249</v>
      </c>
      <c r="E287" s="626" t="s">
        <v>1098</v>
      </c>
      <c r="F287" s="625" t="s">
        <v>36</v>
      </c>
      <c r="G287" s="625" t="s">
        <v>892</v>
      </c>
      <c r="H287" s="625" t="s">
        <v>1020</v>
      </c>
      <c r="I287" s="625" t="s">
        <v>36</v>
      </c>
      <c r="J287" s="628" t="s">
        <v>1032</v>
      </c>
      <c r="K287" s="625"/>
      <c r="L287" s="626" t="s">
        <v>894</v>
      </c>
      <c r="M287" s="629" t="s">
        <v>894</v>
      </c>
      <c r="N287" s="626"/>
      <c r="O287" s="626"/>
      <c r="P287" s="626" t="s">
        <v>895</v>
      </c>
      <c r="Q287" s="626" t="s">
        <v>895</v>
      </c>
      <c r="R287" s="626" t="s">
        <v>895</v>
      </c>
      <c r="S287" s="626" t="s">
        <v>895</v>
      </c>
      <c r="T287" s="626" t="s">
        <v>895</v>
      </c>
      <c r="U287" s="626" t="s">
        <v>895</v>
      </c>
      <c r="V287" s="626" t="s">
        <v>895</v>
      </c>
      <c r="W287" s="626" t="s">
        <v>895</v>
      </c>
      <c r="X287" s="626" t="s">
        <v>895</v>
      </c>
      <c r="Y287" s="626" t="s">
        <v>895</v>
      </c>
      <c r="Z287" s="626" t="s">
        <v>895</v>
      </c>
      <c r="AA287" s="626" t="s">
        <v>895</v>
      </c>
      <c r="AB287" s="631" t="s">
        <v>894</v>
      </c>
      <c r="AC287" s="631" t="s">
        <v>894</v>
      </c>
      <c r="AD287" s="626"/>
    </row>
    <row r="288" spans="2:30" ht="30">
      <c r="B288" s="625" t="s">
        <v>1252</v>
      </c>
      <c r="C288" s="625" t="s">
        <v>1248</v>
      </c>
      <c r="D288" s="627" t="s">
        <v>1249</v>
      </c>
      <c r="E288" s="626" t="s">
        <v>1098</v>
      </c>
      <c r="F288" s="625" t="s">
        <v>36</v>
      </c>
      <c r="G288" s="625" t="s">
        <v>892</v>
      </c>
      <c r="H288" s="625" t="s">
        <v>1036</v>
      </c>
      <c r="I288" s="625" t="s">
        <v>36</v>
      </c>
      <c r="J288" s="628" t="s">
        <v>1032</v>
      </c>
      <c r="K288" s="625"/>
      <c r="L288" s="626" t="s">
        <v>894</v>
      </c>
      <c r="M288" s="629" t="s">
        <v>894</v>
      </c>
      <c r="N288" s="626"/>
      <c r="O288" s="626"/>
      <c r="P288" s="626" t="s">
        <v>895</v>
      </c>
      <c r="Q288" s="626" t="s">
        <v>895</v>
      </c>
      <c r="R288" s="626" t="s">
        <v>895</v>
      </c>
      <c r="S288" s="626" t="s">
        <v>895</v>
      </c>
      <c r="T288" s="626" t="s">
        <v>895</v>
      </c>
      <c r="U288" s="626" t="s">
        <v>895</v>
      </c>
      <c r="V288" s="626" t="s">
        <v>895</v>
      </c>
      <c r="W288" s="626" t="s">
        <v>895</v>
      </c>
      <c r="X288" s="626" t="s">
        <v>895</v>
      </c>
      <c r="Y288" s="626" t="s">
        <v>895</v>
      </c>
      <c r="Z288" s="626" t="s">
        <v>895</v>
      </c>
      <c r="AA288" s="626" t="s">
        <v>895</v>
      </c>
      <c r="AB288" s="631" t="s">
        <v>894</v>
      </c>
      <c r="AC288" s="631" t="s">
        <v>894</v>
      </c>
      <c r="AD288" s="626"/>
    </row>
    <row r="289" spans="2:30" ht="30">
      <c r="B289" s="625" t="s">
        <v>1253</v>
      </c>
      <c r="C289" s="625" t="s">
        <v>1248</v>
      </c>
      <c r="D289" s="627" t="s">
        <v>1249</v>
      </c>
      <c r="E289" s="626" t="s">
        <v>1098</v>
      </c>
      <c r="F289" s="625" t="s">
        <v>36</v>
      </c>
      <c r="G289" s="625" t="s">
        <v>892</v>
      </c>
      <c r="H289" s="625" t="s">
        <v>1034</v>
      </c>
      <c r="I289" s="625" t="s">
        <v>36</v>
      </c>
      <c r="J289" s="628" t="s">
        <v>1032</v>
      </c>
      <c r="K289" s="625"/>
      <c r="L289" s="626" t="s">
        <v>894</v>
      </c>
      <c r="M289" s="629" t="s">
        <v>894</v>
      </c>
      <c r="N289" s="626"/>
      <c r="O289" s="626"/>
      <c r="P289" s="626" t="s">
        <v>895</v>
      </c>
      <c r="Q289" s="626" t="s">
        <v>895</v>
      </c>
      <c r="R289" s="626" t="s">
        <v>895</v>
      </c>
      <c r="S289" s="626" t="s">
        <v>895</v>
      </c>
      <c r="T289" s="626" t="s">
        <v>895</v>
      </c>
      <c r="U289" s="626" t="s">
        <v>895</v>
      </c>
      <c r="V289" s="626" t="s">
        <v>895</v>
      </c>
      <c r="W289" s="626" t="s">
        <v>895</v>
      </c>
      <c r="X289" s="626" t="s">
        <v>895</v>
      </c>
      <c r="Y289" s="626" t="s">
        <v>895</v>
      </c>
      <c r="Z289" s="626" t="s">
        <v>895</v>
      </c>
      <c r="AA289" s="626" t="s">
        <v>895</v>
      </c>
      <c r="AB289" s="631" t="s">
        <v>894</v>
      </c>
      <c r="AC289" s="631" t="s">
        <v>894</v>
      </c>
      <c r="AD289" s="626"/>
    </row>
    <row r="290" spans="2:30" ht="30">
      <c r="B290" s="625" t="s">
        <v>1254</v>
      </c>
      <c r="C290" s="625" t="s">
        <v>1248</v>
      </c>
      <c r="D290" s="627" t="s">
        <v>1249</v>
      </c>
      <c r="E290" s="626" t="s">
        <v>1098</v>
      </c>
      <c r="F290" s="625" t="s">
        <v>36</v>
      </c>
      <c r="G290" s="625" t="s">
        <v>892</v>
      </c>
      <c r="H290" s="625" t="s">
        <v>230</v>
      </c>
      <c r="I290" s="625" t="s">
        <v>36</v>
      </c>
      <c r="J290" s="628" t="s">
        <v>1032</v>
      </c>
      <c r="K290" s="625"/>
      <c r="L290" s="626" t="s">
        <v>894</v>
      </c>
      <c r="M290" s="629" t="s">
        <v>894</v>
      </c>
      <c r="N290" s="626"/>
      <c r="O290" s="626"/>
      <c r="P290" s="626" t="s">
        <v>895</v>
      </c>
      <c r="Q290" s="626" t="s">
        <v>895</v>
      </c>
      <c r="R290" s="626" t="s">
        <v>895</v>
      </c>
      <c r="S290" s="626" t="s">
        <v>895</v>
      </c>
      <c r="T290" s="626" t="s">
        <v>895</v>
      </c>
      <c r="U290" s="626" t="s">
        <v>895</v>
      </c>
      <c r="V290" s="626" t="s">
        <v>895</v>
      </c>
      <c r="W290" s="626" t="s">
        <v>895</v>
      </c>
      <c r="X290" s="626" t="s">
        <v>895</v>
      </c>
      <c r="Y290" s="626" t="s">
        <v>895</v>
      </c>
      <c r="Z290" s="626" t="s">
        <v>895</v>
      </c>
      <c r="AA290" s="626" t="s">
        <v>895</v>
      </c>
      <c r="AB290" s="631" t="s">
        <v>894</v>
      </c>
      <c r="AC290" s="631" t="s">
        <v>894</v>
      </c>
      <c r="AD290" s="626"/>
    </row>
    <row r="291" spans="2:30" ht="45">
      <c r="B291" s="625" t="s">
        <v>1255</v>
      </c>
      <c r="C291" s="625" t="s">
        <v>1256</v>
      </c>
      <c r="D291" s="627" t="s">
        <v>1257</v>
      </c>
      <c r="E291" s="626" t="s">
        <v>1098</v>
      </c>
      <c r="F291" s="625" t="s">
        <v>36</v>
      </c>
      <c r="G291" s="625" t="s">
        <v>892</v>
      </c>
      <c r="H291" s="625" t="s">
        <v>934</v>
      </c>
      <c r="I291" s="625" t="s">
        <v>1258</v>
      </c>
      <c r="J291" s="628" t="s">
        <v>1006</v>
      </c>
      <c r="K291" s="625" t="s">
        <v>1259</v>
      </c>
      <c r="L291" s="626" t="s">
        <v>894</v>
      </c>
      <c r="M291" s="629" t="s">
        <v>894</v>
      </c>
      <c r="N291" s="626"/>
      <c r="O291" s="626"/>
      <c r="P291" s="626" t="s">
        <v>895</v>
      </c>
      <c r="Q291" s="626" t="s">
        <v>895</v>
      </c>
      <c r="R291" s="626" t="s">
        <v>895</v>
      </c>
      <c r="S291" s="626" t="s">
        <v>895</v>
      </c>
      <c r="T291" s="626" t="s">
        <v>895</v>
      </c>
      <c r="U291" s="626" t="s">
        <v>895</v>
      </c>
      <c r="V291" s="626" t="s">
        <v>895</v>
      </c>
      <c r="W291" s="626" t="s">
        <v>895</v>
      </c>
      <c r="X291" s="626" t="s">
        <v>895</v>
      </c>
      <c r="Y291" s="626" t="s">
        <v>895</v>
      </c>
      <c r="Z291" s="626" t="s">
        <v>895</v>
      </c>
      <c r="AA291" s="626" t="s">
        <v>895</v>
      </c>
      <c r="AB291" s="631" t="s">
        <v>894</v>
      </c>
      <c r="AC291" s="631" t="s">
        <v>894</v>
      </c>
      <c r="AD291" s="626"/>
    </row>
    <row r="292" spans="2:30" ht="45">
      <c r="B292" s="625" t="s">
        <v>1260</v>
      </c>
      <c r="C292" s="625" t="s">
        <v>1256</v>
      </c>
      <c r="D292" s="627" t="s">
        <v>1257</v>
      </c>
      <c r="E292" s="626" t="s">
        <v>1098</v>
      </c>
      <c r="F292" s="625" t="s">
        <v>36</v>
      </c>
      <c r="G292" s="625" t="s">
        <v>892</v>
      </c>
      <c r="H292" s="625" t="s">
        <v>947</v>
      </c>
      <c r="I292" s="625" t="s">
        <v>1258</v>
      </c>
      <c r="J292" s="628" t="s">
        <v>1006</v>
      </c>
      <c r="K292" s="625" t="s">
        <v>1259</v>
      </c>
      <c r="L292" s="626" t="s">
        <v>894</v>
      </c>
      <c r="M292" s="629" t="s">
        <v>894</v>
      </c>
      <c r="N292" s="626"/>
      <c r="O292" s="626"/>
      <c r="P292" s="626" t="s">
        <v>895</v>
      </c>
      <c r="Q292" s="626" t="s">
        <v>895</v>
      </c>
      <c r="R292" s="626" t="s">
        <v>895</v>
      </c>
      <c r="S292" s="626" t="s">
        <v>895</v>
      </c>
      <c r="T292" s="626" t="s">
        <v>895</v>
      </c>
      <c r="U292" s="626" t="s">
        <v>895</v>
      </c>
      <c r="V292" s="626" t="s">
        <v>895</v>
      </c>
      <c r="W292" s="626" t="s">
        <v>895</v>
      </c>
      <c r="X292" s="626" t="s">
        <v>895</v>
      </c>
      <c r="Y292" s="626" t="s">
        <v>895</v>
      </c>
      <c r="Z292" s="626" t="s">
        <v>895</v>
      </c>
      <c r="AA292" s="626" t="s">
        <v>895</v>
      </c>
      <c r="AB292" s="631" t="s">
        <v>894</v>
      </c>
      <c r="AC292" s="631" t="s">
        <v>894</v>
      </c>
      <c r="AD292" s="626"/>
    </row>
    <row r="293" spans="2:30" ht="45">
      <c r="B293" s="625" t="s">
        <v>1261</v>
      </c>
      <c r="C293" s="625" t="s">
        <v>1256</v>
      </c>
      <c r="D293" s="627" t="s">
        <v>1257</v>
      </c>
      <c r="E293" s="626" t="s">
        <v>1098</v>
      </c>
      <c r="F293" s="625" t="s">
        <v>36</v>
      </c>
      <c r="G293" s="625" t="s">
        <v>892</v>
      </c>
      <c r="H293" s="625" t="s">
        <v>997</v>
      </c>
      <c r="I293" s="625" t="s">
        <v>1258</v>
      </c>
      <c r="J293" s="628" t="s">
        <v>1006</v>
      </c>
      <c r="K293" s="625" t="s">
        <v>1259</v>
      </c>
      <c r="L293" s="626" t="s">
        <v>894</v>
      </c>
      <c r="M293" s="629" t="s">
        <v>894</v>
      </c>
      <c r="N293" s="626"/>
      <c r="O293" s="626"/>
      <c r="P293" s="626" t="s">
        <v>895</v>
      </c>
      <c r="Q293" s="626" t="s">
        <v>895</v>
      </c>
      <c r="R293" s="626" t="s">
        <v>895</v>
      </c>
      <c r="S293" s="626" t="s">
        <v>895</v>
      </c>
      <c r="T293" s="626" t="s">
        <v>895</v>
      </c>
      <c r="U293" s="626" t="s">
        <v>895</v>
      </c>
      <c r="V293" s="626" t="s">
        <v>895</v>
      </c>
      <c r="W293" s="626" t="s">
        <v>895</v>
      </c>
      <c r="X293" s="626" t="s">
        <v>895</v>
      </c>
      <c r="Y293" s="626" t="s">
        <v>895</v>
      </c>
      <c r="Z293" s="626" t="s">
        <v>895</v>
      </c>
      <c r="AA293" s="626" t="s">
        <v>895</v>
      </c>
      <c r="AB293" s="631" t="s">
        <v>894</v>
      </c>
      <c r="AC293" s="631" t="s">
        <v>894</v>
      </c>
      <c r="AD293" s="626"/>
    </row>
    <row r="294" spans="2:30" ht="45">
      <c r="B294" s="625" t="s">
        <v>1262</v>
      </c>
      <c r="C294" s="625" t="s">
        <v>1263</v>
      </c>
      <c r="D294" s="627" t="s">
        <v>1264</v>
      </c>
      <c r="E294" s="626" t="s">
        <v>1098</v>
      </c>
      <c r="F294" s="625" t="s">
        <v>36</v>
      </c>
      <c r="G294" s="625" t="s">
        <v>892</v>
      </c>
      <c r="H294" s="625" t="s">
        <v>934</v>
      </c>
      <c r="I294" s="625" t="s">
        <v>1258</v>
      </c>
      <c r="J294" s="628" t="s">
        <v>1006</v>
      </c>
      <c r="K294" s="625" t="s">
        <v>1265</v>
      </c>
      <c r="L294" s="626" t="s">
        <v>894</v>
      </c>
      <c r="M294" s="629" t="s">
        <v>894</v>
      </c>
      <c r="N294" s="626"/>
      <c r="O294" s="626"/>
      <c r="P294" s="626" t="s">
        <v>895</v>
      </c>
      <c r="Q294" s="626" t="s">
        <v>895</v>
      </c>
      <c r="R294" s="626" t="s">
        <v>895</v>
      </c>
      <c r="S294" s="626" t="s">
        <v>895</v>
      </c>
      <c r="T294" s="626" t="s">
        <v>895</v>
      </c>
      <c r="U294" s="626" t="s">
        <v>895</v>
      </c>
      <c r="V294" s="626" t="s">
        <v>895</v>
      </c>
      <c r="W294" s="626" t="s">
        <v>895</v>
      </c>
      <c r="X294" s="626" t="s">
        <v>895</v>
      </c>
      <c r="Y294" s="626" t="s">
        <v>895</v>
      </c>
      <c r="Z294" s="626" t="s">
        <v>895</v>
      </c>
      <c r="AA294" s="626" t="s">
        <v>895</v>
      </c>
      <c r="AB294" s="631" t="s">
        <v>894</v>
      </c>
      <c r="AC294" s="631" t="s">
        <v>894</v>
      </c>
      <c r="AD294" s="626"/>
    </row>
    <row r="295" spans="2:30" ht="45">
      <c r="B295" s="625" t="s">
        <v>1266</v>
      </c>
      <c r="C295" s="625" t="s">
        <v>1263</v>
      </c>
      <c r="D295" s="627" t="s">
        <v>1264</v>
      </c>
      <c r="E295" s="626" t="s">
        <v>1098</v>
      </c>
      <c r="F295" s="625" t="s">
        <v>36</v>
      </c>
      <c r="G295" s="625" t="s">
        <v>892</v>
      </c>
      <c r="H295" s="625" t="s">
        <v>947</v>
      </c>
      <c r="I295" s="625" t="s">
        <v>1258</v>
      </c>
      <c r="J295" s="628" t="s">
        <v>1006</v>
      </c>
      <c r="K295" s="625" t="s">
        <v>1265</v>
      </c>
      <c r="L295" s="626" t="s">
        <v>894</v>
      </c>
      <c r="M295" s="629" t="s">
        <v>894</v>
      </c>
      <c r="N295" s="626"/>
      <c r="O295" s="626"/>
      <c r="P295" s="626" t="s">
        <v>895</v>
      </c>
      <c r="Q295" s="626" t="s">
        <v>895</v>
      </c>
      <c r="R295" s="626" t="s">
        <v>895</v>
      </c>
      <c r="S295" s="626" t="s">
        <v>895</v>
      </c>
      <c r="T295" s="626" t="s">
        <v>895</v>
      </c>
      <c r="U295" s="626" t="s">
        <v>895</v>
      </c>
      <c r="V295" s="626" t="s">
        <v>895</v>
      </c>
      <c r="W295" s="626" t="s">
        <v>895</v>
      </c>
      <c r="X295" s="626" t="s">
        <v>895</v>
      </c>
      <c r="Y295" s="626" t="s">
        <v>895</v>
      </c>
      <c r="Z295" s="626" t="s">
        <v>895</v>
      </c>
      <c r="AA295" s="626" t="s">
        <v>895</v>
      </c>
      <c r="AB295" s="631" t="s">
        <v>894</v>
      </c>
      <c r="AC295" s="631" t="s">
        <v>894</v>
      </c>
      <c r="AD295" s="626"/>
    </row>
    <row r="296" spans="2:30" ht="45">
      <c r="B296" s="625" t="s">
        <v>1267</v>
      </c>
      <c r="C296" s="625" t="s">
        <v>1263</v>
      </c>
      <c r="D296" s="627" t="s">
        <v>1264</v>
      </c>
      <c r="E296" s="626" t="s">
        <v>1098</v>
      </c>
      <c r="F296" s="625" t="s">
        <v>36</v>
      </c>
      <c r="G296" s="625" t="s">
        <v>892</v>
      </c>
      <c r="H296" s="625" t="s">
        <v>997</v>
      </c>
      <c r="I296" s="625" t="s">
        <v>1258</v>
      </c>
      <c r="J296" s="628" t="s">
        <v>1006</v>
      </c>
      <c r="K296" s="625" t="s">
        <v>1265</v>
      </c>
      <c r="L296" s="626" t="s">
        <v>894</v>
      </c>
      <c r="M296" s="629" t="s">
        <v>894</v>
      </c>
      <c r="N296" s="626"/>
      <c r="O296" s="626"/>
      <c r="P296" s="626" t="s">
        <v>895</v>
      </c>
      <c r="Q296" s="626" t="s">
        <v>895</v>
      </c>
      <c r="R296" s="626" t="s">
        <v>895</v>
      </c>
      <c r="S296" s="626" t="s">
        <v>895</v>
      </c>
      <c r="T296" s="626" t="s">
        <v>895</v>
      </c>
      <c r="U296" s="626" t="s">
        <v>895</v>
      </c>
      <c r="V296" s="626" t="s">
        <v>895</v>
      </c>
      <c r="W296" s="626" t="s">
        <v>895</v>
      </c>
      <c r="X296" s="626" t="s">
        <v>895</v>
      </c>
      <c r="Y296" s="626" t="s">
        <v>895</v>
      </c>
      <c r="Z296" s="626" t="s">
        <v>895</v>
      </c>
      <c r="AA296" s="626" t="s">
        <v>895</v>
      </c>
      <c r="AB296" s="631" t="s">
        <v>894</v>
      </c>
      <c r="AC296" s="631" t="s">
        <v>894</v>
      </c>
      <c r="AD296" s="626"/>
    </row>
    <row r="297" spans="2:30" ht="30">
      <c r="B297" s="625" t="s">
        <v>1268</v>
      </c>
      <c r="C297" s="625" t="s">
        <v>1269</v>
      </c>
      <c r="D297" s="627" t="s">
        <v>1270</v>
      </c>
      <c r="E297" s="626" t="s">
        <v>1098</v>
      </c>
      <c r="F297" s="625" t="s">
        <v>36</v>
      </c>
      <c r="G297" s="625" t="s">
        <v>892</v>
      </c>
      <c r="H297" s="625" t="s">
        <v>18</v>
      </c>
      <c r="I297" s="625" t="s">
        <v>36</v>
      </c>
      <c r="J297" s="628" t="s">
        <v>1006</v>
      </c>
      <c r="K297" s="625" t="s">
        <v>1099</v>
      </c>
      <c r="L297" s="626" t="s">
        <v>894</v>
      </c>
      <c r="M297" s="629" t="s">
        <v>894</v>
      </c>
      <c r="N297" s="626"/>
      <c r="O297" s="626"/>
      <c r="P297" s="626" t="s">
        <v>895</v>
      </c>
      <c r="Q297" s="626" t="s">
        <v>895</v>
      </c>
      <c r="R297" s="626" t="s">
        <v>895</v>
      </c>
      <c r="S297" s="626" t="s">
        <v>895</v>
      </c>
      <c r="T297" s="626" t="s">
        <v>895</v>
      </c>
      <c r="U297" s="626" t="s">
        <v>895</v>
      </c>
      <c r="V297" s="626" t="s">
        <v>895</v>
      </c>
      <c r="W297" s="626" t="s">
        <v>895</v>
      </c>
      <c r="X297" s="626" t="s">
        <v>895</v>
      </c>
      <c r="Y297" s="626" t="s">
        <v>895</v>
      </c>
      <c r="Z297" s="626" t="s">
        <v>895</v>
      </c>
      <c r="AA297" s="626" t="s">
        <v>895</v>
      </c>
      <c r="AB297" s="631" t="s">
        <v>894</v>
      </c>
      <c r="AC297" s="631" t="s">
        <v>894</v>
      </c>
      <c r="AD297" s="626"/>
    </row>
    <row r="298" spans="2:30" ht="30">
      <c r="B298" s="625" t="s">
        <v>1271</v>
      </c>
      <c r="C298" s="625" t="s">
        <v>1269</v>
      </c>
      <c r="D298" s="627" t="s">
        <v>1270</v>
      </c>
      <c r="E298" s="626" t="s">
        <v>1098</v>
      </c>
      <c r="F298" s="625" t="s">
        <v>36</v>
      </c>
      <c r="G298" s="625" t="s">
        <v>892</v>
      </c>
      <c r="H298" s="625" t="s">
        <v>997</v>
      </c>
      <c r="I298" s="625" t="s">
        <v>36</v>
      </c>
      <c r="J298" s="628" t="s">
        <v>1006</v>
      </c>
      <c r="K298" s="625"/>
      <c r="L298" s="626" t="s">
        <v>894</v>
      </c>
      <c r="M298" s="629" t="s">
        <v>894</v>
      </c>
      <c r="N298" s="626"/>
      <c r="O298" s="626"/>
      <c r="P298" s="626" t="s">
        <v>895</v>
      </c>
      <c r="Q298" s="626" t="s">
        <v>895</v>
      </c>
      <c r="R298" s="626" t="s">
        <v>895</v>
      </c>
      <c r="S298" s="626" t="s">
        <v>895</v>
      </c>
      <c r="T298" s="626" t="s">
        <v>895</v>
      </c>
      <c r="U298" s="626" t="s">
        <v>895</v>
      </c>
      <c r="V298" s="626" t="s">
        <v>895</v>
      </c>
      <c r="W298" s="626" t="s">
        <v>895</v>
      </c>
      <c r="X298" s="626" t="s">
        <v>895</v>
      </c>
      <c r="Y298" s="626" t="s">
        <v>895</v>
      </c>
      <c r="Z298" s="626" t="s">
        <v>895</v>
      </c>
      <c r="AA298" s="626" t="s">
        <v>895</v>
      </c>
      <c r="AB298" s="631" t="s">
        <v>894</v>
      </c>
      <c r="AC298" s="631" t="s">
        <v>894</v>
      </c>
      <c r="AD298" s="626"/>
    </row>
    <row r="299" spans="2:30" ht="30">
      <c r="B299" s="625" t="s">
        <v>1272</v>
      </c>
      <c r="C299" s="625" t="s">
        <v>1269</v>
      </c>
      <c r="D299" s="627" t="s">
        <v>1270</v>
      </c>
      <c r="E299" s="626" t="s">
        <v>1098</v>
      </c>
      <c r="F299" s="625" t="s">
        <v>36</v>
      </c>
      <c r="G299" s="625" t="s">
        <v>892</v>
      </c>
      <c r="H299" s="625" t="s">
        <v>1020</v>
      </c>
      <c r="I299" s="625" t="s">
        <v>36</v>
      </c>
      <c r="J299" s="628" t="s">
        <v>1006</v>
      </c>
      <c r="K299" s="625"/>
      <c r="L299" s="626" t="s">
        <v>894</v>
      </c>
      <c r="M299" s="629" t="s">
        <v>894</v>
      </c>
      <c r="N299" s="626"/>
      <c r="O299" s="626"/>
      <c r="P299" s="626" t="s">
        <v>895</v>
      </c>
      <c r="Q299" s="626" t="s">
        <v>895</v>
      </c>
      <c r="R299" s="626" t="s">
        <v>895</v>
      </c>
      <c r="S299" s="626" t="s">
        <v>895</v>
      </c>
      <c r="T299" s="626" t="s">
        <v>895</v>
      </c>
      <c r="U299" s="626" t="s">
        <v>895</v>
      </c>
      <c r="V299" s="626" t="s">
        <v>895</v>
      </c>
      <c r="W299" s="626" t="s">
        <v>895</v>
      </c>
      <c r="X299" s="626" t="s">
        <v>895</v>
      </c>
      <c r="Y299" s="626" t="s">
        <v>895</v>
      </c>
      <c r="Z299" s="626" t="s">
        <v>895</v>
      </c>
      <c r="AA299" s="626" t="s">
        <v>895</v>
      </c>
      <c r="AB299" s="631" t="s">
        <v>894</v>
      </c>
      <c r="AC299" s="631" t="s">
        <v>894</v>
      </c>
      <c r="AD299" s="626"/>
    </row>
    <row r="300" spans="2:30" ht="30">
      <c r="B300" s="625" t="s">
        <v>1273</v>
      </c>
      <c r="C300" s="625" t="s">
        <v>1269</v>
      </c>
      <c r="D300" s="627" t="s">
        <v>1270</v>
      </c>
      <c r="E300" s="626" t="s">
        <v>1098</v>
      </c>
      <c r="F300" s="625" t="s">
        <v>36</v>
      </c>
      <c r="G300" s="625" t="s">
        <v>892</v>
      </c>
      <c r="H300" s="625" t="s">
        <v>1036</v>
      </c>
      <c r="I300" s="625" t="s">
        <v>36</v>
      </c>
      <c r="J300" s="628" t="s">
        <v>1006</v>
      </c>
      <c r="K300" s="625"/>
      <c r="L300" s="626" t="s">
        <v>894</v>
      </c>
      <c r="M300" s="629" t="s">
        <v>894</v>
      </c>
      <c r="N300" s="626"/>
      <c r="O300" s="626"/>
      <c r="P300" s="626" t="s">
        <v>895</v>
      </c>
      <c r="Q300" s="626" t="s">
        <v>895</v>
      </c>
      <c r="R300" s="626" t="s">
        <v>895</v>
      </c>
      <c r="S300" s="626" t="s">
        <v>895</v>
      </c>
      <c r="T300" s="626" t="s">
        <v>895</v>
      </c>
      <c r="U300" s="626" t="s">
        <v>895</v>
      </c>
      <c r="V300" s="626" t="s">
        <v>895</v>
      </c>
      <c r="W300" s="626" t="s">
        <v>895</v>
      </c>
      <c r="X300" s="626" t="s">
        <v>895</v>
      </c>
      <c r="Y300" s="626" t="s">
        <v>895</v>
      </c>
      <c r="Z300" s="626" t="s">
        <v>895</v>
      </c>
      <c r="AA300" s="626" t="s">
        <v>895</v>
      </c>
      <c r="AB300" s="631" t="s">
        <v>894</v>
      </c>
      <c r="AC300" s="631" t="s">
        <v>894</v>
      </c>
      <c r="AD300" s="626"/>
    </row>
    <row r="301" spans="2:30" ht="30">
      <c r="B301" s="625" t="s">
        <v>1274</v>
      </c>
      <c r="C301" s="625" t="s">
        <v>1269</v>
      </c>
      <c r="D301" s="627" t="s">
        <v>1270</v>
      </c>
      <c r="E301" s="626" t="s">
        <v>1098</v>
      </c>
      <c r="F301" s="625" t="s">
        <v>36</v>
      </c>
      <c r="G301" s="625" t="s">
        <v>892</v>
      </c>
      <c r="H301" s="625" t="s">
        <v>1034</v>
      </c>
      <c r="I301" s="625" t="s">
        <v>36</v>
      </c>
      <c r="J301" s="628" t="s">
        <v>1006</v>
      </c>
      <c r="K301" s="625"/>
      <c r="L301" s="626" t="s">
        <v>894</v>
      </c>
      <c r="M301" s="629" t="s">
        <v>894</v>
      </c>
      <c r="N301" s="626"/>
      <c r="O301" s="626"/>
      <c r="P301" s="626" t="s">
        <v>895</v>
      </c>
      <c r="Q301" s="626" t="s">
        <v>895</v>
      </c>
      <c r="R301" s="626" t="s">
        <v>895</v>
      </c>
      <c r="S301" s="626" t="s">
        <v>895</v>
      </c>
      <c r="T301" s="626" t="s">
        <v>895</v>
      </c>
      <c r="U301" s="626" t="s">
        <v>895</v>
      </c>
      <c r="V301" s="626" t="s">
        <v>895</v>
      </c>
      <c r="W301" s="626" t="s">
        <v>895</v>
      </c>
      <c r="X301" s="626" t="s">
        <v>895</v>
      </c>
      <c r="Y301" s="626" t="s">
        <v>895</v>
      </c>
      <c r="Z301" s="626" t="s">
        <v>895</v>
      </c>
      <c r="AA301" s="626" t="s">
        <v>895</v>
      </c>
      <c r="AB301" s="631" t="s">
        <v>894</v>
      </c>
      <c r="AC301" s="631" t="s">
        <v>894</v>
      </c>
      <c r="AD301" s="626"/>
    </row>
    <row r="302" spans="2:30" ht="30">
      <c r="B302" s="625" t="s">
        <v>1275</v>
      </c>
      <c r="C302" s="625" t="s">
        <v>1269</v>
      </c>
      <c r="D302" s="627" t="s">
        <v>1270</v>
      </c>
      <c r="E302" s="626" t="s">
        <v>1098</v>
      </c>
      <c r="F302" s="625" t="s">
        <v>36</v>
      </c>
      <c r="G302" s="625" t="s">
        <v>892</v>
      </c>
      <c r="H302" s="625" t="s">
        <v>230</v>
      </c>
      <c r="I302" s="625" t="s">
        <v>36</v>
      </c>
      <c r="J302" s="628" t="s">
        <v>1006</v>
      </c>
      <c r="K302" s="625"/>
      <c r="L302" s="626" t="s">
        <v>894</v>
      </c>
      <c r="M302" s="629" t="s">
        <v>894</v>
      </c>
      <c r="N302" s="626"/>
      <c r="O302" s="626"/>
      <c r="P302" s="626" t="s">
        <v>895</v>
      </c>
      <c r="Q302" s="626" t="s">
        <v>895</v>
      </c>
      <c r="R302" s="626" t="s">
        <v>895</v>
      </c>
      <c r="S302" s="626" t="s">
        <v>895</v>
      </c>
      <c r="T302" s="626" t="s">
        <v>895</v>
      </c>
      <c r="U302" s="626" t="s">
        <v>895</v>
      </c>
      <c r="V302" s="626" t="s">
        <v>895</v>
      </c>
      <c r="W302" s="626" t="s">
        <v>895</v>
      </c>
      <c r="X302" s="626" t="s">
        <v>895</v>
      </c>
      <c r="Y302" s="626" t="s">
        <v>895</v>
      </c>
      <c r="Z302" s="626" t="s">
        <v>895</v>
      </c>
      <c r="AA302" s="626" t="s">
        <v>895</v>
      </c>
      <c r="AB302" s="631" t="s">
        <v>894</v>
      </c>
      <c r="AC302" s="631" t="s">
        <v>894</v>
      </c>
      <c r="AD302" s="626"/>
    </row>
    <row r="303" spans="2:30">
      <c r="B303" s="625" t="s">
        <v>1276</v>
      </c>
      <c r="C303" s="625" t="s">
        <v>1277</v>
      </c>
      <c r="D303" s="627" t="s">
        <v>1278</v>
      </c>
      <c r="E303" s="626" t="s">
        <v>1279</v>
      </c>
      <c r="F303" s="625" t="s">
        <v>29</v>
      </c>
      <c r="G303" s="625" t="s">
        <v>892</v>
      </c>
      <c r="H303" s="625" t="s">
        <v>884</v>
      </c>
      <c r="I303" s="625" t="s">
        <v>1280</v>
      </c>
      <c r="J303" s="628" t="s">
        <v>1053</v>
      </c>
      <c r="K303" s="625" t="s">
        <v>1281</v>
      </c>
      <c r="L303" s="626" t="s">
        <v>894</v>
      </c>
      <c r="M303" s="629" t="s">
        <v>894</v>
      </c>
      <c r="N303" s="626"/>
      <c r="O303" s="626"/>
      <c r="P303" s="626" t="s">
        <v>895</v>
      </c>
      <c r="Q303" s="626" t="s">
        <v>895</v>
      </c>
      <c r="R303" s="626" t="s">
        <v>895</v>
      </c>
      <c r="S303" s="626" t="s">
        <v>895</v>
      </c>
      <c r="T303" s="626" t="s">
        <v>895</v>
      </c>
      <c r="U303" s="626" t="s">
        <v>895</v>
      </c>
      <c r="V303" s="626" t="s">
        <v>895</v>
      </c>
      <c r="W303" s="626" t="s">
        <v>895</v>
      </c>
      <c r="X303" s="626" t="s">
        <v>895</v>
      </c>
      <c r="Y303" s="626" t="s">
        <v>895</v>
      </c>
      <c r="Z303" s="626" t="s">
        <v>895</v>
      </c>
      <c r="AA303" s="626" t="s">
        <v>895</v>
      </c>
      <c r="AB303" s="631" t="s">
        <v>894</v>
      </c>
      <c r="AC303" s="631" t="s">
        <v>894</v>
      </c>
      <c r="AD303" s="626"/>
    </row>
    <row r="304" spans="2:30" ht="30">
      <c r="B304" s="625" t="s">
        <v>1282</v>
      </c>
      <c r="C304" s="625" t="s">
        <v>1283</v>
      </c>
      <c r="D304" s="627" t="s">
        <v>1284</v>
      </c>
      <c r="E304" s="626" t="s">
        <v>1279</v>
      </c>
      <c r="F304" s="625" t="s">
        <v>29</v>
      </c>
      <c r="G304" s="625" t="s">
        <v>892</v>
      </c>
      <c r="H304" s="625" t="s">
        <v>884</v>
      </c>
      <c r="I304" s="625" t="s">
        <v>1280</v>
      </c>
      <c r="J304" s="628" t="s">
        <v>1032</v>
      </c>
      <c r="K304" s="625" t="s">
        <v>1281</v>
      </c>
      <c r="L304" s="626" t="s">
        <v>894</v>
      </c>
      <c r="M304" s="629" t="s">
        <v>894</v>
      </c>
      <c r="N304" s="626"/>
      <c r="O304" s="626"/>
      <c r="P304" s="626" t="s">
        <v>895</v>
      </c>
      <c r="Q304" s="626" t="s">
        <v>895</v>
      </c>
      <c r="R304" s="626" t="s">
        <v>895</v>
      </c>
      <c r="S304" s="626" t="s">
        <v>895</v>
      </c>
      <c r="T304" s="626" t="s">
        <v>895</v>
      </c>
      <c r="U304" s="626" t="s">
        <v>895</v>
      </c>
      <c r="V304" s="626" t="s">
        <v>895</v>
      </c>
      <c r="W304" s="626" t="s">
        <v>895</v>
      </c>
      <c r="X304" s="626" t="s">
        <v>895</v>
      </c>
      <c r="Y304" s="626" t="s">
        <v>895</v>
      </c>
      <c r="Z304" s="626" t="s">
        <v>895</v>
      </c>
      <c r="AA304" s="626" t="s">
        <v>895</v>
      </c>
      <c r="AB304" s="631" t="s">
        <v>894</v>
      </c>
      <c r="AC304" s="631" t="s">
        <v>894</v>
      </c>
      <c r="AD304" s="626"/>
    </row>
    <row r="305" spans="2:30" ht="30">
      <c r="B305" s="625" t="s">
        <v>1285</v>
      </c>
      <c r="C305" s="625" t="s">
        <v>1286</v>
      </c>
      <c r="D305" s="627" t="s">
        <v>1287</v>
      </c>
      <c r="E305" s="626" t="s">
        <v>1098</v>
      </c>
      <c r="F305" s="625" t="s">
        <v>29</v>
      </c>
      <c r="G305" s="625" t="s">
        <v>892</v>
      </c>
      <c r="H305" s="625" t="s">
        <v>18</v>
      </c>
      <c r="I305" s="625" t="s">
        <v>29</v>
      </c>
      <c r="J305" s="628" t="s">
        <v>1006</v>
      </c>
      <c r="K305" s="625" t="s">
        <v>1281</v>
      </c>
      <c r="L305" s="626" t="s">
        <v>894</v>
      </c>
      <c r="M305" s="629" t="s">
        <v>894</v>
      </c>
      <c r="N305" s="626"/>
      <c r="O305" s="626"/>
      <c r="P305" s="626" t="s">
        <v>895</v>
      </c>
      <c r="Q305" s="626" t="s">
        <v>895</v>
      </c>
      <c r="R305" s="626" t="s">
        <v>895</v>
      </c>
      <c r="S305" s="626" t="s">
        <v>895</v>
      </c>
      <c r="T305" s="626" t="s">
        <v>895</v>
      </c>
      <c r="U305" s="626" t="s">
        <v>895</v>
      </c>
      <c r="V305" s="626" t="s">
        <v>895</v>
      </c>
      <c r="W305" s="626" t="s">
        <v>895</v>
      </c>
      <c r="X305" s="626" t="s">
        <v>895</v>
      </c>
      <c r="Y305" s="626" t="s">
        <v>895</v>
      </c>
      <c r="Z305" s="626" t="s">
        <v>895</v>
      </c>
      <c r="AA305" s="626" t="s">
        <v>895</v>
      </c>
      <c r="AB305" s="631" t="s">
        <v>894</v>
      </c>
      <c r="AC305" s="631" t="s">
        <v>894</v>
      </c>
      <c r="AD305" s="626"/>
    </row>
    <row r="306" spans="2:30" ht="30">
      <c r="B306" s="625" t="s">
        <v>1288</v>
      </c>
      <c r="C306" s="625" t="s">
        <v>1286</v>
      </c>
      <c r="D306" s="627" t="s">
        <v>1287</v>
      </c>
      <c r="E306" s="626" t="s">
        <v>1098</v>
      </c>
      <c r="F306" s="625" t="s">
        <v>29</v>
      </c>
      <c r="G306" s="625" t="s">
        <v>892</v>
      </c>
      <c r="H306" s="625" t="s">
        <v>997</v>
      </c>
      <c r="I306" s="625" t="s">
        <v>29</v>
      </c>
      <c r="J306" s="628" t="s">
        <v>1006</v>
      </c>
      <c r="K306" s="625"/>
      <c r="L306" s="626" t="s">
        <v>894</v>
      </c>
      <c r="M306" s="629" t="s">
        <v>894</v>
      </c>
      <c r="N306" s="626"/>
      <c r="O306" s="626"/>
      <c r="P306" s="626" t="s">
        <v>895</v>
      </c>
      <c r="Q306" s="626" t="s">
        <v>895</v>
      </c>
      <c r="R306" s="626" t="s">
        <v>895</v>
      </c>
      <c r="S306" s="626" t="s">
        <v>895</v>
      </c>
      <c r="T306" s="626" t="s">
        <v>895</v>
      </c>
      <c r="U306" s="626" t="s">
        <v>895</v>
      </c>
      <c r="V306" s="626" t="s">
        <v>895</v>
      </c>
      <c r="W306" s="626" t="s">
        <v>895</v>
      </c>
      <c r="X306" s="626" t="s">
        <v>895</v>
      </c>
      <c r="Y306" s="626" t="s">
        <v>895</v>
      </c>
      <c r="Z306" s="626" t="s">
        <v>895</v>
      </c>
      <c r="AA306" s="626" t="s">
        <v>895</v>
      </c>
      <c r="AB306" s="631" t="s">
        <v>894</v>
      </c>
      <c r="AC306" s="631" t="s">
        <v>894</v>
      </c>
      <c r="AD306" s="626"/>
    </row>
    <row r="307" spans="2:30" ht="30">
      <c r="B307" s="625" t="s">
        <v>1289</v>
      </c>
      <c r="C307" s="625" t="s">
        <v>1286</v>
      </c>
      <c r="D307" s="627" t="s">
        <v>1287</v>
      </c>
      <c r="E307" s="626" t="s">
        <v>1098</v>
      </c>
      <c r="F307" s="625" t="s">
        <v>29</v>
      </c>
      <c r="G307" s="625" t="s">
        <v>892</v>
      </c>
      <c r="H307" s="625" t="s">
        <v>1020</v>
      </c>
      <c r="I307" s="625" t="s">
        <v>29</v>
      </c>
      <c r="J307" s="628" t="s">
        <v>1006</v>
      </c>
      <c r="K307" s="625"/>
      <c r="L307" s="626" t="s">
        <v>894</v>
      </c>
      <c r="M307" s="629" t="s">
        <v>894</v>
      </c>
      <c r="N307" s="626"/>
      <c r="O307" s="626"/>
      <c r="P307" s="626" t="s">
        <v>895</v>
      </c>
      <c r="Q307" s="626" t="s">
        <v>895</v>
      </c>
      <c r="R307" s="626" t="s">
        <v>895</v>
      </c>
      <c r="S307" s="626" t="s">
        <v>895</v>
      </c>
      <c r="T307" s="626" t="s">
        <v>895</v>
      </c>
      <c r="U307" s="626" t="s">
        <v>895</v>
      </c>
      <c r="V307" s="626" t="s">
        <v>895</v>
      </c>
      <c r="W307" s="626" t="s">
        <v>895</v>
      </c>
      <c r="X307" s="626" t="s">
        <v>895</v>
      </c>
      <c r="Y307" s="626" t="s">
        <v>895</v>
      </c>
      <c r="Z307" s="626" t="s">
        <v>895</v>
      </c>
      <c r="AA307" s="626" t="s">
        <v>895</v>
      </c>
      <c r="AB307" s="631" t="s">
        <v>894</v>
      </c>
      <c r="AC307" s="631" t="s">
        <v>894</v>
      </c>
      <c r="AD307" s="626"/>
    </row>
    <row r="308" spans="2:30" ht="30">
      <c r="B308" s="625" t="s">
        <v>1290</v>
      </c>
      <c r="C308" s="625" t="s">
        <v>1286</v>
      </c>
      <c r="D308" s="627" t="s">
        <v>1287</v>
      </c>
      <c r="E308" s="626" t="s">
        <v>1098</v>
      </c>
      <c r="F308" s="625" t="s">
        <v>29</v>
      </c>
      <c r="G308" s="625" t="s">
        <v>892</v>
      </c>
      <c r="H308" s="625" t="s">
        <v>1036</v>
      </c>
      <c r="I308" s="625" t="s">
        <v>29</v>
      </c>
      <c r="J308" s="628" t="s">
        <v>1006</v>
      </c>
      <c r="K308" s="625"/>
      <c r="L308" s="626" t="s">
        <v>894</v>
      </c>
      <c r="M308" s="629" t="s">
        <v>894</v>
      </c>
      <c r="N308" s="626"/>
      <c r="O308" s="626"/>
      <c r="P308" s="626" t="s">
        <v>895</v>
      </c>
      <c r="Q308" s="626" t="s">
        <v>895</v>
      </c>
      <c r="R308" s="626" t="s">
        <v>895</v>
      </c>
      <c r="S308" s="626" t="s">
        <v>895</v>
      </c>
      <c r="T308" s="626" t="s">
        <v>895</v>
      </c>
      <c r="U308" s="626" t="s">
        <v>895</v>
      </c>
      <c r="V308" s="626" t="s">
        <v>895</v>
      </c>
      <c r="W308" s="626" t="s">
        <v>895</v>
      </c>
      <c r="X308" s="626" t="s">
        <v>895</v>
      </c>
      <c r="Y308" s="626" t="s">
        <v>895</v>
      </c>
      <c r="Z308" s="626" t="s">
        <v>895</v>
      </c>
      <c r="AA308" s="626" t="s">
        <v>895</v>
      </c>
      <c r="AB308" s="631" t="s">
        <v>894</v>
      </c>
      <c r="AC308" s="631" t="s">
        <v>894</v>
      </c>
      <c r="AD308" s="626"/>
    </row>
    <row r="309" spans="2:30" ht="30">
      <c r="B309" s="625" t="s">
        <v>1291</v>
      </c>
      <c r="C309" s="625" t="s">
        <v>1286</v>
      </c>
      <c r="D309" s="627" t="s">
        <v>1287</v>
      </c>
      <c r="E309" s="626" t="s">
        <v>1098</v>
      </c>
      <c r="F309" s="625" t="s">
        <v>29</v>
      </c>
      <c r="G309" s="625" t="s">
        <v>892</v>
      </c>
      <c r="H309" s="625" t="s">
        <v>1034</v>
      </c>
      <c r="I309" s="625" t="s">
        <v>29</v>
      </c>
      <c r="J309" s="628" t="s">
        <v>1006</v>
      </c>
      <c r="K309" s="625"/>
      <c r="L309" s="626" t="s">
        <v>894</v>
      </c>
      <c r="M309" s="629" t="s">
        <v>894</v>
      </c>
      <c r="N309" s="626"/>
      <c r="O309" s="626"/>
      <c r="P309" s="626" t="s">
        <v>895</v>
      </c>
      <c r="Q309" s="626" t="s">
        <v>895</v>
      </c>
      <c r="R309" s="626" t="s">
        <v>895</v>
      </c>
      <c r="S309" s="626" t="s">
        <v>895</v>
      </c>
      <c r="T309" s="626" t="s">
        <v>895</v>
      </c>
      <c r="U309" s="626" t="s">
        <v>895</v>
      </c>
      <c r="V309" s="626" t="s">
        <v>895</v>
      </c>
      <c r="W309" s="626" t="s">
        <v>895</v>
      </c>
      <c r="X309" s="626" t="s">
        <v>895</v>
      </c>
      <c r="Y309" s="626" t="s">
        <v>895</v>
      </c>
      <c r="Z309" s="626" t="s">
        <v>895</v>
      </c>
      <c r="AA309" s="626" t="s">
        <v>895</v>
      </c>
      <c r="AB309" s="631" t="s">
        <v>894</v>
      </c>
      <c r="AC309" s="631" t="s">
        <v>894</v>
      </c>
      <c r="AD309" s="626"/>
    </row>
    <row r="310" spans="2:30" ht="30">
      <c r="B310" s="625" t="s">
        <v>1292</v>
      </c>
      <c r="C310" s="625" t="s">
        <v>1286</v>
      </c>
      <c r="D310" s="627" t="s">
        <v>1287</v>
      </c>
      <c r="E310" s="626" t="s">
        <v>1098</v>
      </c>
      <c r="F310" s="625" t="s">
        <v>29</v>
      </c>
      <c r="G310" s="625" t="s">
        <v>892</v>
      </c>
      <c r="H310" s="625" t="s">
        <v>230</v>
      </c>
      <c r="I310" s="625" t="s">
        <v>29</v>
      </c>
      <c r="J310" s="628" t="s">
        <v>1006</v>
      </c>
      <c r="K310" s="625"/>
      <c r="L310" s="626" t="s">
        <v>894</v>
      </c>
      <c r="M310" s="629" t="s">
        <v>894</v>
      </c>
      <c r="N310" s="626"/>
      <c r="O310" s="626"/>
      <c r="P310" s="626" t="s">
        <v>895</v>
      </c>
      <c r="Q310" s="626" t="s">
        <v>895</v>
      </c>
      <c r="R310" s="626" t="s">
        <v>895</v>
      </c>
      <c r="S310" s="626" t="s">
        <v>895</v>
      </c>
      <c r="T310" s="626" t="s">
        <v>895</v>
      </c>
      <c r="U310" s="626" t="s">
        <v>895</v>
      </c>
      <c r="V310" s="626" t="s">
        <v>895</v>
      </c>
      <c r="W310" s="626" t="s">
        <v>895</v>
      </c>
      <c r="X310" s="626" t="s">
        <v>895</v>
      </c>
      <c r="Y310" s="626" t="s">
        <v>895</v>
      </c>
      <c r="Z310" s="626" t="s">
        <v>895</v>
      </c>
      <c r="AA310" s="626" t="s">
        <v>895</v>
      </c>
      <c r="AB310" s="631" t="s">
        <v>894</v>
      </c>
      <c r="AC310" s="631" t="s">
        <v>894</v>
      </c>
      <c r="AD310" s="626"/>
    </row>
    <row r="311" spans="2:30" ht="30">
      <c r="B311" s="625" t="s">
        <v>1293</v>
      </c>
      <c r="C311" s="625" t="s">
        <v>1294</v>
      </c>
      <c r="D311" s="627" t="s">
        <v>1295</v>
      </c>
      <c r="E311" s="626" t="s">
        <v>1098</v>
      </c>
      <c r="F311" s="625" t="s">
        <v>29</v>
      </c>
      <c r="G311" s="625" t="s">
        <v>892</v>
      </c>
      <c r="H311" s="625" t="s">
        <v>18</v>
      </c>
      <c r="I311" s="625" t="s">
        <v>29</v>
      </c>
      <c r="J311" s="628" t="s">
        <v>1006</v>
      </c>
      <c r="K311" s="625" t="s">
        <v>1281</v>
      </c>
      <c r="L311" s="626" t="s">
        <v>894</v>
      </c>
      <c r="M311" s="629" t="s">
        <v>894</v>
      </c>
      <c r="N311" s="626"/>
      <c r="O311" s="626"/>
      <c r="P311" s="626" t="s">
        <v>895</v>
      </c>
      <c r="Q311" s="626" t="s">
        <v>895</v>
      </c>
      <c r="R311" s="626" t="s">
        <v>895</v>
      </c>
      <c r="S311" s="626" t="s">
        <v>895</v>
      </c>
      <c r="T311" s="626" t="s">
        <v>895</v>
      </c>
      <c r="U311" s="626" t="s">
        <v>895</v>
      </c>
      <c r="V311" s="626" t="s">
        <v>895</v>
      </c>
      <c r="W311" s="626" t="s">
        <v>895</v>
      </c>
      <c r="X311" s="626" t="s">
        <v>895</v>
      </c>
      <c r="Y311" s="626" t="s">
        <v>895</v>
      </c>
      <c r="Z311" s="626" t="s">
        <v>895</v>
      </c>
      <c r="AA311" s="626" t="s">
        <v>895</v>
      </c>
      <c r="AB311" s="631" t="s">
        <v>894</v>
      </c>
      <c r="AC311" s="631" t="s">
        <v>894</v>
      </c>
      <c r="AD311" s="626"/>
    </row>
    <row r="312" spans="2:30" ht="30">
      <c r="B312" s="625" t="s">
        <v>1296</v>
      </c>
      <c r="C312" s="625" t="s">
        <v>1294</v>
      </c>
      <c r="D312" s="627" t="s">
        <v>1295</v>
      </c>
      <c r="E312" s="626" t="s">
        <v>1098</v>
      </c>
      <c r="F312" s="625" t="s">
        <v>29</v>
      </c>
      <c r="G312" s="625" t="s">
        <v>892</v>
      </c>
      <c r="H312" s="625" t="s">
        <v>997</v>
      </c>
      <c r="I312" s="625" t="s">
        <v>29</v>
      </c>
      <c r="J312" s="628" t="s">
        <v>1006</v>
      </c>
      <c r="K312" s="625"/>
      <c r="L312" s="626" t="s">
        <v>894</v>
      </c>
      <c r="M312" s="629" t="s">
        <v>894</v>
      </c>
      <c r="N312" s="626"/>
      <c r="O312" s="626"/>
      <c r="P312" s="626" t="s">
        <v>895</v>
      </c>
      <c r="Q312" s="626" t="s">
        <v>895</v>
      </c>
      <c r="R312" s="626" t="s">
        <v>895</v>
      </c>
      <c r="S312" s="626" t="s">
        <v>895</v>
      </c>
      <c r="T312" s="626" t="s">
        <v>895</v>
      </c>
      <c r="U312" s="626" t="s">
        <v>895</v>
      </c>
      <c r="V312" s="626" t="s">
        <v>895</v>
      </c>
      <c r="W312" s="626" t="s">
        <v>895</v>
      </c>
      <c r="X312" s="626" t="s">
        <v>895</v>
      </c>
      <c r="Y312" s="626" t="s">
        <v>895</v>
      </c>
      <c r="Z312" s="626" t="s">
        <v>895</v>
      </c>
      <c r="AA312" s="626" t="s">
        <v>895</v>
      </c>
      <c r="AB312" s="631" t="s">
        <v>894</v>
      </c>
      <c r="AC312" s="631" t="s">
        <v>894</v>
      </c>
      <c r="AD312" s="626"/>
    </row>
    <row r="313" spans="2:30" ht="30">
      <c r="B313" s="625" t="s">
        <v>1297</v>
      </c>
      <c r="C313" s="625" t="s">
        <v>1294</v>
      </c>
      <c r="D313" s="627" t="s">
        <v>1295</v>
      </c>
      <c r="E313" s="626" t="s">
        <v>1098</v>
      </c>
      <c r="F313" s="625" t="s">
        <v>29</v>
      </c>
      <c r="G313" s="625" t="s">
        <v>892</v>
      </c>
      <c r="H313" s="625" t="s">
        <v>1020</v>
      </c>
      <c r="I313" s="625" t="s">
        <v>29</v>
      </c>
      <c r="J313" s="628" t="s">
        <v>1006</v>
      </c>
      <c r="K313" s="625"/>
      <c r="L313" s="626" t="s">
        <v>894</v>
      </c>
      <c r="M313" s="629" t="s">
        <v>894</v>
      </c>
      <c r="N313" s="626"/>
      <c r="O313" s="626"/>
      <c r="P313" s="626" t="s">
        <v>895</v>
      </c>
      <c r="Q313" s="626" t="s">
        <v>895</v>
      </c>
      <c r="R313" s="626" t="s">
        <v>895</v>
      </c>
      <c r="S313" s="626" t="s">
        <v>895</v>
      </c>
      <c r="T313" s="626" t="s">
        <v>895</v>
      </c>
      <c r="U313" s="626" t="s">
        <v>895</v>
      </c>
      <c r="V313" s="626" t="s">
        <v>895</v>
      </c>
      <c r="W313" s="626" t="s">
        <v>895</v>
      </c>
      <c r="X313" s="626" t="s">
        <v>895</v>
      </c>
      <c r="Y313" s="626" t="s">
        <v>895</v>
      </c>
      <c r="Z313" s="626" t="s">
        <v>895</v>
      </c>
      <c r="AA313" s="626" t="s">
        <v>895</v>
      </c>
      <c r="AB313" s="631" t="s">
        <v>894</v>
      </c>
      <c r="AC313" s="631" t="s">
        <v>894</v>
      </c>
      <c r="AD313" s="626"/>
    </row>
    <row r="314" spans="2:30" ht="30">
      <c r="B314" s="625" t="s">
        <v>1298</v>
      </c>
      <c r="C314" s="625" t="s">
        <v>1294</v>
      </c>
      <c r="D314" s="627" t="s">
        <v>1295</v>
      </c>
      <c r="E314" s="626" t="s">
        <v>1098</v>
      </c>
      <c r="F314" s="625" t="s">
        <v>29</v>
      </c>
      <c r="G314" s="625" t="s">
        <v>892</v>
      </c>
      <c r="H314" s="625" t="s">
        <v>1036</v>
      </c>
      <c r="I314" s="625" t="s">
        <v>29</v>
      </c>
      <c r="J314" s="628" t="s">
        <v>1006</v>
      </c>
      <c r="K314" s="625"/>
      <c r="L314" s="626" t="s">
        <v>894</v>
      </c>
      <c r="M314" s="629" t="s">
        <v>894</v>
      </c>
      <c r="N314" s="626"/>
      <c r="O314" s="626"/>
      <c r="P314" s="626" t="s">
        <v>895</v>
      </c>
      <c r="Q314" s="626" t="s">
        <v>895</v>
      </c>
      <c r="R314" s="626" t="s">
        <v>895</v>
      </c>
      <c r="S314" s="626" t="s">
        <v>895</v>
      </c>
      <c r="T314" s="626" t="s">
        <v>895</v>
      </c>
      <c r="U314" s="626" t="s">
        <v>895</v>
      </c>
      <c r="V314" s="626" t="s">
        <v>895</v>
      </c>
      <c r="W314" s="626" t="s">
        <v>895</v>
      </c>
      <c r="X314" s="626" t="s">
        <v>895</v>
      </c>
      <c r="Y314" s="626" t="s">
        <v>895</v>
      </c>
      <c r="Z314" s="626" t="s">
        <v>895</v>
      </c>
      <c r="AA314" s="626" t="s">
        <v>895</v>
      </c>
      <c r="AB314" s="631" t="s">
        <v>894</v>
      </c>
      <c r="AC314" s="631" t="s">
        <v>894</v>
      </c>
      <c r="AD314" s="626"/>
    </row>
    <row r="315" spans="2:30" ht="30">
      <c r="B315" s="625" t="s">
        <v>1299</v>
      </c>
      <c r="C315" s="625" t="s">
        <v>1294</v>
      </c>
      <c r="D315" s="627" t="s">
        <v>1295</v>
      </c>
      <c r="E315" s="626" t="s">
        <v>1098</v>
      </c>
      <c r="F315" s="625" t="s">
        <v>29</v>
      </c>
      <c r="G315" s="625" t="s">
        <v>892</v>
      </c>
      <c r="H315" s="625" t="s">
        <v>1034</v>
      </c>
      <c r="I315" s="625" t="s">
        <v>29</v>
      </c>
      <c r="J315" s="628" t="s">
        <v>1006</v>
      </c>
      <c r="K315" s="625"/>
      <c r="L315" s="626" t="s">
        <v>894</v>
      </c>
      <c r="M315" s="629" t="s">
        <v>894</v>
      </c>
      <c r="N315" s="626"/>
      <c r="O315" s="626"/>
      <c r="P315" s="626" t="s">
        <v>895</v>
      </c>
      <c r="Q315" s="626" t="s">
        <v>895</v>
      </c>
      <c r="R315" s="626" t="s">
        <v>895</v>
      </c>
      <c r="S315" s="626" t="s">
        <v>895</v>
      </c>
      <c r="T315" s="626" t="s">
        <v>895</v>
      </c>
      <c r="U315" s="626" t="s">
        <v>895</v>
      </c>
      <c r="V315" s="626" t="s">
        <v>895</v>
      </c>
      <c r="W315" s="626" t="s">
        <v>895</v>
      </c>
      <c r="X315" s="626" t="s">
        <v>895</v>
      </c>
      <c r="Y315" s="626" t="s">
        <v>895</v>
      </c>
      <c r="Z315" s="626" t="s">
        <v>895</v>
      </c>
      <c r="AA315" s="626" t="s">
        <v>895</v>
      </c>
      <c r="AB315" s="631" t="s">
        <v>894</v>
      </c>
      <c r="AC315" s="631" t="s">
        <v>894</v>
      </c>
      <c r="AD315" s="626"/>
    </row>
    <row r="316" spans="2:30" ht="30">
      <c r="B316" s="625" t="s">
        <v>1300</v>
      </c>
      <c r="C316" s="625" t="s">
        <v>1294</v>
      </c>
      <c r="D316" s="627" t="s">
        <v>1295</v>
      </c>
      <c r="E316" s="626" t="s">
        <v>1098</v>
      </c>
      <c r="F316" s="625" t="s">
        <v>29</v>
      </c>
      <c r="G316" s="625" t="s">
        <v>892</v>
      </c>
      <c r="H316" s="625" t="s">
        <v>230</v>
      </c>
      <c r="I316" s="625" t="s">
        <v>29</v>
      </c>
      <c r="J316" s="628" t="s">
        <v>1006</v>
      </c>
      <c r="K316" s="625"/>
      <c r="L316" s="626" t="s">
        <v>894</v>
      </c>
      <c r="M316" s="629" t="s">
        <v>894</v>
      </c>
      <c r="N316" s="626"/>
      <c r="O316" s="626"/>
      <c r="P316" s="626" t="s">
        <v>895</v>
      </c>
      <c r="Q316" s="626" t="s">
        <v>895</v>
      </c>
      <c r="R316" s="626" t="s">
        <v>895</v>
      </c>
      <c r="S316" s="626" t="s">
        <v>895</v>
      </c>
      <c r="T316" s="626" t="s">
        <v>895</v>
      </c>
      <c r="U316" s="626" t="s">
        <v>895</v>
      </c>
      <c r="V316" s="626" t="s">
        <v>895</v>
      </c>
      <c r="W316" s="626" t="s">
        <v>895</v>
      </c>
      <c r="X316" s="626" t="s">
        <v>895</v>
      </c>
      <c r="Y316" s="626" t="s">
        <v>895</v>
      </c>
      <c r="Z316" s="626" t="s">
        <v>895</v>
      </c>
      <c r="AA316" s="626" t="s">
        <v>895</v>
      </c>
      <c r="AB316" s="631" t="s">
        <v>894</v>
      </c>
      <c r="AC316" s="631" t="s">
        <v>894</v>
      </c>
      <c r="AD316" s="626"/>
    </row>
    <row r="317" spans="2:30" ht="45">
      <c r="B317" s="625" t="s">
        <v>1301</v>
      </c>
      <c r="C317" s="625" t="s">
        <v>1302</v>
      </c>
      <c r="D317" s="627" t="s">
        <v>1303</v>
      </c>
      <c r="E317" s="626" t="s">
        <v>1098</v>
      </c>
      <c r="F317" s="625" t="s">
        <v>29</v>
      </c>
      <c r="G317" s="625" t="s">
        <v>892</v>
      </c>
      <c r="H317" s="625" t="s">
        <v>18</v>
      </c>
      <c r="I317" s="625" t="s">
        <v>29</v>
      </c>
      <c r="J317" s="628" t="s">
        <v>1053</v>
      </c>
      <c r="K317" s="625" t="s">
        <v>1281</v>
      </c>
      <c r="L317" s="626" t="s">
        <v>894</v>
      </c>
      <c r="M317" s="629" t="s">
        <v>894</v>
      </c>
      <c r="N317" s="626"/>
      <c r="O317" s="626"/>
      <c r="P317" s="626" t="s">
        <v>895</v>
      </c>
      <c r="Q317" s="626" t="s">
        <v>895</v>
      </c>
      <c r="R317" s="626" t="s">
        <v>895</v>
      </c>
      <c r="S317" s="626" t="s">
        <v>895</v>
      </c>
      <c r="T317" s="626" t="s">
        <v>895</v>
      </c>
      <c r="U317" s="626" t="s">
        <v>895</v>
      </c>
      <c r="V317" s="626" t="s">
        <v>895</v>
      </c>
      <c r="W317" s="626" t="s">
        <v>895</v>
      </c>
      <c r="X317" s="626" t="s">
        <v>895</v>
      </c>
      <c r="Y317" s="626" t="s">
        <v>895</v>
      </c>
      <c r="Z317" s="626" t="s">
        <v>895</v>
      </c>
      <c r="AA317" s="626" t="s">
        <v>895</v>
      </c>
      <c r="AB317" s="631" t="s">
        <v>894</v>
      </c>
      <c r="AC317" s="631" t="s">
        <v>894</v>
      </c>
      <c r="AD317" s="626"/>
    </row>
    <row r="318" spans="2:30" ht="45">
      <c r="B318" s="625" t="s">
        <v>1304</v>
      </c>
      <c r="C318" s="625" t="s">
        <v>1302</v>
      </c>
      <c r="D318" s="627" t="s">
        <v>1303</v>
      </c>
      <c r="E318" s="626" t="s">
        <v>1098</v>
      </c>
      <c r="F318" s="625" t="s">
        <v>29</v>
      </c>
      <c r="G318" s="625" t="s">
        <v>892</v>
      </c>
      <c r="H318" s="625" t="s">
        <v>997</v>
      </c>
      <c r="I318" s="625" t="s">
        <v>29</v>
      </c>
      <c r="J318" s="628" t="s">
        <v>1053</v>
      </c>
      <c r="K318" s="625"/>
      <c r="L318" s="626" t="s">
        <v>894</v>
      </c>
      <c r="M318" s="629" t="s">
        <v>894</v>
      </c>
      <c r="N318" s="626"/>
      <c r="O318" s="626"/>
      <c r="P318" s="626" t="s">
        <v>895</v>
      </c>
      <c r="Q318" s="626" t="s">
        <v>895</v>
      </c>
      <c r="R318" s="626" t="s">
        <v>895</v>
      </c>
      <c r="S318" s="626" t="s">
        <v>895</v>
      </c>
      <c r="T318" s="626" t="s">
        <v>895</v>
      </c>
      <c r="U318" s="626" t="s">
        <v>895</v>
      </c>
      <c r="V318" s="626" t="s">
        <v>895</v>
      </c>
      <c r="W318" s="626" t="s">
        <v>895</v>
      </c>
      <c r="X318" s="626" t="s">
        <v>895</v>
      </c>
      <c r="Y318" s="626" t="s">
        <v>895</v>
      </c>
      <c r="Z318" s="626" t="s">
        <v>895</v>
      </c>
      <c r="AA318" s="626" t="s">
        <v>895</v>
      </c>
      <c r="AB318" s="631" t="s">
        <v>894</v>
      </c>
      <c r="AC318" s="631" t="s">
        <v>894</v>
      </c>
      <c r="AD318" s="626"/>
    </row>
    <row r="319" spans="2:30" ht="45">
      <c r="B319" s="625" t="s">
        <v>1305</v>
      </c>
      <c r="C319" s="625" t="s">
        <v>1302</v>
      </c>
      <c r="D319" s="627" t="s">
        <v>1303</v>
      </c>
      <c r="E319" s="626" t="s">
        <v>1098</v>
      </c>
      <c r="F319" s="625" t="s">
        <v>29</v>
      </c>
      <c r="G319" s="625" t="s">
        <v>892</v>
      </c>
      <c r="H319" s="625" t="s">
        <v>1020</v>
      </c>
      <c r="I319" s="625" t="s">
        <v>29</v>
      </c>
      <c r="J319" s="628" t="s">
        <v>1053</v>
      </c>
      <c r="K319" s="625"/>
      <c r="L319" s="626" t="s">
        <v>894</v>
      </c>
      <c r="M319" s="629" t="s">
        <v>894</v>
      </c>
      <c r="N319" s="626"/>
      <c r="O319" s="626"/>
      <c r="P319" s="626" t="s">
        <v>895</v>
      </c>
      <c r="Q319" s="626" t="s">
        <v>895</v>
      </c>
      <c r="R319" s="626" t="s">
        <v>895</v>
      </c>
      <c r="S319" s="626" t="s">
        <v>895</v>
      </c>
      <c r="T319" s="626" t="s">
        <v>895</v>
      </c>
      <c r="U319" s="626" t="s">
        <v>895</v>
      </c>
      <c r="V319" s="626" t="s">
        <v>895</v>
      </c>
      <c r="W319" s="626" t="s">
        <v>895</v>
      </c>
      <c r="X319" s="626" t="s">
        <v>895</v>
      </c>
      <c r="Y319" s="626" t="s">
        <v>895</v>
      </c>
      <c r="Z319" s="626" t="s">
        <v>895</v>
      </c>
      <c r="AA319" s="626" t="s">
        <v>895</v>
      </c>
      <c r="AB319" s="631" t="s">
        <v>894</v>
      </c>
      <c r="AC319" s="631" t="s">
        <v>894</v>
      </c>
      <c r="AD319" s="626"/>
    </row>
    <row r="320" spans="2:30" ht="45">
      <c r="B320" s="625" t="s">
        <v>1306</v>
      </c>
      <c r="C320" s="625" t="s">
        <v>1302</v>
      </c>
      <c r="D320" s="627" t="s">
        <v>1303</v>
      </c>
      <c r="E320" s="626" t="s">
        <v>1098</v>
      </c>
      <c r="F320" s="625" t="s">
        <v>29</v>
      </c>
      <c r="G320" s="625" t="s">
        <v>892</v>
      </c>
      <c r="H320" s="625" t="s">
        <v>1036</v>
      </c>
      <c r="I320" s="625" t="s">
        <v>29</v>
      </c>
      <c r="J320" s="628" t="s">
        <v>1053</v>
      </c>
      <c r="K320" s="625"/>
      <c r="L320" s="626" t="s">
        <v>894</v>
      </c>
      <c r="M320" s="629" t="s">
        <v>894</v>
      </c>
      <c r="N320" s="626"/>
      <c r="O320" s="626"/>
      <c r="P320" s="626" t="s">
        <v>895</v>
      </c>
      <c r="Q320" s="626" t="s">
        <v>895</v>
      </c>
      <c r="R320" s="626" t="s">
        <v>895</v>
      </c>
      <c r="S320" s="626" t="s">
        <v>895</v>
      </c>
      <c r="T320" s="626" t="s">
        <v>895</v>
      </c>
      <c r="U320" s="626" t="s">
        <v>895</v>
      </c>
      <c r="V320" s="626" t="s">
        <v>895</v>
      </c>
      <c r="W320" s="626" t="s">
        <v>895</v>
      </c>
      <c r="X320" s="626" t="s">
        <v>895</v>
      </c>
      <c r="Y320" s="626" t="s">
        <v>895</v>
      </c>
      <c r="Z320" s="626" t="s">
        <v>895</v>
      </c>
      <c r="AA320" s="626" t="s">
        <v>895</v>
      </c>
      <c r="AB320" s="631" t="s">
        <v>894</v>
      </c>
      <c r="AC320" s="631" t="s">
        <v>894</v>
      </c>
      <c r="AD320" s="626"/>
    </row>
    <row r="321" spans="2:30" ht="45">
      <c r="B321" s="625" t="s">
        <v>1307</v>
      </c>
      <c r="C321" s="625" t="s">
        <v>1302</v>
      </c>
      <c r="D321" s="627" t="s">
        <v>1303</v>
      </c>
      <c r="E321" s="626" t="s">
        <v>1098</v>
      </c>
      <c r="F321" s="625" t="s">
        <v>29</v>
      </c>
      <c r="G321" s="625" t="s">
        <v>892</v>
      </c>
      <c r="H321" s="625" t="s">
        <v>1034</v>
      </c>
      <c r="I321" s="625" t="s">
        <v>29</v>
      </c>
      <c r="J321" s="628" t="s">
        <v>1053</v>
      </c>
      <c r="K321" s="625"/>
      <c r="L321" s="626" t="s">
        <v>894</v>
      </c>
      <c r="M321" s="629" t="s">
        <v>894</v>
      </c>
      <c r="N321" s="626"/>
      <c r="O321" s="626"/>
      <c r="P321" s="626" t="s">
        <v>895</v>
      </c>
      <c r="Q321" s="626" t="s">
        <v>895</v>
      </c>
      <c r="R321" s="626" t="s">
        <v>895</v>
      </c>
      <c r="S321" s="626" t="s">
        <v>895</v>
      </c>
      <c r="T321" s="626" t="s">
        <v>895</v>
      </c>
      <c r="U321" s="626" t="s">
        <v>895</v>
      </c>
      <c r="V321" s="626" t="s">
        <v>895</v>
      </c>
      <c r="W321" s="626" t="s">
        <v>895</v>
      </c>
      <c r="X321" s="626" t="s">
        <v>895</v>
      </c>
      <c r="Y321" s="626" t="s">
        <v>895</v>
      </c>
      <c r="Z321" s="626" t="s">
        <v>895</v>
      </c>
      <c r="AA321" s="626" t="s">
        <v>895</v>
      </c>
      <c r="AB321" s="631" t="s">
        <v>894</v>
      </c>
      <c r="AC321" s="631" t="s">
        <v>894</v>
      </c>
      <c r="AD321" s="626"/>
    </row>
    <row r="322" spans="2:30" ht="45">
      <c r="B322" s="625" t="s">
        <v>1308</v>
      </c>
      <c r="C322" s="625" t="s">
        <v>1302</v>
      </c>
      <c r="D322" s="627" t="s">
        <v>1303</v>
      </c>
      <c r="E322" s="626" t="s">
        <v>1098</v>
      </c>
      <c r="F322" s="625" t="s">
        <v>29</v>
      </c>
      <c r="G322" s="625" t="s">
        <v>892</v>
      </c>
      <c r="H322" s="625" t="s">
        <v>230</v>
      </c>
      <c r="I322" s="625" t="s">
        <v>29</v>
      </c>
      <c r="J322" s="628" t="s">
        <v>1053</v>
      </c>
      <c r="K322" s="625"/>
      <c r="L322" s="626" t="s">
        <v>894</v>
      </c>
      <c r="M322" s="629" t="s">
        <v>894</v>
      </c>
      <c r="N322" s="626"/>
      <c r="O322" s="626"/>
      <c r="P322" s="626" t="s">
        <v>895</v>
      </c>
      <c r="Q322" s="626" t="s">
        <v>895</v>
      </c>
      <c r="R322" s="626" t="s">
        <v>895</v>
      </c>
      <c r="S322" s="626" t="s">
        <v>895</v>
      </c>
      <c r="T322" s="626" t="s">
        <v>895</v>
      </c>
      <c r="U322" s="626" t="s">
        <v>895</v>
      </c>
      <c r="V322" s="626" t="s">
        <v>895</v>
      </c>
      <c r="W322" s="626" t="s">
        <v>895</v>
      </c>
      <c r="X322" s="626" t="s">
        <v>895</v>
      </c>
      <c r="Y322" s="626" t="s">
        <v>895</v>
      </c>
      <c r="Z322" s="626" t="s">
        <v>895</v>
      </c>
      <c r="AA322" s="626" t="s">
        <v>895</v>
      </c>
      <c r="AB322" s="631" t="s">
        <v>894</v>
      </c>
      <c r="AC322" s="631" t="s">
        <v>894</v>
      </c>
      <c r="AD322" s="626"/>
    </row>
    <row r="323" spans="2:30" ht="45">
      <c r="B323" s="625" t="s">
        <v>1309</v>
      </c>
      <c r="C323" s="625" t="s">
        <v>1310</v>
      </c>
      <c r="D323" s="627" t="s">
        <v>1311</v>
      </c>
      <c r="E323" s="626" t="s">
        <v>1312</v>
      </c>
      <c r="F323" s="625" t="s">
        <v>29</v>
      </c>
      <c r="G323" s="625" t="s">
        <v>892</v>
      </c>
      <c r="H323" s="625" t="s">
        <v>884</v>
      </c>
      <c r="I323" s="625" t="s">
        <v>1258</v>
      </c>
      <c r="J323" s="628" t="s">
        <v>1006</v>
      </c>
      <c r="K323" s="625" t="s">
        <v>1281</v>
      </c>
      <c r="L323" s="626" t="s">
        <v>894</v>
      </c>
      <c r="M323" s="629" t="s">
        <v>894</v>
      </c>
      <c r="N323" s="626"/>
      <c r="O323" s="626"/>
      <c r="P323" s="626" t="s">
        <v>895</v>
      </c>
      <c r="Q323" s="626" t="s">
        <v>895</v>
      </c>
      <c r="R323" s="626" t="s">
        <v>895</v>
      </c>
      <c r="S323" s="626" t="s">
        <v>895</v>
      </c>
      <c r="T323" s="626" t="s">
        <v>895</v>
      </c>
      <c r="U323" s="626" t="s">
        <v>895</v>
      </c>
      <c r="V323" s="626" t="s">
        <v>895</v>
      </c>
      <c r="W323" s="626" t="s">
        <v>895</v>
      </c>
      <c r="X323" s="626" t="s">
        <v>895</v>
      </c>
      <c r="Y323" s="626" t="s">
        <v>895</v>
      </c>
      <c r="Z323" s="626" t="s">
        <v>895</v>
      </c>
      <c r="AA323" s="626" t="s">
        <v>895</v>
      </c>
      <c r="AB323" s="631" t="s">
        <v>894</v>
      </c>
      <c r="AC323" s="631" t="s">
        <v>894</v>
      </c>
      <c r="AD323" s="626"/>
    </row>
    <row r="324" spans="2:30" ht="30">
      <c r="B324" s="625" t="s">
        <v>1313</v>
      </c>
      <c r="C324" s="625" t="s">
        <v>1314</v>
      </c>
      <c r="D324" s="627" t="s">
        <v>1315</v>
      </c>
      <c r="E324" s="626" t="s">
        <v>1312</v>
      </c>
      <c r="F324" s="625" t="s">
        <v>29</v>
      </c>
      <c r="G324" s="625" t="s">
        <v>892</v>
      </c>
      <c r="H324" s="625" t="s">
        <v>884</v>
      </c>
      <c r="I324" s="625" t="s">
        <v>1258</v>
      </c>
      <c r="J324" s="628" t="s">
        <v>1053</v>
      </c>
      <c r="K324" s="625" t="s">
        <v>1281</v>
      </c>
      <c r="L324" s="626" t="s">
        <v>894</v>
      </c>
      <c r="M324" s="629" t="s">
        <v>894</v>
      </c>
      <c r="N324" s="626"/>
      <c r="O324" s="626"/>
      <c r="P324" s="626" t="s">
        <v>895</v>
      </c>
      <c r="Q324" s="626" t="s">
        <v>895</v>
      </c>
      <c r="R324" s="626" t="s">
        <v>895</v>
      </c>
      <c r="S324" s="626" t="s">
        <v>895</v>
      </c>
      <c r="T324" s="626" t="s">
        <v>895</v>
      </c>
      <c r="U324" s="626" t="s">
        <v>895</v>
      </c>
      <c r="V324" s="626" t="s">
        <v>895</v>
      </c>
      <c r="W324" s="626" t="s">
        <v>895</v>
      </c>
      <c r="X324" s="626" t="s">
        <v>895</v>
      </c>
      <c r="Y324" s="626" t="s">
        <v>895</v>
      </c>
      <c r="Z324" s="626" t="s">
        <v>895</v>
      </c>
      <c r="AA324" s="626" t="s">
        <v>895</v>
      </c>
      <c r="AB324" s="631" t="s">
        <v>894</v>
      </c>
      <c r="AC324" s="631" t="s">
        <v>894</v>
      </c>
      <c r="AD324" s="626"/>
    </row>
    <row r="325" spans="2:30" ht="30">
      <c r="B325" s="625" t="s">
        <v>1316</v>
      </c>
      <c r="C325" s="625" t="s">
        <v>1317</v>
      </c>
      <c r="D325" s="627" t="s">
        <v>1318</v>
      </c>
      <c r="E325" s="626" t="s">
        <v>1312</v>
      </c>
      <c r="F325" s="625" t="s">
        <v>29</v>
      </c>
      <c r="G325" s="625" t="s">
        <v>892</v>
      </c>
      <c r="H325" s="625" t="s">
        <v>884</v>
      </c>
      <c r="I325" s="625" t="s">
        <v>1258</v>
      </c>
      <c r="J325" s="628" t="s">
        <v>1006</v>
      </c>
      <c r="K325" s="625" t="s">
        <v>1281</v>
      </c>
      <c r="L325" s="626" t="s">
        <v>894</v>
      </c>
      <c r="M325" s="629" t="s">
        <v>894</v>
      </c>
      <c r="N325" s="626"/>
      <c r="O325" s="626"/>
      <c r="P325" s="626" t="s">
        <v>895</v>
      </c>
      <c r="Q325" s="626" t="s">
        <v>895</v>
      </c>
      <c r="R325" s="626" t="s">
        <v>895</v>
      </c>
      <c r="S325" s="626" t="s">
        <v>895</v>
      </c>
      <c r="T325" s="626" t="s">
        <v>895</v>
      </c>
      <c r="U325" s="626" t="s">
        <v>895</v>
      </c>
      <c r="V325" s="626" t="s">
        <v>895</v>
      </c>
      <c r="W325" s="626" t="s">
        <v>895</v>
      </c>
      <c r="X325" s="626" t="s">
        <v>895</v>
      </c>
      <c r="Y325" s="626" t="s">
        <v>895</v>
      </c>
      <c r="Z325" s="626" t="s">
        <v>895</v>
      </c>
      <c r="AA325" s="626" t="s">
        <v>895</v>
      </c>
      <c r="AB325" s="631" t="s">
        <v>894</v>
      </c>
      <c r="AC325" s="631" t="s">
        <v>894</v>
      </c>
      <c r="AD325" s="626"/>
    </row>
    <row r="326" spans="2:30" ht="30">
      <c r="B326" s="625" t="s">
        <v>1319</v>
      </c>
      <c r="C326" s="625" t="s">
        <v>1320</v>
      </c>
      <c r="D326" s="627" t="s">
        <v>1321</v>
      </c>
      <c r="E326" s="626" t="s">
        <v>1312</v>
      </c>
      <c r="F326" s="625" t="s">
        <v>29</v>
      </c>
      <c r="G326" s="625" t="s">
        <v>892</v>
      </c>
      <c r="H326" s="625" t="s">
        <v>884</v>
      </c>
      <c r="I326" s="625" t="s">
        <v>1258</v>
      </c>
      <c r="J326" s="628" t="s">
        <v>1053</v>
      </c>
      <c r="K326" s="625" t="s">
        <v>1281</v>
      </c>
      <c r="L326" s="626" t="s">
        <v>894</v>
      </c>
      <c r="M326" s="629" t="s">
        <v>894</v>
      </c>
      <c r="N326" s="626"/>
      <c r="O326" s="626"/>
      <c r="P326" s="626" t="s">
        <v>895</v>
      </c>
      <c r="Q326" s="626" t="s">
        <v>895</v>
      </c>
      <c r="R326" s="626" t="s">
        <v>895</v>
      </c>
      <c r="S326" s="626" t="s">
        <v>895</v>
      </c>
      <c r="T326" s="626" t="s">
        <v>895</v>
      </c>
      <c r="U326" s="626" t="s">
        <v>895</v>
      </c>
      <c r="V326" s="626" t="s">
        <v>895</v>
      </c>
      <c r="W326" s="626" t="s">
        <v>895</v>
      </c>
      <c r="X326" s="626" t="s">
        <v>895</v>
      </c>
      <c r="Y326" s="626" t="s">
        <v>895</v>
      </c>
      <c r="Z326" s="626" t="s">
        <v>895</v>
      </c>
      <c r="AA326" s="626" t="s">
        <v>895</v>
      </c>
      <c r="AB326" s="631" t="s">
        <v>894</v>
      </c>
      <c r="AC326" s="631" t="s">
        <v>894</v>
      </c>
      <c r="AD326" s="626"/>
    </row>
    <row r="327" spans="2:30" ht="75">
      <c r="B327" s="625" t="s">
        <v>1322</v>
      </c>
      <c r="C327" s="625" t="s">
        <v>1323</v>
      </c>
      <c r="D327" s="627" t="s">
        <v>1324</v>
      </c>
      <c r="E327" s="626" t="s">
        <v>1325</v>
      </c>
      <c r="F327" s="625" t="s">
        <v>29</v>
      </c>
      <c r="G327" s="625" t="s">
        <v>892</v>
      </c>
      <c r="H327" s="625" t="s">
        <v>884</v>
      </c>
      <c r="I327" s="625" t="s">
        <v>885</v>
      </c>
      <c r="J327" s="628" t="s">
        <v>904</v>
      </c>
      <c r="K327" s="625" t="s">
        <v>1281</v>
      </c>
      <c r="L327" s="626" t="s">
        <v>894</v>
      </c>
      <c r="M327" s="629" t="s">
        <v>894</v>
      </c>
      <c r="N327" s="626"/>
      <c r="O327" s="626"/>
      <c r="P327" s="626" t="s">
        <v>895</v>
      </c>
      <c r="Q327" s="626" t="s">
        <v>895</v>
      </c>
      <c r="R327" s="626" t="s">
        <v>895</v>
      </c>
      <c r="S327" s="626" t="s">
        <v>895</v>
      </c>
      <c r="T327" s="626" t="s">
        <v>895</v>
      </c>
      <c r="U327" s="626" t="s">
        <v>895</v>
      </c>
      <c r="V327" s="626" t="s">
        <v>895</v>
      </c>
      <c r="W327" s="626" t="s">
        <v>895</v>
      </c>
      <c r="X327" s="626" t="s">
        <v>895</v>
      </c>
      <c r="Y327" s="626" t="s">
        <v>895</v>
      </c>
      <c r="Z327" s="626" t="s">
        <v>895</v>
      </c>
      <c r="AA327" s="626" t="s">
        <v>895</v>
      </c>
      <c r="AB327" s="631" t="s">
        <v>894</v>
      </c>
      <c r="AC327" s="631" t="s">
        <v>894</v>
      </c>
      <c r="AD327" s="626"/>
    </row>
    <row r="328" spans="2:30" ht="75">
      <c r="B328" s="625" t="s">
        <v>1326</v>
      </c>
      <c r="C328" s="625" t="s">
        <v>1323</v>
      </c>
      <c r="D328" s="627" t="s">
        <v>1324</v>
      </c>
      <c r="E328" s="626" t="s">
        <v>1325</v>
      </c>
      <c r="F328" s="625" t="s">
        <v>29</v>
      </c>
      <c r="G328" s="625" t="s">
        <v>892</v>
      </c>
      <c r="H328" s="625" t="s">
        <v>884</v>
      </c>
      <c r="I328" s="625" t="s">
        <v>885</v>
      </c>
      <c r="J328" s="628" t="s">
        <v>890</v>
      </c>
      <c r="K328" s="625"/>
      <c r="L328" s="626" t="s">
        <v>894</v>
      </c>
      <c r="M328" s="629" t="s">
        <v>894</v>
      </c>
      <c r="N328" s="626"/>
      <c r="O328" s="626"/>
      <c r="P328" s="626" t="s">
        <v>895</v>
      </c>
      <c r="Q328" s="626" t="s">
        <v>895</v>
      </c>
      <c r="R328" s="626" t="s">
        <v>895</v>
      </c>
      <c r="S328" s="626" t="s">
        <v>895</v>
      </c>
      <c r="T328" s="626" t="s">
        <v>895</v>
      </c>
      <c r="U328" s="626" t="s">
        <v>895</v>
      </c>
      <c r="V328" s="626" t="s">
        <v>895</v>
      </c>
      <c r="W328" s="626" t="s">
        <v>895</v>
      </c>
      <c r="X328" s="626" t="s">
        <v>895</v>
      </c>
      <c r="Y328" s="626" t="s">
        <v>895</v>
      </c>
      <c r="Z328" s="626" t="s">
        <v>895</v>
      </c>
      <c r="AA328" s="626" t="s">
        <v>895</v>
      </c>
      <c r="AB328" s="631" t="s">
        <v>894</v>
      </c>
      <c r="AC328" s="631" t="s">
        <v>894</v>
      </c>
      <c r="AD328" s="626"/>
    </row>
    <row r="329" spans="2:30" ht="75">
      <c r="B329" s="625" t="s">
        <v>1327</v>
      </c>
      <c r="C329" s="625" t="s">
        <v>1323</v>
      </c>
      <c r="D329" s="627" t="s">
        <v>1324</v>
      </c>
      <c r="E329" s="626" t="s">
        <v>1325</v>
      </c>
      <c r="F329" s="625" t="s">
        <v>29</v>
      </c>
      <c r="G329" s="625" t="s">
        <v>892</v>
      </c>
      <c r="H329" s="625" t="s">
        <v>884</v>
      </c>
      <c r="I329" s="625" t="s">
        <v>885</v>
      </c>
      <c r="J329" s="628" t="s">
        <v>908</v>
      </c>
      <c r="K329" s="625"/>
      <c r="L329" s="626" t="s">
        <v>894</v>
      </c>
      <c r="M329" s="629" t="s">
        <v>894</v>
      </c>
      <c r="N329" s="626"/>
      <c r="O329" s="626"/>
      <c r="P329" s="626" t="s">
        <v>895</v>
      </c>
      <c r="Q329" s="626" t="s">
        <v>895</v>
      </c>
      <c r="R329" s="626" t="s">
        <v>895</v>
      </c>
      <c r="S329" s="626" t="s">
        <v>895</v>
      </c>
      <c r="T329" s="626" t="s">
        <v>895</v>
      </c>
      <c r="U329" s="626" t="s">
        <v>895</v>
      </c>
      <c r="V329" s="626" t="s">
        <v>895</v>
      </c>
      <c r="W329" s="626" t="s">
        <v>895</v>
      </c>
      <c r="X329" s="626" t="s">
        <v>895</v>
      </c>
      <c r="Y329" s="626" t="s">
        <v>895</v>
      </c>
      <c r="Z329" s="626" t="s">
        <v>895</v>
      </c>
      <c r="AA329" s="626" t="s">
        <v>895</v>
      </c>
      <c r="AB329" s="631" t="s">
        <v>894</v>
      </c>
      <c r="AC329" s="631" t="s">
        <v>894</v>
      </c>
      <c r="AD329" s="626"/>
    </row>
    <row r="330" spans="2:30" ht="75">
      <c r="B330" s="625" t="s">
        <v>1328</v>
      </c>
      <c r="C330" s="625" t="s">
        <v>1323</v>
      </c>
      <c r="D330" s="627" t="s">
        <v>1324</v>
      </c>
      <c r="E330" s="626" t="s">
        <v>1325</v>
      </c>
      <c r="F330" s="625" t="s">
        <v>29</v>
      </c>
      <c r="G330" s="625" t="s">
        <v>892</v>
      </c>
      <c r="H330" s="625" t="s">
        <v>884</v>
      </c>
      <c r="I330" s="625" t="s">
        <v>885</v>
      </c>
      <c r="J330" s="628" t="s">
        <v>906</v>
      </c>
      <c r="K330" s="625"/>
      <c r="L330" s="626" t="s">
        <v>894</v>
      </c>
      <c r="M330" s="629" t="s">
        <v>894</v>
      </c>
      <c r="N330" s="626"/>
      <c r="O330" s="626"/>
      <c r="P330" s="626" t="s">
        <v>895</v>
      </c>
      <c r="Q330" s="626" t="s">
        <v>895</v>
      </c>
      <c r="R330" s="626" t="s">
        <v>895</v>
      </c>
      <c r="S330" s="626" t="s">
        <v>895</v>
      </c>
      <c r="T330" s="626" t="s">
        <v>895</v>
      </c>
      <c r="U330" s="626" t="s">
        <v>895</v>
      </c>
      <c r="V330" s="626" t="s">
        <v>895</v>
      </c>
      <c r="W330" s="626" t="s">
        <v>895</v>
      </c>
      <c r="X330" s="626" t="s">
        <v>895</v>
      </c>
      <c r="Y330" s="626" t="s">
        <v>895</v>
      </c>
      <c r="Z330" s="626" t="s">
        <v>895</v>
      </c>
      <c r="AA330" s="626" t="s">
        <v>895</v>
      </c>
      <c r="AB330" s="631" t="s">
        <v>894</v>
      </c>
      <c r="AC330" s="631" t="s">
        <v>894</v>
      </c>
      <c r="AD330" s="626"/>
    </row>
    <row r="331" spans="2:30" ht="75">
      <c r="B331" s="625" t="s">
        <v>1329</v>
      </c>
      <c r="C331" s="625" t="s">
        <v>1323</v>
      </c>
      <c r="D331" s="627" t="s">
        <v>1324</v>
      </c>
      <c r="E331" s="626" t="s">
        <v>1325</v>
      </c>
      <c r="F331" s="625" t="s">
        <v>29</v>
      </c>
      <c r="G331" s="625" t="s">
        <v>892</v>
      </c>
      <c r="H331" s="625" t="s">
        <v>884</v>
      </c>
      <c r="I331" s="625" t="s">
        <v>885</v>
      </c>
      <c r="J331" s="628" t="s">
        <v>896</v>
      </c>
      <c r="K331" s="625"/>
      <c r="L331" s="626" t="s">
        <v>894</v>
      </c>
      <c r="M331" s="629" t="s">
        <v>894</v>
      </c>
      <c r="N331" s="626"/>
      <c r="O331" s="626"/>
      <c r="P331" s="626" t="s">
        <v>895</v>
      </c>
      <c r="Q331" s="626" t="s">
        <v>895</v>
      </c>
      <c r="R331" s="626" t="s">
        <v>895</v>
      </c>
      <c r="S331" s="626" t="s">
        <v>895</v>
      </c>
      <c r="T331" s="626" t="s">
        <v>895</v>
      </c>
      <c r="U331" s="626" t="s">
        <v>895</v>
      </c>
      <c r="V331" s="626" t="s">
        <v>895</v>
      </c>
      <c r="W331" s="626" t="s">
        <v>895</v>
      </c>
      <c r="X331" s="626" t="s">
        <v>895</v>
      </c>
      <c r="Y331" s="626" t="s">
        <v>895</v>
      </c>
      <c r="Z331" s="626" t="s">
        <v>895</v>
      </c>
      <c r="AA331" s="626" t="s">
        <v>895</v>
      </c>
      <c r="AB331" s="631" t="s">
        <v>894</v>
      </c>
      <c r="AC331" s="631" t="s">
        <v>894</v>
      </c>
      <c r="AD331" s="626"/>
    </row>
    <row r="332" spans="2:30" ht="75">
      <c r="B332" s="625" t="s">
        <v>1330</v>
      </c>
      <c r="C332" s="625" t="s">
        <v>1323</v>
      </c>
      <c r="D332" s="627" t="s">
        <v>1324</v>
      </c>
      <c r="E332" s="626" t="s">
        <v>1325</v>
      </c>
      <c r="F332" s="625" t="s">
        <v>29</v>
      </c>
      <c r="G332" s="625" t="s">
        <v>892</v>
      </c>
      <c r="H332" s="625" t="s">
        <v>884</v>
      </c>
      <c r="I332" s="625" t="s">
        <v>885</v>
      </c>
      <c r="J332" s="628" t="s">
        <v>910</v>
      </c>
      <c r="K332" s="625"/>
      <c r="L332" s="626" t="s">
        <v>894</v>
      </c>
      <c r="M332" s="629" t="s">
        <v>894</v>
      </c>
      <c r="N332" s="626"/>
      <c r="O332" s="626"/>
      <c r="P332" s="626" t="s">
        <v>895</v>
      </c>
      <c r="Q332" s="626" t="s">
        <v>895</v>
      </c>
      <c r="R332" s="626" t="s">
        <v>895</v>
      </c>
      <c r="S332" s="626" t="s">
        <v>895</v>
      </c>
      <c r="T332" s="626" t="s">
        <v>895</v>
      </c>
      <c r="U332" s="626" t="s">
        <v>895</v>
      </c>
      <c r="V332" s="626" t="s">
        <v>895</v>
      </c>
      <c r="W332" s="626" t="s">
        <v>895</v>
      </c>
      <c r="X332" s="626" t="s">
        <v>895</v>
      </c>
      <c r="Y332" s="626" t="s">
        <v>895</v>
      </c>
      <c r="Z332" s="626" t="s">
        <v>895</v>
      </c>
      <c r="AA332" s="626" t="s">
        <v>895</v>
      </c>
      <c r="AB332" s="631" t="s">
        <v>894</v>
      </c>
      <c r="AC332" s="631" t="s">
        <v>894</v>
      </c>
      <c r="AD332" s="626"/>
    </row>
    <row r="333" spans="2:30" ht="30">
      <c r="B333" s="625" t="s">
        <v>1331</v>
      </c>
      <c r="C333" s="625" t="s">
        <v>1331</v>
      </c>
      <c r="D333" s="627" t="s">
        <v>1332</v>
      </c>
      <c r="E333" s="626" t="s">
        <v>1312</v>
      </c>
      <c r="F333" s="625" t="s">
        <v>29</v>
      </c>
      <c r="G333" s="625" t="s">
        <v>892</v>
      </c>
      <c r="H333" s="625" t="s">
        <v>884</v>
      </c>
      <c r="I333" s="625" t="s">
        <v>1258</v>
      </c>
      <c r="J333" s="628" t="s">
        <v>1053</v>
      </c>
      <c r="K333" s="625" t="s">
        <v>1281</v>
      </c>
      <c r="L333" s="626" t="s">
        <v>894</v>
      </c>
      <c r="M333" s="629" t="s">
        <v>894</v>
      </c>
      <c r="N333" s="626"/>
      <c r="O333" s="626"/>
      <c r="P333" s="626" t="s">
        <v>895</v>
      </c>
      <c r="Q333" s="626" t="s">
        <v>895</v>
      </c>
      <c r="R333" s="626" t="s">
        <v>895</v>
      </c>
      <c r="S333" s="626" t="s">
        <v>895</v>
      </c>
      <c r="T333" s="626" t="s">
        <v>895</v>
      </c>
      <c r="U333" s="626" t="s">
        <v>895</v>
      </c>
      <c r="V333" s="626" t="s">
        <v>895</v>
      </c>
      <c r="W333" s="626" t="s">
        <v>895</v>
      </c>
      <c r="X333" s="626" t="s">
        <v>895</v>
      </c>
      <c r="Y333" s="626" t="s">
        <v>895</v>
      </c>
      <c r="Z333" s="626" t="s">
        <v>895</v>
      </c>
      <c r="AA333" s="626" t="s">
        <v>895</v>
      </c>
      <c r="AB333" s="631" t="s">
        <v>894</v>
      </c>
      <c r="AC333" s="631" t="s">
        <v>894</v>
      </c>
      <c r="AD333" s="626"/>
    </row>
    <row r="334" spans="2:30" ht="60">
      <c r="B334" s="625" t="s">
        <v>1333</v>
      </c>
      <c r="C334" s="625" t="s">
        <v>1334</v>
      </c>
      <c r="D334" s="627" t="s">
        <v>1335</v>
      </c>
      <c r="E334" s="626" t="s">
        <v>1098</v>
      </c>
      <c r="F334" s="625" t="s">
        <v>29</v>
      </c>
      <c r="G334" s="625" t="s">
        <v>892</v>
      </c>
      <c r="H334" s="625" t="s">
        <v>18</v>
      </c>
      <c r="I334" s="625" t="s">
        <v>29</v>
      </c>
      <c r="J334" s="628" t="s">
        <v>1006</v>
      </c>
      <c r="K334" s="625" t="s">
        <v>1281</v>
      </c>
      <c r="L334" s="626" t="s">
        <v>894</v>
      </c>
      <c r="M334" s="629" t="s">
        <v>894</v>
      </c>
      <c r="N334" s="626"/>
      <c r="O334" s="626"/>
      <c r="P334" s="626" t="s">
        <v>895</v>
      </c>
      <c r="Q334" s="626" t="s">
        <v>895</v>
      </c>
      <c r="R334" s="626" t="s">
        <v>895</v>
      </c>
      <c r="S334" s="626" t="s">
        <v>895</v>
      </c>
      <c r="T334" s="626" t="s">
        <v>895</v>
      </c>
      <c r="U334" s="626" t="s">
        <v>895</v>
      </c>
      <c r="V334" s="626" t="s">
        <v>895</v>
      </c>
      <c r="W334" s="626" t="s">
        <v>895</v>
      </c>
      <c r="X334" s="626" t="s">
        <v>895</v>
      </c>
      <c r="Y334" s="626" t="s">
        <v>895</v>
      </c>
      <c r="Z334" s="626" t="s">
        <v>895</v>
      </c>
      <c r="AA334" s="626" t="s">
        <v>895</v>
      </c>
      <c r="AB334" s="631" t="s">
        <v>894</v>
      </c>
      <c r="AC334" s="631" t="s">
        <v>894</v>
      </c>
      <c r="AD334" s="626"/>
    </row>
    <row r="335" spans="2:30" ht="60">
      <c r="B335" s="625" t="s">
        <v>1336</v>
      </c>
      <c r="C335" s="625" t="s">
        <v>1334</v>
      </c>
      <c r="D335" s="627" t="s">
        <v>1335</v>
      </c>
      <c r="E335" s="626" t="s">
        <v>1098</v>
      </c>
      <c r="F335" s="625" t="s">
        <v>29</v>
      </c>
      <c r="G335" s="625" t="s">
        <v>892</v>
      </c>
      <c r="H335" s="625" t="s">
        <v>997</v>
      </c>
      <c r="I335" s="625" t="s">
        <v>29</v>
      </c>
      <c r="J335" s="628" t="s">
        <v>1006</v>
      </c>
      <c r="K335" s="625"/>
      <c r="L335" s="626" t="s">
        <v>894</v>
      </c>
      <c r="M335" s="629" t="s">
        <v>894</v>
      </c>
      <c r="N335" s="626"/>
      <c r="O335" s="626"/>
      <c r="P335" s="626" t="s">
        <v>895</v>
      </c>
      <c r="Q335" s="626" t="s">
        <v>895</v>
      </c>
      <c r="R335" s="626" t="s">
        <v>895</v>
      </c>
      <c r="S335" s="626" t="s">
        <v>895</v>
      </c>
      <c r="T335" s="626" t="s">
        <v>895</v>
      </c>
      <c r="U335" s="626" t="s">
        <v>895</v>
      </c>
      <c r="V335" s="626" t="s">
        <v>895</v>
      </c>
      <c r="W335" s="626" t="s">
        <v>895</v>
      </c>
      <c r="X335" s="626" t="s">
        <v>895</v>
      </c>
      <c r="Y335" s="626" t="s">
        <v>895</v>
      </c>
      <c r="Z335" s="626" t="s">
        <v>895</v>
      </c>
      <c r="AA335" s="626" t="s">
        <v>895</v>
      </c>
      <c r="AB335" s="631" t="s">
        <v>894</v>
      </c>
      <c r="AC335" s="631" t="s">
        <v>894</v>
      </c>
      <c r="AD335" s="626"/>
    </row>
    <row r="336" spans="2:30" ht="60">
      <c r="B336" s="625" t="s">
        <v>1337</v>
      </c>
      <c r="C336" s="625" t="s">
        <v>1334</v>
      </c>
      <c r="D336" s="627" t="s">
        <v>1335</v>
      </c>
      <c r="E336" s="626" t="s">
        <v>1098</v>
      </c>
      <c r="F336" s="625" t="s">
        <v>29</v>
      </c>
      <c r="G336" s="625" t="s">
        <v>892</v>
      </c>
      <c r="H336" s="625" t="s">
        <v>1020</v>
      </c>
      <c r="I336" s="625" t="s">
        <v>29</v>
      </c>
      <c r="J336" s="628" t="s">
        <v>1006</v>
      </c>
      <c r="K336" s="625"/>
      <c r="L336" s="626" t="s">
        <v>894</v>
      </c>
      <c r="M336" s="629" t="s">
        <v>894</v>
      </c>
      <c r="N336" s="626"/>
      <c r="O336" s="626"/>
      <c r="P336" s="626" t="s">
        <v>895</v>
      </c>
      <c r="Q336" s="626" t="s">
        <v>895</v>
      </c>
      <c r="R336" s="626" t="s">
        <v>895</v>
      </c>
      <c r="S336" s="626" t="s">
        <v>895</v>
      </c>
      <c r="T336" s="626" t="s">
        <v>895</v>
      </c>
      <c r="U336" s="626" t="s">
        <v>895</v>
      </c>
      <c r="V336" s="626" t="s">
        <v>895</v>
      </c>
      <c r="W336" s="626" t="s">
        <v>895</v>
      </c>
      <c r="X336" s="626" t="s">
        <v>895</v>
      </c>
      <c r="Y336" s="626" t="s">
        <v>895</v>
      </c>
      <c r="Z336" s="626" t="s">
        <v>895</v>
      </c>
      <c r="AA336" s="626" t="s">
        <v>895</v>
      </c>
      <c r="AB336" s="631" t="s">
        <v>894</v>
      </c>
      <c r="AC336" s="631" t="s">
        <v>894</v>
      </c>
      <c r="AD336" s="626"/>
    </row>
    <row r="337" spans="2:30" ht="60">
      <c r="B337" s="625" t="s">
        <v>1338</v>
      </c>
      <c r="C337" s="625" t="s">
        <v>1334</v>
      </c>
      <c r="D337" s="627" t="s">
        <v>1335</v>
      </c>
      <c r="E337" s="626" t="s">
        <v>1098</v>
      </c>
      <c r="F337" s="625" t="s">
        <v>29</v>
      </c>
      <c r="G337" s="625" t="s">
        <v>892</v>
      </c>
      <c r="H337" s="625" t="s">
        <v>1036</v>
      </c>
      <c r="I337" s="625" t="s">
        <v>29</v>
      </c>
      <c r="J337" s="628" t="s">
        <v>1006</v>
      </c>
      <c r="K337" s="625"/>
      <c r="L337" s="626" t="s">
        <v>894</v>
      </c>
      <c r="M337" s="629" t="s">
        <v>894</v>
      </c>
      <c r="N337" s="626"/>
      <c r="O337" s="626"/>
      <c r="P337" s="626" t="s">
        <v>895</v>
      </c>
      <c r="Q337" s="626" t="s">
        <v>895</v>
      </c>
      <c r="R337" s="626" t="s">
        <v>895</v>
      </c>
      <c r="S337" s="626" t="s">
        <v>895</v>
      </c>
      <c r="T337" s="626" t="s">
        <v>895</v>
      </c>
      <c r="U337" s="626" t="s">
        <v>895</v>
      </c>
      <c r="V337" s="626" t="s">
        <v>895</v>
      </c>
      <c r="W337" s="626" t="s">
        <v>895</v>
      </c>
      <c r="X337" s="626" t="s">
        <v>895</v>
      </c>
      <c r="Y337" s="626" t="s">
        <v>895</v>
      </c>
      <c r="Z337" s="626" t="s">
        <v>895</v>
      </c>
      <c r="AA337" s="626" t="s">
        <v>895</v>
      </c>
      <c r="AB337" s="631" t="s">
        <v>894</v>
      </c>
      <c r="AC337" s="631" t="s">
        <v>894</v>
      </c>
      <c r="AD337" s="626"/>
    </row>
    <row r="338" spans="2:30" ht="60">
      <c r="B338" s="625" t="s">
        <v>1339</v>
      </c>
      <c r="C338" s="625" t="s">
        <v>1334</v>
      </c>
      <c r="D338" s="627" t="s">
        <v>1335</v>
      </c>
      <c r="E338" s="626" t="s">
        <v>1098</v>
      </c>
      <c r="F338" s="625" t="s">
        <v>29</v>
      </c>
      <c r="G338" s="625" t="s">
        <v>892</v>
      </c>
      <c r="H338" s="625" t="s">
        <v>1034</v>
      </c>
      <c r="I338" s="625" t="s">
        <v>29</v>
      </c>
      <c r="J338" s="628" t="s">
        <v>1006</v>
      </c>
      <c r="K338" s="625"/>
      <c r="L338" s="626" t="s">
        <v>894</v>
      </c>
      <c r="M338" s="629" t="s">
        <v>894</v>
      </c>
      <c r="N338" s="626"/>
      <c r="O338" s="626"/>
      <c r="P338" s="626" t="s">
        <v>895</v>
      </c>
      <c r="Q338" s="626" t="s">
        <v>895</v>
      </c>
      <c r="R338" s="626" t="s">
        <v>895</v>
      </c>
      <c r="S338" s="626" t="s">
        <v>895</v>
      </c>
      <c r="T338" s="626" t="s">
        <v>895</v>
      </c>
      <c r="U338" s="626" t="s">
        <v>895</v>
      </c>
      <c r="V338" s="626" t="s">
        <v>895</v>
      </c>
      <c r="W338" s="626" t="s">
        <v>895</v>
      </c>
      <c r="X338" s="626" t="s">
        <v>895</v>
      </c>
      <c r="Y338" s="626" t="s">
        <v>895</v>
      </c>
      <c r="Z338" s="626" t="s">
        <v>895</v>
      </c>
      <c r="AA338" s="626" t="s">
        <v>895</v>
      </c>
      <c r="AB338" s="631" t="s">
        <v>894</v>
      </c>
      <c r="AC338" s="631" t="s">
        <v>894</v>
      </c>
      <c r="AD338" s="626"/>
    </row>
    <row r="339" spans="2:30" ht="60">
      <c r="B339" s="625" t="s">
        <v>1340</v>
      </c>
      <c r="C339" s="625" t="s">
        <v>1334</v>
      </c>
      <c r="D339" s="627" t="s">
        <v>1335</v>
      </c>
      <c r="E339" s="626" t="s">
        <v>1098</v>
      </c>
      <c r="F339" s="625" t="s">
        <v>29</v>
      </c>
      <c r="G339" s="625" t="s">
        <v>892</v>
      </c>
      <c r="H339" s="625" t="s">
        <v>230</v>
      </c>
      <c r="I339" s="625" t="s">
        <v>29</v>
      </c>
      <c r="J339" s="628" t="s">
        <v>1006</v>
      </c>
      <c r="K339" s="625"/>
      <c r="L339" s="626" t="s">
        <v>894</v>
      </c>
      <c r="M339" s="629" t="s">
        <v>894</v>
      </c>
      <c r="N339" s="626"/>
      <c r="O339" s="626"/>
      <c r="P339" s="626" t="s">
        <v>895</v>
      </c>
      <c r="Q339" s="626" t="s">
        <v>895</v>
      </c>
      <c r="R339" s="626" t="s">
        <v>895</v>
      </c>
      <c r="S339" s="626" t="s">
        <v>895</v>
      </c>
      <c r="T339" s="626" t="s">
        <v>895</v>
      </c>
      <c r="U339" s="626" t="s">
        <v>895</v>
      </c>
      <c r="V339" s="626" t="s">
        <v>895</v>
      </c>
      <c r="W339" s="626" t="s">
        <v>895</v>
      </c>
      <c r="X339" s="626" t="s">
        <v>895</v>
      </c>
      <c r="Y339" s="626" t="s">
        <v>895</v>
      </c>
      <c r="Z339" s="626" t="s">
        <v>895</v>
      </c>
      <c r="AA339" s="626" t="s">
        <v>895</v>
      </c>
      <c r="AB339" s="631" t="s">
        <v>894</v>
      </c>
      <c r="AC339" s="631" t="s">
        <v>894</v>
      </c>
      <c r="AD339" s="626"/>
    </row>
    <row r="340" spans="2:30" ht="30">
      <c r="B340" s="625" t="s">
        <v>1341</v>
      </c>
      <c r="C340" s="625" t="s">
        <v>1342</v>
      </c>
      <c r="D340" s="627" t="s">
        <v>1343</v>
      </c>
      <c r="E340" s="626" t="s">
        <v>1098</v>
      </c>
      <c r="F340" s="625" t="s">
        <v>29</v>
      </c>
      <c r="G340" s="625" t="s">
        <v>892</v>
      </c>
      <c r="H340" s="625" t="s">
        <v>18</v>
      </c>
      <c r="I340" s="625" t="s">
        <v>29</v>
      </c>
      <c r="J340" s="628" t="s">
        <v>1053</v>
      </c>
      <c r="K340" s="625" t="s">
        <v>1281</v>
      </c>
      <c r="L340" s="626" t="s">
        <v>894</v>
      </c>
      <c r="M340" s="629" t="s">
        <v>894</v>
      </c>
      <c r="N340" s="626"/>
      <c r="O340" s="626"/>
      <c r="P340" s="626" t="s">
        <v>895</v>
      </c>
      <c r="Q340" s="626" t="s">
        <v>895</v>
      </c>
      <c r="R340" s="626" t="s">
        <v>895</v>
      </c>
      <c r="S340" s="626" t="s">
        <v>895</v>
      </c>
      <c r="T340" s="626" t="s">
        <v>895</v>
      </c>
      <c r="U340" s="626" t="s">
        <v>895</v>
      </c>
      <c r="V340" s="626" t="s">
        <v>895</v>
      </c>
      <c r="W340" s="626" t="s">
        <v>895</v>
      </c>
      <c r="X340" s="626" t="s">
        <v>895</v>
      </c>
      <c r="Y340" s="626" t="s">
        <v>895</v>
      </c>
      <c r="Z340" s="626" t="s">
        <v>895</v>
      </c>
      <c r="AA340" s="626" t="s">
        <v>895</v>
      </c>
      <c r="AB340" s="631" t="s">
        <v>894</v>
      </c>
      <c r="AC340" s="631" t="s">
        <v>894</v>
      </c>
      <c r="AD340" s="626"/>
    </row>
    <row r="341" spans="2:30" ht="30">
      <c r="B341" s="625" t="s">
        <v>1344</v>
      </c>
      <c r="C341" s="625" t="s">
        <v>1342</v>
      </c>
      <c r="D341" s="627" t="s">
        <v>1343</v>
      </c>
      <c r="E341" s="626" t="s">
        <v>1098</v>
      </c>
      <c r="F341" s="625" t="s">
        <v>29</v>
      </c>
      <c r="G341" s="625" t="s">
        <v>892</v>
      </c>
      <c r="H341" s="625" t="s">
        <v>997</v>
      </c>
      <c r="I341" s="625" t="s">
        <v>29</v>
      </c>
      <c r="J341" s="628" t="s">
        <v>1053</v>
      </c>
      <c r="K341" s="625"/>
      <c r="L341" s="626" t="s">
        <v>894</v>
      </c>
      <c r="M341" s="629" t="s">
        <v>894</v>
      </c>
      <c r="N341" s="626"/>
      <c r="O341" s="626"/>
      <c r="P341" s="626" t="s">
        <v>895</v>
      </c>
      <c r="Q341" s="626" t="s">
        <v>895</v>
      </c>
      <c r="R341" s="626" t="s">
        <v>895</v>
      </c>
      <c r="S341" s="626" t="s">
        <v>895</v>
      </c>
      <c r="T341" s="626" t="s">
        <v>895</v>
      </c>
      <c r="U341" s="626" t="s">
        <v>895</v>
      </c>
      <c r="V341" s="626" t="s">
        <v>895</v>
      </c>
      <c r="W341" s="626" t="s">
        <v>895</v>
      </c>
      <c r="X341" s="626" t="s">
        <v>895</v>
      </c>
      <c r="Y341" s="626" t="s">
        <v>895</v>
      </c>
      <c r="Z341" s="626" t="s">
        <v>895</v>
      </c>
      <c r="AA341" s="626" t="s">
        <v>895</v>
      </c>
      <c r="AB341" s="631" t="s">
        <v>894</v>
      </c>
      <c r="AC341" s="631" t="s">
        <v>894</v>
      </c>
      <c r="AD341" s="626"/>
    </row>
    <row r="342" spans="2:30" ht="30">
      <c r="B342" s="625" t="s">
        <v>1345</v>
      </c>
      <c r="C342" s="625" t="s">
        <v>1342</v>
      </c>
      <c r="D342" s="627" t="s">
        <v>1343</v>
      </c>
      <c r="E342" s="626" t="s">
        <v>1098</v>
      </c>
      <c r="F342" s="625" t="s">
        <v>29</v>
      </c>
      <c r="G342" s="625" t="s">
        <v>892</v>
      </c>
      <c r="H342" s="625" t="s">
        <v>1020</v>
      </c>
      <c r="I342" s="625" t="s">
        <v>29</v>
      </c>
      <c r="J342" s="628" t="s">
        <v>1053</v>
      </c>
      <c r="K342" s="625"/>
      <c r="L342" s="626" t="s">
        <v>894</v>
      </c>
      <c r="M342" s="629" t="s">
        <v>894</v>
      </c>
      <c r="N342" s="626"/>
      <c r="O342" s="626"/>
      <c r="P342" s="626" t="s">
        <v>895</v>
      </c>
      <c r="Q342" s="626" t="s">
        <v>895</v>
      </c>
      <c r="R342" s="626" t="s">
        <v>895</v>
      </c>
      <c r="S342" s="626" t="s">
        <v>895</v>
      </c>
      <c r="T342" s="626" t="s">
        <v>895</v>
      </c>
      <c r="U342" s="626" t="s">
        <v>895</v>
      </c>
      <c r="V342" s="626" t="s">
        <v>895</v>
      </c>
      <c r="W342" s="626" t="s">
        <v>895</v>
      </c>
      <c r="X342" s="626" t="s">
        <v>895</v>
      </c>
      <c r="Y342" s="626" t="s">
        <v>895</v>
      </c>
      <c r="Z342" s="626" t="s">
        <v>895</v>
      </c>
      <c r="AA342" s="626" t="s">
        <v>895</v>
      </c>
      <c r="AB342" s="631" t="s">
        <v>894</v>
      </c>
      <c r="AC342" s="631" t="s">
        <v>894</v>
      </c>
      <c r="AD342" s="626"/>
    </row>
    <row r="343" spans="2:30" ht="30">
      <c r="B343" s="625" t="s">
        <v>1346</v>
      </c>
      <c r="C343" s="625" t="s">
        <v>1342</v>
      </c>
      <c r="D343" s="627" t="s">
        <v>1343</v>
      </c>
      <c r="E343" s="626" t="s">
        <v>1098</v>
      </c>
      <c r="F343" s="625" t="s">
        <v>29</v>
      </c>
      <c r="G343" s="625" t="s">
        <v>892</v>
      </c>
      <c r="H343" s="625" t="s">
        <v>1036</v>
      </c>
      <c r="I343" s="625" t="s">
        <v>29</v>
      </c>
      <c r="J343" s="628" t="s">
        <v>1053</v>
      </c>
      <c r="K343" s="625"/>
      <c r="L343" s="626" t="s">
        <v>894</v>
      </c>
      <c r="M343" s="629" t="s">
        <v>894</v>
      </c>
      <c r="N343" s="626"/>
      <c r="O343" s="626"/>
      <c r="P343" s="626" t="s">
        <v>895</v>
      </c>
      <c r="Q343" s="626" t="s">
        <v>895</v>
      </c>
      <c r="R343" s="626" t="s">
        <v>895</v>
      </c>
      <c r="S343" s="626" t="s">
        <v>895</v>
      </c>
      <c r="T343" s="626" t="s">
        <v>895</v>
      </c>
      <c r="U343" s="626" t="s">
        <v>895</v>
      </c>
      <c r="V343" s="626" t="s">
        <v>895</v>
      </c>
      <c r="W343" s="626" t="s">
        <v>895</v>
      </c>
      <c r="X343" s="626" t="s">
        <v>895</v>
      </c>
      <c r="Y343" s="626" t="s">
        <v>895</v>
      </c>
      <c r="Z343" s="626" t="s">
        <v>895</v>
      </c>
      <c r="AA343" s="626" t="s">
        <v>895</v>
      </c>
      <c r="AB343" s="631" t="s">
        <v>894</v>
      </c>
      <c r="AC343" s="631" t="s">
        <v>894</v>
      </c>
      <c r="AD343" s="626"/>
    </row>
    <row r="344" spans="2:30" ht="30">
      <c r="B344" s="625" t="s">
        <v>1347</v>
      </c>
      <c r="C344" s="625" t="s">
        <v>1342</v>
      </c>
      <c r="D344" s="627" t="s">
        <v>1343</v>
      </c>
      <c r="E344" s="626" t="s">
        <v>1098</v>
      </c>
      <c r="F344" s="625" t="s">
        <v>29</v>
      </c>
      <c r="G344" s="625" t="s">
        <v>892</v>
      </c>
      <c r="H344" s="625" t="s">
        <v>1034</v>
      </c>
      <c r="I344" s="625" t="s">
        <v>29</v>
      </c>
      <c r="J344" s="628" t="s">
        <v>1053</v>
      </c>
      <c r="K344" s="625"/>
      <c r="L344" s="626" t="s">
        <v>894</v>
      </c>
      <c r="M344" s="629" t="s">
        <v>894</v>
      </c>
      <c r="N344" s="626"/>
      <c r="O344" s="626"/>
      <c r="P344" s="626" t="s">
        <v>895</v>
      </c>
      <c r="Q344" s="626" t="s">
        <v>895</v>
      </c>
      <c r="R344" s="626" t="s">
        <v>895</v>
      </c>
      <c r="S344" s="626" t="s">
        <v>895</v>
      </c>
      <c r="T344" s="626" t="s">
        <v>895</v>
      </c>
      <c r="U344" s="626" t="s">
        <v>895</v>
      </c>
      <c r="V344" s="626" t="s">
        <v>895</v>
      </c>
      <c r="W344" s="626" t="s">
        <v>895</v>
      </c>
      <c r="X344" s="626" t="s">
        <v>895</v>
      </c>
      <c r="Y344" s="626" t="s">
        <v>895</v>
      </c>
      <c r="Z344" s="626" t="s">
        <v>895</v>
      </c>
      <c r="AA344" s="626" t="s">
        <v>895</v>
      </c>
      <c r="AB344" s="631" t="s">
        <v>894</v>
      </c>
      <c r="AC344" s="631" t="s">
        <v>894</v>
      </c>
      <c r="AD344" s="626"/>
    </row>
    <row r="345" spans="2:30" ht="30">
      <c r="B345" s="625" t="s">
        <v>1348</v>
      </c>
      <c r="C345" s="625" t="s">
        <v>1342</v>
      </c>
      <c r="D345" s="627" t="s">
        <v>1343</v>
      </c>
      <c r="E345" s="626" t="s">
        <v>1098</v>
      </c>
      <c r="F345" s="625" t="s">
        <v>29</v>
      </c>
      <c r="G345" s="625" t="s">
        <v>892</v>
      </c>
      <c r="H345" s="625" t="s">
        <v>230</v>
      </c>
      <c r="I345" s="625" t="s">
        <v>29</v>
      </c>
      <c r="J345" s="628" t="s">
        <v>1053</v>
      </c>
      <c r="K345" s="625"/>
      <c r="L345" s="626" t="s">
        <v>894</v>
      </c>
      <c r="M345" s="629" t="s">
        <v>894</v>
      </c>
      <c r="N345" s="626"/>
      <c r="O345" s="626"/>
      <c r="P345" s="626" t="s">
        <v>895</v>
      </c>
      <c r="Q345" s="626" t="s">
        <v>895</v>
      </c>
      <c r="R345" s="626" t="s">
        <v>895</v>
      </c>
      <c r="S345" s="626" t="s">
        <v>895</v>
      </c>
      <c r="T345" s="626" t="s">
        <v>895</v>
      </c>
      <c r="U345" s="626" t="s">
        <v>895</v>
      </c>
      <c r="V345" s="626" t="s">
        <v>895</v>
      </c>
      <c r="W345" s="626" t="s">
        <v>895</v>
      </c>
      <c r="X345" s="626" t="s">
        <v>895</v>
      </c>
      <c r="Y345" s="626" t="s">
        <v>895</v>
      </c>
      <c r="Z345" s="626" t="s">
        <v>895</v>
      </c>
      <c r="AA345" s="626" t="s">
        <v>895</v>
      </c>
      <c r="AB345" s="631" t="s">
        <v>894</v>
      </c>
      <c r="AC345" s="631" t="s">
        <v>894</v>
      </c>
      <c r="AD345" s="626"/>
    </row>
    <row r="346" spans="2:30" ht="105">
      <c r="B346" s="625" t="s">
        <v>1349</v>
      </c>
      <c r="C346" s="625" t="s">
        <v>1349</v>
      </c>
      <c r="D346" s="627" t="s">
        <v>1350</v>
      </c>
      <c r="E346" s="626" t="s">
        <v>1279</v>
      </c>
      <c r="F346" s="625" t="s">
        <v>29</v>
      </c>
      <c r="G346" s="625" t="s">
        <v>892</v>
      </c>
      <c r="H346" s="625" t="s">
        <v>884</v>
      </c>
      <c r="I346" s="625" t="s">
        <v>1280</v>
      </c>
      <c r="J346" s="628" t="s">
        <v>1006</v>
      </c>
      <c r="K346" s="628" t="s">
        <v>1351</v>
      </c>
      <c r="L346" s="626" t="s">
        <v>894</v>
      </c>
      <c r="M346" s="629" t="s">
        <v>894</v>
      </c>
      <c r="N346" s="626"/>
      <c r="O346" s="626"/>
      <c r="P346" s="626" t="s">
        <v>895</v>
      </c>
      <c r="Q346" s="626" t="s">
        <v>895</v>
      </c>
      <c r="R346" s="626" t="s">
        <v>895</v>
      </c>
      <c r="S346" s="626" t="s">
        <v>895</v>
      </c>
      <c r="T346" s="626" t="s">
        <v>895</v>
      </c>
      <c r="U346" s="626" t="s">
        <v>895</v>
      </c>
      <c r="V346" s="626" t="s">
        <v>895</v>
      </c>
      <c r="W346" s="626" t="s">
        <v>895</v>
      </c>
      <c r="X346" s="626" t="s">
        <v>895</v>
      </c>
      <c r="Y346" s="626" t="s">
        <v>895</v>
      </c>
      <c r="Z346" s="626" t="s">
        <v>895</v>
      </c>
      <c r="AA346" s="626" t="s">
        <v>895</v>
      </c>
      <c r="AB346" s="631" t="s">
        <v>894</v>
      </c>
      <c r="AC346" s="631" t="s">
        <v>894</v>
      </c>
      <c r="AD346" s="626"/>
    </row>
    <row r="347" spans="2:30" ht="75">
      <c r="B347" s="625" t="s">
        <v>1352</v>
      </c>
      <c r="C347" s="625" t="s">
        <v>1353</v>
      </c>
      <c r="D347" s="627" t="s">
        <v>1354</v>
      </c>
      <c r="E347" s="626" t="s">
        <v>1098</v>
      </c>
      <c r="F347" s="625" t="s">
        <v>29</v>
      </c>
      <c r="G347" s="625" t="s">
        <v>892</v>
      </c>
      <c r="H347" s="625" t="s">
        <v>18</v>
      </c>
      <c r="I347" s="625" t="s">
        <v>29</v>
      </c>
      <c r="J347" s="628" t="s">
        <v>1053</v>
      </c>
      <c r="K347" s="625" t="s">
        <v>1281</v>
      </c>
      <c r="L347" s="626" t="s">
        <v>894</v>
      </c>
      <c r="M347" s="629" t="s">
        <v>894</v>
      </c>
      <c r="N347" s="626"/>
      <c r="O347" s="626"/>
      <c r="P347" s="626" t="s">
        <v>895</v>
      </c>
      <c r="Q347" s="626" t="s">
        <v>895</v>
      </c>
      <c r="R347" s="626" t="s">
        <v>895</v>
      </c>
      <c r="S347" s="626" t="s">
        <v>895</v>
      </c>
      <c r="T347" s="626" t="s">
        <v>895</v>
      </c>
      <c r="U347" s="626" t="s">
        <v>895</v>
      </c>
      <c r="V347" s="626" t="s">
        <v>895</v>
      </c>
      <c r="W347" s="626" t="s">
        <v>895</v>
      </c>
      <c r="X347" s="626" t="s">
        <v>895</v>
      </c>
      <c r="Y347" s="626" t="s">
        <v>895</v>
      </c>
      <c r="Z347" s="626" t="s">
        <v>895</v>
      </c>
      <c r="AA347" s="626" t="s">
        <v>895</v>
      </c>
      <c r="AB347" s="631" t="s">
        <v>894</v>
      </c>
      <c r="AC347" s="631" t="s">
        <v>894</v>
      </c>
      <c r="AD347" s="626"/>
    </row>
    <row r="348" spans="2:30" ht="75">
      <c r="B348" s="625" t="s">
        <v>1355</v>
      </c>
      <c r="C348" s="625" t="s">
        <v>1353</v>
      </c>
      <c r="D348" s="627" t="s">
        <v>1354</v>
      </c>
      <c r="E348" s="626" t="s">
        <v>1098</v>
      </c>
      <c r="F348" s="625" t="s">
        <v>29</v>
      </c>
      <c r="G348" s="625" t="s">
        <v>892</v>
      </c>
      <c r="H348" s="625" t="s">
        <v>997</v>
      </c>
      <c r="I348" s="625" t="s">
        <v>29</v>
      </c>
      <c r="J348" s="628" t="s">
        <v>1053</v>
      </c>
      <c r="K348" s="625"/>
      <c r="L348" s="626" t="s">
        <v>894</v>
      </c>
      <c r="M348" s="629" t="s">
        <v>894</v>
      </c>
      <c r="N348" s="626"/>
      <c r="O348" s="626"/>
      <c r="P348" s="626" t="s">
        <v>895</v>
      </c>
      <c r="Q348" s="626" t="s">
        <v>895</v>
      </c>
      <c r="R348" s="626" t="s">
        <v>895</v>
      </c>
      <c r="S348" s="626" t="s">
        <v>895</v>
      </c>
      <c r="T348" s="626" t="s">
        <v>895</v>
      </c>
      <c r="U348" s="626" t="s">
        <v>895</v>
      </c>
      <c r="V348" s="626" t="s">
        <v>895</v>
      </c>
      <c r="W348" s="626" t="s">
        <v>895</v>
      </c>
      <c r="X348" s="626" t="s">
        <v>895</v>
      </c>
      <c r="Y348" s="626" t="s">
        <v>895</v>
      </c>
      <c r="Z348" s="626" t="s">
        <v>895</v>
      </c>
      <c r="AA348" s="626" t="s">
        <v>895</v>
      </c>
      <c r="AB348" s="631" t="s">
        <v>894</v>
      </c>
      <c r="AC348" s="631" t="s">
        <v>894</v>
      </c>
      <c r="AD348" s="626"/>
    </row>
    <row r="349" spans="2:30" ht="75">
      <c r="B349" s="625" t="s">
        <v>1356</v>
      </c>
      <c r="C349" s="625" t="s">
        <v>1353</v>
      </c>
      <c r="D349" s="627" t="s">
        <v>1354</v>
      </c>
      <c r="E349" s="626" t="s">
        <v>1098</v>
      </c>
      <c r="F349" s="625" t="s">
        <v>29</v>
      </c>
      <c r="G349" s="625" t="s">
        <v>892</v>
      </c>
      <c r="H349" s="625" t="s">
        <v>1020</v>
      </c>
      <c r="I349" s="625" t="s">
        <v>29</v>
      </c>
      <c r="J349" s="628" t="s">
        <v>1053</v>
      </c>
      <c r="K349" s="625"/>
      <c r="L349" s="626" t="s">
        <v>894</v>
      </c>
      <c r="M349" s="629" t="s">
        <v>894</v>
      </c>
      <c r="N349" s="626"/>
      <c r="O349" s="626"/>
      <c r="P349" s="626" t="s">
        <v>895</v>
      </c>
      <c r="Q349" s="626" t="s">
        <v>895</v>
      </c>
      <c r="R349" s="626" t="s">
        <v>895</v>
      </c>
      <c r="S349" s="626" t="s">
        <v>895</v>
      </c>
      <c r="T349" s="626" t="s">
        <v>895</v>
      </c>
      <c r="U349" s="626" t="s">
        <v>895</v>
      </c>
      <c r="V349" s="626" t="s">
        <v>895</v>
      </c>
      <c r="W349" s="626" t="s">
        <v>895</v>
      </c>
      <c r="X349" s="626" t="s">
        <v>895</v>
      </c>
      <c r="Y349" s="626" t="s">
        <v>895</v>
      </c>
      <c r="Z349" s="626" t="s">
        <v>895</v>
      </c>
      <c r="AA349" s="626" t="s">
        <v>895</v>
      </c>
      <c r="AB349" s="631" t="s">
        <v>894</v>
      </c>
      <c r="AC349" s="631" t="s">
        <v>894</v>
      </c>
      <c r="AD349" s="626"/>
    </row>
    <row r="350" spans="2:30" ht="75">
      <c r="B350" s="625" t="s">
        <v>1357</v>
      </c>
      <c r="C350" s="625" t="s">
        <v>1353</v>
      </c>
      <c r="D350" s="627" t="s">
        <v>1354</v>
      </c>
      <c r="E350" s="626" t="s">
        <v>1098</v>
      </c>
      <c r="F350" s="625" t="s">
        <v>29</v>
      </c>
      <c r="G350" s="625" t="s">
        <v>892</v>
      </c>
      <c r="H350" s="625" t="s">
        <v>1036</v>
      </c>
      <c r="I350" s="625" t="s">
        <v>29</v>
      </c>
      <c r="J350" s="628" t="s">
        <v>1053</v>
      </c>
      <c r="K350" s="625"/>
      <c r="L350" s="626" t="s">
        <v>894</v>
      </c>
      <c r="M350" s="629" t="s">
        <v>894</v>
      </c>
      <c r="N350" s="626"/>
      <c r="O350" s="626"/>
      <c r="P350" s="626" t="s">
        <v>895</v>
      </c>
      <c r="Q350" s="626" t="s">
        <v>895</v>
      </c>
      <c r="R350" s="626" t="s">
        <v>895</v>
      </c>
      <c r="S350" s="626" t="s">
        <v>895</v>
      </c>
      <c r="T350" s="626" t="s">
        <v>895</v>
      </c>
      <c r="U350" s="626" t="s">
        <v>895</v>
      </c>
      <c r="V350" s="626" t="s">
        <v>895</v>
      </c>
      <c r="W350" s="626" t="s">
        <v>895</v>
      </c>
      <c r="X350" s="626" t="s">
        <v>895</v>
      </c>
      <c r="Y350" s="626" t="s">
        <v>895</v>
      </c>
      <c r="Z350" s="626" t="s">
        <v>895</v>
      </c>
      <c r="AA350" s="626" t="s">
        <v>895</v>
      </c>
      <c r="AB350" s="631" t="s">
        <v>894</v>
      </c>
      <c r="AC350" s="631" t="s">
        <v>894</v>
      </c>
      <c r="AD350" s="626"/>
    </row>
    <row r="351" spans="2:30" ht="75">
      <c r="B351" s="625" t="s">
        <v>1358</v>
      </c>
      <c r="C351" s="625" t="s">
        <v>1353</v>
      </c>
      <c r="D351" s="627" t="s">
        <v>1354</v>
      </c>
      <c r="E351" s="626" t="s">
        <v>1098</v>
      </c>
      <c r="F351" s="625" t="s">
        <v>29</v>
      </c>
      <c r="G351" s="625" t="s">
        <v>892</v>
      </c>
      <c r="H351" s="625" t="s">
        <v>1034</v>
      </c>
      <c r="I351" s="625" t="s">
        <v>29</v>
      </c>
      <c r="J351" s="628" t="s">
        <v>1053</v>
      </c>
      <c r="K351" s="625"/>
      <c r="L351" s="626" t="s">
        <v>894</v>
      </c>
      <c r="M351" s="629" t="s">
        <v>894</v>
      </c>
      <c r="N351" s="626"/>
      <c r="O351" s="626"/>
      <c r="P351" s="626" t="s">
        <v>895</v>
      </c>
      <c r="Q351" s="626" t="s">
        <v>895</v>
      </c>
      <c r="R351" s="626" t="s">
        <v>895</v>
      </c>
      <c r="S351" s="626" t="s">
        <v>895</v>
      </c>
      <c r="T351" s="626" t="s">
        <v>895</v>
      </c>
      <c r="U351" s="626" t="s">
        <v>895</v>
      </c>
      <c r="V351" s="626" t="s">
        <v>895</v>
      </c>
      <c r="W351" s="626" t="s">
        <v>895</v>
      </c>
      <c r="X351" s="626" t="s">
        <v>895</v>
      </c>
      <c r="Y351" s="626" t="s">
        <v>895</v>
      </c>
      <c r="Z351" s="626" t="s">
        <v>895</v>
      </c>
      <c r="AA351" s="626" t="s">
        <v>895</v>
      </c>
      <c r="AB351" s="631" t="s">
        <v>894</v>
      </c>
      <c r="AC351" s="631" t="s">
        <v>894</v>
      </c>
      <c r="AD351" s="626"/>
    </row>
    <row r="352" spans="2:30" ht="75">
      <c r="B352" s="625" t="s">
        <v>1359</v>
      </c>
      <c r="C352" s="625" t="s">
        <v>1353</v>
      </c>
      <c r="D352" s="627" t="s">
        <v>1354</v>
      </c>
      <c r="E352" s="626" t="s">
        <v>1098</v>
      </c>
      <c r="F352" s="625" t="s">
        <v>29</v>
      </c>
      <c r="G352" s="625" t="s">
        <v>892</v>
      </c>
      <c r="H352" s="625" t="s">
        <v>230</v>
      </c>
      <c r="I352" s="625" t="s">
        <v>29</v>
      </c>
      <c r="J352" s="628" t="s">
        <v>1053</v>
      </c>
      <c r="K352" s="625"/>
      <c r="L352" s="626" t="s">
        <v>894</v>
      </c>
      <c r="M352" s="629" t="s">
        <v>894</v>
      </c>
      <c r="N352" s="626"/>
      <c r="O352" s="626"/>
      <c r="P352" s="626" t="s">
        <v>895</v>
      </c>
      <c r="Q352" s="626" t="s">
        <v>895</v>
      </c>
      <c r="R352" s="626" t="s">
        <v>895</v>
      </c>
      <c r="S352" s="626" t="s">
        <v>895</v>
      </c>
      <c r="T352" s="626" t="s">
        <v>895</v>
      </c>
      <c r="U352" s="626" t="s">
        <v>895</v>
      </c>
      <c r="V352" s="626" t="s">
        <v>895</v>
      </c>
      <c r="W352" s="626" t="s">
        <v>895</v>
      </c>
      <c r="X352" s="626" t="s">
        <v>895</v>
      </c>
      <c r="Y352" s="626" t="s">
        <v>895</v>
      </c>
      <c r="Z352" s="626" t="s">
        <v>895</v>
      </c>
      <c r="AA352" s="626" t="s">
        <v>895</v>
      </c>
      <c r="AB352" s="631" t="s">
        <v>894</v>
      </c>
      <c r="AC352" s="631" t="s">
        <v>894</v>
      </c>
      <c r="AD352" s="626"/>
    </row>
    <row r="353" spans="2:30" ht="45">
      <c r="B353" s="625" t="s">
        <v>1360</v>
      </c>
      <c r="C353" s="625" t="s">
        <v>1360</v>
      </c>
      <c r="D353" s="627" t="s">
        <v>1361</v>
      </c>
      <c r="E353" s="626" t="s">
        <v>1279</v>
      </c>
      <c r="F353" s="625" t="s">
        <v>29</v>
      </c>
      <c r="G353" s="625" t="s">
        <v>892</v>
      </c>
      <c r="H353" s="625" t="s">
        <v>884</v>
      </c>
      <c r="I353" s="625" t="s">
        <v>1280</v>
      </c>
      <c r="J353" s="628" t="s">
        <v>1362</v>
      </c>
      <c r="K353" s="628" t="s">
        <v>1363</v>
      </c>
      <c r="L353" s="626" t="s">
        <v>894</v>
      </c>
      <c r="M353" s="629" t="s">
        <v>894</v>
      </c>
      <c r="N353" s="626"/>
      <c r="O353" s="626"/>
      <c r="P353" s="626" t="s">
        <v>895</v>
      </c>
      <c r="Q353" s="626" t="s">
        <v>895</v>
      </c>
      <c r="R353" s="626" t="s">
        <v>895</v>
      </c>
      <c r="S353" s="626" t="s">
        <v>895</v>
      </c>
      <c r="T353" s="626" t="s">
        <v>895</v>
      </c>
      <c r="U353" s="626" t="s">
        <v>895</v>
      </c>
      <c r="V353" s="626" t="s">
        <v>895</v>
      </c>
      <c r="W353" s="626" t="s">
        <v>895</v>
      </c>
      <c r="X353" s="626" t="s">
        <v>895</v>
      </c>
      <c r="Y353" s="626" t="s">
        <v>895</v>
      </c>
      <c r="Z353" s="626" t="s">
        <v>895</v>
      </c>
      <c r="AA353" s="626" t="s">
        <v>895</v>
      </c>
      <c r="AB353" s="631" t="s">
        <v>894</v>
      </c>
      <c r="AC353" s="631" t="s">
        <v>894</v>
      </c>
      <c r="AD353" s="626"/>
    </row>
    <row r="354" spans="2:30">
      <c r="B354" s="626" t="s">
        <v>1364</v>
      </c>
      <c r="C354" s="626"/>
      <c r="D354" s="626" t="s">
        <v>1365</v>
      </c>
      <c r="E354" s="626"/>
      <c r="F354" s="625" t="s">
        <v>1366</v>
      </c>
      <c r="G354" s="625"/>
      <c r="H354" s="625"/>
      <c r="I354" s="625"/>
      <c r="J354" s="628"/>
      <c r="K354" s="625"/>
      <c r="L354" s="626"/>
      <c r="M354" s="629"/>
      <c r="N354" s="626"/>
      <c r="O354" s="626"/>
      <c r="P354" s="626" t="s">
        <v>895</v>
      </c>
      <c r="Q354" s="626" t="s">
        <v>895</v>
      </c>
      <c r="R354" s="626" t="s">
        <v>895</v>
      </c>
      <c r="S354" s="626" t="s">
        <v>895</v>
      </c>
      <c r="T354" s="626" t="s">
        <v>895</v>
      </c>
      <c r="U354" s="626" t="s">
        <v>895</v>
      </c>
      <c r="V354" s="626" t="s">
        <v>895</v>
      </c>
      <c r="W354" s="626" t="s">
        <v>895</v>
      </c>
      <c r="X354" s="626" t="s">
        <v>895</v>
      </c>
      <c r="Y354" s="626" t="s">
        <v>895</v>
      </c>
      <c r="Z354" s="626" t="s">
        <v>895</v>
      </c>
      <c r="AA354" s="626" t="s">
        <v>895</v>
      </c>
      <c r="AB354" s="631"/>
      <c r="AC354" s="631"/>
      <c r="AD354" s="626"/>
    </row>
  </sheetData>
  <mergeCells count="5">
    <mergeCell ref="D2:I2"/>
    <mergeCell ref="D3:I3"/>
    <mergeCell ref="D5:F5"/>
    <mergeCell ref="D6:F6"/>
    <mergeCell ref="B9:AD9"/>
  </mergeCells>
  <conditionalFormatting sqref="G11:G354">
    <cfRule type="cellIs" dxfId="0" priority="1" operator="equal">
      <formula>"Metric"</formula>
    </cfRule>
  </conditionalFormatting>
  <dataValidations count="8">
    <dataValidation allowBlank="1" showInputMessage="1" showErrorMessage="1" sqref="H231:H238 D181 H320 H255:H258 H314:H315 H174:H175 H341:H342 H335:H336 H327 H330 H322 H291:H294 H309 H271:H274 H210:H214 H204:H205 H198:H199 H192:H193 H180 H187 H347 H353" xr:uid="{B4B36B6E-9D9C-446B-B177-ACA906316386}"/>
    <dataValidation type="list" allowBlank="1" showInputMessage="1" showErrorMessage="1" sqref="H328:H329 H295:H308 H259:H270 H343:H346 H181:H186 H321 H11:H173 H354 H176:H179 H188:H191 H194:H197 H348:H351 H206:H209 H215:H230 H239:H254 H275:H290 H310:H313 H316:H319 H323:H326 H331:H334 H337:H340 H200:H203" xr:uid="{33C09BC6-C1DB-4429-8105-F7A33657A32D}">
      <formula1>$H$11:$H$351</formula1>
    </dataValidation>
    <dataValidation type="list" allowBlank="1" showInputMessage="1" showErrorMessage="1" sqref="K205:K351 K353:K354 K11:K203" xr:uid="{7D2EB791-BB35-4E51-A13E-C48F6EDA682F}">
      <formula1>$K$11:$K$351</formula1>
    </dataValidation>
    <dataValidation type="list" allowBlank="1" showInputMessage="1" showErrorMessage="1" sqref="D182:D354 D11:D180" xr:uid="{9D1144E2-9075-4048-91B6-D9B2DF393076}">
      <formula1>$D$11:$D$352</formula1>
    </dataValidation>
    <dataValidation type="list" allowBlank="1" showInputMessage="1" showErrorMessage="1" sqref="F11:F354" xr:uid="{179B5612-57AC-4C98-9401-A07376194981}">
      <formula1>$F$11:$F$352</formula1>
    </dataValidation>
    <dataValidation type="list" allowBlank="1" showInputMessage="1" showErrorMessage="1" sqref="G11:G354" xr:uid="{82E37843-3EEE-42FE-BA7E-C3E94BD396D2}">
      <formula1>$G$11:$G$352</formula1>
    </dataValidation>
    <dataValidation type="list" allowBlank="1" showInputMessage="1" showErrorMessage="1" sqref="I353:I354 I11:I351" xr:uid="{88047E6E-663A-49D7-9EAA-A685F4F643D6}">
      <formula1>$I$11:$I$351</formula1>
    </dataValidation>
    <dataValidation type="list" allowBlank="1" showInputMessage="1" showErrorMessage="1" sqref="J353:J354 J11:J351" xr:uid="{D1469758-E56C-4B04-AB42-3AC93D935178}">
      <formula1>$J$11:$J$351</formula1>
    </dataValidation>
  </dataValidations>
  <printOptions horizontalCentered="1"/>
  <pageMargins left="0.25" right="0.25" top="0.75" bottom="0.75" header="0.3" footer="0.3"/>
  <pageSetup paperSize="17" scale="23" fitToHeight="0" orientation="landscape"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A7257-80A8-4A9D-A497-3B1BDB107F28}">
  <sheetPr>
    <tabColor theme="4"/>
    <pageSetUpPr fitToPage="1"/>
  </sheetPr>
  <dimension ref="B2:Y343"/>
  <sheetViews>
    <sheetView showGridLines="0" topLeftCell="B1" zoomScaleNormal="100" workbookViewId="0">
      <selection activeCell="B1" sqref="B1"/>
    </sheetView>
  </sheetViews>
  <sheetFormatPr defaultColWidth="8" defaultRowHeight="12.75"/>
  <cols>
    <col min="1" max="1" width="2.75" style="19" customWidth="1"/>
    <col min="2" max="2" width="12.125" style="19" customWidth="1"/>
    <col min="3" max="3" width="53.25" style="19" bestFit="1" customWidth="1"/>
    <col min="4" max="4" width="68.25" style="19" bestFit="1" customWidth="1"/>
    <col min="5" max="5" width="20.125" style="129" customWidth="1"/>
    <col min="6" max="6" width="59.125" style="129" bestFit="1" customWidth="1"/>
    <col min="7" max="7" width="17.125" style="109" bestFit="1" customWidth="1"/>
    <col min="8" max="8" width="14.5" style="109" bestFit="1" customWidth="1"/>
    <col min="9" max="9" width="35.25" style="109" bestFit="1" customWidth="1"/>
    <col min="10" max="10" width="36.25" style="19" bestFit="1" customWidth="1"/>
    <col min="11" max="11" width="12.25" style="109" bestFit="1" customWidth="1"/>
    <col min="12" max="12" width="20.25" style="19" bestFit="1" customWidth="1"/>
    <col min="13" max="16" width="15.625" style="110" customWidth="1"/>
    <col min="17" max="17" width="8" style="19"/>
    <col min="18" max="18" width="17.125" style="19" bestFit="1" customWidth="1"/>
    <col min="19" max="19" width="8.75" style="19" bestFit="1" customWidth="1"/>
    <col min="20" max="20" width="9.625" style="19" bestFit="1" customWidth="1"/>
    <col min="21" max="21" width="18.25" style="19" bestFit="1" customWidth="1"/>
    <col min="22" max="22" width="8" style="19"/>
    <col min="23" max="23" width="12.125" style="19" bestFit="1" customWidth="1"/>
    <col min="24" max="24" width="15.625" style="19" bestFit="1" customWidth="1"/>
    <col min="25" max="25" width="27.125" style="19" bestFit="1" customWidth="1"/>
    <col min="26" max="28" width="8" style="19"/>
    <col min="29" max="29" width="7.625" style="19" bestFit="1" customWidth="1"/>
    <col min="30" max="30" width="8.625" style="19" bestFit="1" customWidth="1"/>
    <col min="31" max="31" width="7.625" style="19" bestFit="1" customWidth="1"/>
    <col min="32" max="32" width="6.125" style="19" bestFit="1" customWidth="1"/>
    <col min="33" max="33" width="9.625" style="19" bestFit="1" customWidth="1"/>
    <col min="34" max="34" width="8.625" style="19" bestFit="1" customWidth="1"/>
    <col min="35" max="55" width="7.625" style="19" bestFit="1" customWidth="1"/>
    <col min="56" max="56" width="9.625" style="19" bestFit="1" customWidth="1"/>
    <col min="57" max="67" width="7.625" style="19" bestFit="1" customWidth="1"/>
    <col min="68" max="69" width="8.625" style="19" bestFit="1" customWidth="1"/>
    <col min="70" max="71" width="7.625" style="19" bestFit="1" customWidth="1"/>
    <col min="72" max="72" width="9.625" style="19" bestFit="1" customWidth="1"/>
    <col min="73" max="77" width="7.625" style="19" bestFit="1" customWidth="1"/>
    <col min="78" max="78" width="9.625" style="19" bestFit="1" customWidth="1"/>
    <col min="79" max="79" width="7.625" style="19" bestFit="1" customWidth="1"/>
    <col min="80" max="80" width="9.625" style="19" bestFit="1" customWidth="1"/>
    <col min="81" max="84" width="7.625" style="19" bestFit="1" customWidth="1"/>
    <col min="85" max="88" width="8.625" style="19" bestFit="1" customWidth="1"/>
    <col min="89" max="89" width="11.125" style="19" bestFit="1" customWidth="1"/>
    <col min="90" max="95" width="7.625" style="19" bestFit="1" customWidth="1"/>
    <col min="96" max="96" width="9.625" style="19" bestFit="1" customWidth="1"/>
    <col min="97" max="97" width="8.625" style="19" bestFit="1" customWidth="1"/>
    <col min="98" max="99" width="7.625" style="19" bestFit="1" customWidth="1"/>
    <col min="100" max="100" width="9.625" style="19" bestFit="1" customWidth="1"/>
    <col min="101" max="101" width="7.625" style="19" bestFit="1" customWidth="1"/>
    <col min="102" max="102" width="9.625" style="19" bestFit="1" customWidth="1"/>
    <col min="103" max="104" width="8.625" style="19" bestFit="1" customWidth="1"/>
    <col min="105" max="105" width="9.625" style="19" bestFit="1" customWidth="1"/>
    <col min="106" max="112" width="8.625" style="19" bestFit="1" customWidth="1"/>
    <col min="113" max="113" width="9.625" style="19" bestFit="1" customWidth="1"/>
    <col min="114" max="115" width="8.625" style="19" bestFit="1" customWidth="1"/>
    <col min="116" max="116" width="9.625" style="19" bestFit="1" customWidth="1"/>
    <col min="117" max="118" width="8.625" style="19" bestFit="1" customWidth="1"/>
    <col min="119" max="120" width="9.625" style="19" bestFit="1" customWidth="1"/>
    <col min="121" max="121" width="8.625" style="19" bestFit="1" customWidth="1"/>
    <col min="122" max="123" width="9.625" style="19" bestFit="1" customWidth="1"/>
    <col min="124" max="127" width="8.625" style="19" bestFit="1" customWidth="1"/>
    <col min="128" max="128" width="9.625" style="19" bestFit="1" customWidth="1"/>
    <col min="129" max="129" width="8.625" style="19" bestFit="1" customWidth="1"/>
    <col min="130" max="130" width="9.625" style="19" bestFit="1" customWidth="1"/>
    <col min="131" max="134" width="8.625" style="19" bestFit="1" customWidth="1"/>
    <col min="135" max="136" width="9.625" style="19" bestFit="1" customWidth="1"/>
    <col min="137" max="137" width="8.625" style="19" bestFit="1" customWidth="1"/>
    <col min="138" max="138" width="9.625" style="19" bestFit="1" customWidth="1"/>
    <col min="139" max="139" width="8.625" style="19" bestFit="1" customWidth="1"/>
    <col min="140" max="144" width="9.625" style="19" bestFit="1" customWidth="1"/>
    <col min="145" max="145" width="11.125" style="19" bestFit="1" customWidth="1"/>
    <col min="146" max="146" width="9.625" style="19" bestFit="1" customWidth="1"/>
    <col min="147" max="147" width="11.125" style="19" bestFit="1" customWidth="1"/>
    <col min="148" max="148" width="9.625" style="19" bestFit="1" customWidth="1"/>
    <col min="149" max="149" width="8.625" style="19" bestFit="1" customWidth="1"/>
    <col min="150" max="150" width="11.125" style="19" bestFit="1" customWidth="1"/>
    <col min="151" max="154" width="9.625" style="19" bestFit="1" customWidth="1"/>
    <col min="155" max="155" width="11.125" style="19" bestFit="1" customWidth="1"/>
    <col min="156" max="160" width="9.625" style="19" bestFit="1" customWidth="1"/>
    <col min="161" max="161" width="11.125" style="19" bestFit="1" customWidth="1"/>
    <col min="162" max="164" width="9.625" style="19" bestFit="1" customWidth="1"/>
    <col min="165" max="166" width="11.125" style="19" bestFit="1" customWidth="1"/>
    <col min="167" max="167" width="9.625" style="19" bestFit="1" customWidth="1"/>
    <col min="168" max="168" width="11.125" style="19" bestFit="1" customWidth="1"/>
    <col min="169" max="177" width="9.625" style="19" bestFit="1" customWidth="1"/>
    <col min="178" max="178" width="11.125" style="19" bestFit="1" customWidth="1"/>
    <col min="179" max="185" width="9.625" style="19" bestFit="1" customWidth="1"/>
    <col min="186" max="186" width="11.125" style="19" bestFit="1" customWidth="1"/>
    <col min="187" max="187" width="9.625" style="19" bestFit="1" customWidth="1"/>
    <col min="188" max="188" width="11.125" style="19" bestFit="1" customWidth="1"/>
    <col min="189" max="209" width="9.625" style="19" bestFit="1" customWidth="1"/>
    <col min="210" max="210" width="11.125" style="19" bestFit="1" customWidth="1"/>
    <col min="211" max="212" width="9.625" style="19" bestFit="1" customWidth="1"/>
    <col min="213" max="214" width="11.125" style="19" bestFit="1" customWidth="1"/>
    <col min="215" max="215" width="9.625" style="19" bestFit="1" customWidth="1"/>
    <col min="216" max="216" width="12.125" style="19" bestFit="1" customWidth="1"/>
    <col min="217" max="220" width="9.625" style="19" bestFit="1" customWidth="1"/>
    <col min="221" max="221" width="12.125" style="19" bestFit="1" customWidth="1"/>
    <col min="222" max="225" width="9.625" style="19" bestFit="1" customWidth="1"/>
    <col min="226" max="226" width="11.125" style="19" bestFit="1" customWidth="1"/>
    <col min="227" max="229" width="9.625" style="19" bestFit="1" customWidth="1"/>
    <col min="230" max="232" width="11.125" style="19" bestFit="1" customWidth="1"/>
    <col min="233" max="233" width="9.625" style="19" bestFit="1" customWidth="1"/>
    <col min="234" max="235" width="11.125" style="19" bestFit="1" customWidth="1"/>
    <col min="236" max="244" width="9.625" style="19" bestFit="1" customWidth="1"/>
    <col min="245" max="246" width="11.125" style="19" bestFit="1" customWidth="1"/>
    <col min="247" max="248" width="9.625" style="19" bestFit="1" customWidth="1"/>
    <col min="249" max="249" width="12.125" style="19" bestFit="1" customWidth="1"/>
    <col min="250" max="250" width="9.625" style="19" bestFit="1" customWidth="1"/>
    <col min="251" max="255" width="11.125" style="19" bestFit="1" customWidth="1"/>
    <col min="256" max="256" width="9.625" style="19" bestFit="1" customWidth="1"/>
    <col min="257" max="257" width="11.125" style="19" bestFit="1" customWidth="1"/>
    <col min="258" max="258" width="12.125" style="19" bestFit="1" customWidth="1"/>
    <col min="259" max="261" width="9.625" style="19" bestFit="1" customWidth="1"/>
    <col min="262" max="274" width="11.125" style="19" bestFit="1" customWidth="1"/>
    <col min="275" max="275" width="13.25" style="19" bestFit="1" customWidth="1"/>
    <col min="276" max="16384" width="8" style="19"/>
  </cols>
  <sheetData>
    <row r="2" spans="2:25" ht="37.5" customHeight="1" thickBot="1">
      <c r="B2" s="314" t="s">
        <v>58</v>
      </c>
      <c r="C2" s="1003" t="s">
        <v>1367</v>
      </c>
      <c r="D2" s="1004"/>
      <c r="E2" s="19"/>
      <c r="F2" s="19"/>
      <c r="G2" s="19"/>
    </row>
    <row r="3" spans="2:25" ht="13.5" thickBot="1"/>
    <row r="4" spans="2:25">
      <c r="B4" s="315" t="s">
        <v>104</v>
      </c>
      <c r="C4" s="906" t="str">
        <f>'Read Me'!B10</f>
        <v>SDG&amp;E</v>
      </c>
      <c r="D4" s="907"/>
      <c r="E4" s="109"/>
      <c r="F4" s="109"/>
    </row>
    <row r="5" spans="2:25" ht="13.5" thickBot="1">
      <c r="B5" s="468" t="s">
        <v>105</v>
      </c>
      <c r="C5" s="908" t="str">
        <f>'Read Me'!B11</f>
        <v>2028-2035</v>
      </c>
      <c r="D5" s="909"/>
      <c r="E5" s="19"/>
      <c r="F5" s="19"/>
      <c r="G5" s="19"/>
      <c r="H5" s="19"/>
      <c r="I5" s="19"/>
      <c r="M5" s="19"/>
      <c r="N5" s="19"/>
      <c r="O5" s="19"/>
      <c r="P5" s="19"/>
    </row>
    <row r="6" spans="2:25">
      <c r="B6" s="132" t="s">
        <v>284</v>
      </c>
      <c r="C6" s="316"/>
      <c r="D6" s="317"/>
      <c r="E6" s="19"/>
      <c r="F6" s="19"/>
      <c r="G6" s="19"/>
      <c r="H6" s="19"/>
      <c r="I6" s="19"/>
      <c r="M6" s="19"/>
      <c r="N6" s="19"/>
      <c r="O6" s="19"/>
      <c r="P6" s="19"/>
    </row>
    <row r="7" spans="2:25" ht="13.5" thickBot="1">
      <c r="C7" s="318"/>
      <c r="D7" s="318"/>
      <c r="E7" s="318"/>
      <c r="F7" s="318"/>
      <c r="G7" s="19"/>
      <c r="H7" s="318"/>
      <c r="I7" s="318"/>
      <c r="J7" s="318"/>
      <c r="K7" s="318"/>
      <c r="L7" s="318"/>
      <c r="M7" s="318"/>
      <c r="N7" s="318"/>
      <c r="O7" s="318"/>
      <c r="P7" s="318"/>
    </row>
    <row r="8" spans="2:25" ht="94.5" customHeight="1" thickBot="1">
      <c r="C8" s="100" t="s">
        <v>289</v>
      </c>
      <c r="D8" s="21" t="s">
        <v>290</v>
      </c>
      <c r="E8" s="21" t="s">
        <v>293</v>
      </c>
      <c r="F8" s="21" t="s">
        <v>294</v>
      </c>
      <c r="G8" s="21" t="s">
        <v>1368</v>
      </c>
      <c r="H8" s="21" t="s">
        <v>420</v>
      </c>
      <c r="I8" s="21" t="s">
        <v>10</v>
      </c>
      <c r="J8" s="21" t="s">
        <v>11</v>
      </c>
      <c r="K8" s="21" t="s">
        <v>297</v>
      </c>
      <c r="L8" s="21" t="s">
        <v>298</v>
      </c>
      <c r="M8" s="21" t="s">
        <v>1369</v>
      </c>
      <c r="N8" s="21" t="s">
        <v>1370</v>
      </c>
      <c r="O8" s="416" t="s">
        <v>1371</v>
      </c>
      <c r="P8" s="235" t="s">
        <v>302</v>
      </c>
    </row>
    <row r="9" spans="2:25" ht="13.5" thickTop="1">
      <c r="C9" s="632" t="str">
        <f>'Budget Filing Data'!D10</f>
        <v>SDGE3251</v>
      </c>
      <c r="D9" s="632" t="str">
        <f>'Budget Filing Data'!E10</f>
        <v>SW C&amp;S - Compliance Enhancement</v>
      </c>
      <c r="E9" s="633" t="str">
        <f>'Budget Filing Data'!J10</f>
        <v>IOU Core</v>
      </c>
      <c r="F9" s="633" t="str">
        <f>IF('Budget Filing Data'!H10="","",'Budget Filing Data'!H10)</f>
        <v/>
      </c>
      <c r="G9" s="634" t="s">
        <v>15</v>
      </c>
      <c r="H9" s="633" t="str">
        <f>'Budget Filing Data'!G10</f>
        <v>Cross Cutting</v>
      </c>
      <c r="I9" s="633" t="str">
        <f>'Budget Filing Data'!I10</f>
        <v>Codes and Standards</v>
      </c>
      <c r="J9" s="633" t="str">
        <f>'Budget Filing Data'!L10</f>
        <v>Codes and Standards</v>
      </c>
      <c r="K9" s="635">
        <f>'Budget Filing Data'!B10</f>
        <v>2028</v>
      </c>
      <c r="L9" s="636">
        <f>SUM(M9:P9)</f>
        <v>1115475.6589000002</v>
      </c>
      <c r="M9" s="637">
        <f>'Budget Filing Data'!AQ10</f>
        <v>33126.5072</v>
      </c>
      <c r="N9" s="637">
        <f>'Budget Filing Data'!AR10</f>
        <v>0</v>
      </c>
      <c r="O9" s="637">
        <f>'Budget Filing Data'!AS10</f>
        <v>1082349.1517</v>
      </c>
      <c r="P9" s="638">
        <f>'Budget Filing Data'!AT10</f>
        <v>0</v>
      </c>
      <c r="S9" s="1001" t="s">
        <v>6</v>
      </c>
      <c r="T9" s="1002"/>
      <c r="U9" s="238">
        <v>2028</v>
      </c>
    </row>
    <row r="10" spans="2:25">
      <c r="C10" s="632" t="str">
        <f>'Budget Filing Data'!D11</f>
        <v>SDGE3252</v>
      </c>
      <c r="D10" s="632" t="str">
        <f>'Budget Filing Data'!E11</f>
        <v>SW C&amp;S - Reach Codes</v>
      </c>
      <c r="E10" s="633" t="str">
        <f>'Budget Filing Data'!J11</f>
        <v>IOU Core</v>
      </c>
      <c r="F10" s="633" t="str">
        <f>IF('Budget Filing Data'!H11="","",'Budget Filing Data'!H11)</f>
        <v/>
      </c>
      <c r="G10" s="634" t="s">
        <v>15</v>
      </c>
      <c r="H10" s="633" t="str">
        <f>'Budget Filing Data'!G11</f>
        <v>Cross Cutting</v>
      </c>
      <c r="I10" s="633" t="str">
        <f>'Budget Filing Data'!I11</f>
        <v>Codes and Standards</v>
      </c>
      <c r="J10" s="633" t="str">
        <f>'Budget Filing Data'!L11</f>
        <v>Codes and Standards</v>
      </c>
      <c r="K10" s="635">
        <f>'Budget Filing Data'!B11</f>
        <v>2028</v>
      </c>
      <c r="L10" s="636">
        <f t="shared" ref="L10:L82" si="0">SUM(M10:P10)</f>
        <v>1045128.1194</v>
      </c>
      <c r="M10" s="637">
        <f>'Budget Filing Data'!AQ11</f>
        <v>22659.446100000001</v>
      </c>
      <c r="N10" s="637">
        <f>'Budget Filing Data'!AR11</f>
        <v>0</v>
      </c>
      <c r="O10" s="637">
        <f>'Budget Filing Data'!AS11</f>
        <v>1022468.6733</v>
      </c>
      <c r="P10" s="638">
        <f>'Budget Filing Data'!AT11</f>
        <v>0</v>
      </c>
      <c r="R10" s="362" t="s">
        <v>1372</v>
      </c>
      <c r="S10" s="639" t="s">
        <v>15</v>
      </c>
      <c r="T10" s="639" t="s">
        <v>24</v>
      </c>
      <c r="U10" s="640" t="s">
        <v>1373</v>
      </c>
      <c r="W10" s="641" t="s">
        <v>1374</v>
      </c>
      <c r="X10" s="641" t="s">
        <v>1375</v>
      </c>
      <c r="Y10" s="640" t="s">
        <v>1376</v>
      </c>
    </row>
    <row r="11" spans="2:25">
      <c r="C11" s="632" t="str">
        <f>'Budget Filing Data'!D12</f>
        <v>SDGE3253</v>
      </c>
      <c r="D11" s="632" t="str">
        <f>'Budget Filing Data'!E12</f>
        <v>SW C&amp;S - Planning Coordination</v>
      </c>
      <c r="E11" s="633" t="str">
        <f>'Budget Filing Data'!J12</f>
        <v>IOU Core</v>
      </c>
      <c r="F11" s="633" t="str">
        <f>IF('Budget Filing Data'!H12="","",'Budget Filing Data'!H12)</f>
        <v/>
      </c>
      <c r="G11" s="634" t="s">
        <v>15</v>
      </c>
      <c r="H11" s="633" t="str">
        <f>'Budget Filing Data'!G12</f>
        <v>Cross Cutting</v>
      </c>
      <c r="I11" s="633" t="str">
        <f>'Budget Filing Data'!I12</f>
        <v>Codes and Standards</v>
      </c>
      <c r="J11" s="633" t="str">
        <f>'Budget Filing Data'!L12</f>
        <v>Codes and Standards</v>
      </c>
      <c r="K11" s="635">
        <f>'Budget Filing Data'!B12</f>
        <v>2028</v>
      </c>
      <c r="L11" s="636">
        <f t="shared" si="0"/>
        <v>773101.64529999997</v>
      </c>
      <c r="M11" s="637">
        <f>'Budget Filing Data'!AQ12</f>
        <v>19689.728899999998</v>
      </c>
      <c r="N11" s="637">
        <f>'Budget Filing Data'!AR12</f>
        <v>0</v>
      </c>
      <c r="O11" s="637">
        <f>'Budget Filing Data'!AS12</f>
        <v>753411.91639999999</v>
      </c>
      <c r="P11" s="638">
        <f>'Budget Filing Data'!AT12</f>
        <v>0</v>
      </c>
      <c r="R11" s="362" t="s">
        <v>347</v>
      </c>
      <c r="S11" s="642">
        <f>SUMIFS($L$9:$L$340,$K$9:$K$340,U$9,$G$9:$G$340,"Yes",$J$9:$J$340,R11)</f>
        <v>2933705.4236000003</v>
      </c>
      <c r="T11" s="642">
        <f>SUMIFS($L$9:$L$340,$K$9:$K$340,U$9,$G$9:$G$340,"No",$J$9:$J$340,R11)-Y11</f>
        <v>1655089.9628000001</v>
      </c>
      <c r="U11" s="643">
        <f>SUM(S11:T11)</f>
        <v>4588795.3864000002</v>
      </c>
      <c r="W11" s="642">
        <f>+ROUND(Y11*(S11/U11),0)</f>
        <v>165213</v>
      </c>
      <c r="X11" s="642">
        <f>+ROUND(Y11*(T11/U11),0)</f>
        <v>93207</v>
      </c>
      <c r="Y11" s="644">
        <f>SUMIFS($L$9:$L$340,$K$9:$K$340,$U$9,$H$9:$H$340,"Portfolio Support",J$9:$J$340,R11)</f>
        <v>258420.92540000001</v>
      </c>
    </row>
    <row r="12" spans="2:25">
      <c r="C12" s="632" t="str">
        <f>'Budget Filing Data'!D13</f>
        <v>SDGE3262</v>
      </c>
      <c r="D12" s="632" t="str">
        <f>'Budget Filing Data'!E13</f>
        <v>SW-FIN-On-Bill Finance</v>
      </c>
      <c r="E12" s="633" t="str">
        <f>'Budget Filing Data'!J13</f>
        <v>IOU Core</v>
      </c>
      <c r="F12" s="633" t="str">
        <f>IF('Budget Filing Data'!H13="","",'Budget Filing Data'!H13)</f>
        <v/>
      </c>
      <c r="G12" s="634" t="s">
        <v>15</v>
      </c>
      <c r="H12" s="633" t="str">
        <f>'Budget Filing Data'!G13</f>
        <v>Commercial</v>
      </c>
      <c r="I12" s="633" t="str">
        <f>'Budget Filing Data'!I13</f>
        <v>Financing</v>
      </c>
      <c r="J12" s="633" t="str">
        <f>'Budget Filing Data'!L13</f>
        <v>Market Support</v>
      </c>
      <c r="K12" s="635">
        <f>'Budget Filing Data'!B13</f>
        <v>2028</v>
      </c>
      <c r="L12" s="636">
        <f t="shared" si="0"/>
        <v>109719.1504</v>
      </c>
      <c r="M12" s="637">
        <f>'Budget Filing Data'!AQ13</f>
        <v>43206.368699999999</v>
      </c>
      <c r="N12" s="637">
        <f>'Budget Filing Data'!AR13</f>
        <v>728.73059999999998</v>
      </c>
      <c r="O12" s="637">
        <f>'Budget Filing Data'!AS13</f>
        <v>65784.051099999997</v>
      </c>
      <c r="P12" s="638">
        <f>'Budget Filing Data'!AT13</f>
        <v>0</v>
      </c>
      <c r="R12" s="362" t="s">
        <v>29</v>
      </c>
      <c r="S12" s="642">
        <f>SUMIFS($L$9:$L$340,$K$9:$K$340,U$9,$G$9:$G$340,"Yes",$J$9:$J$340,R12)</f>
        <v>5170323.6999000004</v>
      </c>
      <c r="T12" s="642">
        <f t="shared" ref="T12:T14" si="1">SUMIFS($L$9:$L$340,$K$9:$K$340,U$9,$G$9:$G$340,"No",$J$9:$J$340,R12)-Y12</f>
        <v>3125666.3541018507</v>
      </c>
      <c r="U12" s="643">
        <f>SUM(S12:T12)</f>
        <v>8295990.054001851</v>
      </c>
      <c r="W12" s="642">
        <f t="shared" ref="W12:W14" si="2">+ROUND(Y12*(S12/U12),0)</f>
        <v>291170</v>
      </c>
      <c r="X12" s="642">
        <f t="shared" ref="X12:X14" si="3">+ROUND(Y12*(T12/U12),0)</f>
        <v>176024</v>
      </c>
      <c r="Y12" s="644">
        <f>SUMIFS($L$9:$L$340,$K$9:$K$340,$U$9,$H$9:$H$340,"Portfolio Support",J$9:$J$340,R12)</f>
        <v>467193.94669999997</v>
      </c>
    </row>
    <row r="13" spans="2:25">
      <c r="C13" s="632" t="str">
        <f>'Budget Filing Data'!D14</f>
        <v>SDGE3280</v>
      </c>
      <c r="D13" s="632" t="str">
        <f>'Budget Filing Data'!E14</f>
        <v>3P-IDEEA</v>
      </c>
      <c r="E13" s="633" t="str">
        <f>'Budget Filing Data'!J14</f>
        <v>Non-Program</v>
      </c>
      <c r="F13" s="633" t="str">
        <f>IF('Budget Filing Data'!H14="","",'Budget Filing Data'!H14)</f>
        <v/>
      </c>
      <c r="G13" s="634" t="s">
        <v>15</v>
      </c>
      <c r="H13" s="633" t="str">
        <f>'Budget Filing Data'!G14</f>
        <v>Cross Cutting</v>
      </c>
      <c r="I13" s="633" t="str">
        <f>'Budget Filing Data'!I14</f>
        <v>Market Education Outreach</v>
      </c>
      <c r="J13" s="633" t="str">
        <f>'Budget Filing Data'!L14</f>
        <v>Market Support</v>
      </c>
      <c r="K13" s="635">
        <f>'Budget Filing Data'!B14</f>
        <v>2028</v>
      </c>
      <c r="L13" s="636">
        <f t="shared" si="0"/>
        <v>154447.9209</v>
      </c>
      <c r="M13" s="637">
        <f>'Budget Filing Data'!AQ14</f>
        <v>154447.9209</v>
      </c>
      <c r="N13" s="637">
        <f>'Budget Filing Data'!AR14</f>
        <v>0</v>
      </c>
      <c r="O13" s="637">
        <f>'Budget Filing Data'!AS14</f>
        <v>0</v>
      </c>
      <c r="P13" s="638">
        <f>'Budget Filing Data'!AT14</f>
        <v>0</v>
      </c>
      <c r="R13" s="362" t="s">
        <v>20</v>
      </c>
      <c r="S13" s="642">
        <f t="shared" ref="S13:S14" si="4">SUMIFS($L$9:$L$340,$K$9:$K$340,U$9,$G$9:$G$340,"Yes",$J$9:$J$340,R13)</f>
        <v>0</v>
      </c>
      <c r="T13" s="642">
        <f t="shared" si="1"/>
        <v>49082664.246281818</v>
      </c>
      <c r="U13" s="643">
        <f t="shared" ref="U13:U14" si="5">SUM(S13:T13)</f>
        <v>49082664.246281818</v>
      </c>
      <c r="W13" s="642">
        <f>+ROUND(Y13*(S13/U13),0)</f>
        <v>0</v>
      </c>
      <c r="X13" s="642">
        <f t="shared" si="3"/>
        <v>2764121</v>
      </c>
      <c r="Y13" s="644">
        <f>SUMIFS($L$9:$L$340,$K$9:$K$340,$U$9,$H$9:$H$340,"Portfolio Support",J$9:$J$340,R13)</f>
        <v>2764121.3977999999</v>
      </c>
    </row>
    <row r="14" spans="2:25">
      <c r="C14" s="632" t="str">
        <f>'Budget Filing Data'!D15</f>
        <v>SDGE3281</v>
      </c>
      <c r="D14" s="632" t="str">
        <f>'Budget Filing Data'!E15</f>
        <v>EM&amp;V-Evaluation Measurement &amp; Verification</v>
      </c>
      <c r="E14" s="633" t="str">
        <f>'Budget Filing Data'!J15</f>
        <v>Non-Program</v>
      </c>
      <c r="F14" s="633" t="str">
        <f>IF('Budget Filing Data'!H15="","",'Budget Filing Data'!H15)</f>
        <v/>
      </c>
      <c r="G14" s="634" t="s">
        <v>24</v>
      </c>
      <c r="H14" s="633" t="str">
        <f>'Budget Filing Data'!G15</f>
        <v>Cross Cutting</v>
      </c>
      <c r="I14" s="633" t="str">
        <f>'Budget Filing Data'!I15</f>
        <v>Evaluation Measurement and Verification</v>
      </c>
      <c r="J14" s="633" t="str">
        <f>'Budget Filing Data'!L15</f>
        <v>Evaluation, Measurement, and Verification</v>
      </c>
      <c r="K14" s="635">
        <f>'Budget Filing Data'!B15</f>
        <v>2028</v>
      </c>
      <c r="L14" s="636">
        <f t="shared" si="0"/>
        <v>2737123.9175999998</v>
      </c>
      <c r="M14" s="637">
        <f>'Budget Filing Data'!AQ15</f>
        <v>2737123.9175999998</v>
      </c>
      <c r="N14" s="637">
        <f>'Budget Filing Data'!AR15</f>
        <v>0</v>
      </c>
      <c r="O14" s="637">
        <f>'Budget Filing Data'!AS15</f>
        <v>0</v>
      </c>
      <c r="P14" s="638">
        <f>'Budget Filing Data'!AT15</f>
        <v>0</v>
      </c>
      <c r="R14" s="398" t="s">
        <v>36</v>
      </c>
      <c r="S14" s="642">
        <f t="shared" si="4"/>
        <v>221324.01759999999</v>
      </c>
      <c r="T14" s="642">
        <f t="shared" si="1"/>
        <v>0</v>
      </c>
      <c r="U14" s="643">
        <f t="shared" si="5"/>
        <v>221324.01759999999</v>
      </c>
      <c r="W14" s="642">
        <f t="shared" si="2"/>
        <v>12464</v>
      </c>
      <c r="X14" s="642">
        <f t="shared" si="3"/>
        <v>0</v>
      </c>
      <c r="Y14" s="644">
        <f>SUMIFS($L$9:$L$340,$K$9:$K$340,$U$9,$H$9:$H$340,"Portfolio Support",J$9:$J$340,R14)</f>
        <v>12464.002899999999</v>
      </c>
    </row>
    <row r="15" spans="2:25" ht="13.5" thickBot="1">
      <c r="C15" s="645" t="str">
        <f>'Budget Filing Data'!D16</f>
        <v>SDGE4001</v>
      </c>
      <c r="D15" s="645" t="str">
        <f>'Budget Filing Data'!E16</f>
        <v>Single Family Program</v>
      </c>
      <c r="E15" s="646" t="str">
        <f>'Budget Filing Data'!J16</f>
        <v>Third-Party Solicited</v>
      </c>
      <c r="F15" s="646" t="str">
        <f>IF('Budget Filing Data'!H16="","",'Budget Filing Data'!H16)</f>
        <v/>
      </c>
      <c r="G15" s="634" t="s">
        <v>24</v>
      </c>
      <c r="H15" s="646" t="str">
        <f>'Budget Filing Data'!G16</f>
        <v>Residential</v>
      </c>
      <c r="I15" s="646" t="str">
        <f>'Budget Filing Data'!I16</f>
        <v>Other</v>
      </c>
      <c r="J15" s="646" t="str">
        <f>'Budget Filing Data'!L16</f>
        <v>Resource Acquisition</v>
      </c>
      <c r="K15" s="647">
        <f>'Budget Filing Data'!B16</f>
        <v>2028</v>
      </c>
      <c r="L15" s="636">
        <f t="shared" si="0"/>
        <v>4999999.9989999998</v>
      </c>
      <c r="M15" s="648">
        <v>150000</v>
      </c>
      <c r="N15" s="648">
        <v>150000</v>
      </c>
      <c r="O15" s="648">
        <v>50000</v>
      </c>
      <c r="P15" s="649">
        <v>4649999.9989999998</v>
      </c>
      <c r="R15" s="402" t="s">
        <v>1377</v>
      </c>
      <c r="S15" s="650">
        <f>SUM(S11:S14)</f>
        <v>8325353.1411000006</v>
      </c>
      <c r="T15" s="650">
        <f>SUM(T11:T14)</f>
        <v>53863420.563183665</v>
      </c>
      <c r="U15" s="651">
        <f>SUM(U11:U14)</f>
        <v>62188773.70428367</v>
      </c>
      <c r="V15" s="166"/>
      <c r="W15" s="652">
        <f>SUM(W11:W14)</f>
        <v>468847</v>
      </c>
      <c r="X15" s="652">
        <f>SUM(X11:X14)</f>
        <v>3033352</v>
      </c>
      <c r="Y15" s="652">
        <f>SUM(Y11:Y14)</f>
        <v>3502200.2727999999</v>
      </c>
    </row>
    <row r="16" spans="2:25">
      <c r="C16" s="645" t="s">
        <v>1378</v>
      </c>
      <c r="D16" s="645" t="s">
        <v>1379</v>
      </c>
      <c r="E16" s="646" t="s">
        <v>17</v>
      </c>
      <c r="F16" s="646"/>
      <c r="G16" s="634" t="s">
        <v>24</v>
      </c>
      <c r="H16" s="646" t="str">
        <f>H15</f>
        <v>Residential</v>
      </c>
      <c r="I16" s="646" t="str">
        <f t="shared" ref="I16:K16" si="6">I15</f>
        <v>Other</v>
      </c>
      <c r="J16" s="646" t="str">
        <f t="shared" si="6"/>
        <v>Resource Acquisition</v>
      </c>
      <c r="K16" s="647">
        <f t="shared" si="6"/>
        <v>2028</v>
      </c>
      <c r="L16" s="636">
        <f t="shared" si="0"/>
        <v>462816.55969999998</v>
      </c>
      <c r="M16" s="648">
        <v>145173.77249999999</v>
      </c>
      <c r="N16" s="648">
        <v>728.73059999999998</v>
      </c>
      <c r="O16" s="648">
        <v>316914.05660000001</v>
      </c>
      <c r="P16" s="649">
        <v>0</v>
      </c>
      <c r="R16" s="399"/>
    </row>
    <row r="17" spans="3:25">
      <c r="C17" s="645" t="str">
        <f>'Budget Filing Data'!D17</f>
        <v>SDGE4002</v>
      </c>
      <c r="D17" s="645" t="str">
        <f>'Budget Filing Data'!E17</f>
        <v>Multi Family Program</v>
      </c>
      <c r="E17" s="646" t="str">
        <f>'Budget Filing Data'!J17</f>
        <v>Third-Party Solicited</v>
      </c>
      <c r="F17" s="646" t="str">
        <f>IF('Budget Filing Data'!H17="","",'Budget Filing Data'!H17)</f>
        <v/>
      </c>
      <c r="G17" s="634" t="s">
        <v>24</v>
      </c>
      <c r="H17" s="646" t="str">
        <f>'Budget Filing Data'!G17</f>
        <v>Residential</v>
      </c>
      <c r="I17" s="646" t="str">
        <f>'Budget Filing Data'!I17</f>
        <v>Other</v>
      </c>
      <c r="J17" s="646" t="str">
        <f>'Budget Filing Data'!L17</f>
        <v>Resource Acquisition</v>
      </c>
      <c r="K17" s="647">
        <f>'Budget Filing Data'!B17</f>
        <v>2028</v>
      </c>
      <c r="L17" s="636">
        <f t="shared" si="0"/>
        <v>9999999.9989999998</v>
      </c>
      <c r="M17" s="648">
        <v>300000</v>
      </c>
      <c r="N17" s="648">
        <v>300000</v>
      </c>
      <c r="O17" s="648">
        <v>100000</v>
      </c>
      <c r="P17" s="649">
        <v>9299999.9989999998</v>
      </c>
      <c r="R17" s="399"/>
    </row>
    <row r="18" spans="3:25">
      <c r="C18" s="645" t="s">
        <v>1380</v>
      </c>
      <c r="D18" s="645" t="s">
        <v>1381</v>
      </c>
      <c r="E18" s="646" t="s">
        <v>17</v>
      </c>
      <c r="F18" s="646"/>
      <c r="G18" s="634" t="s">
        <v>24</v>
      </c>
      <c r="H18" s="646" t="str">
        <f>H17</f>
        <v>Residential</v>
      </c>
      <c r="I18" s="646" t="str">
        <f t="shared" ref="I18:K18" si="7">I17</f>
        <v>Other</v>
      </c>
      <c r="J18" s="646" t="str">
        <f t="shared" si="7"/>
        <v>Resource Acquisition</v>
      </c>
      <c r="K18" s="647">
        <f t="shared" si="7"/>
        <v>2028</v>
      </c>
      <c r="L18" s="636">
        <f t="shared" si="0"/>
        <v>925066.8208000001</v>
      </c>
      <c r="M18" s="648">
        <v>288964.83529999998</v>
      </c>
      <c r="N18" s="648">
        <v>728.73059999999998</v>
      </c>
      <c r="O18" s="648">
        <v>635373.25490000006</v>
      </c>
      <c r="P18" s="649">
        <v>0</v>
      </c>
      <c r="R18" s="399"/>
      <c r="S18" s="1001" t="s">
        <v>6</v>
      </c>
      <c r="T18" s="1002"/>
      <c r="U18" s="238">
        <v>2029</v>
      </c>
    </row>
    <row r="19" spans="3:25">
      <c r="C19" s="645" t="str">
        <f>'Budget Filing Data'!D18</f>
        <v>SDGE4006</v>
      </c>
      <c r="D19" s="645" t="str">
        <f>'Budget Filing Data'!E18</f>
        <v>Industrial Sector Program</v>
      </c>
      <c r="E19" s="646" t="str">
        <f>'Budget Filing Data'!J18</f>
        <v>Third-Party Solicited</v>
      </c>
      <c r="F19" s="646" t="str">
        <f>IF('Budget Filing Data'!H18="","",'Budget Filing Data'!H18)</f>
        <v/>
      </c>
      <c r="G19" s="634" t="s">
        <v>24</v>
      </c>
      <c r="H19" s="646" t="str">
        <f>'Budget Filing Data'!G18</f>
        <v>Industrial</v>
      </c>
      <c r="I19" s="646" t="str">
        <f>'Budget Filing Data'!I18</f>
        <v>Other</v>
      </c>
      <c r="J19" s="646" t="str">
        <f>'Budget Filing Data'!L18</f>
        <v>Resource Acquisition</v>
      </c>
      <c r="K19" s="647">
        <f>'Budget Filing Data'!B18</f>
        <v>2028</v>
      </c>
      <c r="L19" s="636">
        <f t="shared" si="0"/>
        <v>8571776.1999999993</v>
      </c>
      <c r="M19" s="648">
        <v>514306.63</v>
      </c>
      <c r="N19" s="648">
        <v>428588.86</v>
      </c>
      <c r="O19" s="648">
        <v>5670819.71</v>
      </c>
      <c r="P19" s="649">
        <v>1958061</v>
      </c>
      <c r="R19" s="362" t="s">
        <v>1372</v>
      </c>
      <c r="S19" s="639" t="s">
        <v>15</v>
      </c>
      <c r="T19" s="639" t="s">
        <v>24</v>
      </c>
      <c r="U19" s="640" t="s">
        <v>1373</v>
      </c>
      <c r="W19" s="641" t="s">
        <v>1374</v>
      </c>
      <c r="X19" s="641" t="s">
        <v>1375</v>
      </c>
      <c r="Y19" s="640" t="s">
        <v>1376</v>
      </c>
    </row>
    <row r="20" spans="3:25">
      <c r="C20" s="645" t="s">
        <v>1382</v>
      </c>
      <c r="D20" s="645" t="s">
        <v>1383</v>
      </c>
      <c r="E20" s="646" t="s">
        <v>17</v>
      </c>
      <c r="F20" s="646"/>
      <c r="G20" s="634" t="s">
        <v>24</v>
      </c>
      <c r="H20" s="646" t="str">
        <f>H19</f>
        <v>Industrial</v>
      </c>
      <c r="I20" s="646" t="str">
        <f t="shared" ref="I20:K20" si="8">I19</f>
        <v>Other</v>
      </c>
      <c r="J20" s="646" t="str">
        <f t="shared" si="8"/>
        <v>Resource Acquisition</v>
      </c>
      <c r="K20" s="647">
        <f t="shared" si="8"/>
        <v>2028</v>
      </c>
      <c r="L20" s="636">
        <f t="shared" si="0"/>
        <v>1137460.0241999999</v>
      </c>
      <c r="M20" s="648">
        <v>323891.28159999999</v>
      </c>
      <c r="N20" s="648">
        <v>728.73059999999998</v>
      </c>
      <c r="O20" s="648">
        <v>812840.01199999999</v>
      </c>
      <c r="P20" s="649">
        <v>0</v>
      </c>
      <c r="R20" s="400" t="s">
        <v>347</v>
      </c>
      <c r="S20" s="642">
        <f>SUMIFS($L$9:$L$340,$K$9:$K$340,U$18,$G$9:$G$340,"Yes",$J$9:$J$340,R20)</f>
        <v>3022101.0018000002</v>
      </c>
      <c r="T20" s="642">
        <f>SUMIFS($L$9:$L$340,$K$9:$K$340,U$18,$G$9:$G$340,"No",$J$9:$J$340,R20)-Y20</f>
        <v>1660965.0447</v>
      </c>
      <c r="U20" s="643">
        <f>SUM(S20:T20)</f>
        <v>4683066.0465000002</v>
      </c>
      <c r="W20" s="642">
        <f>+ROUND(Y20*(S20/U20),0)</f>
        <v>128384</v>
      </c>
      <c r="X20" s="642">
        <f>+ROUND(Y20*(T20/U20),0)</f>
        <v>70561</v>
      </c>
      <c r="Y20" s="644">
        <f>SUMIFS($L$9:$L$340,$K$9:$K$340,$U$18,$H$9:$H$340,"Portfolio Support",J$9:$J$340,R20)</f>
        <v>198945.14910000001</v>
      </c>
    </row>
    <row r="21" spans="3:25">
      <c r="C21" s="645" t="str">
        <f>'Budget Filing Data'!D19</f>
        <v>SDGE4040</v>
      </c>
      <c r="D21" s="645" t="str">
        <f>'Budget Filing Data'!E19</f>
        <v>IDSM Local Residential Behavioral Program (EE)</v>
      </c>
      <c r="E21" s="646" t="str">
        <f>'Budget Filing Data'!J19</f>
        <v>Third-Party Solicited</v>
      </c>
      <c r="F21" s="646" t="str">
        <f>IF('Budget Filing Data'!H19="","",'Budget Filing Data'!H19)</f>
        <v/>
      </c>
      <c r="G21" s="634" t="s">
        <v>24</v>
      </c>
      <c r="H21" s="646" t="str">
        <f>'Budget Filing Data'!G19</f>
        <v>Residential</v>
      </c>
      <c r="I21" s="646" t="str">
        <f>'Budget Filing Data'!I19</f>
        <v>Other</v>
      </c>
      <c r="J21" s="646" t="str">
        <f>'Budget Filing Data'!L19</f>
        <v>Resource Acquisition</v>
      </c>
      <c r="K21" s="647">
        <f>'Budget Filing Data'!B19</f>
        <v>2028</v>
      </c>
      <c r="L21" s="636">
        <f t="shared" si="0"/>
        <v>2408538.1501000002</v>
      </c>
      <c r="M21" s="648">
        <v>240853.81510000001</v>
      </c>
      <c r="N21" s="648">
        <v>0</v>
      </c>
      <c r="O21" s="648">
        <v>2167684.335</v>
      </c>
      <c r="P21" s="649">
        <v>0</v>
      </c>
      <c r="R21" s="400" t="s">
        <v>29</v>
      </c>
      <c r="S21" s="642">
        <f t="shared" ref="S21:S23" si="9">SUMIFS($L$9:$L$340,$K$9:$K$340,U$18,$G$9:$G$340,"Yes",$J$9:$J$340,R21)</f>
        <v>5245344.6689999998</v>
      </c>
      <c r="T21" s="642">
        <f t="shared" ref="T21:T23" si="10">SUMIFS($L$9:$L$340,$K$9:$K$340,U$18,$G$9:$G$340,"No",$J$9:$J$340,R21)-Y21</f>
        <v>3056150.2314507021</v>
      </c>
      <c r="U21" s="643">
        <f>SUM(S21:T21)</f>
        <v>8301494.9004507018</v>
      </c>
      <c r="W21" s="642">
        <f>+ROUND(Y21*(S21/U21),0)</f>
        <v>222832</v>
      </c>
      <c r="X21" s="642">
        <f t="shared" ref="X21:X23" si="11">+ROUND(Y21*(T21/U21),0)</f>
        <v>129831</v>
      </c>
      <c r="Y21" s="644">
        <f>SUMIFS($L$9:$L$340,$K$9:$K$340,$U$18,$H$9:$H$340,"Portfolio Support",J$9:$J$340,R21)</f>
        <v>352662.57679999998</v>
      </c>
    </row>
    <row r="22" spans="3:25">
      <c r="C22" s="645" t="s">
        <v>1384</v>
      </c>
      <c r="D22" s="645" t="s">
        <v>1385</v>
      </c>
      <c r="E22" s="646" t="s">
        <v>17</v>
      </c>
      <c r="F22" s="646"/>
      <c r="G22" s="634" t="s">
        <v>24</v>
      </c>
      <c r="H22" s="646" t="str">
        <f>H21</f>
        <v>Residential</v>
      </c>
      <c r="I22" s="646" t="str">
        <f>I21</f>
        <v>Other</v>
      </c>
      <c r="J22" s="646" t="str">
        <f>J21</f>
        <v>Resource Acquisition</v>
      </c>
      <c r="K22" s="647">
        <f>K21</f>
        <v>2028</v>
      </c>
      <c r="L22" s="636">
        <f t="shared" si="0"/>
        <v>137819.71580000001</v>
      </c>
      <c r="M22" s="648">
        <v>88170.668000000005</v>
      </c>
      <c r="N22" s="648">
        <v>17489.534299999999</v>
      </c>
      <c r="O22" s="648">
        <v>32159.513500000001</v>
      </c>
      <c r="P22" s="649">
        <v>0</v>
      </c>
      <c r="R22" s="400" t="s">
        <v>20</v>
      </c>
      <c r="S22" s="642">
        <f t="shared" si="9"/>
        <v>0</v>
      </c>
      <c r="T22" s="642">
        <f t="shared" si="10"/>
        <v>49193375.255970433</v>
      </c>
      <c r="U22" s="643">
        <f t="shared" ref="U22:U23" si="12">SUM(S22:T22)</f>
        <v>49193375.255970433</v>
      </c>
      <c r="W22" s="642">
        <f>+ROUND(Y22*(S22/U22),0)</f>
        <v>0</v>
      </c>
      <c r="X22" s="642">
        <f t="shared" si="11"/>
        <v>2089824</v>
      </c>
      <c r="Y22" s="644">
        <f>SUMIFS($L$9:$L$340,$K$9:$K$340,$U$18,$H$9:$H$340,"Portfolio Support",J$9:$J$340,R22)</f>
        <v>2089823.9047000001</v>
      </c>
    </row>
    <row r="23" spans="3:25">
      <c r="C23" s="632" t="str">
        <f>'Budget Filing Data'!D20</f>
        <v>SDGE_SW_CSA_Natl</v>
      </c>
      <c r="D23" s="632" t="str">
        <f>'Budget Filing Data'!E20</f>
        <v>SW Codes &amp; Standards Advocacy - National Codes &amp; Standards Advocacy</v>
      </c>
      <c r="E23" s="633" t="str">
        <f>'Budget Filing Data'!J20</f>
        <v>Third-Party Solicited</v>
      </c>
      <c r="F23" s="633" t="str">
        <f>IF('Budget Filing Data'!H20="","",'Budget Filing Data'!H20)</f>
        <v>SW_CSA_Natl - Codes and Standards National Codes Advocacy</v>
      </c>
      <c r="G23" s="634" t="s">
        <v>24</v>
      </c>
      <c r="H23" s="633" t="str">
        <f>'Budget Filing Data'!G20</f>
        <v>Cross Cutting</v>
      </c>
      <c r="I23" s="633" t="str">
        <f>'Budget Filing Data'!I20</f>
        <v>Codes and Standards</v>
      </c>
      <c r="J23" s="633" t="str">
        <f>'Budget Filing Data'!L20</f>
        <v>Codes and Standards</v>
      </c>
      <c r="K23" s="635">
        <f>'Budget Filing Data'!B20</f>
        <v>2028</v>
      </c>
      <c r="L23" s="636">
        <f t="shared" si="0"/>
        <v>423899.28909999999</v>
      </c>
      <c r="M23" s="637">
        <f>'Budget Filing Data'!AQ20</f>
        <v>0</v>
      </c>
      <c r="N23" s="637">
        <f>'Budget Filing Data'!AR20</f>
        <v>0</v>
      </c>
      <c r="O23" s="637">
        <f>'Budget Filing Data'!AS20</f>
        <v>423899.28909999999</v>
      </c>
      <c r="P23" s="638">
        <f>'Budget Filing Data'!AT20</f>
        <v>0</v>
      </c>
      <c r="R23" s="401" t="s">
        <v>36</v>
      </c>
      <c r="S23" s="642">
        <f t="shared" si="9"/>
        <v>221404.85250000001</v>
      </c>
      <c r="T23" s="642">
        <f t="shared" si="10"/>
        <v>0</v>
      </c>
      <c r="U23" s="643">
        <f t="shared" si="12"/>
        <v>221404.85250000001</v>
      </c>
      <c r="W23" s="642">
        <f>+ROUND(Y23*(S23/U23),0)</f>
        <v>9406</v>
      </c>
      <c r="X23" s="642">
        <f t="shared" si="11"/>
        <v>0</v>
      </c>
      <c r="Y23" s="644">
        <f>SUMIFS($L$9:$L$340,$K$9:$K$340,$U$18,$H$9:$H$340,"Portfolio Support",J$9:$J$340,R23)</f>
        <v>9405.68</v>
      </c>
    </row>
    <row r="24" spans="3:25" ht="13.5" thickBot="1">
      <c r="C24" s="632" t="str">
        <f>'Budget Filing Data'!D21</f>
        <v>SDGE_SW_CSA_Natl_PA</v>
      </c>
      <c r="D24" s="632" t="str">
        <f>'Budget Filing Data'!E21</f>
        <v>SW Codes &amp; Standards Advocacy - National Codes &amp; Standards Advocacy (Utility)</v>
      </c>
      <c r="E24" s="633" t="str">
        <f>'Budget Filing Data'!J21</f>
        <v>IOU Core</v>
      </c>
      <c r="F24" s="633" t="str">
        <f>IF('Budget Filing Data'!H21="","",'Budget Filing Data'!H21)</f>
        <v>SW_CSA_Natl - Codes and Standards National Codes Advocacy</v>
      </c>
      <c r="G24" s="634" t="s">
        <v>24</v>
      </c>
      <c r="H24" s="633" t="str">
        <f>'Budget Filing Data'!G21</f>
        <v>Cross Cutting</v>
      </c>
      <c r="I24" s="633" t="str">
        <f>'Budget Filing Data'!I21</f>
        <v>Codes and Standards</v>
      </c>
      <c r="J24" s="633" t="str">
        <f>'Budget Filing Data'!L21</f>
        <v>Codes and Standards</v>
      </c>
      <c r="K24" s="635">
        <f>'Budget Filing Data'!B21</f>
        <v>2028</v>
      </c>
      <c r="L24" s="636">
        <f t="shared" si="0"/>
        <v>59946.922699999996</v>
      </c>
      <c r="M24" s="637">
        <f>'Budget Filing Data'!AQ21</f>
        <v>13937.0442</v>
      </c>
      <c r="N24" s="637">
        <f>'Budget Filing Data'!AR21</f>
        <v>0</v>
      </c>
      <c r="O24" s="637">
        <f>'Budget Filing Data'!AS21</f>
        <v>46009.878499999999</v>
      </c>
      <c r="P24" s="638">
        <f>'Budget Filing Data'!AT21</f>
        <v>0</v>
      </c>
      <c r="R24" s="402" t="s">
        <v>1377</v>
      </c>
      <c r="S24" s="650">
        <f>SUM(S20:S23)</f>
        <v>8488850.5232999995</v>
      </c>
      <c r="T24" s="650">
        <f>SUM(T20:T23)</f>
        <v>53910490.532121137</v>
      </c>
      <c r="U24" s="651">
        <f>SUM(U20:U23)</f>
        <v>62399341.055421136</v>
      </c>
      <c r="V24" s="166"/>
      <c r="W24" s="652">
        <f>SUM(W20:W23)</f>
        <v>360622</v>
      </c>
      <c r="X24" s="652">
        <f>SUM(X20:X23)</f>
        <v>2290216</v>
      </c>
      <c r="Y24" s="652">
        <f>SUM(Y20:Y23)</f>
        <v>2650837.3106</v>
      </c>
    </row>
    <row r="25" spans="3:25">
      <c r="C25" s="632" t="str">
        <f>'Budget Filing Data'!D22</f>
        <v>SDGE_SW_CSA_Appl</v>
      </c>
      <c r="D25" s="632" t="str">
        <f>'Budget Filing Data'!E22</f>
        <v>SW Codes &amp; Standards Advocacy - State Appliance Standards</v>
      </c>
      <c r="E25" s="633" t="str">
        <f>'Budget Filing Data'!J22</f>
        <v>Third-Party Solicited</v>
      </c>
      <c r="F25" s="633" t="str">
        <f>IF('Budget Filing Data'!H22="","",'Budget Filing Data'!H22)</f>
        <v>SW_CSA_Appl - Codes and Standards Appliance Advocacy</v>
      </c>
      <c r="G25" s="634" t="s">
        <v>24</v>
      </c>
      <c r="H25" s="633" t="str">
        <f>'Budget Filing Data'!G22</f>
        <v>Cross Cutting</v>
      </c>
      <c r="I25" s="633" t="str">
        <f>'Budget Filing Data'!I22</f>
        <v>Codes and Standards</v>
      </c>
      <c r="J25" s="633" t="str">
        <f>'Budget Filing Data'!L22</f>
        <v>Codes and Standards</v>
      </c>
      <c r="K25" s="635">
        <f>'Budget Filing Data'!B22</f>
        <v>2028</v>
      </c>
      <c r="L25" s="636">
        <f t="shared" si="0"/>
        <v>333070.63510000001</v>
      </c>
      <c r="M25" s="637">
        <f>'Budget Filing Data'!AQ22</f>
        <v>0</v>
      </c>
      <c r="N25" s="637">
        <f>'Budget Filing Data'!AR22</f>
        <v>0</v>
      </c>
      <c r="O25" s="637">
        <f>'Budget Filing Data'!AS22</f>
        <v>333070.63510000001</v>
      </c>
      <c r="P25" s="638">
        <f>'Budget Filing Data'!AT22</f>
        <v>0</v>
      </c>
      <c r="R25" s="399"/>
    </row>
    <row r="26" spans="3:25">
      <c r="C26" s="632" t="str">
        <f>'Budget Filing Data'!D23</f>
        <v>SDGE_SW_CSA_Appl_PA</v>
      </c>
      <c r="D26" s="632" t="str">
        <f>'Budget Filing Data'!E23</f>
        <v>SW Codes &amp; Standards Advocacy - State Appliance Standards (Utility)</v>
      </c>
      <c r="E26" s="633" t="str">
        <f>'Budget Filing Data'!J23</f>
        <v>IOU Core</v>
      </c>
      <c r="F26" s="633" t="str">
        <f>IF('Budget Filing Data'!H23="","",'Budget Filing Data'!H23)</f>
        <v>SW_CSA_Appl - Codes and Standards Appliance Advocacy</v>
      </c>
      <c r="G26" s="634" t="s">
        <v>24</v>
      </c>
      <c r="H26" s="633" t="str">
        <f>'Budget Filing Data'!G23</f>
        <v>Cross Cutting</v>
      </c>
      <c r="I26" s="633" t="str">
        <f>'Budget Filing Data'!I23</f>
        <v>Codes and Standards</v>
      </c>
      <c r="J26" s="633" t="str">
        <f>'Budget Filing Data'!L23</f>
        <v>Codes and Standards</v>
      </c>
      <c r="K26" s="635">
        <f>'Budget Filing Data'!B23</f>
        <v>2028</v>
      </c>
      <c r="L26" s="636">
        <f t="shared" si="0"/>
        <v>61413.534099999997</v>
      </c>
      <c r="M26" s="637">
        <f>'Budget Filing Data'!AQ23</f>
        <v>13504.8266</v>
      </c>
      <c r="N26" s="637">
        <f>'Budget Filing Data'!AR23</f>
        <v>0</v>
      </c>
      <c r="O26" s="637">
        <f>'Budget Filing Data'!AS23</f>
        <v>47908.707499999997</v>
      </c>
      <c r="P26" s="638">
        <f>'Budget Filing Data'!AT23</f>
        <v>0</v>
      </c>
      <c r="R26" s="399"/>
    </row>
    <row r="27" spans="3:25">
      <c r="C27" s="632" t="str">
        <f>'Budget Filing Data'!D24</f>
        <v>SDGE_SW_CSA_Bldg</v>
      </c>
      <c r="D27" s="632" t="str">
        <f>'Budget Filing Data'!E24</f>
        <v>SW Codes &amp; Standards Advocacy - State Building Codes</v>
      </c>
      <c r="E27" s="633" t="str">
        <f>'Budget Filing Data'!J24</f>
        <v>Third-Party Solicited</v>
      </c>
      <c r="F27" s="633" t="str">
        <f>IF('Budget Filing Data'!H24="","",'Budget Filing Data'!H24)</f>
        <v>SW_CSA_Bldg - Codes and Standards Building Codes Advocacy</v>
      </c>
      <c r="G27" s="634" t="s">
        <v>24</v>
      </c>
      <c r="H27" s="633" t="str">
        <f>'Budget Filing Data'!G24</f>
        <v>Cross Cutting</v>
      </c>
      <c r="I27" s="633" t="str">
        <f>'Budget Filing Data'!I24</f>
        <v>Codes and Standards</v>
      </c>
      <c r="J27" s="633" t="str">
        <f>'Budget Filing Data'!L24</f>
        <v>Codes and Standards</v>
      </c>
      <c r="K27" s="635">
        <f>'Budget Filing Data'!B24</f>
        <v>2028</v>
      </c>
      <c r="L27" s="636">
        <f t="shared" si="0"/>
        <v>699685.34719999996</v>
      </c>
      <c r="M27" s="637">
        <f>'Budget Filing Data'!AQ24</f>
        <v>0</v>
      </c>
      <c r="N27" s="637">
        <f>'Budget Filing Data'!AR24</f>
        <v>0</v>
      </c>
      <c r="O27" s="637">
        <f>'Budget Filing Data'!AS24</f>
        <v>699685.34719999996</v>
      </c>
      <c r="P27" s="638">
        <f>'Budget Filing Data'!AT24</f>
        <v>0</v>
      </c>
      <c r="R27" s="399"/>
      <c r="S27" s="1001" t="s">
        <v>6</v>
      </c>
      <c r="T27" s="1002"/>
      <c r="U27" s="238">
        <v>2030</v>
      </c>
    </row>
    <row r="28" spans="3:25">
      <c r="C28" s="632" t="str">
        <f>'Budget Filing Data'!D25</f>
        <v>SDGE_SW_CSA_Bldg_PA</v>
      </c>
      <c r="D28" s="632" t="str">
        <f>'Budget Filing Data'!E25</f>
        <v>SW Codes &amp; Standards Advocacy - State Building Codes (Utility)</v>
      </c>
      <c r="E28" s="633" t="str">
        <f>'Budget Filing Data'!J25</f>
        <v>IOU Core</v>
      </c>
      <c r="F28" s="633" t="str">
        <f>IF('Budget Filing Data'!H25="","",'Budget Filing Data'!H25)</f>
        <v>SW_CSA_Bldg - Codes and Standards Building Codes Advocacy</v>
      </c>
      <c r="G28" s="634" t="s">
        <v>24</v>
      </c>
      <c r="H28" s="633" t="str">
        <f>'Budget Filing Data'!G25</f>
        <v>Cross Cutting</v>
      </c>
      <c r="I28" s="633" t="str">
        <f>'Budget Filing Data'!I25</f>
        <v>Codes and Standards</v>
      </c>
      <c r="J28" s="633" t="str">
        <f>'Budget Filing Data'!L25</f>
        <v>Codes and Standards</v>
      </c>
      <c r="K28" s="635">
        <f>'Budget Filing Data'!B25</f>
        <v>2028</v>
      </c>
      <c r="L28" s="636">
        <f t="shared" si="0"/>
        <v>77074.234599999996</v>
      </c>
      <c r="M28" s="637">
        <f>'Budget Filing Data'!AQ25</f>
        <v>16457.927199999998</v>
      </c>
      <c r="N28" s="637">
        <f>'Budget Filing Data'!AR25</f>
        <v>0</v>
      </c>
      <c r="O28" s="637">
        <f>'Budget Filing Data'!AS25</f>
        <v>60616.307399999998</v>
      </c>
      <c r="P28" s="638">
        <f>'Budget Filing Data'!AT25</f>
        <v>0</v>
      </c>
      <c r="R28" s="362" t="s">
        <v>1372</v>
      </c>
      <c r="S28" s="639" t="s">
        <v>15</v>
      </c>
      <c r="T28" s="639" t="s">
        <v>24</v>
      </c>
      <c r="U28" s="640" t="s">
        <v>1373</v>
      </c>
      <c r="W28" s="641" t="s">
        <v>1374</v>
      </c>
      <c r="X28" s="641" t="s">
        <v>1375</v>
      </c>
      <c r="Y28" s="640" t="s">
        <v>1376</v>
      </c>
    </row>
    <row r="29" spans="3:25">
      <c r="C29" s="632" t="str">
        <f>'Budget Filing Data'!D26</f>
        <v>SDGE_SW_ETP_Elec</v>
      </c>
      <c r="D29" s="632" t="str">
        <f>'Budget Filing Data'!E26</f>
        <v>SW Emerging Technologies - Electric</v>
      </c>
      <c r="E29" s="633" t="str">
        <f>'Budget Filing Data'!J26</f>
        <v>Third-Party Solicited</v>
      </c>
      <c r="F29" s="633" t="str">
        <f>IF('Budget Filing Data'!H26="","",'Budget Filing Data'!H26)</f>
        <v>SW_ETP_Elec - Emerging Technology Programs - Electric</v>
      </c>
      <c r="G29" s="634" t="s">
        <v>15</v>
      </c>
      <c r="H29" s="633" t="str">
        <f>'Budget Filing Data'!G26</f>
        <v>Cross Cutting</v>
      </c>
      <c r="I29" s="633" t="str">
        <f>'Budget Filing Data'!I26</f>
        <v>Emerging Technologies</v>
      </c>
      <c r="J29" s="633" t="str">
        <f>'Budget Filing Data'!L26</f>
        <v>Market Support</v>
      </c>
      <c r="K29" s="635">
        <f>'Budget Filing Data'!B26</f>
        <v>2028</v>
      </c>
      <c r="L29" s="636">
        <f t="shared" si="0"/>
        <v>1547000</v>
      </c>
      <c r="M29" s="637">
        <f>'Budget Filing Data'!AQ26</f>
        <v>0</v>
      </c>
      <c r="N29" s="637">
        <f>'Budget Filing Data'!AR26</f>
        <v>0</v>
      </c>
      <c r="O29" s="637">
        <f>'Budget Filing Data'!AS26</f>
        <v>1547000</v>
      </c>
      <c r="P29" s="638">
        <f>'Budget Filing Data'!AT26</f>
        <v>0</v>
      </c>
      <c r="R29" s="400" t="s">
        <v>347</v>
      </c>
      <c r="S29" s="642">
        <f>SUMIFS($L$9:$L$340,$K$9:$K$340,U$27,$G$9:$G$340,"Yes",$J$9:$J$340,R29)</f>
        <v>3112678.4583000001</v>
      </c>
      <c r="T29" s="642">
        <f>SUMIFS($L$9:$L$340,$K$9:$K$340,U$27,$G$9:$G$340,"No",$J$9:$J$340,R29)-Y29</f>
        <v>1666786.8583999998</v>
      </c>
      <c r="U29" s="643">
        <f>SUM(S29:T29)</f>
        <v>4779465.3167000003</v>
      </c>
      <c r="W29" s="642">
        <f>+ROUND(Y29*(S29/U29),0)</f>
        <v>133923</v>
      </c>
      <c r="X29" s="642">
        <f>+ROUND(Y29*(T29/U29),0)</f>
        <v>71713</v>
      </c>
      <c r="Y29" s="644">
        <f>SUMIFS($L$9:$L$340,$K$9:$K$340,$U$27,$H$9:$H$340,"Portfolio Support",J$9:$J$340,R29)</f>
        <v>205636.4319</v>
      </c>
    </row>
    <row r="30" spans="3:25">
      <c r="C30" s="632" t="str">
        <f>'Budget Filing Data'!D27</f>
        <v>SDGE_SW_ETP_Elec_PA</v>
      </c>
      <c r="D30" s="632" t="str">
        <f>'Budget Filing Data'!E27</f>
        <v>SW Emerging Technologies - Electric (Utility)</v>
      </c>
      <c r="E30" s="633" t="str">
        <f>'Budget Filing Data'!J27</f>
        <v>IOU Core</v>
      </c>
      <c r="F30" s="633" t="str">
        <f>IF('Budget Filing Data'!H27="","",'Budget Filing Data'!H27)</f>
        <v>SW_ETP_Elec - Emerging Technology Programs - Electric</v>
      </c>
      <c r="G30" s="634" t="s">
        <v>15</v>
      </c>
      <c r="H30" s="633" t="str">
        <f>'Budget Filing Data'!G27</f>
        <v>Cross Cutting</v>
      </c>
      <c r="I30" s="633" t="str">
        <f>'Budget Filing Data'!I27</f>
        <v>Emerging Technologies</v>
      </c>
      <c r="J30" s="633" t="str">
        <f>'Budget Filing Data'!L27</f>
        <v>Market Support</v>
      </c>
      <c r="K30" s="635">
        <f>'Budget Filing Data'!B27</f>
        <v>2028</v>
      </c>
      <c r="L30" s="636">
        <f t="shared" si="0"/>
        <v>98402.365900000004</v>
      </c>
      <c r="M30" s="637">
        <f>'Budget Filing Data'!AQ27</f>
        <v>23618.9663</v>
      </c>
      <c r="N30" s="637">
        <f>'Budget Filing Data'!AR27</f>
        <v>0</v>
      </c>
      <c r="O30" s="637">
        <f>'Budget Filing Data'!AS27</f>
        <v>74783.399600000004</v>
      </c>
      <c r="P30" s="638">
        <f>'Budget Filing Data'!AT27</f>
        <v>0</v>
      </c>
      <c r="R30" s="400" t="s">
        <v>29</v>
      </c>
      <c r="S30" s="642">
        <f t="shared" ref="S30:S32" si="13">SUMIFS($L$9:$L$340,$K$9:$K$340,U$27,$G$9:$G$340,"Yes",$J$9:$J$340,R30)</f>
        <v>5340610.2820000006</v>
      </c>
      <c r="T30" s="642">
        <f t="shared" ref="T30:T32" si="14">SUMIFS($L$9:$L$340,$K$9:$K$340,U$27,$G$9:$G$340,"No",$J$9:$J$340,R30)-Y30</f>
        <v>3038106.7829094459</v>
      </c>
      <c r="U30" s="643">
        <f>SUM(S30:T30)</f>
        <v>8378717.064909447</v>
      </c>
      <c r="W30" s="642">
        <f t="shared" ref="W30:W32" si="15">+ROUND(Y30*(S30/U30),0)</f>
        <v>229780</v>
      </c>
      <c r="X30" s="642">
        <f t="shared" ref="X30:X32" si="16">+ROUND(Y30*(T30/U30),0)</f>
        <v>130715</v>
      </c>
      <c r="Y30" s="644">
        <f>SUMIFS($L$9:$L$340,$K$9:$K$340,$U$27,$H$9:$H$340,"Portfolio Support",J$9:$J$340,R30)</f>
        <v>360494.19040000002</v>
      </c>
    </row>
    <row r="31" spans="3:25">
      <c r="C31" s="632" t="str">
        <f>'Budget Filing Data'!D28</f>
        <v>SDGE_SW_IP_Gov</v>
      </c>
      <c r="D31" s="632" t="str">
        <f>'Budget Filing Data'!E28</f>
        <v>SW Institutional Partnerships: DGS &amp; DoC</v>
      </c>
      <c r="E31" s="633" t="str">
        <f>'Budget Filing Data'!J28</f>
        <v>Third-Party Solicited</v>
      </c>
      <c r="F31" s="633" t="str">
        <f>IF('Budget Filing Data'!H28="","",'Budget Filing Data'!H28)</f>
        <v>SW_IP_Gov - Institutional Partnerships - Government</v>
      </c>
      <c r="G31" s="634" t="s">
        <v>24</v>
      </c>
      <c r="H31" s="633" t="str">
        <f>'Budget Filing Data'!G28</f>
        <v>Public</v>
      </c>
      <c r="I31" s="633" t="str">
        <f>'Budget Filing Data'!I28</f>
        <v>Government Partnerships</v>
      </c>
      <c r="J31" s="633" t="str">
        <f>'Budget Filing Data'!L28</f>
        <v>Resource Acquisition</v>
      </c>
      <c r="K31" s="635">
        <f>'Budget Filing Data'!B28</f>
        <v>2028</v>
      </c>
      <c r="L31" s="636">
        <f t="shared" si="0"/>
        <v>230942.56008599998</v>
      </c>
      <c r="M31" s="637">
        <f>'Budget Filing Data'!AQ28</f>
        <v>9523.2000000000007</v>
      </c>
      <c r="N31" s="637">
        <f>'Budget Filing Data'!AR28</f>
        <v>496</v>
      </c>
      <c r="O31" s="637">
        <f>'Budget Filing Data'!AS28</f>
        <v>135746.1678</v>
      </c>
      <c r="P31" s="638">
        <f>'Budget Filing Data'!AT28</f>
        <v>85177.192285999976</v>
      </c>
      <c r="R31" s="400" t="s">
        <v>20</v>
      </c>
      <c r="S31" s="642">
        <f t="shared" si="13"/>
        <v>0</v>
      </c>
      <c r="T31" s="642">
        <f t="shared" si="14"/>
        <v>49922296.279181615</v>
      </c>
      <c r="U31" s="643">
        <f t="shared" ref="U31:U32" si="17">SUM(S31:T31)</f>
        <v>49922296.279181615</v>
      </c>
      <c r="W31" s="642">
        <f t="shared" si="15"/>
        <v>0</v>
      </c>
      <c r="X31" s="642">
        <f t="shared" si="16"/>
        <v>2147906</v>
      </c>
      <c r="Y31" s="644">
        <f>SUMIFS($L$9:$L$340,$K$9:$K$340,$U$27,$H$9:$H$340,"Portfolio Support",J$9:$J$340,R31)</f>
        <v>2147906.1320000002</v>
      </c>
    </row>
    <row r="32" spans="3:25">
      <c r="C32" s="632" t="str">
        <f>'Budget Filing Data'!D29</f>
        <v>SDGE_SW_IP_Gov_PA</v>
      </c>
      <c r="D32" s="632" t="str">
        <f>'Budget Filing Data'!E29</f>
        <v>SW Institutional Partnerships: DGS &amp; DoC (Utility)</v>
      </c>
      <c r="E32" s="633" t="str">
        <f>'Budget Filing Data'!J29</f>
        <v>IOU Core</v>
      </c>
      <c r="F32" s="633" t="str">
        <f>IF('Budget Filing Data'!H29="","",'Budget Filing Data'!H29)</f>
        <v>SW_IP_Gov - Institutional Partnerships - Government</v>
      </c>
      <c r="G32" s="634" t="s">
        <v>24</v>
      </c>
      <c r="H32" s="633" t="str">
        <f>'Budget Filing Data'!G29</f>
        <v>Public</v>
      </c>
      <c r="I32" s="633" t="str">
        <f>'Budget Filing Data'!I29</f>
        <v>Government Partnerships</v>
      </c>
      <c r="J32" s="633" t="str">
        <f>'Budget Filing Data'!L29</f>
        <v>Resource Acquisition</v>
      </c>
      <c r="K32" s="635">
        <f>'Budget Filing Data'!B29</f>
        <v>2028</v>
      </c>
      <c r="L32" s="636">
        <f t="shared" si="0"/>
        <v>3160.2175999999999</v>
      </c>
      <c r="M32" s="637">
        <f>'Budget Filing Data'!AQ29</f>
        <v>3160.2175999999999</v>
      </c>
      <c r="N32" s="637">
        <f>'Budget Filing Data'!AR29</f>
        <v>0</v>
      </c>
      <c r="O32" s="637">
        <f>'Budget Filing Data'!AS29</f>
        <v>0</v>
      </c>
      <c r="P32" s="638">
        <f>'Budget Filing Data'!AT29</f>
        <v>0</v>
      </c>
      <c r="R32" s="401" t="s">
        <v>36</v>
      </c>
      <c r="S32" s="642">
        <f t="shared" si="13"/>
        <v>221453.7347</v>
      </c>
      <c r="T32" s="642">
        <f t="shared" si="14"/>
        <v>0</v>
      </c>
      <c r="U32" s="643">
        <f t="shared" si="17"/>
        <v>221453.7347</v>
      </c>
      <c r="W32" s="642">
        <f t="shared" si="15"/>
        <v>9528</v>
      </c>
      <c r="X32" s="642">
        <f t="shared" si="16"/>
        <v>0</v>
      </c>
      <c r="Y32" s="644">
        <f>SUMIFS($L$9:$L$340,$K$9:$K$340,$U$27,$H$9:$H$340,"Portfolio Support",J$9:$J$340,R32)</f>
        <v>9528.0439999999999</v>
      </c>
    </row>
    <row r="33" spans="3:25" ht="13.5" thickBot="1">
      <c r="C33" s="632" t="str">
        <f>'Budget Filing Data'!D30</f>
        <v>SDGE_SW_IP_Colleges</v>
      </c>
      <c r="D33" s="632" t="str">
        <f>'Budget Filing Data'!E30</f>
        <v>SW Higher Education</v>
      </c>
      <c r="E33" s="633" t="str">
        <f>'Budget Filing Data'!J30</f>
        <v>Third-Party Solicited</v>
      </c>
      <c r="F33" s="633" t="str">
        <f>IF('Budget Filing Data'!H30="","",'Budget Filing Data'!H30)</f>
        <v>SW_IP_Colleges - Institutional Partnerships - Colleges</v>
      </c>
      <c r="G33" s="634" t="s">
        <v>24</v>
      </c>
      <c r="H33" s="633" t="str">
        <f>'Budget Filing Data'!G30</f>
        <v>Public</v>
      </c>
      <c r="I33" s="633" t="str">
        <f>'Budget Filing Data'!I30</f>
        <v>Government Partnerships</v>
      </c>
      <c r="J33" s="633" t="str">
        <f>'Budget Filing Data'!L30</f>
        <v>Resource Acquisition</v>
      </c>
      <c r="K33" s="635">
        <f>'Budget Filing Data'!B30</f>
        <v>2028</v>
      </c>
      <c r="L33" s="636">
        <f t="shared" si="0"/>
        <v>426477.43793439999</v>
      </c>
      <c r="M33" s="637">
        <f>'Budget Filing Data'!AQ30</f>
        <v>0</v>
      </c>
      <c r="N33" s="637">
        <f>'Budget Filing Data'!AR30</f>
        <v>0</v>
      </c>
      <c r="O33" s="637">
        <f>'Budget Filing Data'!AS30</f>
        <v>276798.6666</v>
      </c>
      <c r="P33" s="638">
        <f>'Budget Filing Data'!AT30</f>
        <v>149678.77133439999</v>
      </c>
      <c r="R33" s="402" t="s">
        <v>1377</v>
      </c>
      <c r="S33" s="650">
        <f>SUM(S29:S32)</f>
        <v>8674742.4749999996</v>
      </c>
      <c r="T33" s="650">
        <f>SUM(T29:T32)</f>
        <v>54627189.920491062</v>
      </c>
      <c r="U33" s="651">
        <f>SUM(U29:U32)</f>
        <v>63301932.395491064</v>
      </c>
      <c r="V33" s="166"/>
      <c r="W33" s="652">
        <f>SUM(W29:W32)</f>
        <v>373231</v>
      </c>
      <c r="X33" s="652">
        <f>SUM(X29:X32)</f>
        <v>2350334</v>
      </c>
      <c r="Y33" s="652">
        <f>SUM(Y29:Y32)</f>
        <v>2723564.7983000004</v>
      </c>
    </row>
    <row r="34" spans="3:25">
      <c r="C34" s="632" t="str">
        <f>'Budget Filing Data'!D31</f>
        <v>SDGE_SW_IP_Colleges_PA</v>
      </c>
      <c r="D34" s="632" t="str">
        <f>'Budget Filing Data'!E31</f>
        <v>SW Higher Education (Utility)</v>
      </c>
      <c r="E34" s="633" t="str">
        <f>'Budget Filing Data'!J31</f>
        <v>IOU Core</v>
      </c>
      <c r="F34" s="633" t="str">
        <f>IF('Budget Filing Data'!H31="","",'Budget Filing Data'!H31)</f>
        <v>SW_IP_Colleges - Institutional Partnerships - Colleges</v>
      </c>
      <c r="G34" s="634" t="s">
        <v>24</v>
      </c>
      <c r="H34" s="633" t="str">
        <f>'Budget Filing Data'!G31</f>
        <v>Public</v>
      </c>
      <c r="I34" s="633" t="str">
        <f>'Budget Filing Data'!I31</f>
        <v>Government Partnerships</v>
      </c>
      <c r="J34" s="633" t="str">
        <f>'Budget Filing Data'!L31</f>
        <v>Resource Acquisition</v>
      </c>
      <c r="K34" s="635">
        <f>'Budget Filing Data'!B31</f>
        <v>2028</v>
      </c>
      <c r="L34" s="636">
        <f t="shared" si="0"/>
        <v>4333.1976000000004</v>
      </c>
      <c r="M34" s="637">
        <f>'Budget Filing Data'!AQ31</f>
        <v>4333.1976000000004</v>
      </c>
      <c r="N34" s="637">
        <f>'Budget Filing Data'!AR31</f>
        <v>0</v>
      </c>
      <c r="O34" s="637">
        <f>'Budget Filing Data'!AS31</f>
        <v>0</v>
      </c>
      <c r="P34" s="638">
        <f>'Budget Filing Data'!AT31</f>
        <v>0</v>
      </c>
      <c r="R34" s="399"/>
    </row>
    <row r="35" spans="3:25">
      <c r="C35" s="632" t="str">
        <f>'Budget Filing Data'!D32</f>
        <v>SDGE_SW_MCWH</v>
      </c>
      <c r="D35" s="632" t="str">
        <f>'Budget Filing Data'!E32</f>
        <v>SW Midstream Commercial Water Heating</v>
      </c>
      <c r="E35" s="633" t="str">
        <f>'Budget Filing Data'!J32</f>
        <v>Third-Party Solicited</v>
      </c>
      <c r="F35" s="633" t="str">
        <f>IF('Budget Filing Data'!H32="","",'Budget Filing Data'!H32)</f>
        <v>SW_MCWH - Midstream Commercial Water Heating</v>
      </c>
      <c r="G35" s="634" t="s">
        <v>24</v>
      </c>
      <c r="H35" s="633" t="str">
        <f>'Budget Filing Data'!G32</f>
        <v>Commercial</v>
      </c>
      <c r="I35" s="633" t="str">
        <f>'Budget Filing Data'!I32</f>
        <v>Other</v>
      </c>
      <c r="J35" s="633" t="str">
        <f>'Budget Filing Data'!L32</f>
        <v>Resource Acquisition</v>
      </c>
      <c r="K35" s="635">
        <f>'Budget Filing Data'!B32</f>
        <v>2028</v>
      </c>
      <c r="L35" s="636">
        <f t="shared" si="0"/>
        <v>2427599.9999266239</v>
      </c>
      <c r="M35" s="637">
        <f>'Budget Filing Data'!AQ32</f>
        <v>284760.36629999999</v>
      </c>
      <c r="N35" s="637">
        <f>'Budget Filing Data'!AR32</f>
        <v>207222.9277</v>
      </c>
      <c r="O35" s="637">
        <f>'Budget Filing Data'!AS32</f>
        <v>702690.96600000001</v>
      </c>
      <c r="P35" s="638">
        <f>'Budget Filing Data'!AT32</f>
        <v>1232925.7399266236</v>
      </c>
      <c r="R35" s="399"/>
    </row>
    <row r="36" spans="3:25">
      <c r="C36" s="632" t="str">
        <f>'Budget Filing Data'!D33</f>
        <v>SDGE_SW_MCWH_PA</v>
      </c>
      <c r="D36" s="632" t="str">
        <f>'Budget Filing Data'!E33</f>
        <v>SW Midstream Commercial Water Heating (Utility)</v>
      </c>
      <c r="E36" s="633" t="str">
        <f>'Budget Filing Data'!J33</f>
        <v>IOU Core</v>
      </c>
      <c r="F36" s="633" t="str">
        <f>IF('Budget Filing Data'!H33="","",'Budget Filing Data'!H33)</f>
        <v>SW_MCWH - Midstream Commercial Water Heating</v>
      </c>
      <c r="G36" s="634" t="s">
        <v>24</v>
      </c>
      <c r="H36" s="633" t="str">
        <f>'Budget Filing Data'!G33</f>
        <v>Commercial</v>
      </c>
      <c r="I36" s="633" t="str">
        <f>'Budget Filing Data'!I33</f>
        <v>Other</v>
      </c>
      <c r="J36" s="633" t="str">
        <f>'Budget Filing Data'!L33</f>
        <v>Resource Acquisition</v>
      </c>
      <c r="K36" s="635">
        <f>'Budget Filing Data'!B33</f>
        <v>2028</v>
      </c>
      <c r="L36" s="636">
        <f t="shared" si="0"/>
        <v>16337.597599999999</v>
      </c>
      <c r="M36" s="637">
        <f>'Budget Filing Data'!AQ33</f>
        <v>16337.597599999999</v>
      </c>
      <c r="N36" s="637">
        <f>'Budget Filing Data'!AR33</f>
        <v>0</v>
      </c>
      <c r="O36" s="637">
        <f>'Budget Filing Data'!AS33</f>
        <v>0</v>
      </c>
      <c r="P36" s="638">
        <f>'Budget Filing Data'!AT33</f>
        <v>0</v>
      </c>
      <c r="R36" s="399"/>
      <c r="S36" s="1001" t="s">
        <v>6</v>
      </c>
      <c r="T36" s="1002"/>
      <c r="U36" s="238">
        <v>2031</v>
      </c>
    </row>
    <row r="37" spans="3:25">
      <c r="C37" s="632" t="str">
        <f>'Budget Filing Data'!D34</f>
        <v>SDGE_SW_FS</v>
      </c>
      <c r="D37" s="632" t="str">
        <f>'Budget Filing Data'!E34</f>
        <v>SW Foodservice Point of Sale Program</v>
      </c>
      <c r="E37" s="633" t="str">
        <f>'Budget Filing Data'!J34</f>
        <v>Third-Party Solicited</v>
      </c>
      <c r="F37" s="633" t="str">
        <f>IF('Budget Filing Data'!H34="","",'Budget Filing Data'!H34)</f>
        <v>SW_FS - Food Service</v>
      </c>
      <c r="G37" s="634" t="s">
        <v>24</v>
      </c>
      <c r="H37" s="633" t="str">
        <f>'Budget Filing Data'!G34</f>
        <v>Commercial</v>
      </c>
      <c r="I37" s="633" t="str">
        <f>'Budget Filing Data'!I34</f>
        <v>Other</v>
      </c>
      <c r="J37" s="633" t="str">
        <f>'Budget Filing Data'!L34</f>
        <v>Resource Acquisition</v>
      </c>
      <c r="K37" s="635">
        <f>'Budget Filing Data'!B34</f>
        <v>2028</v>
      </c>
      <c r="L37" s="636">
        <f t="shared" si="0"/>
        <v>2196399.9995999993</v>
      </c>
      <c r="M37" s="637">
        <f>'Budget Filing Data'!AQ34</f>
        <v>204640.3132</v>
      </c>
      <c r="N37" s="637">
        <f>'Budget Filing Data'!AR34</f>
        <v>152645.2409</v>
      </c>
      <c r="O37" s="637">
        <f>'Budget Filing Data'!AS34</f>
        <v>876537.52150000003</v>
      </c>
      <c r="P37" s="638">
        <f>'Budget Filing Data'!AT34</f>
        <v>962576.9239999993</v>
      </c>
      <c r="R37" s="362" t="s">
        <v>1372</v>
      </c>
      <c r="S37" s="639" t="s">
        <v>15</v>
      </c>
      <c r="T37" s="639" t="s">
        <v>24</v>
      </c>
      <c r="U37" s="640" t="s">
        <v>1373</v>
      </c>
      <c r="W37" s="641" t="s">
        <v>1374</v>
      </c>
      <c r="X37" s="641" t="s">
        <v>1375</v>
      </c>
      <c r="Y37" s="640" t="s">
        <v>1376</v>
      </c>
    </row>
    <row r="38" spans="3:25">
      <c r="C38" s="632" t="str">
        <f>'Budget Filing Data'!D35</f>
        <v>SDGE_SW_FS_PA</v>
      </c>
      <c r="D38" s="632" t="str">
        <f>'Budget Filing Data'!E35</f>
        <v>SW Foodservice Point of Sale Program (Utility)</v>
      </c>
      <c r="E38" s="633" t="str">
        <f>'Budget Filing Data'!J35</f>
        <v>IOU Core</v>
      </c>
      <c r="F38" s="633" t="str">
        <f>IF('Budget Filing Data'!H35="","",'Budget Filing Data'!H35)</f>
        <v>SW_FS - Food Service</v>
      </c>
      <c r="G38" s="634" t="s">
        <v>24</v>
      </c>
      <c r="H38" s="633" t="str">
        <f>'Budget Filing Data'!G35</f>
        <v>Commercial</v>
      </c>
      <c r="I38" s="633" t="str">
        <f>'Budget Filing Data'!I35</f>
        <v>Other</v>
      </c>
      <c r="J38" s="633" t="str">
        <f>'Budget Filing Data'!L35</f>
        <v>Resource Acquisition</v>
      </c>
      <c r="K38" s="635">
        <f>'Budget Filing Data'!B35</f>
        <v>2028</v>
      </c>
      <c r="L38" s="636">
        <f t="shared" si="0"/>
        <v>14950.667600000001</v>
      </c>
      <c r="M38" s="637">
        <f>'Budget Filing Data'!AQ35</f>
        <v>14950.667600000001</v>
      </c>
      <c r="N38" s="637">
        <f>'Budget Filing Data'!AR35</f>
        <v>0</v>
      </c>
      <c r="O38" s="637">
        <f>'Budget Filing Data'!AS35</f>
        <v>0</v>
      </c>
      <c r="P38" s="638">
        <f>'Budget Filing Data'!AT35</f>
        <v>0</v>
      </c>
      <c r="R38" s="400" t="s">
        <v>347</v>
      </c>
      <c r="S38" s="642">
        <f>SUMIFS($L$9:$L$340,$K$9:$K$340,U$36,$G$9:$G$340,"Yes",$J$9:$J$340,R38)</f>
        <v>2199702.6628</v>
      </c>
      <c r="T38" s="642">
        <f>SUMIFS($L$9:$L$340,$K$9:$K$340,U$36,$G$9:$G$340,"No",$J$9:$J$340,R38)-Y38</f>
        <v>1672657.0488</v>
      </c>
      <c r="U38" s="643">
        <f>SUM(S38:T38)</f>
        <v>3872359.7116</v>
      </c>
      <c r="W38" s="642">
        <f>+ROUND(Y38*(S38/U38),0)</f>
        <v>93044</v>
      </c>
      <c r="X38" s="642">
        <f>+ROUND(Y38*(T38/U38),0)</f>
        <v>70751</v>
      </c>
      <c r="Y38" s="644">
        <f>SUMIFS($L$9:$L$340,$K$9:$K$340,$U$36,$H$9:$H$340,"Portfolio Support",J$9:$J$340,R38)</f>
        <v>163795.3651</v>
      </c>
    </row>
    <row r="39" spans="3:25">
      <c r="C39" s="632" t="str">
        <f>'Budget Filing Data'!D36</f>
        <v>SDGE_SW_WET_CC</v>
      </c>
      <c r="D39" s="632" t="str">
        <f>'Budget Filing Data'!E36</f>
        <v>SW WET Career Connections</v>
      </c>
      <c r="E39" s="633" t="str">
        <f>'Budget Filing Data'!J36</f>
        <v>Third-Party Solicited</v>
      </c>
      <c r="F39" s="633" t="str">
        <f>IF('Budget Filing Data'!H36="","",'Budget Filing Data'!H36)</f>
        <v>SW_WET_CC - Workforce Education and Training - Career Connections</v>
      </c>
      <c r="G39" s="634" t="s">
        <v>15</v>
      </c>
      <c r="H39" s="633" t="str">
        <f>'Budget Filing Data'!G36</f>
        <v>Cross Cutting</v>
      </c>
      <c r="I39" s="633" t="str">
        <f>'Budget Filing Data'!I36</f>
        <v>Workforce Education and Training</v>
      </c>
      <c r="J39" s="633" t="str">
        <f>'Budget Filing Data'!L36</f>
        <v>Market Support</v>
      </c>
      <c r="K39" s="635">
        <f>'Budget Filing Data'!B36</f>
        <v>2028</v>
      </c>
      <c r="L39" s="636">
        <f t="shared" si="0"/>
        <v>109120</v>
      </c>
      <c r="M39" s="637">
        <f>'Budget Filing Data'!AQ36</f>
        <v>1091.2</v>
      </c>
      <c r="N39" s="637">
        <f>'Budget Filing Data'!AR36</f>
        <v>7638.4</v>
      </c>
      <c r="O39" s="637">
        <f>'Budget Filing Data'!AS36</f>
        <v>100390.39999999999</v>
      </c>
      <c r="P39" s="638">
        <f>'Budget Filing Data'!AT36</f>
        <v>0</v>
      </c>
      <c r="R39" s="400" t="s">
        <v>29</v>
      </c>
      <c r="S39" s="642">
        <f t="shared" ref="S39:S41" si="18">SUMIFS($L$9:$L$340,$K$9:$K$340,U$36,$G$9:$G$340,"Yes",$J$9:$J$340,R39)</f>
        <v>5432182.5854999982</v>
      </c>
      <c r="T39" s="642">
        <f t="shared" ref="T39:T41" si="19">SUMIFS($L$9:$L$340,$K$9:$K$340,U$36,$G$9:$G$340,"No",$J$9:$J$340,R39)-Y39</f>
        <v>3159034.8149347077</v>
      </c>
      <c r="U39" s="643">
        <f>SUM(S39:T39)</f>
        <v>8591217.4004347064</v>
      </c>
      <c r="W39" s="642">
        <f t="shared" ref="W39:W41" si="20">+ROUND(Y39*(S39/U39),0)</f>
        <v>229774</v>
      </c>
      <c r="X39" s="642">
        <f t="shared" ref="X39:X41" si="21">+ROUND(Y39*(T39/U39),0)</f>
        <v>133623</v>
      </c>
      <c r="Y39" s="644">
        <f>SUMIFS($L$9:$L$340,$K$9:$K$340,$U$36,$H$9:$H$340,"Portfolio Support",J$9:$J$340,R39)</f>
        <v>363396.40279999998</v>
      </c>
    </row>
    <row r="40" spans="3:25">
      <c r="C40" s="632" t="str">
        <f>'Budget Filing Data'!D37</f>
        <v>SDGE_SW_WET_CC_PA</v>
      </c>
      <c r="D40" s="632" t="str">
        <f>'Budget Filing Data'!E37</f>
        <v>SW WET Career Connections (Utility)</v>
      </c>
      <c r="E40" s="633" t="str">
        <f>'Budget Filing Data'!J37</f>
        <v>IOU Core</v>
      </c>
      <c r="F40" s="633" t="str">
        <f>IF('Budget Filing Data'!H37="","",'Budget Filing Data'!H37)</f>
        <v>SW_WET_CC - Workforce Education and Training - Career Connections</v>
      </c>
      <c r="G40" s="634" t="s">
        <v>15</v>
      </c>
      <c r="H40" s="633" t="str">
        <f>'Budget Filing Data'!G37</f>
        <v>Cross Cutting</v>
      </c>
      <c r="I40" s="633" t="str">
        <f>'Budget Filing Data'!I37</f>
        <v>Workforce Education and Training</v>
      </c>
      <c r="J40" s="633" t="str">
        <f>'Budget Filing Data'!L37</f>
        <v>Market Support</v>
      </c>
      <c r="K40" s="635">
        <f>'Budget Filing Data'!B37</f>
        <v>2028</v>
      </c>
      <c r="L40" s="636">
        <f t="shared" si="0"/>
        <v>2429.4176000000002</v>
      </c>
      <c r="M40" s="637">
        <f>'Budget Filing Data'!AQ37</f>
        <v>2429.4176000000002</v>
      </c>
      <c r="N40" s="637">
        <f>'Budget Filing Data'!AR37</f>
        <v>0</v>
      </c>
      <c r="O40" s="637">
        <f>'Budget Filing Data'!AS37</f>
        <v>0</v>
      </c>
      <c r="P40" s="638">
        <f>'Budget Filing Data'!AT37</f>
        <v>0</v>
      </c>
      <c r="R40" s="400" t="s">
        <v>20</v>
      </c>
      <c r="S40" s="642">
        <f t="shared" si="18"/>
        <v>0</v>
      </c>
      <c r="T40" s="642">
        <f t="shared" si="19"/>
        <v>53475483.663065441</v>
      </c>
      <c r="U40" s="643">
        <f t="shared" ref="U40:U41" si="22">SUM(S40:T40)</f>
        <v>53475483.663065441</v>
      </c>
      <c r="W40" s="642">
        <f t="shared" si="20"/>
        <v>0</v>
      </c>
      <c r="X40" s="642">
        <f t="shared" si="21"/>
        <v>2261938</v>
      </c>
      <c r="Y40" s="644">
        <f>SUMIFS($L$9:$L$340,$K$9:$K$340,$U$36,$H$9:$H$340,"Portfolio Support",J$9:$J$340,R40)</f>
        <v>2261937.6878</v>
      </c>
    </row>
    <row r="41" spans="3:25">
      <c r="C41" s="632" t="str">
        <f>'Budget Filing Data'!D38</f>
        <v>SDGE_SW_WET_Work</v>
      </c>
      <c r="D41" s="632" t="str">
        <f>'Budget Filing Data'!E38</f>
        <v>SW WE&amp;T Career &amp; Workforce Readiness (CWR)</v>
      </c>
      <c r="E41" s="633" t="str">
        <f>'Budget Filing Data'!J38</f>
        <v>Third-Party Solicited</v>
      </c>
      <c r="F41" s="633" t="str">
        <f>IF('Budget Filing Data'!H38="","",'Budget Filing Data'!H38)</f>
        <v>SW_WET_Work - Workforce Education and Training Career &amp; Workforce Readiness</v>
      </c>
      <c r="G41" s="634" t="s">
        <v>15</v>
      </c>
      <c r="H41" s="633" t="str">
        <f>'Budget Filing Data'!G38</f>
        <v>Cross Cutting</v>
      </c>
      <c r="I41" s="633" t="str">
        <f>'Budget Filing Data'!I38</f>
        <v>Workforce Education and Training</v>
      </c>
      <c r="J41" s="633" t="str">
        <f>'Budget Filing Data'!L38</f>
        <v>Equity</v>
      </c>
      <c r="K41" s="635">
        <f>'Budget Filing Data'!B38</f>
        <v>2028</v>
      </c>
      <c r="L41" s="636">
        <f t="shared" si="0"/>
        <v>218240</v>
      </c>
      <c r="M41" s="637">
        <f>'Budget Filing Data'!AQ38</f>
        <v>21824</v>
      </c>
      <c r="N41" s="637">
        <f>'Budget Filing Data'!AR38</f>
        <v>13094.4</v>
      </c>
      <c r="O41" s="637">
        <f>'Budget Filing Data'!AS38</f>
        <v>183321.60000000001</v>
      </c>
      <c r="P41" s="638">
        <f>'Budget Filing Data'!AT38</f>
        <v>0</v>
      </c>
      <c r="R41" s="401" t="s">
        <v>36</v>
      </c>
      <c r="S41" s="642">
        <f t="shared" si="18"/>
        <v>221485.16209999999</v>
      </c>
      <c r="T41" s="642">
        <f t="shared" si="19"/>
        <v>0</v>
      </c>
      <c r="U41" s="643">
        <f t="shared" si="22"/>
        <v>221485.16209999999</v>
      </c>
      <c r="W41" s="642">
        <f t="shared" si="20"/>
        <v>9369</v>
      </c>
      <c r="X41" s="642">
        <f t="shared" si="21"/>
        <v>0</v>
      </c>
      <c r="Y41" s="644">
        <f>SUMIFS($L$9:$L$340,$K$9:$K$340,$U$36,$H$9:$H$340,"Portfolio Support",J$9:$J$340,R41)</f>
        <v>9368.5105999999996</v>
      </c>
    </row>
    <row r="42" spans="3:25" ht="13.5" thickBot="1">
      <c r="C42" s="632" t="str">
        <f>'Budget Filing Data'!D39</f>
        <v>SDGE_SW_WET_Work_PA</v>
      </c>
      <c r="D42" s="632" t="str">
        <f>'Budget Filing Data'!E39</f>
        <v>SW WE&amp;T Career &amp; Workforce Readiness (CWR) (Utility)</v>
      </c>
      <c r="E42" s="633" t="str">
        <f>'Budget Filing Data'!J39</f>
        <v>IOU Core</v>
      </c>
      <c r="F42" s="633" t="str">
        <f>IF('Budget Filing Data'!H39="","",'Budget Filing Data'!H39)</f>
        <v>SW_WET_Work - Workforce Education and Training Career &amp; Workforce Readiness</v>
      </c>
      <c r="G42" s="634" t="s">
        <v>15</v>
      </c>
      <c r="H42" s="633" t="str">
        <f>'Budget Filing Data'!G39</f>
        <v>Cross Cutting</v>
      </c>
      <c r="I42" s="633" t="str">
        <f>'Budget Filing Data'!I39</f>
        <v>Workforce Education and Training</v>
      </c>
      <c r="J42" s="633" t="str">
        <f>'Budget Filing Data'!L39</f>
        <v>Equity</v>
      </c>
      <c r="K42" s="635">
        <f>'Budget Filing Data'!B39</f>
        <v>2028</v>
      </c>
      <c r="L42" s="636">
        <f t="shared" si="0"/>
        <v>3084.0176000000001</v>
      </c>
      <c r="M42" s="637">
        <f>'Budget Filing Data'!AQ39</f>
        <v>3084.0176000000001</v>
      </c>
      <c r="N42" s="637">
        <f>'Budget Filing Data'!AR39</f>
        <v>0</v>
      </c>
      <c r="O42" s="637">
        <f>'Budget Filing Data'!AS39</f>
        <v>0</v>
      </c>
      <c r="P42" s="638">
        <f>'Budget Filing Data'!AT39</f>
        <v>0</v>
      </c>
      <c r="R42" s="402" t="s">
        <v>1377</v>
      </c>
      <c r="S42" s="650">
        <f>SUM(S38:S41)</f>
        <v>7853370.4103999985</v>
      </c>
      <c r="T42" s="650">
        <f>SUM(T38:T41)</f>
        <v>58307175.526800148</v>
      </c>
      <c r="U42" s="651">
        <f>SUM(U38:U41)</f>
        <v>66160545.937200151</v>
      </c>
      <c r="V42" s="166"/>
      <c r="W42" s="652">
        <f>SUM(W38:W41)</f>
        <v>332187</v>
      </c>
      <c r="X42" s="652">
        <f>SUM(X38:X41)</f>
        <v>2466312</v>
      </c>
      <c r="Y42" s="652">
        <f>SUM(Y38:Y41)</f>
        <v>2798497.9663</v>
      </c>
    </row>
    <row r="43" spans="3:25">
      <c r="C43" s="632" t="str">
        <f>'Budget Filing Data'!D40</f>
        <v>SDGE_SW_HVAC_QIQM</v>
      </c>
      <c r="D43" s="632" t="str">
        <f>'Budget Filing Data'!E40</f>
        <v>SW HVAC QI/QM Program</v>
      </c>
      <c r="E43" s="633" t="str">
        <f>'Budget Filing Data'!J40</f>
        <v>Third-Party Solicited</v>
      </c>
      <c r="F43" s="633" t="str">
        <f>IF('Budget Filing Data'!H40="","",'Budget Filing Data'!H40)</f>
        <v>SW_HVAC_QIQM - SW HVAC QI/QM Program</v>
      </c>
      <c r="G43" s="634" t="s">
        <v>15</v>
      </c>
      <c r="H43" s="633" t="str">
        <f>'Budget Filing Data'!G40</f>
        <v>Residential</v>
      </c>
      <c r="I43" s="633" t="str">
        <f>'Budget Filing Data'!I40</f>
        <v>Other</v>
      </c>
      <c r="J43" s="633" t="str">
        <f>'Budget Filing Data'!L40</f>
        <v>Market Support</v>
      </c>
      <c r="K43" s="635">
        <f>'Budget Filing Data'!B40</f>
        <v>2028</v>
      </c>
      <c r="L43" s="636">
        <f t="shared" si="0"/>
        <v>684480</v>
      </c>
      <c r="M43" s="637">
        <f>'Budget Filing Data'!AQ40</f>
        <v>34224</v>
      </c>
      <c r="N43" s="637">
        <f>'Budget Filing Data'!AR40</f>
        <v>34224</v>
      </c>
      <c r="O43" s="637">
        <f>'Budget Filing Data'!AS40</f>
        <v>174964</v>
      </c>
      <c r="P43" s="638">
        <f>'Budget Filing Data'!AT40</f>
        <v>441068</v>
      </c>
    </row>
    <row r="44" spans="3:25">
      <c r="C44" s="632" t="str">
        <f>'Budget Filing Data'!D41</f>
        <v>SDGE_SW_HVAC_QIQM_PA</v>
      </c>
      <c r="D44" s="632" t="str">
        <f>'Budget Filing Data'!E41</f>
        <v>SW HVAC QI/QM Program (Utility)</v>
      </c>
      <c r="E44" s="633" t="str">
        <f>'Budget Filing Data'!J41</f>
        <v>IOU Core</v>
      </c>
      <c r="F44" s="633" t="str">
        <f>IF('Budget Filing Data'!H41="","",'Budget Filing Data'!H41)</f>
        <v>SW_HVAC_QIQM - SW HVAC QI/QM Program</v>
      </c>
      <c r="G44" s="634" t="s">
        <v>15</v>
      </c>
      <c r="H44" s="633" t="str">
        <f>'Budget Filing Data'!G41</f>
        <v>Residential</v>
      </c>
      <c r="I44" s="633" t="str">
        <f>'Budget Filing Data'!I41</f>
        <v>Other</v>
      </c>
      <c r="J44" s="633" t="str">
        <f>'Budget Filing Data'!L41</f>
        <v>Market Support</v>
      </c>
      <c r="K44" s="635">
        <f>'Budget Filing Data'!B41</f>
        <v>2028</v>
      </c>
      <c r="L44" s="636">
        <f t="shared" si="0"/>
        <v>304452.50900000002</v>
      </c>
      <c r="M44" s="637">
        <f>'Budget Filing Data'!AQ41</f>
        <v>247612.10680000001</v>
      </c>
      <c r="N44" s="637">
        <f>'Budget Filing Data'!AR41</f>
        <v>728.73059999999998</v>
      </c>
      <c r="O44" s="637">
        <f>'Budget Filing Data'!AS41</f>
        <v>56111.671600000001</v>
      </c>
      <c r="P44" s="638">
        <f>'Budget Filing Data'!AT41</f>
        <v>0</v>
      </c>
    </row>
    <row r="45" spans="3:25">
      <c r="C45" s="632" t="str">
        <f>'Budget Filing Data'!D42</f>
        <v>SDGE_SW_ETP_Gas</v>
      </c>
      <c r="D45" s="632" t="str">
        <f>'Budget Filing Data'!E42</f>
        <v>SW Emerging Technologies - Gas</v>
      </c>
      <c r="E45" s="633" t="str">
        <f>'Budget Filing Data'!J42</f>
        <v>Third-Party Solicited</v>
      </c>
      <c r="F45" s="633" t="str">
        <f>IF('Budget Filing Data'!H42="","",'Budget Filing Data'!H42)</f>
        <v>SW_ETP_Gas - Emerging Technology Programs - Gas</v>
      </c>
      <c r="G45" s="634" t="s">
        <v>15</v>
      </c>
      <c r="H45" s="633" t="str">
        <f>'Budget Filing Data'!G42</f>
        <v>Cross Cutting</v>
      </c>
      <c r="I45" s="633" t="str">
        <f>'Budget Filing Data'!I42</f>
        <v>Emerging Technologies</v>
      </c>
      <c r="J45" s="633" t="str">
        <f>'Budget Filing Data'!L42</f>
        <v>Market Support</v>
      </c>
      <c r="K45" s="635">
        <f>'Budget Filing Data'!B42</f>
        <v>2028</v>
      </c>
      <c r="L45" s="636">
        <f t="shared" si="0"/>
        <v>495000</v>
      </c>
      <c r="M45" s="637">
        <f>'Budget Filing Data'!AQ42</f>
        <v>6600</v>
      </c>
      <c r="N45" s="637">
        <f>'Budget Filing Data'!AR42</f>
        <v>1914</v>
      </c>
      <c r="O45" s="637">
        <f>'Budget Filing Data'!AS42</f>
        <v>486486</v>
      </c>
      <c r="P45" s="638">
        <f>'Budget Filing Data'!AT42</f>
        <v>0</v>
      </c>
    </row>
    <row r="46" spans="3:25">
      <c r="C46" s="632" t="str">
        <f>'Budget Filing Data'!D43</f>
        <v>SDGE_SW_ETP_Gas_PA</v>
      </c>
      <c r="D46" s="632" t="str">
        <f>'Budget Filing Data'!E43</f>
        <v>SW Emerging Technologies - Gas (Utility)</v>
      </c>
      <c r="E46" s="633" t="str">
        <f>'Budget Filing Data'!J43</f>
        <v>IOU Core</v>
      </c>
      <c r="F46" s="633" t="str">
        <f>IF('Budget Filing Data'!H43="","",'Budget Filing Data'!H43)</f>
        <v>SW_ETP_Gas - Emerging Technology Programs - Gas</v>
      </c>
      <c r="G46" s="634" t="s">
        <v>15</v>
      </c>
      <c r="H46" s="633" t="str">
        <f>'Budget Filing Data'!G43</f>
        <v>Cross Cutting</v>
      </c>
      <c r="I46" s="633" t="str">
        <f>'Budget Filing Data'!I43</f>
        <v>Emerging Technologies</v>
      </c>
      <c r="J46" s="633" t="str">
        <f>'Budget Filing Data'!L43</f>
        <v>Market Support</v>
      </c>
      <c r="K46" s="635">
        <f>'Budget Filing Data'!B43</f>
        <v>2028</v>
      </c>
      <c r="L46" s="636">
        <f t="shared" si="0"/>
        <v>12871.882900000001</v>
      </c>
      <c r="M46" s="637">
        <f>'Budget Filing Data'!AQ43</f>
        <v>6196.8728000000001</v>
      </c>
      <c r="N46" s="637">
        <f>'Budget Filing Data'!AR43</f>
        <v>0</v>
      </c>
      <c r="O46" s="637">
        <f>'Budget Filing Data'!AS43</f>
        <v>6675.0101000000004</v>
      </c>
      <c r="P46" s="638">
        <f>'Budget Filing Data'!AT43</f>
        <v>0</v>
      </c>
    </row>
    <row r="47" spans="3:25">
      <c r="C47" s="632" t="str">
        <f>'Budget Filing Data'!D44</f>
        <v>SDGE_SW_NC_NonRes_Ag_electric</v>
      </c>
      <c r="D47" s="632" t="str">
        <f>'Budget Filing Data'!E44</f>
        <v>SW New Construction Non Residential - Agricultural - All Electric</v>
      </c>
      <c r="E47" s="633" t="str">
        <f>'Budget Filing Data'!J44</f>
        <v>Third-Party Solicited</v>
      </c>
      <c r="F47" s="633" t="str">
        <f>IF('Budget Filing Data'!H44="","",'Budget Filing Data'!H44)</f>
        <v>SW_NC_NonRes_Ag_electric - New Construction - NonResidential - All Electric</v>
      </c>
      <c r="G47" s="634" t="s">
        <v>24</v>
      </c>
      <c r="H47" s="633" t="str">
        <f>'Budget Filing Data'!G44</f>
        <v>Agricultural</v>
      </c>
      <c r="I47" s="633" t="str">
        <f>'Budget Filing Data'!I44</f>
        <v>New Construction</v>
      </c>
      <c r="J47" s="633" t="str">
        <f>'Budget Filing Data'!L44</f>
        <v>Market Support</v>
      </c>
      <c r="K47" s="635">
        <f>'Budget Filing Data'!B44</f>
        <v>2028</v>
      </c>
      <c r="L47" s="636">
        <f t="shared" si="0"/>
        <v>60768.544099999999</v>
      </c>
      <c r="M47" s="637">
        <f>'Budget Filing Data'!AQ44</f>
        <v>5274.1088</v>
      </c>
      <c r="N47" s="637">
        <f>'Budget Filing Data'!AR44</f>
        <v>3955.5816</v>
      </c>
      <c r="O47" s="637">
        <f>'Budget Filing Data'!AS44</f>
        <v>17140.8537</v>
      </c>
      <c r="P47" s="638">
        <f>'Budget Filing Data'!AT44</f>
        <v>34398</v>
      </c>
    </row>
    <row r="48" spans="3:25">
      <c r="C48" s="632" t="str">
        <f>'Budget Filing Data'!D45</f>
        <v>SDGE_SW_NC_NonRes_Ag_electric_PA</v>
      </c>
      <c r="D48" s="632" t="str">
        <f>'Budget Filing Data'!E45</f>
        <v>SW New Construction Non Residential - Agricultural - All Electric (Utility)</v>
      </c>
      <c r="E48" s="633" t="str">
        <f>'Budget Filing Data'!J45</f>
        <v>IOU Core</v>
      </c>
      <c r="F48" s="633" t="str">
        <f>IF('Budget Filing Data'!H45="","",'Budget Filing Data'!H45)</f>
        <v>SW_NC_NonRes_Ag_electric - New Construction - NonResidential - All Electric</v>
      </c>
      <c r="G48" s="634" t="s">
        <v>24</v>
      </c>
      <c r="H48" s="633" t="str">
        <f>'Budget Filing Data'!G45</f>
        <v>Agricultural</v>
      </c>
      <c r="I48" s="633" t="str">
        <f>'Budget Filing Data'!I45</f>
        <v>New Construction</v>
      </c>
      <c r="J48" s="633" t="str">
        <f>'Budget Filing Data'!L45</f>
        <v>Market Support</v>
      </c>
      <c r="K48" s="635">
        <f>'Budget Filing Data'!B45</f>
        <v>2028</v>
      </c>
      <c r="L48" s="636">
        <f t="shared" si="0"/>
        <v>542.02269999999999</v>
      </c>
      <c r="M48" s="637">
        <f>'Budget Filing Data'!AQ45</f>
        <v>542.02269999999999</v>
      </c>
      <c r="N48" s="637">
        <f>'Budget Filing Data'!AR45</f>
        <v>0</v>
      </c>
      <c r="O48" s="637">
        <f>'Budget Filing Data'!AS45</f>
        <v>0</v>
      </c>
      <c r="P48" s="638">
        <f>'Budget Filing Data'!AT45</f>
        <v>0</v>
      </c>
      <c r="R48" s="236" t="s">
        <v>1386</v>
      </c>
    </row>
    <row r="49" spans="3:16">
      <c r="C49" s="632" t="str">
        <f>'Budget Filing Data'!D46</f>
        <v>SDGE_SW_NC_NonRes_Com_electric</v>
      </c>
      <c r="D49" s="632" t="str">
        <f>'Budget Filing Data'!E46</f>
        <v>SW New Construction Non Residential - Commercial - All Electric</v>
      </c>
      <c r="E49" s="633" t="str">
        <f>'Budget Filing Data'!J46</f>
        <v>Third-Party Solicited</v>
      </c>
      <c r="F49" s="633" t="str">
        <f>IF('Budget Filing Data'!H46="","",'Budget Filing Data'!H46)</f>
        <v>SW_NC_NonRes_Com_electric - New Construction - NonResidential - All Electric</v>
      </c>
      <c r="G49" s="634" t="s">
        <v>24</v>
      </c>
      <c r="H49" s="633" t="str">
        <f>'Budget Filing Data'!G46</f>
        <v>Commercial</v>
      </c>
      <c r="I49" s="633" t="str">
        <f>'Budget Filing Data'!I46</f>
        <v>New Construction</v>
      </c>
      <c r="J49" s="633" t="str">
        <f>'Budget Filing Data'!L46</f>
        <v>Market Support</v>
      </c>
      <c r="K49" s="635">
        <f>'Budget Filing Data'!B46</f>
        <v>2028</v>
      </c>
      <c r="L49" s="636">
        <f t="shared" si="0"/>
        <v>388918.68257079989</v>
      </c>
      <c r="M49" s="637">
        <f>'Budget Filing Data'!AQ46</f>
        <v>33754.296600000001</v>
      </c>
      <c r="N49" s="637">
        <f>'Budget Filing Data'!AR46</f>
        <v>25315.722399999999</v>
      </c>
      <c r="O49" s="637">
        <f>'Budget Filing Data'!AS46</f>
        <v>109701.4639</v>
      </c>
      <c r="P49" s="638">
        <f>'Budget Filing Data'!AT46</f>
        <v>220147.19967079989</v>
      </c>
    </row>
    <row r="50" spans="3:16">
      <c r="C50" s="632" t="str">
        <f>'Budget Filing Data'!D47</f>
        <v>SDGE_SW_NC_NonRes_Com_electric_PA</v>
      </c>
      <c r="D50" s="632" t="str">
        <f>'Budget Filing Data'!E47</f>
        <v>SW New Construction Non Residential - Commercial - All Electric (Utility)</v>
      </c>
      <c r="E50" s="633" t="str">
        <f>'Budget Filing Data'!J47</f>
        <v>IOU Core</v>
      </c>
      <c r="F50" s="633" t="str">
        <f>IF('Budget Filing Data'!H47="","",'Budget Filing Data'!H47)</f>
        <v>SW_NC_NonRes_Com_electric - New Construction - NonResidential - All Electric</v>
      </c>
      <c r="G50" s="634" t="s">
        <v>24</v>
      </c>
      <c r="H50" s="633" t="str">
        <f>'Budget Filing Data'!G47</f>
        <v>Commercial</v>
      </c>
      <c r="I50" s="633" t="str">
        <f>'Budget Filing Data'!I47</f>
        <v>New Construction</v>
      </c>
      <c r="J50" s="633" t="str">
        <f>'Budget Filing Data'!L47</f>
        <v>Market Support</v>
      </c>
      <c r="K50" s="635">
        <f>'Budget Filing Data'!B47</f>
        <v>2028</v>
      </c>
      <c r="L50" s="636">
        <f t="shared" si="0"/>
        <v>2510.5427</v>
      </c>
      <c r="M50" s="637">
        <f>'Budget Filing Data'!AQ47</f>
        <v>2510.5427</v>
      </c>
      <c r="N50" s="637">
        <f>'Budget Filing Data'!AR47</f>
        <v>0</v>
      </c>
      <c r="O50" s="637">
        <f>'Budget Filing Data'!AS47</f>
        <v>0</v>
      </c>
      <c r="P50" s="638">
        <f>'Budget Filing Data'!AT47</f>
        <v>0</v>
      </c>
    </row>
    <row r="51" spans="3:16">
      <c r="C51" s="632" t="str">
        <f>'Budget Filing Data'!D48</f>
        <v>SDGE_SW_NC_NonRes_Ind_electric</v>
      </c>
      <c r="D51" s="632" t="str">
        <f>'Budget Filing Data'!E48</f>
        <v>SW New Construction Non Residential - Industrial - All Electric</v>
      </c>
      <c r="E51" s="633" t="str">
        <f>'Budget Filing Data'!J48</f>
        <v>Third-Party Solicited</v>
      </c>
      <c r="F51" s="633" t="str">
        <f>IF('Budget Filing Data'!H48="","",'Budget Filing Data'!H48)</f>
        <v>SW_NC_NonRes_Ind_electric - New Construction - NonResidential - All Electric</v>
      </c>
      <c r="G51" s="634" t="s">
        <v>24</v>
      </c>
      <c r="H51" s="633" t="str">
        <f>'Budget Filing Data'!G48</f>
        <v>Industrial</v>
      </c>
      <c r="I51" s="633" t="str">
        <f>'Budget Filing Data'!I48</f>
        <v>New Construction</v>
      </c>
      <c r="J51" s="633" t="str">
        <f>'Budget Filing Data'!L48</f>
        <v>Market Support</v>
      </c>
      <c r="K51" s="635">
        <f>'Budget Filing Data'!B48</f>
        <v>2028</v>
      </c>
      <c r="L51" s="636">
        <f t="shared" si="0"/>
        <v>60768.544099999999</v>
      </c>
      <c r="M51" s="637">
        <f>'Budget Filing Data'!AQ48</f>
        <v>5274.1088</v>
      </c>
      <c r="N51" s="637">
        <f>'Budget Filing Data'!AR48</f>
        <v>3955.5816</v>
      </c>
      <c r="O51" s="637">
        <f>'Budget Filing Data'!AS48</f>
        <v>17140.8537</v>
      </c>
      <c r="P51" s="638">
        <f>'Budget Filing Data'!AT48</f>
        <v>34398</v>
      </c>
    </row>
    <row r="52" spans="3:16">
      <c r="C52" s="632" t="str">
        <f>'Budget Filing Data'!D49</f>
        <v>SDGE_SW_NC_NonRes_Ind_electric_PA</v>
      </c>
      <c r="D52" s="632" t="str">
        <f>'Budget Filing Data'!E49</f>
        <v>SW New Construction Non Residential - Industrial - All Electric (Utility)</v>
      </c>
      <c r="E52" s="633" t="str">
        <f>'Budget Filing Data'!J49</f>
        <v>IOU Core</v>
      </c>
      <c r="F52" s="633" t="str">
        <f>IF('Budget Filing Data'!H49="","",'Budget Filing Data'!H49)</f>
        <v>SW_NC_NonRes_Ind_electric - New Construction - NonResidential - All Electric</v>
      </c>
      <c r="G52" s="634" t="s">
        <v>24</v>
      </c>
      <c r="H52" s="633" t="str">
        <f>'Budget Filing Data'!G49</f>
        <v>Industrial</v>
      </c>
      <c r="I52" s="633" t="str">
        <f>'Budget Filing Data'!I49</f>
        <v>New Construction</v>
      </c>
      <c r="J52" s="633" t="str">
        <f>'Budget Filing Data'!L49</f>
        <v>Market Support</v>
      </c>
      <c r="K52" s="635">
        <f>'Budget Filing Data'!B49</f>
        <v>2028</v>
      </c>
      <c r="L52" s="636">
        <f t="shared" si="0"/>
        <v>542.02269999999999</v>
      </c>
      <c r="M52" s="637">
        <f>'Budget Filing Data'!AQ49</f>
        <v>542.02269999999999</v>
      </c>
      <c r="N52" s="637">
        <f>'Budget Filing Data'!AR49</f>
        <v>0</v>
      </c>
      <c r="O52" s="637">
        <f>'Budget Filing Data'!AS49</f>
        <v>0</v>
      </c>
      <c r="P52" s="638">
        <f>'Budget Filing Data'!AT49</f>
        <v>0</v>
      </c>
    </row>
    <row r="53" spans="3:16">
      <c r="C53" s="632" t="str">
        <f>'Budget Filing Data'!D50</f>
        <v>SDGE_SW_NC_NonRes_Pub_electric</v>
      </c>
      <c r="D53" s="632" t="str">
        <f>'Budget Filing Data'!E50</f>
        <v>SW New Construction Non Residential - Public - All Electric</v>
      </c>
      <c r="E53" s="633" t="str">
        <f>'Budget Filing Data'!J50</f>
        <v>Third-Party Solicited</v>
      </c>
      <c r="F53" s="633" t="str">
        <f>IF('Budget Filing Data'!H50="","",'Budget Filing Data'!H50)</f>
        <v>SW_NC_NonRes_Pub_electric - New Construction - NonResidential - All Electric</v>
      </c>
      <c r="G53" s="634" t="s">
        <v>24</v>
      </c>
      <c r="H53" s="633" t="str">
        <f>'Budget Filing Data'!G50</f>
        <v>Public</v>
      </c>
      <c r="I53" s="633" t="str">
        <f>'Budget Filing Data'!I50</f>
        <v>New Construction</v>
      </c>
      <c r="J53" s="633" t="str">
        <f>'Budget Filing Data'!L50</f>
        <v>Market Support</v>
      </c>
      <c r="K53" s="635">
        <f>'Budget Filing Data'!B50</f>
        <v>2028</v>
      </c>
      <c r="L53" s="636">
        <f t="shared" si="0"/>
        <v>255227.8858687001</v>
      </c>
      <c r="M53" s="637">
        <f>'Budget Filing Data'!AQ50</f>
        <v>22151.257099999999</v>
      </c>
      <c r="N53" s="637">
        <f>'Budget Filing Data'!AR50</f>
        <v>16613.442800000001</v>
      </c>
      <c r="O53" s="637">
        <f>'Budget Filing Data'!AS50</f>
        <v>71991.585699999996</v>
      </c>
      <c r="P53" s="638">
        <f>'Budget Filing Data'!AT50</f>
        <v>144471.6002687001</v>
      </c>
    </row>
    <row r="54" spans="3:16">
      <c r="C54" s="632" t="str">
        <f>'Budget Filing Data'!D51</f>
        <v>SDGE_SW_NC_NonRes_Pub_electric_PA</v>
      </c>
      <c r="D54" s="632" t="str">
        <f>'Budget Filing Data'!E51</f>
        <v>SW New Construction Non Residential - Public - All Electric (Utility)</v>
      </c>
      <c r="E54" s="633" t="str">
        <f>'Budget Filing Data'!J51</f>
        <v>IOU Core</v>
      </c>
      <c r="F54" s="633" t="str">
        <f>IF('Budget Filing Data'!H51="","",'Budget Filing Data'!H51)</f>
        <v>SW_NC_NonRes_Pub_electric - New Construction - NonResidential - All Electric</v>
      </c>
      <c r="G54" s="634" t="s">
        <v>24</v>
      </c>
      <c r="H54" s="633" t="str">
        <f>'Budget Filing Data'!G51</f>
        <v>Public</v>
      </c>
      <c r="I54" s="633" t="str">
        <f>'Budget Filing Data'!I51</f>
        <v>New Construction</v>
      </c>
      <c r="J54" s="633" t="str">
        <f>'Budget Filing Data'!L51</f>
        <v>Market Support</v>
      </c>
      <c r="K54" s="635">
        <f>'Budget Filing Data'!B51</f>
        <v>2028</v>
      </c>
      <c r="L54" s="636">
        <f t="shared" si="0"/>
        <v>1708.5527</v>
      </c>
      <c r="M54" s="637">
        <f>'Budget Filing Data'!AQ51</f>
        <v>1708.5527</v>
      </c>
      <c r="N54" s="637">
        <f>'Budget Filing Data'!AR51</f>
        <v>0</v>
      </c>
      <c r="O54" s="637">
        <f>'Budget Filing Data'!AS51</f>
        <v>0</v>
      </c>
      <c r="P54" s="638">
        <f>'Budget Filing Data'!AT51</f>
        <v>0</v>
      </c>
    </row>
    <row r="55" spans="3:16">
      <c r="C55" s="632" t="str">
        <f>'Budget Filing Data'!D52</f>
        <v>SDGE_SW_NC_NonRes_Res_electric</v>
      </c>
      <c r="D55" s="632" t="str">
        <f>'Budget Filing Data'!E52</f>
        <v>SW New Construction NonResidential - Residential - All Electric</v>
      </c>
      <c r="E55" s="633" t="str">
        <f>'Budget Filing Data'!J52</f>
        <v>Third-Party Solicited</v>
      </c>
      <c r="F55" s="633" t="str">
        <f>IF('Budget Filing Data'!H52="","",'Budget Filing Data'!H52)</f>
        <v>SW_NC_NonRes_Res_electric - New Construction - NonResidential - All Electric</v>
      </c>
      <c r="G55" s="634" t="s">
        <v>24</v>
      </c>
      <c r="H55" s="633" t="str">
        <f>'Budget Filing Data'!G52</f>
        <v>Residential</v>
      </c>
      <c r="I55" s="633" t="str">
        <f>'Budget Filing Data'!I52</f>
        <v>New Construction</v>
      </c>
      <c r="J55" s="633" t="str">
        <f>'Budget Filing Data'!L52</f>
        <v>Market Support</v>
      </c>
      <c r="K55" s="635">
        <f>'Budget Filing Data'!B52</f>
        <v>2028</v>
      </c>
      <c r="L55" s="636">
        <f t="shared" si="0"/>
        <v>449687.22682015225</v>
      </c>
      <c r="M55" s="637">
        <f>'Budget Filing Data'!AQ52</f>
        <v>39028.405400000003</v>
      </c>
      <c r="N55" s="637">
        <f>'Budget Filing Data'!AR52</f>
        <v>29271.304100000001</v>
      </c>
      <c r="O55" s="637">
        <f>'Budget Filing Data'!AS52</f>
        <v>126842.31759999999</v>
      </c>
      <c r="P55" s="638">
        <f>'Budget Filing Data'!AT52</f>
        <v>254545.19972015225</v>
      </c>
    </row>
    <row r="56" spans="3:16">
      <c r="C56" s="632" t="str">
        <f>'Budget Filing Data'!D53</f>
        <v>SDGE_SW_NC_NonRes_Res_electric_PA</v>
      </c>
      <c r="D56" s="632" t="str">
        <f>'Budget Filing Data'!E53</f>
        <v>SW New Construction NonResidential - Residential - All Electric (Utility)</v>
      </c>
      <c r="E56" s="633" t="str">
        <f>'Budget Filing Data'!J53</f>
        <v>IOU Core</v>
      </c>
      <c r="F56" s="633" t="str">
        <f>IF('Budget Filing Data'!H53="","",'Budget Filing Data'!H53)</f>
        <v>SW_NC_NonRes_Res_electric - New Construction - NonResidential - All Electric</v>
      </c>
      <c r="G56" s="634" t="s">
        <v>24</v>
      </c>
      <c r="H56" s="633" t="str">
        <f>'Budget Filing Data'!G53</f>
        <v>Residential</v>
      </c>
      <c r="I56" s="633" t="str">
        <f>'Budget Filing Data'!I53</f>
        <v>New Construction</v>
      </c>
      <c r="J56" s="633" t="str">
        <f>'Budget Filing Data'!L53</f>
        <v>Market Support</v>
      </c>
      <c r="K56" s="635">
        <f>'Budget Filing Data'!B53</f>
        <v>2028</v>
      </c>
      <c r="L56" s="636">
        <f t="shared" si="0"/>
        <v>2875.0826999999999</v>
      </c>
      <c r="M56" s="637">
        <f>'Budget Filing Data'!AQ53</f>
        <v>2875.0826999999999</v>
      </c>
      <c r="N56" s="637">
        <f>'Budget Filing Data'!AR53</f>
        <v>0</v>
      </c>
      <c r="O56" s="637">
        <f>'Budget Filing Data'!AS53</f>
        <v>0</v>
      </c>
      <c r="P56" s="638">
        <f>'Budget Filing Data'!AT53</f>
        <v>0</v>
      </c>
    </row>
    <row r="57" spans="3:16">
      <c r="C57" s="632" t="str">
        <f>'Budget Filing Data'!D54</f>
        <v>SDGE_SW_NC_NonRes_Ag_mixed</v>
      </c>
      <c r="D57" s="632" t="str">
        <f>'Budget Filing Data'!E54</f>
        <v>SW New Construction Non Residential - Agricultural - Mixed Fuel</v>
      </c>
      <c r="E57" s="633" t="str">
        <f>'Budget Filing Data'!J54</f>
        <v>Third-Party Solicited</v>
      </c>
      <c r="F57" s="633" t="str">
        <f>IF('Budget Filing Data'!H54="","",'Budget Filing Data'!H54)</f>
        <v>SW_NC_NonRes_Ag_mixed - New Construction - NonResidential - Mixed Fuel</v>
      </c>
      <c r="G57" s="634" t="s">
        <v>24</v>
      </c>
      <c r="H57" s="633" t="str">
        <f>'Budget Filing Data'!G54</f>
        <v>Agricultural</v>
      </c>
      <c r="I57" s="633" t="str">
        <f>'Budget Filing Data'!I54</f>
        <v>New Construction</v>
      </c>
      <c r="J57" s="633" t="str">
        <f>'Budget Filing Data'!L54</f>
        <v>Market Support</v>
      </c>
      <c r="K57" s="635">
        <f>'Budget Filing Data'!B54</f>
        <v>2028</v>
      </c>
      <c r="L57" s="636">
        <f t="shared" si="0"/>
        <v>44562.00917012</v>
      </c>
      <c r="M57" s="637">
        <f>'Budget Filing Data'!AQ54</f>
        <v>3912.7217999999998</v>
      </c>
      <c r="N57" s="637">
        <f>'Budget Filing Data'!AR54</f>
        <v>2934.5412999999999</v>
      </c>
      <c r="O57" s="637">
        <f>'Budget Filing Data'!AS54</f>
        <v>12716.345799999999</v>
      </c>
      <c r="P57" s="638">
        <f>'Budget Filing Data'!AT54</f>
        <v>24998.400270119997</v>
      </c>
    </row>
    <row r="58" spans="3:16">
      <c r="C58" s="632" t="str">
        <f>'Budget Filing Data'!D55</f>
        <v>SDGE_SW_NC_NonRes_Ag_mixed_PA</v>
      </c>
      <c r="D58" s="632" t="str">
        <f>'Budget Filing Data'!E55</f>
        <v>SW New Construction Non Residential - Agricultural - Mixed Fuel (Utility)</v>
      </c>
      <c r="E58" s="633" t="str">
        <f>'Budget Filing Data'!J55</f>
        <v>IOU Core</v>
      </c>
      <c r="F58" s="633" t="str">
        <f>IF('Budget Filing Data'!H55="","",'Budget Filing Data'!H55)</f>
        <v>SW_NC_NonRes_Ag_mixed - New Construction - NonResidential - Mixed Fuel</v>
      </c>
      <c r="G58" s="634" t="s">
        <v>24</v>
      </c>
      <c r="H58" s="633" t="str">
        <f>'Budget Filing Data'!G55</f>
        <v>Agricultural</v>
      </c>
      <c r="I58" s="633" t="str">
        <f>'Budget Filing Data'!I55</f>
        <v>New Construction</v>
      </c>
      <c r="J58" s="633" t="str">
        <f>'Budget Filing Data'!L55</f>
        <v>Market Support</v>
      </c>
      <c r="K58" s="635">
        <f>'Budget Filing Data'!B55</f>
        <v>2028</v>
      </c>
      <c r="L58" s="636">
        <f t="shared" si="0"/>
        <v>444.80270000000002</v>
      </c>
      <c r="M58" s="637">
        <f>'Budget Filing Data'!AQ55</f>
        <v>444.80270000000002</v>
      </c>
      <c r="N58" s="637">
        <f>'Budget Filing Data'!AR55</f>
        <v>0</v>
      </c>
      <c r="O58" s="637">
        <f>'Budget Filing Data'!AS55</f>
        <v>0</v>
      </c>
      <c r="P58" s="638">
        <f>'Budget Filing Data'!AT55</f>
        <v>0</v>
      </c>
    </row>
    <row r="59" spans="3:16">
      <c r="C59" s="632" t="str">
        <f>'Budget Filing Data'!D56</f>
        <v>SDGE_SW_NC_NonRes_Com_mixed</v>
      </c>
      <c r="D59" s="632" t="str">
        <f>'Budget Filing Data'!E56</f>
        <v>SW New Construction Non Residential - Commercial - Mixed Fuel</v>
      </c>
      <c r="E59" s="633" t="str">
        <f>'Budget Filing Data'!J56</f>
        <v>Third-Party Solicited</v>
      </c>
      <c r="F59" s="633" t="str">
        <f>IF('Budget Filing Data'!H56="","",'Budget Filing Data'!H56)</f>
        <v>SW_NC_NonRes_Com_mixed - New Construction - NonResidential - Mixed Fuel</v>
      </c>
      <c r="G59" s="634" t="s">
        <v>24</v>
      </c>
      <c r="H59" s="633" t="str">
        <f>'Budget Filing Data'!G56</f>
        <v>Commercial</v>
      </c>
      <c r="I59" s="633" t="str">
        <f>'Budget Filing Data'!I56</f>
        <v>New Construction</v>
      </c>
      <c r="J59" s="633" t="str">
        <f>'Budget Filing Data'!L56</f>
        <v>Market Support</v>
      </c>
      <c r="K59" s="635">
        <f>'Budget Filing Data'!B56</f>
        <v>2028</v>
      </c>
      <c r="L59" s="636">
        <f t="shared" si="0"/>
        <v>285196.85719759995</v>
      </c>
      <c r="M59" s="637">
        <f>'Budget Filing Data'!AQ56</f>
        <v>25041.4195</v>
      </c>
      <c r="N59" s="637">
        <f>'Budget Filing Data'!AR56</f>
        <v>18781.064600000002</v>
      </c>
      <c r="O59" s="637">
        <f>'Budget Filing Data'!AS56</f>
        <v>81384.613299999997</v>
      </c>
      <c r="P59" s="638">
        <f>'Budget Filing Data'!AT56</f>
        <v>159989.75979759998</v>
      </c>
    </row>
    <row r="60" spans="3:16">
      <c r="C60" s="632" t="str">
        <f>'Budget Filing Data'!D57</f>
        <v>SDGE_SW_NC_NonRes_Com_mixed_PA</v>
      </c>
      <c r="D60" s="632" t="str">
        <f>'Budget Filing Data'!E57</f>
        <v>SW New Construction Non Residential - Commercial - Mixed Fuel (Utility)</v>
      </c>
      <c r="E60" s="633" t="str">
        <f>'Budget Filing Data'!J57</f>
        <v>IOU Core</v>
      </c>
      <c r="F60" s="633" t="str">
        <f>IF('Budget Filing Data'!H57="","",'Budget Filing Data'!H57)</f>
        <v>SW_NC_NonRes_Com_mixed - New Construction - NonResidential - Mixed Fuel</v>
      </c>
      <c r="G60" s="634" t="s">
        <v>24</v>
      </c>
      <c r="H60" s="633" t="str">
        <f>'Budget Filing Data'!G57</f>
        <v>Commercial</v>
      </c>
      <c r="I60" s="633" t="str">
        <f>'Budget Filing Data'!I57</f>
        <v>New Construction</v>
      </c>
      <c r="J60" s="633" t="str">
        <f>'Budget Filing Data'!L57</f>
        <v>Market Support</v>
      </c>
      <c r="K60" s="635">
        <f>'Budget Filing Data'!B57</f>
        <v>2028</v>
      </c>
      <c r="L60" s="636">
        <f t="shared" si="0"/>
        <v>1888.3326999999999</v>
      </c>
      <c r="M60" s="637">
        <f>'Budget Filing Data'!AQ57</f>
        <v>1888.3326999999999</v>
      </c>
      <c r="N60" s="637">
        <f>'Budget Filing Data'!AR57</f>
        <v>0</v>
      </c>
      <c r="O60" s="637">
        <f>'Budget Filing Data'!AS57</f>
        <v>0</v>
      </c>
      <c r="P60" s="638">
        <f>'Budget Filing Data'!AT57</f>
        <v>0</v>
      </c>
    </row>
    <row r="61" spans="3:16">
      <c r="C61" s="632" t="str">
        <f>'Budget Filing Data'!D58</f>
        <v>SDGE_SW_NC_NonRes_Ind_mixed</v>
      </c>
      <c r="D61" s="632" t="str">
        <f>'Budget Filing Data'!E58</f>
        <v>SW New Construction Non Residential - Industrial - Mixed Fuel</v>
      </c>
      <c r="E61" s="633" t="str">
        <f>'Budget Filing Data'!J58</f>
        <v>Third-Party Solicited</v>
      </c>
      <c r="F61" s="633" t="str">
        <f>IF('Budget Filing Data'!H58="","",'Budget Filing Data'!H58)</f>
        <v>SW_NC_NonRes_Ind_mixed - New Construction - NonResidential - Mixed Fuel</v>
      </c>
      <c r="G61" s="634" t="s">
        <v>24</v>
      </c>
      <c r="H61" s="633" t="str">
        <f>'Budget Filing Data'!G58</f>
        <v>Industrial</v>
      </c>
      <c r="I61" s="633" t="str">
        <f>'Budget Filing Data'!I58</f>
        <v>New Construction</v>
      </c>
      <c r="J61" s="633" t="str">
        <f>'Budget Filing Data'!L58</f>
        <v>Market Support</v>
      </c>
      <c r="K61" s="635">
        <f>'Budget Filing Data'!B58</f>
        <v>2028</v>
      </c>
      <c r="L61" s="636">
        <f t="shared" si="0"/>
        <v>44562.010060000001</v>
      </c>
      <c r="M61" s="637">
        <f>'Budget Filing Data'!AQ58</f>
        <v>3912.7217999999998</v>
      </c>
      <c r="N61" s="637">
        <f>'Budget Filing Data'!AR58</f>
        <v>2934.5412999999999</v>
      </c>
      <c r="O61" s="637">
        <f>'Budget Filing Data'!AS58</f>
        <v>12716.345799999999</v>
      </c>
      <c r="P61" s="638">
        <f>'Budget Filing Data'!AT58</f>
        <v>24998.401160000001</v>
      </c>
    </row>
    <row r="62" spans="3:16">
      <c r="C62" s="632" t="str">
        <f>'Budget Filing Data'!D59</f>
        <v>SDGE_SW_NC_NonRes_Ind_mixed_PA</v>
      </c>
      <c r="D62" s="632" t="str">
        <f>'Budget Filing Data'!E59</f>
        <v>SW New Construction Non Residential - Industrial - Mixed Fuel (Utility)</v>
      </c>
      <c r="E62" s="633" t="str">
        <f>'Budget Filing Data'!J59</f>
        <v>IOU Core</v>
      </c>
      <c r="F62" s="633" t="str">
        <f>IF('Budget Filing Data'!H59="","",'Budget Filing Data'!H59)</f>
        <v>SW_NC_NonRes_Ind_mixed - New Construction - NonResidential - Mixed Fuel</v>
      </c>
      <c r="G62" s="634" t="s">
        <v>24</v>
      </c>
      <c r="H62" s="633" t="str">
        <f>'Budget Filing Data'!G59</f>
        <v>Industrial</v>
      </c>
      <c r="I62" s="633" t="str">
        <f>'Budget Filing Data'!I59</f>
        <v>New Construction</v>
      </c>
      <c r="J62" s="633" t="str">
        <f>'Budget Filing Data'!L59</f>
        <v>Market Support</v>
      </c>
      <c r="K62" s="635">
        <f>'Budget Filing Data'!B59</f>
        <v>2028</v>
      </c>
      <c r="L62" s="636">
        <f t="shared" si="0"/>
        <v>444.80270000000002</v>
      </c>
      <c r="M62" s="637">
        <f>'Budget Filing Data'!AQ59</f>
        <v>444.80270000000002</v>
      </c>
      <c r="N62" s="637">
        <f>'Budget Filing Data'!AR59</f>
        <v>0</v>
      </c>
      <c r="O62" s="637">
        <f>'Budget Filing Data'!AS59</f>
        <v>0</v>
      </c>
      <c r="P62" s="638">
        <f>'Budget Filing Data'!AT59</f>
        <v>0</v>
      </c>
    </row>
    <row r="63" spans="3:16">
      <c r="C63" s="632" t="str">
        <f>'Budget Filing Data'!D60</f>
        <v>SDGE_SW_NC_NonRes_Pub_mixed</v>
      </c>
      <c r="D63" s="632" t="str">
        <f>'Budget Filing Data'!E60</f>
        <v>SW New Construction Non Residential - Public - Mixed Fuel</v>
      </c>
      <c r="E63" s="633" t="str">
        <f>'Budget Filing Data'!J60</f>
        <v>Third-Party Solicited</v>
      </c>
      <c r="F63" s="633" t="str">
        <f>IF('Budget Filing Data'!H60="","",'Budget Filing Data'!H60)</f>
        <v>SW_NC_NonRes_Pub_mixed - New Construction - NonResidential - Mixed Fuel</v>
      </c>
      <c r="G63" s="634" t="s">
        <v>24</v>
      </c>
      <c r="H63" s="633" t="str">
        <f>'Budget Filing Data'!G60</f>
        <v>Public</v>
      </c>
      <c r="I63" s="633" t="str">
        <f>'Budget Filing Data'!I60</f>
        <v>New Construction</v>
      </c>
      <c r="J63" s="633" t="str">
        <f>'Budget Filing Data'!L60</f>
        <v>Market Support</v>
      </c>
      <c r="K63" s="635">
        <f>'Budget Filing Data'!B60</f>
        <v>2028</v>
      </c>
      <c r="L63" s="636">
        <f t="shared" si="0"/>
        <v>187160.43782399994</v>
      </c>
      <c r="M63" s="637">
        <f>'Budget Filing Data'!AQ60</f>
        <v>16433.431499999999</v>
      </c>
      <c r="N63" s="637">
        <f>'Budget Filing Data'!AR60</f>
        <v>12325.0736</v>
      </c>
      <c r="O63" s="637">
        <f>'Budget Filing Data'!AS60</f>
        <v>53408.652499999997</v>
      </c>
      <c r="P63" s="638">
        <f>'Budget Filing Data'!AT60</f>
        <v>104993.28022399994</v>
      </c>
    </row>
    <row r="64" spans="3:16">
      <c r="C64" s="632" t="str">
        <f>'Budget Filing Data'!D61</f>
        <v>SDGE_SW_NC_NonRes_Pub_mixed_PA</v>
      </c>
      <c r="D64" s="632" t="str">
        <f>'Budget Filing Data'!E61</f>
        <v>SW New Construction Non Residential - Public - Mixed Fuel (Utility)</v>
      </c>
      <c r="E64" s="633" t="str">
        <f>'Budget Filing Data'!J61</f>
        <v>IOU Core</v>
      </c>
      <c r="F64" s="633" t="str">
        <f>IF('Budget Filing Data'!H61="","",'Budget Filing Data'!H61)</f>
        <v>SW_NC_NonRes_Pub_mixed - New Construction - NonResidential - Mixed Fuel</v>
      </c>
      <c r="G64" s="634" t="s">
        <v>24</v>
      </c>
      <c r="H64" s="633" t="str">
        <f>'Budget Filing Data'!G61</f>
        <v>Public</v>
      </c>
      <c r="I64" s="633" t="str">
        <f>'Budget Filing Data'!I61</f>
        <v>New Construction</v>
      </c>
      <c r="J64" s="633" t="str">
        <f>'Budget Filing Data'!L61</f>
        <v>Market Support</v>
      </c>
      <c r="K64" s="635">
        <f>'Budget Filing Data'!B61</f>
        <v>2028</v>
      </c>
      <c r="L64" s="636">
        <f t="shared" si="0"/>
        <v>1300.2227</v>
      </c>
      <c r="M64" s="637">
        <f>'Budget Filing Data'!AQ61</f>
        <v>1300.2227</v>
      </c>
      <c r="N64" s="637">
        <f>'Budget Filing Data'!AR61</f>
        <v>0</v>
      </c>
      <c r="O64" s="637">
        <f>'Budget Filing Data'!AS61</f>
        <v>0</v>
      </c>
      <c r="P64" s="638">
        <f>'Budget Filing Data'!AT61</f>
        <v>0</v>
      </c>
    </row>
    <row r="65" spans="3:16">
      <c r="C65" s="632" t="str">
        <f>'Budget Filing Data'!D62</f>
        <v>SDGE_SW_NC_NonRes_Res_mixed</v>
      </c>
      <c r="D65" s="632" t="str">
        <f>'Budget Filing Data'!E62</f>
        <v>SW New Construction NonResidential - Residential - Mixed Fuel</v>
      </c>
      <c r="E65" s="633" t="str">
        <f>'Budget Filing Data'!J62</f>
        <v>Third-Party Solicited</v>
      </c>
      <c r="F65" s="633" t="str">
        <f>IF('Budget Filing Data'!H62="","",'Budget Filing Data'!H62)</f>
        <v>SW_NC_NonRes_Res_mixed - New Construction - NonResidential - Mixed Fuel</v>
      </c>
      <c r="G65" s="634" t="s">
        <v>24</v>
      </c>
      <c r="H65" s="633" t="str">
        <f>'Budget Filing Data'!G62</f>
        <v>Residential</v>
      </c>
      <c r="I65" s="633" t="str">
        <f>'Budget Filing Data'!I62</f>
        <v>New Construction</v>
      </c>
      <c r="J65" s="633" t="str">
        <f>'Budget Filing Data'!L62</f>
        <v>Market Support</v>
      </c>
      <c r="K65" s="635">
        <f>'Budget Filing Data'!B62</f>
        <v>2028</v>
      </c>
      <c r="L65" s="636">
        <f t="shared" si="0"/>
        <v>329758.86587048002</v>
      </c>
      <c r="M65" s="637">
        <f>'Budget Filing Data'!AQ62</f>
        <v>28954.141299999999</v>
      </c>
      <c r="N65" s="637">
        <f>'Budget Filing Data'!AR62</f>
        <v>21715.605899999999</v>
      </c>
      <c r="O65" s="637">
        <f>'Budget Filing Data'!AS62</f>
        <v>94100.959099999993</v>
      </c>
      <c r="P65" s="638">
        <f>'Budget Filing Data'!AT62</f>
        <v>184988.15957048003</v>
      </c>
    </row>
    <row r="66" spans="3:16">
      <c r="C66" s="632" t="str">
        <f>'Budget Filing Data'!D63</f>
        <v>SDGE_SW_NC_NonRes_Res_mixed_PA</v>
      </c>
      <c r="D66" s="632" t="str">
        <f>'Budget Filing Data'!E63</f>
        <v>SW New Construction NonResidential - Residential - Mixed Fuel (Utility)</v>
      </c>
      <c r="E66" s="633" t="str">
        <f>'Budget Filing Data'!J63</f>
        <v>IOU Core</v>
      </c>
      <c r="F66" s="633" t="str">
        <f>IF('Budget Filing Data'!H63="","",'Budget Filing Data'!H63)</f>
        <v>SW_NC_NonRes_Res_mixed - New Construction - NonResidential - Mixed Fuel</v>
      </c>
      <c r="G66" s="634" t="s">
        <v>24</v>
      </c>
      <c r="H66" s="633" t="str">
        <f>'Budget Filing Data'!G63</f>
        <v>Residential</v>
      </c>
      <c r="I66" s="633" t="str">
        <f>'Budget Filing Data'!I63</f>
        <v>New Construction</v>
      </c>
      <c r="J66" s="633" t="str">
        <f>'Budget Filing Data'!L63</f>
        <v>Market Support</v>
      </c>
      <c r="K66" s="635">
        <f>'Budget Filing Data'!B63</f>
        <v>2028</v>
      </c>
      <c r="L66" s="636">
        <f t="shared" si="0"/>
        <v>2155.6527000000001</v>
      </c>
      <c r="M66" s="637">
        <f>'Budget Filing Data'!AQ63</f>
        <v>2155.6527000000001</v>
      </c>
      <c r="N66" s="637">
        <f>'Budget Filing Data'!AR63</f>
        <v>0</v>
      </c>
      <c r="O66" s="637">
        <f>'Budget Filing Data'!AS63</f>
        <v>0</v>
      </c>
      <c r="P66" s="638">
        <f>'Budget Filing Data'!AT63</f>
        <v>0</v>
      </c>
    </row>
    <row r="67" spans="3:16">
      <c r="C67" s="632" t="str">
        <f>'Budget Filing Data'!D64</f>
        <v>SDGE_SW_NC_Res_electric</v>
      </c>
      <c r="D67" s="632" t="str">
        <f>'Budget Filing Data'!E64</f>
        <v>SW New Construction Residential - All Electric</v>
      </c>
      <c r="E67" s="633" t="str">
        <f>'Budget Filing Data'!J64</f>
        <v>Third-Party Solicited</v>
      </c>
      <c r="F67" s="633" t="str">
        <f>IF('Budget Filing Data'!H64="","",'Budget Filing Data'!H64)</f>
        <v>SW_NC_Res_electric - New Construction - Residential - All Electric</v>
      </c>
      <c r="G67" s="634" t="s">
        <v>24</v>
      </c>
      <c r="H67" s="633" t="str">
        <f>'Budget Filing Data'!G64</f>
        <v>Residential</v>
      </c>
      <c r="I67" s="633" t="str">
        <f>'Budget Filing Data'!I64</f>
        <v>New Construction</v>
      </c>
      <c r="J67" s="633" t="str">
        <f>'Budget Filing Data'!L64</f>
        <v>Market Support</v>
      </c>
      <c r="K67" s="635">
        <f>'Budget Filing Data'!B64</f>
        <v>2028</v>
      </c>
      <c r="L67" s="636">
        <f t="shared" si="0"/>
        <v>996888.25591999968</v>
      </c>
      <c r="M67" s="637">
        <f>'Budget Filing Data'!AQ64</f>
        <v>34270.235999999997</v>
      </c>
      <c r="N67" s="637">
        <f>'Budget Filing Data'!AR64</f>
        <v>20020</v>
      </c>
      <c r="O67" s="637">
        <f>'Budget Filing Data'!AS64</f>
        <v>376951.12</v>
      </c>
      <c r="P67" s="638">
        <f>'Budget Filing Data'!AT64</f>
        <v>565646.89991999976</v>
      </c>
    </row>
    <row r="68" spans="3:16">
      <c r="C68" s="632" t="str">
        <f>'Budget Filing Data'!D65</f>
        <v>SDGE_SW_NC_Res_electric_PA</v>
      </c>
      <c r="D68" s="632" t="str">
        <f>'Budget Filing Data'!E65</f>
        <v>SW New Construction Residential - All Electric (Utility)</v>
      </c>
      <c r="E68" s="633" t="str">
        <f>'Budget Filing Data'!J65</f>
        <v>IOU Core</v>
      </c>
      <c r="F68" s="633" t="str">
        <f>IF('Budget Filing Data'!H65="","",'Budget Filing Data'!H65)</f>
        <v>SW_NC_Res_electric - New Construction - Residential - All Electric</v>
      </c>
      <c r="G68" s="634" t="s">
        <v>24</v>
      </c>
      <c r="H68" s="633" t="str">
        <f>'Budget Filing Data'!G65</f>
        <v>Residential</v>
      </c>
      <c r="I68" s="633" t="str">
        <f>'Budget Filing Data'!I65</f>
        <v>New Construction</v>
      </c>
      <c r="J68" s="633" t="str">
        <f>'Budget Filing Data'!L65</f>
        <v>Market Support</v>
      </c>
      <c r="K68" s="635">
        <f>'Budget Filing Data'!B65</f>
        <v>2028</v>
      </c>
      <c r="L68" s="636">
        <f t="shared" si="0"/>
        <v>7754.9975999999997</v>
      </c>
      <c r="M68" s="637">
        <f>'Budget Filing Data'!AQ65</f>
        <v>7754.9975999999997</v>
      </c>
      <c r="N68" s="637">
        <f>'Budget Filing Data'!AR65</f>
        <v>0</v>
      </c>
      <c r="O68" s="637">
        <f>'Budget Filing Data'!AS65</f>
        <v>0</v>
      </c>
      <c r="P68" s="638">
        <f>'Budget Filing Data'!AT65</f>
        <v>0</v>
      </c>
    </row>
    <row r="69" spans="3:16">
      <c r="C69" s="645" t="str">
        <f>'Budget Filing Data'!D66</f>
        <v>SDGE4168</v>
      </c>
      <c r="D69" s="645" t="str">
        <f>'Budget Filing Data'!E66</f>
        <v>Lodging (Hotels/Motels)</v>
      </c>
      <c r="E69" s="646" t="str">
        <f>'Budget Filing Data'!J66</f>
        <v>Third-Party Solicited</v>
      </c>
      <c r="F69" s="646" t="str">
        <f>IF('Budget Filing Data'!H66="","",'Budget Filing Data'!H66)</f>
        <v/>
      </c>
      <c r="G69" s="634" t="s">
        <v>24</v>
      </c>
      <c r="H69" s="646" t="str">
        <f>'Budget Filing Data'!G66</f>
        <v>Commercial</v>
      </c>
      <c r="I69" s="646" t="str">
        <f>'Budget Filing Data'!I66</f>
        <v>Other</v>
      </c>
      <c r="J69" s="646" t="str">
        <f>'Budget Filing Data'!L66</f>
        <v>Resource Acquisition</v>
      </c>
      <c r="K69" s="647">
        <f>'Budget Filing Data'!B66</f>
        <v>2028</v>
      </c>
      <c r="L69" s="636">
        <f t="shared" si="0"/>
        <v>1649501.777</v>
      </c>
      <c r="M69" s="648">
        <v>148455</v>
      </c>
      <c r="N69" s="648">
        <v>98970</v>
      </c>
      <c r="O69" s="648">
        <v>513080</v>
      </c>
      <c r="P69" s="649">
        <v>888996.777</v>
      </c>
    </row>
    <row r="70" spans="3:16">
      <c r="C70" s="645" t="s">
        <v>1387</v>
      </c>
      <c r="D70" s="645" t="s">
        <v>1388</v>
      </c>
      <c r="E70" s="646" t="s">
        <v>17</v>
      </c>
      <c r="F70" s="646"/>
      <c r="G70" s="634" t="s">
        <v>24</v>
      </c>
      <c r="H70" s="646" t="str">
        <f>H69</f>
        <v>Commercial</v>
      </c>
      <c r="I70" s="646" t="str">
        <f>I69</f>
        <v>Other</v>
      </c>
      <c r="J70" s="646" t="str">
        <f>J69</f>
        <v>Resource Acquisition</v>
      </c>
      <c r="K70" s="647">
        <f>K69</f>
        <v>2028</v>
      </c>
      <c r="L70" s="636">
        <f t="shared" si="0"/>
        <v>175358.65609999999</v>
      </c>
      <c r="M70" s="648">
        <v>94510.512000000002</v>
      </c>
      <c r="N70" s="648">
        <v>728.73059999999998</v>
      </c>
      <c r="O70" s="648">
        <v>80119.413499999995</v>
      </c>
      <c r="P70" s="649">
        <v>0</v>
      </c>
    </row>
    <row r="71" spans="3:16">
      <c r="C71" s="645" t="str">
        <f>'Budget Filing Data'!D67</f>
        <v>SDGE4169</v>
      </c>
      <c r="D71" s="645" t="str">
        <f>'Budget Filing Data'!E67</f>
        <v>Groceries, Restaurants and Food Storage</v>
      </c>
      <c r="E71" s="646" t="str">
        <f>'Budget Filing Data'!J67</f>
        <v>Third-Party Solicited</v>
      </c>
      <c r="F71" s="646" t="str">
        <f>IF('Budget Filing Data'!H67="","",'Budget Filing Data'!H67)</f>
        <v/>
      </c>
      <c r="G71" s="634" t="s">
        <v>24</v>
      </c>
      <c r="H71" s="646" t="str">
        <f>'Budget Filing Data'!G67</f>
        <v>Commercial</v>
      </c>
      <c r="I71" s="646" t="str">
        <f>'Budget Filing Data'!I67</f>
        <v>Other</v>
      </c>
      <c r="J71" s="646" t="str">
        <f>'Budget Filing Data'!L67</f>
        <v>Resource Acquisition</v>
      </c>
      <c r="K71" s="647">
        <f>'Budget Filing Data'!B67</f>
        <v>2028</v>
      </c>
      <c r="L71" s="636">
        <f t="shared" si="0"/>
        <v>2066814.2243948006</v>
      </c>
      <c r="M71" s="648">
        <v>54720</v>
      </c>
      <c r="N71" s="648">
        <v>66391.199999999997</v>
      </c>
      <c r="O71" s="648">
        <v>744693.70730000001</v>
      </c>
      <c r="P71" s="649">
        <v>1201009.3170948008</v>
      </c>
    </row>
    <row r="72" spans="3:16">
      <c r="C72" s="645" t="s">
        <v>1389</v>
      </c>
      <c r="D72" s="645" t="s">
        <v>1390</v>
      </c>
      <c r="E72" s="646" t="s">
        <v>17</v>
      </c>
      <c r="F72" s="646"/>
      <c r="G72" s="634" t="s">
        <v>24</v>
      </c>
      <c r="H72" s="646" t="str">
        <f>H71</f>
        <v>Commercial</v>
      </c>
      <c r="I72" s="646" t="str">
        <f t="shared" ref="I72:K72" si="23">I71</f>
        <v>Other</v>
      </c>
      <c r="J72" s="646" t="str">
        <f t="shared" si="23"/>
        <v>Resource Acquisition</v>
      </c>
      <c r="K72" s="647">
        <f t="shared" si="23"/>
        <v>2028</v>
      </c>
      <c r="L72" s="636">
        <f t="shared" si="0"/>
        <v>307800.59210000001</v>
      </c>
      <c r="M72" s="648">
        <v>89206.897200000007</v>
      </c>
      <c r="N72" s="648">
        <v>728.73059999999998</v>
      </c>
      <c r="O72" s="648">
        <v>217864.96429999999</v>
      </c>
      <c r="P72" s="649">
        <v>0</v>
      </c>
    </row>
    <row r="73" spans="3:16">
      <c r="C73" s="645" t="str">
        <f>'Budget Filing Data'!D68</f>
        <v>SDGE4170</v>
      </c>
      <c r="D73" s="645" t="str">
        <f>'Budget Filing Data'!E68</f>
        <v>Wholesale/Retail/Office, including Entertainment Services</v>
      </c>
      <c r="E73" s="646" t="str">
        <f>'Budget Filing Data'!J68</f>
        <v>Third-Party Solicited</v>
      </c>
      <c r="F73" s="646" t="str">
        <f>IF('Budget Filing Data'!H68="","",'Budget Filing Data'!H68)</f>
        <v/>
      </c>
      <c r="G73" s="634" t="s">
        <v>24</v>
      </c>
      <c r="H73" s="646" t="str">
        <f>'Budget Filing Data'!G68</f>
        <v>Commercial</v>
      </c>
      <c r="I73" s="646" t="str">
        <f>'Budget Filing Data'!I68</f>
        <v>Other</v>
      </c>
      <c r="J73" s="646" t="str">
        <f>'Budget Filing Data'!L68</f>
        <v>Resource Acquisition</v>
      </c>
      <c r="K73" s="647">
        <f>'Budget Filing Data'!B68</f>
        <v>2028</v>
      </c>
      <c r="L73" s="636">
        <f t="shared" si="0"/>
        <v>5480160.25</v>
      </c>
      <c r="M73" s="648">
        <v>155880</v>
      </c>
      <c r="N73" s="648">
        <v>93600</v>
      </c>
      <c r="O73" s="648">
        <v>2645551.34</v>
      </c>
      <c r="P73" s="649">
        <v>2585128.91</v>
      </c>
    </row>
    <row r="74" spans="3:16">
      <c r="C74" s="645" t="s">
        <v>1391</v>
      </c>
      <c r="D74" s="645" t="s">
        <v>1392</v>
      </c>
      <c r="E74" s="646" t="s">
        <v>17</v>
      </c>
      <c r="F74" s="646"/>
      <c r="G74" s="634" t="s">
        <v>24</v>
      </c>
      <c r="H74" s="646" t="str">
        <f>H73</f>
        <v>Commercial</v>
      </c>
      <c r="I74" s="646" t="str">
        <f t="shared" ref="I74:K74" si="24">I73</f>
        <v>Other</v>
      </c>
      <c r="J74" s="646" t="str">
        <f t="shared" si="24"/>
        <v>Resource Acquisition</v>
      </c>
      <c r="K74" s="647">
        <f t="shared" si="24"/>
        <v>2028</v>
      </c>
      <c r="L74" s="636">
        <f t="shared" si="0"/>
        <v>659620.39929999993</v>
      </c>
      <c r="M74" s="648">
        <v>240991.96549999999</v>
      </c>
      <c r="N74" s="648">
        <v>728.73059999999998</v>
      </c>
      <c r="O74" s="648">
        <v>417899.70319999999</v>
      </c>
      <c r="P74" s="649">
        <v>0</v>
      </c>
    </row>
    <row r="75" spans="3:16">
      <c r="C75" s="645" t="str">
        <f>'Budget Filing Data'!D69</f>
        <v>SDGE4171</v>
      </c>
      <c r="D75" s="645" t="str">
        <f>'Budget Filing Data'!E69</f>
        <v>Private Institutions/Healthcare</v>
      </c>
      <c r="E75" s="646" t="str">
        <f>'Budget Filing Data'!J69</f>
        <v>Third-Party Solicited</v>
      </c>
      <c r="F75" s="646" t="str">
        <f>IF('Budget Filing Data'!H69="","",'Budget Filing Data'!H69)</f>
        <v/>
      </c>
      <c r="G75" s="634" t="s">
        <v>24</v>
      </c>
      <c r="H75" s="646" t="str">
        <f>'Budget Filing Data'!G69</f>
        <v>Commercial</v>
      </c>
      <c r="I75" s="646" t="str">
        <f>'Budget Filing Data'!I69</f>
        <v>Other</v>
      </c>
      <c r="J75" s="646" t="str">
        <f>'Budget Filing Data'!L69</f>
        <v>Resource Acquisition</v>
      </c>
      <c r="K75" s="647">
        <f>'Budget Filing Data'!B69</f>
        <v>2028</v>
      </c>
      <c r="L75" s="636">
        <f t="shared" si="0"/>
        <v>1527614.8200000003</v>
      </c>
      <c r="M75" s="648">
        <v>137485</v>
      </c>
      <c r="N75" s="648">
        <v>91657</v>
      </c>
      <c r="O75" s="648">
        <v>407410</v>
      </c>
      <c r="P75" s="649">
        <v>891062.82000000018</v>
      </c>
    </row>
    <row r="76" spans="3:16">
      <c r="C76" s="645" t="s">
        <v>1393</v>
      </c>
      <c r="D76" s="645" t="s">
        <v>1394</v>
      </c>
      <c r="E76" s="646" t="s">
        <v>17</v>
      </c>
      <c r="F76" s="646"/>
      <c r="G76" s="634" t="s">
        <v>24</v>
      </c>
      <c r="H76" s="646" t="str">
        <f>H75</f>
        <v>Commercial</v>
      </c>
      <c r="I76" s="646" t="str">
        <f t="shared" ref="I76:K76" si="25">I75</f>
        <v>Other</v>
      </c>
      <c r="J76" s="646" t="str">
        <f t="shared" si="25"/>
        <v>Resource Acquisition</v>
      </c>
      <c r="K76" s="647">
        <f t="shared" si="25"/>
        <v>2028</v>
      </c>
      <c r="L76" s="636">
        <f t="shared" si="0"/>
        <v>162901.6011</v>
      </c>
      <c r="M76" s="648">
        <v>88212.615900000004</v>
      </c>
      <c r="N76" s="648">
        <v>728.73059999999998</v>
      </c>
      <c r="O76" s="648">
        <v>73960.2546</v>
      </c>
      <c r="P76" s="649">
        <v>0</v>
      </c>
    </row>
    <row r="77" spans="3:16">
      <c r="C77" s="645" t="str">
        <f>'Budget Filing Data'!D70</f>
        <v>SDGE4175</v>
      </c>
      <c r="D77" s="645" t="str">
        <f>'Budget Filing Data'!E70</f>
        <v>Local Residential Fuel-Substitution</v>
      </c>
      <c r="E77" s="646" t="str">
        <f>'Budget Filing Data'!J70</f>
        <v>IOU Core</v>
      </c>
      <c r="F77" s="646" t="str">
        <f>IF('Budget Filing Data'!H70="","",'Budget Filing Data'!H70)</f>
        <v/>
      </c>
      <c r="G77" s="634" t="s">
        <v>15</v>
      </c>
      <c r="H77" s="646" t="str">
        <f>'Budget Filing Data'!G70</f>
        <v>Residential</v>
      </c>
      <c r="I77" s="646" t="str">
        <f>'Budget Filing Data'!I70</f>
        <v>Other</v>
      </c>
      <c r="J77" s="646" t="str">
        <f>'Budget Filing Data'!L70</f>
        <v>Market Support</v>
      </c>
      <c r="K77" s="647">
        <f>'Budget Filing Data'!B70</f>
        <v>2028</v>
      </c>
      <c r="L77" s="636">
        <f t="shared" si="0"/>
        <v>900000</v>
      </c>
      <c r="M77" s="648">
        <v>90000</v>
      </c>
      <c r="N77" s="648">
        <v>100556</v>
      </c>
      <c r="O77" s="648">
        <v>643444</v>
      </c>
      <c r="P77" s="649">
        <v>66000</v>
      </c>
    </row>
    <row r="78" spans="3:16">
      <c r="C78" s="645" t="s">
        <v>1395</v>
      </c>
      <c r="D78" s="645" t="s">
        <v>1396</v>
      </c>
      <c r="E78" s="646" t="s">
        <v>17</v>
      </c>
      <c r="F78" s="646"/>
      <c r="G78" s="634" t="s">
        <v>15</v>
      </c>
      <c r="H78" s="646" t="str">
        <f>H77</f>
        <v>Residential</v>
      </c>
      <c r="I78" s="646" t="str">
        <f t="shared" ref="I78:K78" si="26">I77</f>
        <v>Other</v>
      </c>
      <c r="J78" s="646" t="str">
        <f t="shared" si="26"/>
        <v>Market Support</v>
      </c>
      <c r="K78" s="647">
        <f t="shared" si="26"/>
        <v>2028</v>
      </c>
      <c r="L78" s="636">
        <f t="shared" si="0"/>
        <v>161954.14749999999</v>
      </c>
      <c r="M78" s="648">
        <v>150209.96179999999</v>
      </c>
      <c r="N78" s="648">
        <v>3643.6529999999998</v>
      </c>
      <c r="O78" s="648">
        <v>8100.5326999999997</v>
      </c>
      <c r="P78" s="649">
        <v>0</v>
      </c>
    </row>
    <row r="79" spans="3:16">
      <c r="C79" s="632" t="str">
        <f>'Budget Filing Data'!D71</f>
        <v>SDGE_CS_PortfolioSupport</v>
      </c>
      <c r="D79" s="632" t="str">
        <f>'Budget Filing Data'!E71</f>
        <v>Codes &amp; Standards Portfolio Support PA Costs</v>
      </c>
      <c r="E79" s="633" t="str">
        <f>'Budget Filing Data'!J71</f>
        <v>IOU Core</v>
      </c>
      <c r="F79" s="633" t="str">
        <f>IF('Budget Filing Data'!H71="","",'Budget Filing Data'!H71)</f>
        <v/>
      </c>
      <c r="G79" s="634" t="s">
        <v>24</v>
      </c>
      <c r="H79" s="633" t="str">
        <f>'Budget Filing Data'!G71</f>
        <v>Portfolio Support</v>
      </c>
      <c r="I79" s="633" t="str">
        <f>'Budget Filing Data'!I71</f>
        <v>Other</v>
      </c>
      <c r="J79" s="633" t="str">
        <f>'Budget Filing Data'!L71</f>
        <v>Codes and Standards</v>
      </c>
      <c r="K79" s="635">
        <f>'Budget Filing Data'!B71</f>
        <v>2028</v>
      </c>
      <c r="L79" s="636">
        <f t="shared" si="0"/>
        <v>258420.92540000001</v>
      </c>
      <c r="M79" s="637">
        <f>'Budget Filing Data'!AQ71</f>
        <v>258420.92540000001</v>
      </c>
      <c r="N79" s="637">
        <f>'Budget Filing Data'!AR71</f>
        <v>0</v>
      </c>
      <c r="O79" s="637">
        <f>'Budget Filing Data'!AS71</f>
        <v>0</v>
      </c>
      <c r="P79" s="638">
        <f>'Budget Filing Data'!AT71</f>
        <v>0</v>
      </c>
    </row>
    <row r="80" spans="3:16">
      <c r="C80" s="632" t="str">
        <f>'Budget Filing Data'!D72</f>
        <v>SDGE_Equity_PortfolioSupport</v>
      </c>
      <c r="D80" s="632" t="str">
        <f>'Budget Filing Data'!E72</f>
        <v>Equity Portfolio Support PA Costs</v>
      </c>
      <c r="E80" s="633" t="str">
        <f>'Budget Filing Data'!J72</f>
        <v>IOU Core</v>
      </c>
      <c r="F80" s="633" t="str">
        <f>IF('Budget Filing Data'!H72="","",'Budget Filing Data'!H72)</f>
        <v/>
      </c>
      <c r="G80" s="634" t="s">
        <v>24</v>
      </c>
      <c r="H80" s="633" t="str">
        <f>'Budget Filing Data'!G72</f>
        <v>Portfolio Support</v>
      </c>
      <c r="I80" s="633" t="str">
        <f>'Budget Filing Data'!I72</f>
        <v>Other</v>
      </c>
      <c r="J80" s="633" t="str">
        <f>'Budget Filing Data'!L72</f>
        <v>Equity</v>
      </c>
      <c r="K80" s="635">
        <f>'Budget Filing Data'!B72</f>
        <v>2028</v>
      </c>
      <c r="L80" s="636">
        <f t="shared" si="0"/>
        <v>12464.002899999999</v>
      </c>
      <c r="M80" s="637">
        <f>'Budget Filing Data'!AQ72</f>
        <v>12464.002899999999</v>
      </c>
      <c r="N80" s="637">
        <f>'Budget Filing Data'!AR72</f>
        <v>0</v>
      </c>
      <c r="O80" s="637">
        <f>'Budget Filing Data'!AS72</f>
        <v>0</v>
      </c>
      <c r="P80" s="638">
        <f>'Budget Filing Data'!AT72</f>
        <v>0</v>
      </c>
    </row>
    <row r="81" spans="3:16">
      <c r="C81" s="632" t="str">
        <f>'Budget Filing Data'!D73</f>
        <v>SDGE_MS_PortfolioSupport</v>
      </c>
      <c r="D81" s="632" t="str">
        <f>'Budget Filing Data'!E73</f>
        <v>Market Support Portfolio Support PA Costs</v>
      </c>
      <c r="E81" s="633" t="str">
        <f>'Budget Filing Data'!J73</f>
        <v>IOU Core</v>
      </c>
      <c r="F81" s="633" t="str">
        <f>IF('Budget Filing Data'!H73="","",'Budget Filing Data'!H73)</f>
        <v/>
      </c>
      <c r="G81" s="634" t="s">
        <v>24</v>
      </c>
      <c r="H81" s="633" t="str">
        <f>'Budget Filing Data'!G73</f>
        <v>Portfolio Support</v>
      </c>
      <c r="I81" s="633" t="str">
        <f>'Budget Filing Data'!I73</f>
        <v>Other</v>
      </c>
      <c r="J81" s="633" t="str">
        <f>'Budget Filing Data'!L73</f>
        <v>Market Support</v>
      </c>
      <c r="K81" s="635">
        <f>'Budget Filing Data'!B73</f>
        <v>2028</v>
      </c>
      <c r="L81" s="636">
        <f t="shared" si="0"/>
        <v>467193.94669999997</v>
      </c>
      <c r="M81" s="637">
        <f>'Budget Filing Data'!AQ73</f>
        <v>467193.94669999997</v>
      </c>
      <c r="N81" s="637">
        <f>'Budget Filing Data'!AR73</f>
        <v>0</v>
      </c>
      <c r="O81" s="637">
        <f>'Budget Filing Data'!AS73</f>
        <v>0</v>
      </c>
      <c r="P81" s="638">
        <f>'Budget Filing Data'!AT73</f>
        <v>0</v>
      </c>
    </row>
    <row r="82" spans="3:16">
      <c r="C82" s="632" t="str">
        <f>'Budget Filing Data'!D74</f>
        <v>SDGE_RA_PortfolioSupport</v>
      </c>
      <c r="D82" s="632" t="str">
        <f>'Budget Filing Data'!E74</f>
        <v>Resource Acquisition Portfolio Support PA Costs</v>
      </c>
      <c r="E82" s="633" t="str">
        <f>'Budget Filing Data'!J74</f>
        <v>IOU Core</v>
      </c>
      <c r="F82" s="633" t="str">
        <f>IF('Budget Filing Data'!H74="","",'Budget Filing Data'!H74)</f>
        <v/>
      </c>
      <c r="G82" s="634" t="s">
        <v>24</v>
      </c>
      <c r="H82" s="633" t="str">
        <f>'Budget Filing Data'!G74</f>
        <v>Portfolio Support</v>
      </c>
      <c r="I82" s="633" t="str">
        <f>'Budget Filing Data'!I74</f>
        <v>Other</v>
      </c>
      <c r="J82" s="633" t="str">
        <f>'Budget Filing Data'!L74</f>
        <v>Resource Acquisition</v>
      </c>
      <c r="K82" s="635">
        <f>'Budget Filing Data'!B74</f>
        <v>2028</v>
      </c>
      <c r="L82" s="636">
        <f t="shared" si="0"/>
        <v>2764121.3977999999</v>
      </c>
      <c r="M82" s="637">
        <f>'Budget Filing Data'!AQ74</f>
        <v>2764121.3977999999</v>
      </c>
      <c r="N82" s="637">
        <f>'Budget Filing Data'!AR74</f>
        <v>0</v>
      </c>
      <c r="O82" s="637">
        <f>'Budget Filing Data'!AS74</f>
        <v>0</v>
      </c>
      <c r="P82" s="638">
        <f>'Budget Filing Data'!AT74</f>
        <v>0</v>
      </c>
    </row>
    <row r="83" spans="3:16">
      <c r="C83" s="632" t="str">
        <f>'Budget Filing Data'!D75</f>
        <v>SDGE_SW_HESC</v>
      </c>
      <c r="D83" s="632" t="str">
        <f>'Budget Filing Data'!E75</f>
        <v>SW Home Energy Score California</v>
      </c>
      <c r="E83" s="633" t="str">
        <f>'Budget Filing Data'!J75</f>
        <v>REN/CCA</v>
      </c>
      <c r="F83" s="633" t="str">
        <f>IF('Budget Filing Data'!H75="","",'Budget Filing Data'!H75)</f>
        <v>SW_HESC - SW Home Energy Score California</v>
      </c>
      <c r="G83" s="634" t="s">
        <v>15</v>
      </c>
      <c r="H83" s="633" t="str">
        <f>'Budget Filing Data'!G75</f>
        <v>Residential</v>
      </c>
      <c r="I83" s="633" t="str">
        <f>'Budget Filing Data'!I75</f>
        <v>Market Transformation</v>
      </c>
      <c r="J83" s="633" t="str">
        <f>'Budget Filing Data'!L75</f>
        <v>Market Support</v>
      </c>
      <c r="K83" s="635">
        <f>'Budget Filing Data'!B75</f>
        <v>2028</v>
      </c>
      <c r="L83" s="636">
        <f t="shared" ref="L83:L153" si="27">SUM(M83:P83)</f>
        <v>460210.02879999997</v>
      </c>
      <c r="M83" s="637">
        <f>'Budget Filing Data'!AQ75</f>
        <v>15262.5152</v>
      </c>
      <c r="N83" s="637">
        <f>'Budget Filing Data'!AR75</f>
        <v>42160</v>
      </c>
      <c r="O83" s="637">
        <f>'Budget Filing Data'!AS75</f>
        <v>92787.513600000006</v>
      </c>
      <c r="P83" s="638">
        <f>'Budget Filing Data'!AT75</f>
        <v>310000</v>
      </c>
    </row>
    <row r="84" spans="3:16">
      <c r="C84" s="632" t="str">
        <f>'Budget Filing Data'!D76</f>
        <v>SDGE_SW_HESC_PA</v>
      </c>
      <c r="D84" s="632" t="str">
        <f>'Budget Filing Data'!E76</f>
        <v>SW Home Energy Score California (Utility)</v>
      </c>
      <c r="E84" s="633" t="str">
        <f>'Budget Filing Data'!J76</f>
        <v>IOU Core</v>
      </c>
      <c r="F84" s="633" t="str">
        <f>IF('Budget Filing Data'!H76="","",'Budget Filing Data'!H76)</f>
        <v>SW_HESC - SW Home Energy Score California</v>
      </c>
      <c r="G84" s="634" t="s">
        <v>15</v>
      </c>
      <c r="H84" s="633" t="str">
        <f>'Budget Filing Data'!G76</f>
        <v>Residential</v>
      </c>
      <c r="I84" s="633" t="str">
        <f>'Budget Filing Data'!I76</f>
        <v>Market Transformation</v>
      </c>
      <c r="J84" s="633" t="str">
        <f>'Budget Filing Data'!L76</f>
        <v>Market Support</v>
      </c>
      <c r="K84" s="635">
        <f>'Budget Filing Data'!B76</f>
        <v>2028</v>
      </c>
      <c r="L84" s="636">
        <f t="shared" si="27"/>
        <v>4585.6476000000002</v>
      </c>
      <c r="M84" s="637">
        <f>'Budget Filing Data'!AQ76</f>
        <v>4585.6476000000002</v>
      </c>
      <c r="N84" s="637">
        <f>'Budget Filing Data'!AR76</f>
        <v>0</v>
      </c>
      <c r="O84" s="637">
        <f>'Budget Filing Data'!AS76</f>
        <v>0</v>
      </c>
      <c r="P84" s="638">
        <f>'Budget Filing Data'!AT76</f>
        <v>0</v>
      </c>
    </row>
    <row r="85" spans="3:16">
      <c r="C85" s="645" t="str">
        <f>'Budget Filing Data'!D77</f>
        <v>SDGE4201</v>
      </c>
      <c r="D85" s="645" t="str">
        <f>'Budget Filing Data'!E77</f>
        <v>Market Access Program - Residential</v>
      </c>
      <c r="E85" s="646" t="str">
        <f>'Budget Filing Data'!J77</f>
        <v>Third-Party Solicited</v>
      </c>
      <c r="F85" s="646" t="str">
        <f>IF('Budget Filing Data'!H77="","",'Budget Filing Data'!H77)</f>
        <v/>
      </c>
      <c r="G85" s="634" t="s">
        <v>24</v>
      </c>
      <c r="H85" s="646" t="str">
        <f>'Budget Filing Data'!G77</f>
        <v>Residential</v>
      </c>
      <c r="I85" s="646" t="str">
        <f>'Budget Filing Data'!I77</f>
        <v>Other</v>
      </c>
      <c r="J85" s="646" t="str">
        <f>'Budget Filing Data'!L77</f>
        <v>Resource Acquisition</v>
      </c>
      <c r="K85" s="647">
        <f>'Budget Filing Data'!B77</f>
        <v>2028</v>
      </c>
      <c r="L85" s="636">
        <f t="shared" si="27"/>
        <v>287384.70030000003</v>
      </c>
      <c r="M85" s="648">
        <v>25412</v>
      </c>
      <c r="N85" s="648">
        <v>16941</v>
      </c>
      <c r="O85" s="648">
        <v>67734</v>
      </c>
      <c r="P85" s="649">
        <v>177297.7003</v>
      </c>
    </row>
    <row r="86" spans="3:16">
      <c r="C86" s="645" t="s">
        <v>1397</v>
      </c>
      <c r="D86" s="645" t="s">
        <v>1398</v>
      </c>
      <c r="E86" s="646" t="s">
        <v>17</v>
      </c>
      <c r="F86" s="646"/>
      <c r="G86" s="634" t="s">
        <v>24</v>
      </c>
      <c r="H86" s="646" t="str">
        <f>H85</f>
        <v>Residential</v>
      </c>
      <c r="I86" s="646" t="str">
        <f t="shared" ref="I86:K86" si="28">I85</f>
        <v>Other</v>
      </c>
      <c r="J86" s="646" t="str">
        <f t="shared" si="28"/>
        <v>Resource Acquisition</v>
      </c>
      <c r="K86" s="647">
        <f t="shared" si="28"/>
        <v>2028</v>
      </c>
      <c r="L86" s="636">
        <f t="shared" si="27"/>
        <v>37091.900800000003</v>
      </c>
      <c r="M86" s="648">
        <v>19044.638500000001</v>
      </c>
      <c r="N86" s="648">
        <v>728.73059999999998</v>
      </c>
      <c r="O86" s="648">
        <v>17318.5317</v>
      </c>
      <c r="P86" s="649">
        <v>0</v>
      </c>
    </row>
    <row r="87" spans="3:16">
      <c r="C87" s="645" t="str">
        <f>'Budget Filing Data'!D78</f>
        <v>SDGE4202</v>
      </c>
      <c r="D87" s="645" t="str">
        <f>'Budget Filing Data'!E78</f>
        <v>Market Access Program - Commercial</v>
      </c>
      <c r="E87" s="646" t="str">
        <f>'Budget Filing Data'!J78</f>
        <v>Third-Party Solicited</v>
      </c>
      <c r="F87" s="646" t="str">
        <f>IF('Budget Filing Data'!H78="","",'Budget Filing Data'!H78)</f>
        <v/>
      </c>
      <c r="G87" s="634" t="s">
        <v>24</v>
      </c>
      <c r="H87" s="646" t="str">
        <f>'Budget Filing Data'!G78</f>
        <v>Commercial</v>
      </c>
      <c r="I87" s="646" t="str">
        <f>'Budget Filing Data'!I78</f>
        <v>Other</v>
      </c>
      <c r="J87" s="646" t="str">
        <f>'Budget Filing Data'!L78</f>
        <v>Resource Acquisition</v>
      </c>
      <c r="K87" s="647">
        <f>'Budget Filing Data'!B78</f>
        <v>2028</v>
      </c>
      <c r="L87" s="636">
        <f t="shared" si="27"/>
        <v>1857580.9940000002</v>
      </c>
      <c r="M87" s="648">
        <v>162385</v>
      </c>
      <c r="N87" s="648">
        <v>108257</v>
      </c>
      <c r="O87" s="648">
        <v>432830</v>
      </c>
      <c r="P87" s="649">
        <v>1154108.9940000002</v>
      </c>
    </row>
    <row r="88" spans="3:16">
      <c r="C88" s="645" t="s">
        <v>1399</v>
      </c>
      <c r="D88" s="645" t="s">
        <v>1400</v>
      </c>
      <c r="E88" s="646" t="s">
        <v>17</v>
      </c>
      <c r="F88" s="646"/>
      <c r="G88" s="634" t="s">
        <v>24</v>
      </c>
      <c r="H88" s="646" t="str">
        <f>H87</f>
        <v>Commercial</v>
      </c>
      <c r="I88" s="646" t="str">
        <f t="shared" ref="I88:K88" si="29">I87</f>
        <v>Other</v>
      </c>
      <c r="J88" s="646" t="str">
        <f t="shared" si="29"/>
        <v>Resource Acquisition</v>
      </c>
      <c r="K88" s="647">
        <f t="shared" si="29"/>
        <v>2028</v>
      </c>
      <c r="L88" s="636">
        <f t="shared" si="27"/>
        <v>201089.19539999997</v>
      </c>
      <c r="M88" s="648">
        <v>107593.31849999999</v>
      </c>
      <c r="N88" s="648">
        <v>728.73059999999998</v>
      </c>
      <c r="O88" s="648">
        <v>92767.146299999993</v>
      </c>
      <c r="P88" s="649">
        <v>0</v>
      </c>
    </row>
    <row r="89" spans="3:16">
      <c r="C89" s="632" t="str">
        <f>'Budget Filing Data'!D79</f>
        <v>SDGE_SW_HVAC_AE_NonRes</v>
      </c>
      <c r="D89" s="632" t="str">
        <f>'Budget Filing Data'!E79</f>
        <v>SW HVAC All Electric Non-Residential</v>
      </c>
      <c r="E89" s="633" t="str">
        <f>'Budget Filing Data'!J79</f>
        <v>Third-Party Solicited</v>
      </c>
      <c r="F89" s="633" t="str">
        <f>IF('Budget Filing Data'!H79="","",'Budget Filing Data'!H79)</f>
        <v>SW_HVAC_AE_NonRes - SW HVAC All Electric Non-Residential</v>
      </c>
      <c r="G89" s="634" t="s">
        <v>24</v>
      </c>
      <c r="H89" s="633" t="str">
        <f>'Budget Filing Data'!G79</f>
        <v>Commercial</v>
      </c>
      <c r="I89" s="633" t="str">
        <f>'Budget Filing Data'!I79</f>
        <v>Market Transformation</v>
      </c>
      <c r="J89" s="633" t="str">
        <f>'Budget Filing Data'!L79</f>
        <v>Resource Acquisition</v>
      </c>
      <c r="K89" s="635">
        <f>'Budget Filing Data'!B79</f>
        <v>2028</v>
      </c>
      <c r="L89" s="636">
        <f t="shared" si="27"/>
        <v>700091.43164000008</v>
      </c>
      <c r="M89" s="637">
        <f>'Budget Filing Data'!AQ79</f>
        <v>84010.972999999998</v>
      </c>
      <c r="N89" s="637">
        <f>'Budget Filing Data'!AR79</f>
        <v>56007.314100000003</v>
      </c>
      <c r="O89" s="637">
        <f>'Budget Filing Data'!AS79</f>
        <v>370981.4472</v>
      </c>
      <c r="P89" s="638">
        <f>'Budget Filing Data'!AT79</f>
        <v>189091.69734000001</v>
      </c>
    </row>
    <row r="90" spans="3:16">
      <c r="C90" s="632" t="str">
        <f>'Budget Filing Data'!D80</f>
        <v>SDGE_SW_HVAC_AE_NonRes_PA</v>
      </c>
      <c r="D90" s="632" t="str">
        <f>'Budget Filing Data'!E80</f>
        <v>SW HVAC All Electric Non-Residential (Utility)</v>
      </c>
      <c r="E90" s="633" t="str">
        <f>'Budget Filing Data'!J80</f>
        <v>IOU Core</v>
      </c>
      <c r="F90" s="633" t="str">
        <f>IF('Budget Filing Data'!H80="","",'Budget Filing Data'!H80)</f>
        <v>SW_HVAC_AE_NonRes - SW HVAC All Electric Non-Residential</v>
      </c>
      <c r="G90" s="634" t="s">
        <v>24</v>
      </c>
      <c r="H90" s="633" t="str">
        <f>'Budget Filing Data'!G80</f>
        <v>Commercial</v>
      </c>
      <c r="I90" s="633" t="str">
        <f>'Budget Filing Data'!I80</f>
        <v>Market Transformation</v>
      </c>
      <c r="J90" s="633" t="str">
        <f>'Budget Filing Data'!L80</f>
        <v>Resource Acquisition</v>
      </c>
      <c r="K90" s="635">
        <f>'Budget Filing Data'!B80</f>
        <v>2028</v>
      </c>
      <c r="L90" s="636">
        <f t="shared" si="27"/>
        <v>5974.5576000000001</v>
      </c>
      <c r="M90" s="637">
        <f>'Budget Filing Data'!AQ80</f>
        <v>5974.5576000000001</v>
      </c>
      <c r="N90" s="637">
        <f>'Budget Filing Data'!AR80</f>
        <v>0</v>
      </c>
      <c r="O90" s="637">
        <f>'Budget Filing Data'!AS80</f>
        <v>0</v>
      </c>
      <c r="P90" s="638">
        <f>'Budget Filing Data'!AT80</f>
        <v>0</v>
      </c>
    </row>
    <row r="91" spans="3:16">
      <c r="C91" s="632" t="str">
        <f>'Budget Filing Data'!D81</f>
        <v>SDGE_OtherPA_Admin</v>
      </c>
      <c r="D91" s="632" t="str">
        <f>'Budget Filing Data'!E81</f>
        <v>Other PA Collaboration</v>
      </c>
      <c r="E91" s="633" t="str">
        <f>'Budget Filing Data'!J81</f>
        <v>Non-Program</v>
      </c>
      <c r="F91" s="633" t="str">
        <f>IF('Budget Filing Data'!H81="","",'Budget Filing Data'!H81)</f>
        <v/>
      </c>
      <c r="G91" s="634" t="s">
        <v>15</v>
      </c>
      <c r="H91" s="633" t="str">
        <f>'Budget Filing Data'!G81</f>
        <v>Cross Cutting</v>
      </c>
      <c r="I91" s="633" t="str">
        <f>'Budget Filing Data'!I81</f>
        <v>Other</v>
      </c>
      <c r="J91" s="633" t="str">
        <f>'Budget Filing Data'!L81</f>
        <v>Market Support</v>
      </c>
      <c r="K91" s="635">
        <f>'Budget Filing Data'!B81</f>
        <v>2028</v>
      </c>
      <c r="L91" s="636">
        <f t="shared" si="27"/>
        <v>125650.6293</v>
      </c>
      <c r="M91" s="637">
        <f>'Budget Filing Data'!AQ81</f>
        <v>125650.6293</v>
      </c>
      <c r="N91" s="637">
        <f>'Budget Filing Data'!AR81</f>
        <v>0</v>
      </c>
      <c r="O91" s="637">
        <f>'Budget Filing Data'!AS81</f>
        <v>0</v>
      </c>
      <c r="P91" s="638">
        <f>'Budget Filing Data'!AT81</f>
        <v>0</v>
      </c>
    </row>
    <row r="92" spans="3:16">
      <c r="C92" s="632" t="str">
        <f>'Budget Filing Data'!D82</f>
        <v>SDGE3251</v>
      </c>
      <c r="D92" s="632" t="str">
        <f>'Budget Filing Data'!E82</f>
        <v>SW C&amp;S - Compliance Enhancement</v>
      </c>
      <c r="E92" s="633" t="str">
        <f>'Budget Filing Data'!J82</f>
        <v>IOU Core</v>
      </c>
      <c r="F92" s="633" t="str">
        <f>IF('Budget Filing Data'!H82="","",'Budget Filing Data'!H82)</f>
        <v/>
      </c>
      <c r="G92" s="634" t="s">
        <v>15</v>
      </c>
      <c r="H92" s="633" t="str">
        <f>'Budget Filing Data'!G82</f>
        <v>Cross Cutting</v>
      </c>
      <c r="I92" s="633" t="str">
        <f>'Budget Filing Data'!I82</f>
        <v>Codes and Standards</v>
      </c>
      <c r="J92" s="633" t="str">
        <f>'Budget Filing Data'!L82</f>
        <v>Codes and Standards</v>
      </c>
      <c r="K92" s="635">
        <f>'Budget Filing Data'!B82</f>
        <v>2029</v>
      </c>
      <c r="L92" s="636">
        <f t="shared" si="27"/>
        <v>1149086.0893000001</v>
      </c>
      <c r="M92" s="637">
        <f>'Budget Filing Data'!AQ82</f>
        <v>34266.462299999999</v>
      </c>
      <c r="N92" s="637">
        <f>'Budget Filing Data'!AR82</f>
        <v>0</v>
      </c>
      <c r="O92" s="637">
        <f>'Budget Filing Data'!AS82</f>
        <v>1114819.6270000001</v>
      </c>
      <c r="P92" s="638">
        <f>'Budget Filing Data'!AT82</f>
        <v>0</v>
      </c>
    </row>
    <row r="93" spans="3:16">
      <c r="C93" s="632" t="str">
        <f>'Budget Filing Data'!D83</f>
        <v>SDGE3252</v>
      </c>
      <c r="D93" s="632" t="str">
        <f>'Budget Filing Data'!E83</f>
        <v>SW C&amp;S - Reach Codes</v>
      </c>
      <c r="E93" s="633" t="str">
        <f>'Budget Filing Data'!J83</f>
        <v>IOU Core</v>
      </c>
      <c r="F93" s="633" t="str">
        <f>IF('Budget Filing Data'!H83="","",'Budget Filing Data'!H83)</f>
        <v/>
      </c>
      <c r="G93" s="634" t="s">
        <v>15</v>
      </c>
      <c r="H93" s="633" t="str">
        <f>'Budget Filing Data'!G83</f>
        <v>Cross Cutting</v>
      </c>
      <c r="I93" s="633" t="str">
        <f>'Budget Filing Data'!I83</f>
        <v>Codes and Standards</v>
      </c>
      <c r="J93" s="633" t="str">
        <f>'Budget Filing Data'!L83</f>
        <v>Codes and Standards</v>
      </c>
      <c r="K93" s="635">
        <f>'Budget Filing Data'!B83</f>
        <v>2029</v>
      </c>
      <c r="L93" s="636">
        <f t="shared" si="27"/>
        <v>1076618.9145</v>
      </c>
      <c r="M93" s="637">
        <f>'Budget Filing Data'!AQ83</f>
        <v>23476.179100000001</v>
      </c>
      <c r="N93" s="637">
        <f>'Budget Filing Data'!AR83</f>
        <v>0</v>
      </c>
      <c r="O93" s="637">
        <f>'Budget Filing Data'!AS83</f>
        <v>1053142.7353999999</v>
      </c>
      <c r="P93" s="638">
        <f>'Budget Filing Data'!AT83</f>
        <v>0</v>
      </c>
    </row>
    <row r="94" spans="3:16">
      <c r="C94" s="632" t="str">
        <f>'Budget Filing Data'!D84</f>
        <v>SDGE3253</v>
      </c>
      <c r="D94" s="632" t="str">
        <f>'Budget Filing Data'!E84</f>
        <v>SW C&amp;S - Planning Coordination</v>
      </c>
      <c r="E94" s="633" t="str">
        <f>'Budget Filing Data'!J84</f>
        <v>IOU Core</v>
      </c>
      <c r="F94" s="633" t="str">
        <f>IF('Budget Filing Data'!H84="","",'Budget Filing Data'!H84)</f>
        <v/>
      </c>
      <c r="G94" s="634" t="s">
        <v>15</v>
      </c>
      <c r="H94" s="633" t="str">
        <f>'Budget Filing Data'!G84</f>
        <v>Cross Cutting</v>
      </c>
      <c r="I94" s="633" t="str">
        <f>'Budget Filing Data'!I84</f>
        <v>Codes and Standards</v>
      </c>
      <c r="J94" s="633" t="str">
        <f>'Budget Filing Data'!L84</f>
        <v>Codes and Standards</v>
      </c>
      <c r="K94" s="635">
        <f>'Budget Filing Data'!B84</f>
        <v>2029</v>
      </c>
      <c r="L94" s="636">
        <f t="shared" si="27"/>
        <v>796395.99800000002</v>
      </c>
      <c r="M94" s="637">
        <f>'Budget Filing Data'!AQ84</f>
        <v>20381.724099999999</v>
      </c>
      <c r="N94" s="637">
        <f>'Budget Filing Data'!AR84</f>
        <v>0</v>
      </c>
      <c r="O94" s="637">
        <f>'Budget Filing Data'!AS84</f>
        <v>776014.27390000003</v>
      </c>
      <c r="P94" s="638">
        <f>'Budget Filing Data'!AT84</f>
        <v>0</v>
      </c>
    </row>
    <row r="95" spans="3:16">
      <c r="C95" s="632" t="str">
        <f>'Budget Filing Data'!D85</f>
        <v>SDGE3262</v>
      </c>
      <c r="D95" s="632" t="str">
        <f>'Budget Filing Data'!E85</f>
        <v>SW-FIN-On-Bill Finance</v>
      </c>
      <c r="E95" s="633" t="str">
        <f>'Budget Filing Data'!J85</f>
        <v>IOU Core</v>
      </c>
      <c r="F95" s="633" t="str">
        <f>IF('Budget Filing Data'!H85="","",'Budget Filing Data'!H85)</f>
        <v/>
      </c>
      <c r="G95" s="634" t="s">
        <v>15</v>
      </c>
      <c r="H95" s="633" t="str">
        <f>'Budget Filing Data'!G85</f>
        <v>Commercial</v>
      </c>
      <c r="I95" s="633" t="str">
        <f>'Budget Filing Data'!I85</f>
        <v>Financing</v>
      </c>
      <c r="J95" s="633" t="str">
        <f>'Budget Filing Data'!L85</f>
        <v>Market Support</v>
      </c>
      <c r="K95" s="635">
        <f>'Budget Filing Data'!B85</f>
        <v>2029</v>
      </c>
      <c r="L95" s="636">
        <f t="shared" si="27"/>
        <v>112723.16039999999</v>
      </c>
      <c r="M95" s="637">
        <f>'Budget Filing Data'!AQ85</f>
        <v>44514.994299999998</v>
      </c>
      <c r="N95" s="637">
        <f>'Budget Filing Data'!AR85</f>
        <v>750.59259999999995</v>
      </c>
      <c r="O95" s="637">
        <f>'Budget Filing Data'!AS85</f>
        <v>67457.573499999999</v>
      </c>
      <c r="P95" s="638">
        <f>'Budget Filing Data'!AT85</f>
        <v>0</v>
      </c>
    </row>
    <row r="96" spans="3:16">
      <c r="C96" s="632" t="str">
        <f>'Budget Filing Data'!D86</f>
        <v>SDGE3280</v>
      </c>
      <c r="D96" s="632" t="str">
        <f>'Budget Filing Data'!E86</f>
        <v>3P-IDEEA</v>
      </c>
      <c r="E96" s="633" t="str">
        <f>'Budget Filing Data'!J86</f>
        <v>Non-Program</v>
      </c>
      <c r="F96" s="633" t="str">
        <f>IF('Budget Filing Data'!H86="","",'Budget Filing Data'!H86)</f>
        <v/>
      </c>
      <c r="G96" s="634" t="s">
        <v>15</v>
      </c>
      <c r="H96" s="633" t="str">
        <f>'Budget Filing Data'!G86</f>
        <v>Cross Cutting</v>
      </c>
      <c r="I96" s="633" t="str">
        <f>'Budget Filing Data'!I86</f>
        <v>Market Education Outreach</v>
      </c>
      <c r="J96" s="633" t="str">
        <f>'Budget Filing Data'!L86</f>
        <v>Market Support</v>
      </c>
      <c r="K96" s="635">
        <f>'Budget Filing Data'!B86</f>
        <v>2029</v>
      </c>
      <c r="L96" s="636">
        <f t="shared" si="27"/>
        <v>156714.05350000001</v>
      </c>
      <c r="M96" s="637">
        <f>'Budget Filing Data'!AQ86</f>
        <v>156714.05350000001</v>
      </c>
      <c r="N96" s="637">
        <f>'Budget Filing Data'!AR86</f>
        <v>0</v>
      </c>
      <c r="O96" s="637">
        <f>'Budget Filing Data'!AS86</f>
        <v>0</v>
      </c>
      <c r="P96" s="638">
        <f>'Budget Filing Data'!AT86</f>
        <v>0</v>
      </c>
    </row>
    <row r="97" spans="3:16">
      <c r="C97" s="632" t="str">
        <f>'Budget Filing Data'!D87</f>
        <v>SDGE3281</v>
      </c>
      <c r="D97" s="632" t="str">
        <f>'Budget Filing Data'!E87</f>
        <v>EM&amp;V-Evaluation Measurement &amp; Verification</v>
      </c>
      <c r="E97" s="633" t="str">
        <f>'Budget Filing Data'!J87</f>
        <v>Non-Program</v>
      </c>
      <c r="F97" s="633" t="str">
        <f>IF('Budget Filing Data'!H87="","",'Budget Filing Data'!H87)</f>
        <v/>
      </c>
      <c r="G97" s="634" t="s">
        <v>24</v>
      </c>
      <c r="H97" s="633" t="str">
        <f>'Budget Filing Data'!G87</f>
        <v>Cross Cutting</v>
      </c>
      <c r="I97" s="633" t="str">
        <f>'Budget Filing Data'!I87</f>
        <v>Evaluation Measurement and Verification</v>
      </c>
      <c r="J97" s="633" t="str">
        <f>'Budget Filing Data'!L87</f>
        <v>Evaluation, Measurement, and Verification</v>
      </c>
      <c r="K97" s="635">
        <f>'Budget Filing Data'!B87</f>
        <v>2029</v>
      </c>
      <c r="L97" s="636">
        <f t="shared" si="27"/>
        <v>2710424.0972000002</v>
      </c>
      <c r="M97" s="637">
        <f>'Budget Filing Data'!AQ87</f>
        <v>2710424.0972000002</v>
      </c>
      <c r="N97" s="637">
        <f>'Budget Filing Data'!AR87</f>
        <v>0</v>
      </c>
      <c r="O97" s="637">
        <f>'Budget Filing Data'!AS87</f>
        <v>0</v>
      </c>
      <c r="P97" s="638">
        <f>'Budget Filing Data'!AT87</f>
        <v>0</v>
      </c>
    </row>
    <row r="98" spans="3:16">
      <c r="C98" s="645" t="str">
        <f>'Budget Filing Data'!D88</f>
        <v>SDGE4001</v>
      </c>
      <c r="D98" s="645" t="str">
        <f>'Budget Filing Data'!E88</f>
        <v>Single Family Program</v>
      </c>
      <c r="E98" s="646" t="str">
        <f>'Budget Filing Data'!J88</f>
        <v>Third-Party Solicited</v>
      </c>
      <c r="F98" s="646" t="str">
        <f>IF('Budget Filing Data'!H88="","",'Budget Filing Data'!H88)</f>
        <v/>
      </c>
      <c r="G98" s="634" t="s">
        <v>24</v>
      </c>
      <c r="H98" s="646" t="str">
        <f>'Budget Filing Data'!G88</f>
        <v>Residential</v>
      </c>
      <c r="I98" s="646" t="str">
        <f>'Budget Filing Data'!I88</f>
        <v>Other</v>
      </c>
      <c r="J98" s="646" t="str">
        <f>'Budget Filing Data'!L88</f>
        <v>Resource Acquisition</v>
      </c>
      <c r="K98" s="647">
        <f>'Budget Filing Data'!B88</f>
        <v>2029</v>
      </c>
      <c r="L98" s="636">
        <f t="shared" si="27"/>
        <v>4999999.9989999998</v>
      </c>
      <c r="M98" s="648">
        <v>150000</v>
      </c>
      <c r="N98" s="648">
        <v>150000</v>
      </c>
      <c r="O98" s="648">
        <v>50000</v>
      </c>
      <c r="P98" s="649">
        <v>4649999.9989999998</v>
      </c>
    </row>
    <row r="99" spans="3:16">
      <c r="C99" s="645" t="s">
        <v>1378</v>
      </c>
      <c r="D99" s="645" t="s">
        <v>1379</v>
      </c>
      <c r="E99" s="646" t="s">
        <v>17</v>
      </c>
      <c r="F99" s="646"/>
      <c r="G99" s="634" t="s">
        <v>24</v>
      </c>
      <c r="H99" s="646" t="str">
        <f>H98</f>
        <v>Residential</v>
      </c>
      <c r="I99" s="646" t="str">
        <f t="shared" ref="I99:K99" si="30">I98</f>
        <v>Other</v>
      </c>
      <c r="J99" s="646" t="str">
        <f t="shared" si="30"/>
        <v>Resource Acquisition</v>
      </c>
      <c r="K99" s="647">
        <f t="shared" si="30"/>
        <v>2029</v>
      </c>
      <c r="L99" s="636">
        <f t="shared" si="27"/>
        <v>478950.4227</v>
      </c>
      <c r="M99" s="648">
        <v>148980.7494</v>
      </c>
      <c r="N99" s="648">
        <v>750.59259999999995</v>
      </c>
      <c r="O99" s="648">
        <v>329219.08069999999</v>
      </c>
      <c r="P99" s="649">
        <v>0</v>
      </c>
    </row>
    <row r="100" spans="3:16">
      <c r="C100" s="645" t="str">
        <f>'Budget Filing Data'!D89</f>
        <v>SDGE4002</v>
      </c>
      <c r="D100" s="645" t="str">
        <f>'Budget Filing Data'!E89</f>
        <v>Multi Family Program</v>
      </c>
      <c r="E100" s="646" t="str">
        <f>'Budget Filing Data'!J89</f>
        <v>Third-Party Solicited</v>
      </c>
      <c r="F100" s="646" t="str">
        <f>IF('Budget Filing Data'!H89="","",'Budget Filing Data'!H89)</f>
        <v/>
      </c>
      <c r="G100" s="634" t="s">
        <v>24</v>
      </c>
      <c r="H100" s="646" t="str">
        <f>'Budget Filing Data'!G89</f>
        <v>Residential</v>
      </c>
      <c r="I100" s="646" t="str">
        <f>'Budget Filing Data'!I89</f>
        <v>Other</v>
      </c>
      <c r="J100" s="646" t="str">
        <f>'Budget Filing Data'!L89</f>
        <v>Resource Acquisition</v>
      </c>
      <c r="K100" s="647">
        <f>'Budget Filing Data'!B89</f>
        <v>2029</v>
      </c>
      <c r="L100" s="636">
        <f t="shared" si="27"/>
        <v>9999999.9989999998</v>
      </c>
      <c r="M100" s="648">
        <v>300000</v>
      </c>
      <c r="N100" s="648">
        <v>300000</v>
      </c>
      <c r="O100" s="648">
        <v>100000</v>
      </c>
      <c r="P100" s="649">
        <v>9299999.9989999998</v>
      </c>
    </row>
    <row r="101" spans="3:16">
      <c r="C101" s="645" t="s">
        <v>1380</v>
      </c>
      <c r="D101" s="645" t="s">
        <v>1381</v>
      </c>
      <c r="E101" s="646" t="s">
        <v>17</v>
      </c>
      <c r="F101" s="646"/>
      <c r="G101" s="634" t="s">
        <v>24</v>
      </c>
      <c r="H101" s="646" t="str">
        <f>H100</f>
        <v>Residential</v>
      </c>
      <c r="I101" s="646" t="str">
        <f t="shared" ref="I101:K101" si="31">I100</f>
        <v>Other</v>
      </c>
      <c r="J101" s="646" t="str">
        <f t="shared" si="31"/>
        <v>Resource Acquisition</v>
      </c>
      <c r="K101" s="647">
        <f t="shared" si="31"/>
        <v>2029</v>
      </c>
      <c r="L101" s="636">
        <f t="shared" si="27"/>
        <v>957878.92539999995</v>
      </c>
      <c r="M101" s="648">
        <v>297098.6655</v>
      </c>
      <c r="N101" s="648">
        <v>750.59259999999995</v>
      </c>
      <c r="O101" s="648">
        <v>660029.66729999997</v>
      </c>
      <c r="P101" s="649">
        <v>0</v>
      </c>
    </row>
    <row r="102" spans="3:16">
      <c r="C102" s="645" t="str">
        <f>'Budget Filing Data'!D90</f>
        <v>SDGE4006</v>
      </c>
      <c r="D102" s="645" t="str">
        <f>'Budget Filing Data'!E90</f>
        <v>Industrial Sector Program</v>
      </c>
      <c r="E102" s="646" t="str">
        <f>'Budget Filing Data'!J90</f>
        <v>Third-Party Solicited</v>
      </c>
      <c r="F102" s="646" t="str">
        <f>IF('Budget Filing Data'!H90="","",'Budget Filing Data'!H90)</f>
        <v/>
      </c>
      <c r="G102" s="634" t="s">
        <v>24</v>
      </c>
      <c r="H102" s="646" t="str">
        <f>'Budget Filing Data'!G90</f>
        <v>Industrial</v>
      </c>
      <c r="I102" s="646" t="str">
        <f>'Budget Filing Data'!I90</f>
        <v>Other</v>
      </c>
      <c r="J102" s="646" t="str">
        <f>'Budget Filing Data'!L90</f>
        <v>Resource Acquisition</v>
      </c>
      <c r="K102" s="647">
        <f>'Budget Filing Data'!B90</f>
        <v>2029</v>
      </c>
      <c r="L102" s="636">
        <f t="shared" si="27"/>
        <v>8362510.4900000002</v>
      </c>
      <c r="M102" s="648">
        <v>501750.57</v>
      </c>
      <c r="N102" s="648">
        <v>418125.47</v>
      </c>
      <c r="O102" s="648">
        <v>5589290.4500000002</v>
      </c>
      <c r="P102" s="649">
        <v>1853344</v>
      </c>
    </row>
    <row r="103" spans="3:16">
      <c r="C103" s="645" t="s">
        <v>1382</v>
      </c>
      <c r="D103" s="645" t="s">
        <v>1383</v>
      </c>
      <c r="E103" s="646" t="s">
        <v>17</v>
      </c>
      <c r="F103" s="646"/>
      <c r="G103" s="634" t="s">
        <v>24</v>
      </c>
      <c r="H103" s="646" t="str">
        <f>H102</f>
        <v>Industrial</v>
      </c>
      <c r="I103" s="646" t="str">
        <f t="shared" ref="I103:K103" si="32">I102</f>
        <v>Other</v>
      </c>
      <c r="J103" s="646" t="str">
        <f t="shared" si="32"/>
        <v>Resource Acquisition</v>
      </c>
      <c r="K103" s="647">
        <f t="shared" si="32"/>
        <v>2029</v>
      </c>
      <c r="L103" s="636">
        <f t="shared" si="27"/>
        <v>1164597.2427999999</v>
      </c>
      <c r="M103" s="648">
        <v>331867.5269</v>
      </c>
      <c r="N103" s="648">
        <v>750.59259999999995</v>
      </c>
      <c r="O103" s="648">
        <v>831979.12329999998</v>
      </c>
      <c r="P103" s="649">
        <v>0</v>
      </c>
    </row>
    <row r="104" spans="3:16">
      <c r="C104" s="645" t="str">
        <f>'Budget Filing Data'!D91</f>
        <v>SDGE4040</v>
      </c>
      <c r="D104" s="645" t="str">
        <f>'Budget Filing Data'!E91</f>
        <v>IDSM Local Residential Behavioral Program (EE)</v>
      </c>
      <c r="E104" s="646" t="str">
        <f>'Budget Filing Data'!J91</f>
        <v>Third-Party Solicited</v>
      </c>
      <c r="F104" s="646" t="str">
        <f>IF('Budget Filing Data'!H91="","",'Budget Filing Data'!H91)</f>
        <v/>
      </c>
      <c r="G104" s="634" t="s">
        <v>24</v>
      </c>
      <c r="H104" s="646" t="str">
        <f>'Budget Filing Data'!G91</f>
        <v>Residential</v>
      </c>
      <c r="I104" s="646" t="str">
        <f>'Budget Filing Data'!I91</f>
        <v>Other</v>
      </c>
      <c r="J104" s="646" t="str">
        <f>'Budget Filing Data'!L91</f>
        <v>Resource Acquisition</v>
      </c>
      <c r="K104" s="647">
        <f>'Budget Filing Data'!B91</f>
        <v>2029</v>
      </c>
      <c r="L104" s="636">
        <f t="shared" si="27"/>
        <v>2753494.1255999999</v>
      </c>
      <c r="M104" s="648">
        <v>275349.41259999998</v>
      </c>
      <c r="N104" s="648">
        <v>0</v>
      </c>
      <c r="O104" s="648">
        <v>2478144.713</v>
      </c>
      <c r="P104" s="649">
        <v>0</v>
      </c>
    </row>
    <row r="105" spans="3:16">
      <c r="C105" s="645" t="s">
        <v>1384</v>
      </c>
      <c r="D105" s="645" t="s">
        <v>1385</v>
      </c>
      <c r="E105" s="646" t="s">
        <v>17</v>
      </c>
      <c r="F105" s="646"/>
      <c r="G105" s="634" t="s">
        <v>24</v>
      </c>
      <c r="H105" s="646" t="str">
        <f>H104</f>
        <v>Residential</v>
      </c>
      <c r="I105" s="646" t="str">
        <f t="shared" ref="I105:K105" si="33">I104</f>
        <v>Other</v>
      </c>
      <c r="J105" s="646" t="str">
        <f t="shared" si="33"/>
        <v>Resource Acquisition</v>
      </c>
      <c r="K105" s="647">
        <f t="shared" si="33"/>
        <v>2029</v>
      </c>
      <c r="L105" s="636">
        <f t="shared" si="27"/>
        <v>147068.97289999999</v>
      </c>
      <c r="M105" s="648">
        <v>92799.867400000003</v>
      </c>
      <c r="N105" s="648">
        <v>18014.220300000001</v>
      </c>
      <c r="O105" s="648">
        <v>36254.885199999997</v>
      </c>
      <c r="P105" s="649">
        <v>0</v>
      </c>
    </row>
    <row r="106" spans="3:16">
      <c r="C106" s="632" t="str">
        <f>'Budget Filing Data'!D92</f>
        <v>SDGE_SW_CSA_Natl</v>
      </c>
      <c r="D106" s="632" t="str">
        <f>'Budget Filing Data'!E92</f>
        <v>SW Codes &amp; Standards Advocacy - National Codes &amp; Standards Advocacy</v>
      </c>
      <c r="E106" s="633" t="str">
        <f>'Budget Filing Data'!J92</f>
        <v>Third-Party Solicited</v>
      </c>
      <c r="F106" s="633" t="str">
        <f>IF('Budget Filing Data'!H92="","",'Budget Filing Data'!H92)</f>
        <v>SW_CSA_Natl - Codes and Standards National Codes Advocacy</v>
      </c>
      <c r="G106" s="634" t="s">
        <v>24</v>
      </c>
      <c r="H106" s="633" t="str">
        <f>'Budget Filing Data'!G92</f>
        <v>Cross Cutting</v>
      </c>
      <c r="I106" s="633" t="str">
        <f>'Budget Filing Data'!I92</f>
        <v>Codes and Standards</v>
      </c>
      <c r="J106" s="633" t="str">
        <f>'Budget Filing Data'!L92</f>
        <v>Codes and Standards</v>
      </c>
      <c r="K106" s="635">
        <f>'Budget Filing Data'!B92</f>
        <v>2029</v>
      </c>
      <c r="L106" s="636">
        <f t="shared" si="27"/>
        <v>423899.28909999999</v>
      </c>
      <c r="M106" s="637">
        <f>'Budget Filing Data'!AQ92</f>
        <v>0</v>
      </c>
      <c r="N106" s="637">
        <f>'Budget Filing Data'!AR92</f>
        <v>0</v>
      </c>
      <c r="O106" s="637">
        <f>'Budget Filing Data'!AS92</f>
        <v>423899.28909999999</v>
      </c>
      <c r="P106" s="638">
        <f>'Budget Filing Data'!AT92</f>
        <v>0</v>
      </c>
    </row>
    <row r="107" spans="3:16">
      <c r="C107" s="632" t="str">
        <f>'Budget Filing Data'!D93</f>
        <v>SDGE_SW_CSA_Natl_PA</v>
      </c>
      <c r="D107" s="632" t="str">
        <f>'Budget Filing Data'!E93</f>
        <v>SW Codes &amp; Standards Advocacy - National Codes &amp; Standards Advocacy (Utility)</v>
      </c>
      <c r="E107" s="633" t="str">
        <f>'Budget Filing Data'!J93</f>
        <v>IOU Core</v>
      </c>
      <c r="F107" s="633" t="str">
        <f>IF('Budget Filing Data'!H93="","",'Budget Filing Data'!H93)</f>
        <v>SW_CSA_Natl - Codes and Standards National Codes Advocacy</v>
      </c>
      <c r="G107" s="634" t="s">
        <v>24</v>
      </c>
      <c r="H107" s="633" t="str">
        <f>'Budget Filing Data'!G93</f>
        <v>Cross Cutting</v>
      </c>
      <c r="I107" s="633" t="str">
        <f>'Budget Filing Data'!I93</f>
        <v>Codes and Standards</v>
      </c>
      <c r="J107" s="633" t="str">
        <f>'Budget Filing Data'!L93</f>
        <v>Codes and Standards</v>
      </c>
      <c r="K107" s="635">
        <f>'Budget Filing Data'!B93</f>
        <v>2029</v>
      </c>
      <c r="L107" s="636">
        <f t="shared" si="27"/>
        <v>61722.652900000001</v>
      </c>
      <c r="M107" s="637">
        <f>'Budget Filing Data'!AQ93</f>
        <v>14332.4784</v>
      </c>
      <c r="N107" s="637">
        <f>'Budget Filing Data'!AR93</f>
        <v>0</v>
      </c>
      <c r="O107" s="637">
        <f>'Budget Filing Data'!AS93</f>
        <v>47390.174500000001</v>
      </c>
      <c r="P107" s="638">
        <f>'Budget Filing Data'!AT93</f>
        <v>0</v>
      </c>
    </row>
    <row r="108" spans="3:16">
      <c r="C108" s="632" t="str">
        <f>'Budget Filing Data'!D94</f>
        <v>SDGE_SW_CSA_Appl</v>
      </c>
      <c r="D108" s="632" t="str">
        <f>'Budget Filing Data'!E94</f>
        <v>SW Codes &amp; Standards Advocacy - State Appliance Standards</v>
      </c>
      <c r="E108" s="633" t="str">
        <f>'Budget Filing Data'!J94</f>
        <v>Third-Party Solicited</v>
      </c>
      <c r="F108" s="633" t="str">
        <f>IF('Budget Filing Data'!H94="","",'Budget Filing Data'!H94)</f>
        <v>SW_CSA_Appl - Codes and Standards Appliance Advocacy</v>
      </c>
      <c r="G108" s="634" t="s">
        <v>24</v>
      </c>
      <c r="H108" s="633" t="str">
        <f>'Budget Filing Data'!G94</f>
        <v>Cross Cutting</v>
      </c>
      <c r="I108" s="633" t="str">
        <f>'Budget Filing Data'!I94</f>
        <v>Codes and Standards</v>
      </c>
      <c r="J108" s="633" t="str">
        <f>'Budget Filing Data'!L94</f>
        <v>Codes and Standards</v>
      </c>
      <c r="K108" s="635">
        <f>'Budget Filing Data'!B94</f>
        <v>2029</v>
      </c>
      <c r="L108" s="636">
        <f t="shared" si="27"/>
        <v>333070.63510000001</v>
      </c>
      <c r="M108" s="637">
        <f>'Budget Filing Data'!AQ94</f>
        <v>0</v>
      </c>
      <c r="N108" s="637">
        <f>'Budget Filing Data'!AR94</f>
        <v>0</v>
      </c>
      <c r="O108" s="637">
        <f>'Budget Filing Data'!AS94</f>
        <v>333070.63510000001</v>
      </c>
      <c r="P108" s="638">
        <f>'Budget Filing Data'!AT94</f>
        <v>0</v>
      </c>
    </row>
    <row r="109" spans="3:16">
      <c r="C109" s="632" t="str">
        <f>'Budget Filing Data'!D95</f>
        <v>SDGE_SW_CSA_Appl_PA</v>
      </c>
      <c r="D109" s="632" t="str">
        <f>'Budget Filing Data'!E95</f>
        <v>SW Codes &amp; Standards Advocacy - State Appliance Standards (Utility)</v>
      </c>
      <c r="E109" s="633" t="str">
        <f>'Budget Filing Data'!J95</f>
        <v>IOU Core</v>
      </c>
      <c r="F109" s="633" t="str">
        <f>IF('Budget Filing Data'!H95="","",'Budget Filing Data'!H95)</f>
        <v>SW_CSA_Appl - Codes and Standards Appliance Advocacy</v>
      </c>
      <c r="G109" s="634" t="s">
        <v>24</v>
      </c>
      <c r="H109" s="633" t="str">
        <f>'Budget Filing Data'!G95</f>
        <v>Cross Cutting</v>
      </c>
      <c r="I109" s="633" t="str">
        <f>'Budget Filing Data'!I95</f>
        <v>Codes and Standards</v>
      </c>
      <c r="J109" s="633" t="str">
        <f>'Budget Filing Data'!L95</f>
        <v>Codes and Standards</v>
      </c>
      <c r="K109" s="635">
        <f>'Budget Filing Data'!B95</f>
        <v>2029</v>
      </c>
      <c r="L109" s="636">
        <f t="shared" si="27"/>
        <v>63238.108399999997</v>
      </c>
      <c r="M109" s="637">
        <f>'Budget Filing Data'!AQ95</f>
        <v>13892.140100000001</v>
      </c>
      <c r="N109" s="637">
        <f>'Budget Filing Data'!AR95</f>
        <v>0</v>
      </c>
      <c r="O109" s="637">
        <f>'Budget Filing Data'!AS95</f>
        <v>49345.9683</v>
      </c>
      <c r="P109" s="638">
        <f>'Budget Filing Data'!AT95</f>
        <v>0</v>
      </c>
    </row>
    <row r="110" spans="3:16">
      <c r="C110" s="632" t="str">
        <f>'Budget Filing Data'!D96</f>
        <v>SDGE_SW_CSA_Bldg</v>
      </c>
      <c r="D110" s="632" t="str">
        <f>'Budget Filing Data'!E96</f>
        <v>SW Codes &amp; Standards Advocacy - State Building Codes</v>
      </c>
      <c r="E110" s="633" t="str">
        <f>'Budget Filing Data'!J96</f>
        <v>Third-Party Solicited</v>
      </c>
      <c r="F110" s="633" t="str">
        <f>IF('Budget Filing Data'!H96="","",'Budget Filing Data'!H96)</f>
        <v>SW_CSA_Bldg - Codes and Standards Building Codes Advocacy</v>
      </c>
      <c r="G110" s="634" t="s">
        <v>24</v>
      </c>
      <c r="H110" s="633" t="str">
        <f>'Budget Filing Data'!G96</f>
        <v>Cross Cutting</v>
      </c>
      <c r="I110" s="633" t="str">
        <f>'Budget Filing Data'!I96</f>
        <v>Codes and Standards</v>
      </c>
      <c r="J110" s="633" t="str">
        <f>'Budget Filing Data'!L96</f>
        <v>Codes and Standards</v>
      </c>
      <c r="K110" s="635">
        <f>'Budget Filing Data'!B96</f>
        <v>2029</v>
      </c>
      <c r="L110" s="636">
        <f t="shared" si="27"/>
        <v>699685.34719999996</v>
      </c>
      <c r="M110" s="637">
        <f>'Budget Filing Data'!AQ96</f>
        <v>0</v>
      </c>
      <c r="N110" s="637">
        <f>'Budget Filing Data'!AR96</f>
        <v>0</v>
      </c>
      <c r="O110" s="637">
        <f>'Budget Filing Data'!AS96</f>
        <v>699685.34719999996</v>
      </c>
      <c r="P110" s="638">
        <f>'Budget Filing Data'!AT96</f>
        <v>0</v>
      </c>
    </row>
    <row r="111" spans="3:16">
      <c r="C111" s="632" t="str">
        <f>'Budget Filing Data'!D97</f>
        <v>SDGE_SW_CSA_Bldg_PA</v>
      </c>
      <c r="D111" s="632" t="str">
        <f>'Budget Filing Data'!E97</f>
        <v>SW Codes &amp; Standards Advocacy - State Building Codes (Utility)</v>
      </c>
      <c r="E111" s="633" t="str">
        <f>'Budget Filing Data'!J97</f>
        <v>IOU Core</v>
      </c>
      <c r="F111" s="633" t="str">
        <f>IF('Budget Filing Data'!H97="","",'Budget Filing Data'!H97)</f>
        <v>SW_CSA_Bldg - Codes and Standards Building Codes Advocacy</v>
      </c>
      <c r="G111" s="634" t="s">
        <v>24</v>
      </c>
      <c r="H111" s="633" t="str">
        <f>'Budget Filing Data'!G97</f>
        <v>Cross Cutting</v>
      </c>
      <c r="I111" s="633" t="str">
        <f>'Budget Filing Data'!I97</f>
        <v>Codes and Standards</v>
      </c>
      <c r="J111" s="633" t="str">
        <f>'Budget Filing Data'!L97</f>
        <v>Codes and Standards</v>
      </c>
      <c r="K111" s="635">
        <f>'Budget Filing Data'!B97</f>
        <v>2029</v>
      </c>
      <c r="L111" s="636">
        <f t="shared" si="27"/>
        <v>79349.012000000002</v>
      </c>
      <c r="M111" s="637">
        <f>'Budget Filing Data'!AQ97</f>
        <v>16914.216</v>
      </c>
      <c r="N111" s="637">
        <f>'Budget Filing Data'!AR97</f>
        <v>0</v>
      </c>
      <c r="O111" s="637">
        <f>'Budget Filing Data'!AS97</f>
        <v>62434.796000000002</v>
      </c>
      <c r="P111" s="638">
        <f>'Budget Filing Data'!AT97</f>
        <v>0</v>
      </c>
    </row>
    <row r="112" spans="3:16">
      <c r="C112" s="632" t="str">
        <f>'Budget Filing Data'!D98</f>
        <v>SDGE_SW_ETP_Elec</v>
      </c>
      <c r="D112" s="632" t="str">
        <f>'Budget Filing Data'!E98</f>
        <v>SW Emerging Technologies - Electric</v>
      </c>
      <c r="E112" s="633" t="str">
        <f>'Budget Filing Data'!J98</f>
        <v>Third-Party Solicited</v>
      </c>
      <c r="F112" s="633" t="str">
        <f>IF('Budget Filing Data'!H98="","",'Budget Filing Data'!H98)</f>
        <v>SW_ETP_Elec - Emerging Technology Programs - Electric</v>
      </c>
      <c r="G112" s="634" t="s">
        <v>15</v>
      </c>
      <c r="H112" s="633" t="str">
        <f>'Budget Filing Data'!G98</f>
        <v>Cross Cutting</v>
      </c>
      <c r="I112" s="633" t="str">
        <f>'Budget Filing Data'!I98</f>
        <v>Emerging Technologies</v>
      </c>
      <c r="J112" s="633" t="str">
        <f>'Budget Filing Data'!L98</f>
        <v>Market Support</v>
      </c>
      <c r="K112" s="635">
        <f>'Budget Filing Data'!B98</f>
        <v>2029</v>
      </c>
      <c r="L112" s="636">
        <f t="shared" si="27"/>
        <v>1547000</v>
      </c>
      <c r="M112" s="637">
        <f>'Budget Filing Data'!AQ98</f>
        <v>0</v>
      </c>
      <c r="N112" s="637">
        <f>'Budget Filing Data'!AR98</f>
        <v>0</v>
      </c>
      <c r="O112" s="637">
        <f>'Budget Filing Data'!AS98</f>
        <v>1547000</v>
      </c>
      <c r="P112" s="638">
        <f>'Budget Filing Data'!AT98</f>
        <v>0</v>
      </c>
    </row>
    <row r="113" spans="3:16">
      <c r="C113" s="632" t="str">
        <f>'Budget Filing Data'!D99</f>
        <v>SDGE_SW_ETP_Elec_PA</v>
      </c>
      <c r="D113" s="632" t="str">
        <f>'Budget Filing Data'!E99</f>
        <v>SW Emerging Technologies - Electric (Utility)</v>
      </c>
      <c r="E113" s="633" t="str">
        <f>'Budget Filing Data'!J99</f>
        <v>IOU Core</v>
      </c>
      <c r="F113" s="633" t="str">
        <f>IF('Budget Filing Data'!H99="","",'Budget Filing Data'!H99)</f>
        <v>SW_ETP_Elec - Emerging Technology Programs - Electric</v>
      </c>
      <c r="G113" s="634" t="s">
        <v>15</v>
      </c>
      <c r="H113" s="633" t="str">
        <f>'Budget Filing Data'!G99</f>
        <v>Cross Cutting</v>
      </c>
      <c r="I113" s="633" t="str">
        <f>'Budget Filing Data'!I99</f>
        <v>Emerging Technologies</v>
      </c>
      <c r="J113" s="633" t="str">
        <f>'Budget Filing Data'!L99</f>
        <v>Market Support</v>
      </c>
      <c r="K113" s="635">
        <f>'Budget Filing Data'!B99</f>
        <v>2029</v>
      </c>
      <c r="L113" s="636">
        <f t="shared" si="27"/>
        <v>101271.64969999999</v>
      </c>
      <c r="M113" s="637">
        <f>'Budget Filing Data'!AQ99</f>
        <v>24244.749100000001</v>
      </c>
      <c r="N113" s="637">
        <f>'Budget Filing Data'!AR99</f>
        <v>0</v>
      </c>
      <c r="O113" s="637">
        <f>'Budget Filing Data'!AS99</f>
        <v>77026.900599999994</v>
      </c>
      <c r="P113" s="638">
        <f>'Budget Filing Data'!AT99</f>
        <v>0</v>
      </c>
    </row>
    <row r="114" spans="3:16">
      <c r="C114" s="632" t="str">
        <f>'Budget Filing Data'!D100</f>
        <v>SDGE_SW_IP_Gov</v>
      </c>
      <c r="D114" s="632" t="str">
        <f>'Budget Filing Data'!E100</f>
        <v>SW Institutional Partnerships: DGS &amp; DoC</v>
      </c>
      <c r="E114" s="633" t="str">
        <f>'Budget Filing Data'!J100</f>
        <v>Third-Party Solicited</v>
      </c>
      <c r="F114" s="633" t="str">
        <f>IF('Budget Filing Data'!H100="","",'Budget Filing Data'!H100)</f>
        <v>SW_IP_Gov - Institutional Partnerships - Government</v>
      </c>
      <c r="G114" s="634" t="s">
        <v>24</v>
      </c>
      <c r="H114" s="633" t="str">
        <f>'Budget Filing Data'!G100</f>
        <v>Public</v>
      </c>
      <c r="I114" s="633" t="str">
        <f>'Budget Filing Data'!I100</f>
        <v>Government Partnerships</v>
      </c>
      <c r="J114" s="633" t="str">
        <f>'Budget Filing Data'!L100</f>
        <v>Resource Acquisition</v>
      </c>
      <c r="K114" s="635">
        <f>'Budget Filing Data'!B100</f>
        <v>2029</v>
      </c>
      <c r="L114" s="636">
        <f t="shared" si="27"/>
        <v>230942.56013499998</v>
      </c>
      <c r="M114" s="637">
        <f>'Budget Filing Data'!AQ100</f>
        <v>9523.2000000000007</v>
      </c>
      <c r="N114" s="637">
        <f>'Budget Filing Data'!AR100</f>
        <v>496</v>
      </c>
      <c r="O114" s="637">
        <f>'Budget Filing Data'!AS100</f>
        <v>94754.1486</v>
      </c>
      <c r="P114" s="638">
        <f>'Budget Filing Data'!AT100</f>
        <v>126169.21153499999</v>
      </c>
    </row>
    <row r="115" spans="3:16">
      <c r="C115" s="632" t="str">
        <f>'Budget Filing Data'!D101</f>
        <v>SDGE_SW_IP_Gov_PA</v>
      </c>
      <c r="D115" s="632" t="str">
        <f>'Budget Filing Data'!E101</f>
        <v>SW Institutional Partnerships: DGS &amp; DoC (Utility)</v>
      </c>
      <c r="E115" s="633" t="str">
        <f>'Budget Filing Data'!J101</f>
        <v>IOU Core</v>
      </c>
      <c r="F115" s="633" t="str">
        <f>IF('Budget Filing Data'!H101="","",'Budget Filing Data'!H101)</f>
        <v>SW_IP_Gov - Institutional Partnerships - Government</v>
      </c>
      <c r="G115" s="634" t="s">
        <v>24</v>
      </c>
      <c r="H115" s="633" t="str">
        <f>'Budget Filing Data'!G101</f>
        <v>Public</v>
      </c>
      <c r="I115" s="633" t="str">
        <f>'Budget Filing Data'!I101</f>
        <v>Government Partnerships</v>
      </c>
      <c r="J115" s="633" t="str">
        <f>'Budget Filing Data'!L101</f>
        <v>Resource Acquisition</v>
      </c>
      <c r="K115" s="635">
        <f>'Budget Filing Data'!B101</f>
        <v>2029</v>
      </c>
      <c r="L115" s="636">
        <f t="shared" si="27"/>
        <v>3242.6624999999999</v>
      </c>
      <c r="M115" s="637">
        <f>'Budget Filing Data'!AQ101</f>
        <v>3242.6624999999999</v>
      </c>
      <c r="N115" s="637">
        <f>'Budget Filing Data'!AR101</f>
        <v>0</v>
      </c>
      <c r="O115" s="637">
        <f>'Budget Filing Data'!AS101</f>
        <v>0</v>
      </c>
      <c r="P115" s="638">
        <f>'Budget Filing Data'!AT101</f>
        <v>0</v>
      </c>
    </row>
    <row r="116" spans="3:16">
      <c r="C116" s="632" t="str">
        <f>'Budget Filing Data'!D102</f>
        <v>SDGE_SW_IP_Colleges</v>
      </c>
      <c r="D116" s="632" t="str">
        <f>'Budget Filing Data'!E102</f>
        <v>SW Higher Education</v>
      </c>
      <c r="E116" s="633" t="str">
        <f>'Budget Filing Data'!J102</f>
        <v>Third-Party Solicited</v>
      </c>
      <c r="F116" s="633" t="str">
        <f>IF('Budget Filing Data'!H102="","",'Budget Filing Data'!H102)</f>
        <v>SW_IP_Colleges - Institutional Partnerships - Colleges</v>
      </c>
      <c r="G116" s="634" t="s">
        <v>24</v>
      </c>
      <c r="H116" s="633" t="str">
        <f>'Budget Filing Data'!G102</f>
        <v>Public</v>
      </c>
      <c r="I116" s="633" t="str">
        <f>'Budget Filing Data'!I102</f>
        <v>Government Partnerships</v>
      </c>
      <c r="J116" s="633" t="str">
        <f>'Budget Filing Data'!L102</f>
        <v>Resource Acquisition</v>
      </c>
      <c r="K116" s="635">
        <f>'Budget Filing Data'!B102</f>
        <v>2029</v>
      </c>
      <c r="L116" s="636">
        <f t="shared" si="27"/>
        <v>495269.00910879998</v>
      </c>
      <c r="M116" s="637">
        <f>'Budget Filing Data'!AQ102</f>
        <v>0</v>
      </c>
      <c r="N116" s="637">
        <f>'Budget Filing Data'!AR102</f>
        <v>0</v>
      </c>
      <c r="O116" s="637">
        <f>'Budget Filing Data'!AS102</f>
        <v>321200.315</v>
      </c>
      <c r="P116" s="638">
        <f>'Budget Filing Data'!AT102</f>
        <v>174068.6941088</v>
      </c>
    </row>
    <row r="117" spans="3:16">
      <c r="C117" s="632" t="str">
        <f>'Budget Filing Data'!D103</f>
        <v>SDGE_SW_IP_Colleges_PA</v>
      </c>
      <c r="D117" s="632" t="str">
        <f>'Budget Filing Data'!E103</f>
        <v>SW Higher Education (Utility)</v>
      </c>
      <c r="E117" s="633" t="str">
        <f>'Budget Filing Data'!J103</f>
        <v>IOU Core</v>
      </c>
      <c r="F117" s="633" t="str">
        <f>IF('Budget Filing Data'!H103="","",'Budget Filing Data'!H103)</f>
        <v>SW_IP_Colleges - Institutional Partnerships - Colleges</v>
      </c>
      <c r="G117" s="634" t="s">
        <v>24</v>
      </c>
      <c r="H117" s="633" t="str">
        <f>'Budget Filing Data'!G103</f>
        <v>Public</v>
      </c>
      <c r="I117" s="633" t="str">
        <f>'Budget Filing Data'!I103</f>
        <v>Government Partnerships</v>
      </c>
      <c r="J117" s="633" t="str">
        <f>'Budget Filing Data'!L103</f>
        <v>Resource Acquisition</v>
      </c>
      <c r="K117" s="635">
        <f>'Budget Filing Data'!B103</f>
        <v>2029</v>
      </c>
      <c r="L117" s="636">
        <f t="shared" si="27"/>
        <v>4861.7425000000003</v>
      </c>
      <c r="M117" s="637">
        <f>'Budget Filing Data'!AQ103</f>
        <v>4861.7425000000003</v>
      </c>
      <c r="N117" s="637">
        <f>'Budget Filing Data'!AR103</f>
        <v>0</v>
      </c>
      <c r="O117" s="637">
        <f>'Budget Filing Data'!AS103</f>
        <v>0</v>
      </c>
      <c r="P117" s="638">
        <f>'Budget Filing Data'!AT103</f>
        <v>0</v>
      </c>
    </row>
    <row r="118" spans="3:16">
      <c r="C118" s="632" t="str">
        <f>'Budget Filing Data'!D104</f>
        <v>SDGE_SW_MCWH</v>
      </c>
      <c r="D118" s="632" t="str">
        <f>'Budget Filing Data'!E104</f>
        <v>SW Midstream Commercial Water Heating</v>
      </c>
      <c r="E118" s="633" t="str">
        <f>'Budget Filing Data'!J104</f>
        <v>Third-Party Solicited</v>
      </c>
      <c r="F118" s="633" t="str">
        <f>IF('Budget Filing Data'!H104="","",'Budget Filing Data'!H104)</f>
        <v>SW_MCWH - Midstream Commercial Water Heating</v>
      </c>
      <c r="G118" s="634" t="s">
        <v>24</v>
      </c>
      <c r="H118" s="633" t="str">
        <f>'Budget Filing Data'!G104</f>
        <v>Commercial</v>
      </c>
      <c r="I118" s="633" t="str">
        <f>'Budget Filing Data'!I104</f>
        <v>Other</v>
      </c>
      <c r="J118" s="633" t="str">
        <f>'Budget Filing Data'!L104</f>
        <v>Resource Acquisition</v>
      </c>
      <c r="K118" s="635">
        <f>'Budget Filing Data'!B104</f>
        <v>2029</v>
      </c>
      <c r="L118" s="636">
        <f t="shared" si="27"/>
        <v>2427599.9999266239</v>
      </c>
      <c r="M118" s="637">
        <f>'Budget Filing Data'!AQ104</f>
        <v>284760.36629999999</v>
      </c>
      <c r="N118" s="637">
        <f>'Budget Filing Data'!AR104</f>
        <v>207222.9277</v>
      </c>
      <c r="O118" s="637">
        <f>'Budget Filing Data'!AS104</f>
        <v>702690.96600000001</v>
      </c>
      <c r="P118" s="638">
        <f>'Budget Filing Data'!AT104</f>
        <v>1232925.7399266236</v>
      </c>
    </row>
    <row r="119" spans="3:16">
      <c r="C119" s="632" t="str">
        <f>'Budget Filing Data'!D105</f>
        <v>SDGE_SW_MCWH_PA</v>
      </c>
      <c r="D119" s="632" t="str">
        <f>'Budget Filing Data'!E105</f>
        <v>SW Midstream Commercial Water Heating (Utility)</v>
      </c>
      <c r="E119" s="633" t="str">
        <f>'Budget Filing Data'!J105</f>
        <v>IOU Core</v>
      </c>
      <c r="F119" s="633" t="str">
        <f>IF('Budget Filing Data'!H105="","",'Budget Filing Data'!H105)</f>
        <v>SW_MCWH - Midstream Commercial Water Heating</v>
      </c>
      <c r="G119" s="634" t="s">
        <v>24</v>
      </c>
      <c r="H119" s="633" t="str">
        <f>'Budget Filing Data'!G105</f>
        <v>Commercial</v>
      </c>
      <c r="I119" s="633" t="str">
        <f>'Budget Filing Data'!I105</f>
        <v>Other</v>
      </c>
      <c r="J119" s="633" t="str">
        <f>'Budget Filing Data'!L105</f>
        <v>Resource Acquisition</v>
      </c>
      <c r="K119" s="635">
        <f>'Budget Filing Data'!B105</f>
        <v>2029</v>
      </c>
      <c r="L119" s="636">
        <f t="shared" si="27"/>
        <v>16697.822499999998</v>
      </c>
      <c r="M119" s="637">
        <f>'Budget Filing Data'!AQ105</f>
        <v>16697.822499999998</v>
      </c>
      <c r="N119" s="637">
        <f>'Budget Filing Data'!AR105</f>
        <v>0</v>
      </c>
      <c r="O119" s="637">
        <f>'Budget Filing Data'!AS105</f>
        <v>0</v>
      </c>
      <c r="P119" s="638">
        <f>'Budget Filing Data'!AT105</f>
        <v>0</v>
      </c>
    </row>
    <row r="120" spans="3:16">
      <c r="C120" s="632" t="str">
        <f>'Budget Filing Data'!D106</f>
        <v>SDGE_SW_FS</v>
      </c>
      <c r="D120" s="632" t="str">
        <f>'Budget Filing Data'!E106</f>
        <v>SW Foodservice Point of Sale Program</v>
      </c>
      <c r="E120" s="633" t="str">
        <f>'Budget Filing Data'!J106</f>
        <v>Third-Party Solicited</v>
      </c>
      <c r="F120" s="633" t="str">
        <f>IF('Budget Filing Data'!H106="","",'Budget Filing Data'!H106)</f>
        <v>SW_FS - Food Service</v>
      </c>
      <c r="G120" s="634" t="s">
        <v>24</v>
      </c>
      <c r="H120" s="633" t="str">
        <f>'Budget Filing Data'!G106</f>
        <v>Commercial</v>
      </c>
      <c r="I120" s="633" t="str">
        <f>'Budget Filing Data'!I106</f>
        <v>Other</v>
      </c>
      <c r="J120" s="633" t="str">
        <f>'Budget Filing Data'!L106</f>
        <v>Resource Acquisition</v>
      </c>
      <c r="K120" s="635">
        <f>'Budget Filing Data'!B106</f>
        <v>2029</v>
      </c>
      <c r="L120" s="636">
        <f t="shared" si="27"/>
        <v>2196399.9996000007</v>
      </c>
      <c r="M120" s="637">
        <f>'Budget Filing Data'!AQ106</f>
        <v>206005.6054</v>
      </c>
      <c r="N120" s="637">
        <f>'Budget Filing Data'!AR106</f>
        <v>157582.62880000001</v>
      </c>
      <c r="O120" s="637">
        <f>'Budget Filing Data'!AS106</f>
        <v>948476.38939999999</v>
      </c>
      <c r="P120" s="638">
        <f>'Budget Filing Data'!AT106</f>
        <v>884335.37600000051</v>
      </c>
    </row>
    <row r="121" spans="3:16">
      <c r="C121" s="632" t="str">
        <f>'Budget Filing Data'!D107</f>
        <v>SDGE_SW_FS_PA</v>
      </c>
      <c r="D121" s="632" t="str">
        <f>'Budget Filing Data'!E107</f>
        <v>SW Foodservice Point of Sale Program (Utility)</v>
      </c>
      <c r="E121" s="633" t="str">
        <f>'Budget Filing Data'!J107</f>
        <v>IOU Core</v>
      </c>
      <c r="F121" s="633" t="str">
        <f>IF('Budget Filing Data'!H107="","",'Budget Filing Data'!H107)</f>
        <v>SW_FS - Food Service</v>
      </c>
      <c r="G121" s="634" t="s">
        <v>24</v>
      </c>
      <c r="H121" s="633" t="str">
        <f>'Budget Filing Data'!G107</f>
        <v>Commercial</v>
      </c>
      <c r="I121" s="633" t="str">
        <f>'Budget Filing Data'!I107</f>
        <v>Other</v>
      </c>
      <c r="J121" s="633" t="str">
        <f>'Budget Filing Data'!L107</f>
        <v>Resource Acquisition</v>
      </c>
      <c r="K121" s="635">
        <f>'Budget Filing Data'!B107</f>
        <v>2029</v>
      </c>
      <c r="L121" s="636">
        <f t="shared" si="27"/>
        <v>15281.6525</v>
      </c>
      <c r="M121" s="637">
        <f>'Budget Filing Data'!AQ107</f>
        <v>15281.6525</v>
      </c>
      <c r="N121" s="637">
        <f>'Budget Filing Data'!AR107</f>
        <v>0</v>
      </c>
      <c r="O121" s="637">
        <f>'Budget Filing Data'!AS107</f>
        <v>0</v>
      </c>
      <c r="P121" s="638">
        <f>'Budget Filing Data'!AT107</f>
        <v>0</v>
      </c>
    </row>
    <row r="122" spans="3:16">
      <c r="C122" s="632" t="str">
        <f>'Budget Filing Data'!D108</f>
        <v>SDGE_SW_WET_CC</v>
      </c>
      <c r="D122" s="632" t="str">
        <f>'Budget Filing Data'!E108</f>
        <v>SW WET Career Connections</v>
      </c>
      <c r="E122" s="633" t="str">
        <f>'Budget Filing Data'!J108</f>
        <v>Third-Party Solicited</v>
      </c>
      <c r="F122" s="633" t="str">
        <f>IF('Budget Filing Data'!H108="","",'Budget Filing Data'!H108)</f>
        <v>SW_WET_CC - Workforce Education and Training - Career Connections</v>
      </c>
      <c r="G122" s="634" t="s">
        <v>15</v>
      </c>
      <c r="H122" s="633" t="str">
        <f>'Budget Filing Data'!G108</f>
        <v>Cross Cutting</v>
      </c>
      <c r="I122" s="633" t="str">
        <f>'Budget Filing Data'!I108</f>
        <v>Workforce Education and Training</v>
      </c>
      <c r="J122" s="633" t="str">
        <f>'Budget Filing Data'!L108</f>
        <v>Market Support</v>
      </c>
      <c r="K122" s="635">
        <f>'Budget Filing Data'!B108</f>
        <v>2029</v>
      </c>
      <c r="L122" s="636">
        <f t="shared" si="27"/>
        <v>109120</v>
      </c>
      <c r="M122" s="637">
        <f>'Budget Filing Data'!AQ108</f>
        <v>1091.2</v>
      </c>
      <c r="N122" s="637">
        <f>'Budget Filing Data'!AR108</f>
        <v>7638.4</v>
      </c>
      <c r="O122" s="637">
        <f>'Budget Filing Data'!AS108</f>
        <v>100390.39999999999</v>
      </c>
      <c r="P122" s="638">
        <f>'Budget Filing Data'!AT108</f>
        <v>0</v>
      </c>
    </row>
    <row r="123" spans="3:16">
      <c r="C123" s="632" t="str">
        <f>'Budget Filing Data'!D109</f>
        <v>SDGE_SW_WET_CC_PA</v>
      </c>
      <c r="D123" s="632" t="str">
        <f>'Budget Filing Data'!E109</f>
        <v>SW WET Career Connections (Utility)</v>
      </c>
      <c r="E123" s="633" t="str">
        <f>'Budget Filing Data'!J109</f>
        <v>IOU Core</v>
      </c>
      <c r="F123" s="633" t="str">
        <f>IF('Budget Filing Data'!H109="","",'Budget Filing Data'!H109)</f>
        <v>SW_WET_CC - Workforce Education and Training - Career Connections</v>
      </c>
      <c r="G123" s="634" t="s">
        <v>15</v>
      </c>
      <c r="H123" s="633" t="str">
        <f>'Budget Filing Data'!G109</f>
        <v>Cross Cutting</v>
      </c>
      <c r="I123" s="633" t="str">
        <f>'Budget Filing Data'!I109</f>
        <v>Workforce Education and Training</v>
      </c>
      <c r="J123" s="633" t="str">
        <f>'Budget Filing Data'!L109</f>
        <v>Market Support</v>
      </c>
      <c r="K123" s="635">
        <f>'Budget Filing Data'!B109</f>
        <v>2029</v>
      </c>
      <c r="L123" s="636">
        <f t="shared" si="27"/>
        <v>2496.4625000000001</v>
      </c>
      <c r="M123" s="637">
        <f>'Budget Filing Data'!AQ109</f>
        <v>2496.4625000000001</v>
      </c>
      <c r="N123" s="637">
        <f>'Budget Filing Data'!AR109</f>
        <v>0</v>
      </c>
      <c r="O123" s="637">
        <f>'Budget Filing Data'!AS109</f>
        <v>0</v>
      </c>
      <c r="P123" s="638">
        <f>'Budget Filing Data'!AT109</f>
        <v>0</v>
      </c>
    </row>
    <row r="124" spans="3:16">
      <c r="C124" s="632" t="str">
        <f>'Budget Filing Data'!D110</f>
        <v>SDGE_SW_WET_Work</v>
      </c>
      <c r="D124" s="632" t="str">
        <f>'Budget Filing Data'!E110</f>
        <v>SW WE&amp;T Career &amp; Workforce Readiness (CWR)</v>
      </c>
      <c r="E124" s="633" t="str">
        <f>'Budget Filing Data'!J110</f>
        <v>Third-Party Solicited</v>
      </c>
      <c r="F124" s="633" t="str">
        <f>IF('Budget Filing Data'!H110="","",'Budget Filing Data'!H110)</f>
        <v>SW_WET_Work - Workforce Education and Training Career &amp; Workforce Readiness</v>
      </c>
      <c r="G124" s="634" t="s">
        <v>15</v>
      </c>
      <c r="H124" s="633" t="str">
        <f>'Budget Filing Data'!G110</f>
        <v>Cross Cutting</v>
      </c>
      <c r="I124" s="633" t="str">
        <f>'Budget Filing Data'!I110</f>
        <v>Workforce Education and Training</v>
      </c>
      <c r="J124" s="633" t="str">
        <f>'Budget Filing Data'!L110</f>
        <v>Equity</v>
      </c>
      <c r="K124" s="635">
        <f>'Budget Filing Data'!B110</f>
        <v>2029</v>
      </c>
      <c r="L124" s="636">
        <f t="shared" si="27"/>
        <v>218240</v>
      </c>
      <c r="M124" s="637">
        <f>'Budget Filing Data'!AQ110</f>
        <v>21824</v>
      </c>
      <c r="N124" s="637">
        <f>'Budget Filing Data'!AR110</f>
        <v>13094.4</v>
      </c>
      <c r="O124" s="637">
        <f>'Budget Filing Data'!AS110</f>
        <v>183321.60000000001</v>
      </c>
      <c r="P124" s="638">
        <f>'Budget Filing Data'!AT110</f>
        <v>0</v>
      </c>
    </row>
    <row r="125" spans="3:16">
      <c r="C125" s="632" t="str">
        <f>'Budget Filing Data'!D111</f>
        <v>SDGE_SW_WET_Work_PA</v>
      </c>
      <c r="D125" s="632" t="str">
        <f>'Budget Filing Data'!E111</f>
        <v>SW WE&amp;T Career &amp; Workforce Readiness (CWR) (Utility)</v>
      </c>
      <c r="E125" s="633" t="str">
        <f>'Budget Filing Data'!J111</f>
        <v>IOU Core</v>
      </c>
      <c r="F125" s="633" t="str">
        <f>IF('Budget Filing Data'!H111="","",'Budget Filing Data'!H111)</f>
        <v>SW_WET_Work - Workforce Education and Training Career &amp; Workforce Readiness</v>
      </c>
      <c r="G125" s="634" t="s">
        <v>15</v>
      </c>
      <c r="H125" s="633" t="str">
        <f>'Budget Filing Data'!G111</f>
        <v>Cross Cutting</v>
      </c>
      <c r="I125" s="633" t="str">
        <f>'Budget Filing Data'!I111</f>
        <v>Workforce Education and Training</v>
      </c>
      <c r="J125" s="633" t="str">
        <f>'Budget Filing Data'!L111</f>
        <v>Equity</v>
      </c>
      <c r="K125" s="635">
        <f>'Budget Filing Data'!B111</f>
        <v>2029</v>
      </c>
      <c r="L125" s="636">
        <f t="shared" si="27"/>
        <v>3164.8525</v>
      </c>
      <c r="M125" s="637">
        <f>'Budget Filing Data'!AQ111</f>
        <v>3164.8525</v>
      </c>
      <c r="N125" s="637">
        <f>'Budget Filing Data'!AR111</f>
        <v>0</v>
      </c>
      <c r="O125" s="637">
        <f>'Budget Filing Data'!AS111</f>
        <v>0</v>
      </c>
      <c r="P125" s="638">
        <f>'Budget Filing Data'!AT111</f>
        <v>0</v>
      </c>
    </row>
    <row r="126" spans="3:16">
      <c r="C126" s="632" t="str">
        <f>'Budget Filing Data'!D112</f>
        <v>SDGE_SW_HVAC_QIQM</v>
      </c>
      <c r="D126" s="632" t="str">
        <f>'Budget Filing Data'!E112</f>
        <v>SW HVAC QI/QM Program</v>
      </c>
      <c r="E126" s="633" t="str">
        <f>'Budget Filing Data'!J112</f>
        <v>Third-Party Solicited</v>
      </c>
      <c r="F126" s="633" t="str">
        <f>IF('Budget Filing Data'!H112="","",'Budget Filing Data'!H112)</f>
        <v>SW_HVAC_QIQM - SW HVAC QI/QM Program</v>
      </c>
      <c r="G126" s="634" t="s">
        <v>15</v>
      </c>
      <c r="H126" s="633" t="str">
        <f>'Budget Filing Data'!G112</f>
        <v>Residential</v>
      </c>
      <c r="I126" s="633" t="str">
        <f>'Budget Filing Data'!I112</f>
        <v>Other</v>
      </c>
      <c r="J126" s="633" t="str">
        <f>'Budget Filing Data'!L112</f>
        <v>Market Support</v>
      </c>
      <c r="K126" s="635">
        <f>'Budget Filing Data'!B112</f>
        <v>2029</v>
      </c>
      <c r="L126" s="636">
        <f t="shared" si="27"/>
        <v>684480</v>
      </c>
      <c r="M126" s="637">
        <f>'Budget Filing Data'!AQ112</f>
        <v>34224</v>
      </c>
      <c r="N126" s="637">
        <f>'Budget Filing Data'!AR112</f>
        <v>34224</v>
      </c>
      <c r="O126" s="637">
        <f>'Budget Filing Data'!AS112</f>
        <v>174964</v>
      </c>
      <c r="P126" s="638">
        <f>'Budget Filing Data'!AT112</f>
        <v>441068</v>
      </c>
    </row>
    <row r="127" spans="3:16">
      <c r="C127" s="632" t="str">
        <f>'Budget Filing Data'!D113</f>
        <v>SDGE_SW_HVAC_QIQM_PA</v>
      </c>
      <c r="D127" s="632" t="str">
        <f>'Budget Filing Data'!E113</f>
        <v>SW HVAC QI/QM Program (Utility)</v>
      </c>
      <c r="E127" s="633" t="str">
        <f>'Budget Filing Data'!J113</f>
        <v>IOU Core</v>
      </c>
      <c r="F127" s="633" t="str">
        <f>IF('Budget Filing Data'!H113="","",'Budget Filing Data'!H113)</f>
        <v>SW_HVAC_QIQM - SW HVAC QI/QM Program</v>
      </c>
      <c r="G127" s="634" t="s">
        <v>15</v>
      </c>
      <c r="H127" s="633" t="str">
        <f>'Budget Filing Data'!G113</f>
        <v>Residential</v>
      </c>
      <c r="I127" s="633" t="str">
        <f>'Budget Filing Data'!I113</f>
        <v>Other</v>
      </c>
      <c r="J127" s="633" t="str">
        <f>'Budget Filing Data'!L113</f>
        <v>Market Support</v>
      </c>
      <c r="K127" s="635">
        <f>'Budget Filing Data'!B113</f>
        <v>2029</v>
      </c>
      <c r="L127" s="636">
        <f t="shared" si="27"/>
        <v>311895.95140000002</v>
      </c>
      <c r="M127" s="637">
        <f>'Budget Filing Data'!AQ113</f>
        <v>254671.24650000001</v>
      </c>
      <c r="N127" s="637">
        <f>'Budget Filing Data'!AR113</f>
        <v>750.59259999999995</v>
      </c>
      <c r="O127" s="637">
        <f>'Budget Filing Data'!AS113</f>
        <v>56474.112300000001</v>
      </c>
      <c r="P127" s="638">
        <f>'Budget Filing Data'!AT113</f>
        <v>0</v>
      </c>
    </row>
    <row r="128" spans="3:16">
      <c r="C128" s="632" t="str">
        <f>'Budget Filing Data'!D114</f>
        <v>SDGE_SW_ETP_Gas</v>
      </c>
      <c r="D128" s="632" t="str">
        <f>'Budget Filing Data'!E114</f>
        <v>SW Emerging Technologies - Gas</v>
      </c>
      <c r="E128" s="633" t="str">
        <f>'Budget Filing Data'!J114</f>
        <v>Third-Party Solicited</v>
      </c>
      <c r="F128" s="633" t="str">
        <f>IF('Budget Filing Data'!H114="","",'Budget Filing Data'!H114)</f>
        <v>SW_ETP_Gas - Emerging Technology Programs - Gas</v>
      </c>
      <c r="G128" s="634" t="s">
        <v>15</v>
      </c>
      <c r="H128" s="633" t="str">
        <f>'Budget Filing Data'!G114</f>
        <v>Cross Cutting</v>
      </c>
      <c r="I128" s="633" t="str">
        <f>'Budget Filing Data'!I114</f>
        <v>Emerging Technologies</v>
      </c>
      <c r="J128" s="633" t="str">
        <f>'Budget Filing Data'!L114</f>
        <v>Market Support</v>
      </c>
      <c r="K128" s="635">
        <f>'Budget Filing Data'!B114</f>
        <v>2029</v>
      </c>
      <c r="L128" s="636">
        <f t="shared" si="27"/>
        <v>495000</v>
      </c>
      <c r="M128" s="637">
        <f>'Budget Filing Data'!AQ114</f>
        <v>6600</v>
      </c>
      <c r="N128" s="637">
        <f>'Budget Filing Data'!AR114</f>
        <v>1914</v>
      </c>
      <c r="O128" s="637">
        <f>'Budget Filing Data'!AS114</f>
        <v>486486</v>
      </c>
      <c r="P128" s="638">
        <f>'Budget Filing Data'!AT114</f>
        <v>0</v>
      </c>
    </row>
    <row r="129" spans="3:16">
      <c r="C129" s="632" t="str">
        <f>'Budget Filing Data'!D115</f>
        <v>SDGE_SW_ETP_Gas_PA</v>
      </c>
      <c r="D129" s="632" t="str">
        <f>'Budget Filing Data'!E115</f>
        <v>SW Emerging Technologies - Gas (Utility)</v>
      </c>
      <c r="E129" s="633" t="str">
        <f>'Budget Filing Data'!J115</f>
        <v>IOU Core</v>
      </c>
      <c r="F129" s="633" t="str">
        <f>IF('Budget Filing Data'!H115="","",'Budget Filing Data'!H115)</f>
        <v>SW_ETP_Gas - Emerging Technology Programs - Gas</v>
      </c>
      <c r="G129" s="634" t="s">
        <v>15</v>
      </c>
      <c r="H129" s="633" t="str">
        <f>'Budget Filing Data'!G115</f>
        <v>Cross Cutting</v>
      </c>
      <c r="I129" s="633" t="str">
        <f>'Budget Filing Data'!I115</f>
        <v>Emerging Technologies</v>
      </c>
      <c r="J129" s="633" t="str">
        <f>'Budget Filing Data'!L115</f>
        <v>Market Support</v>
      </c>
      <c r="K129" s="635">
        <f>'Budget Filing Data'!B115</f>
        <v>2029</v>
      </c>
      <c r="L129" s="636">
        <f t="shared" si="27"/>
        <v>12987.813599999999</v>
      </c>
      <c r="M129" s="637">
        <f>'Budget Filing Data'!AQ115</f>
        <v>6319.6373999999996</v>
      </c>
      <c r="N129" s="637">
        <f>'Budget Filing Data'!AR115</f>
        <v>0</v>
      </c>
      <c r="O129" s="637">
        <f>'Budget Filing Data'!AS115</f>
        <v>6668.1761999999999</v>
      </c>
      <c r="P129" s="638">
        <f>'Budget Filing Data'!AT115</f>
        <v>0</v>
      </c>
    </row>
    <row r="130" spans="3:16">
      <c r="C130" s="632" t="str">
        <f>'Budget Filing Data'!D116</f>
        <v>SDGE_SW_NC_NonRes_Ag_electric</v>
      </c>
      <c r="D130" s="632" t="str">
        <f>'Budget Filing Data'!E116</f>
        <v>SW New Construction Non Residential - Agricultural - All Electric</v>
      </c>
      <c r="E130" s="633" t="str">
        <f>'Budget Filing Data'!J116</f>
        <v>Third-Party Solicited</v>
      </c>
      <c r="F130" s="633" t="str">
        <f>IF('Budget Filing Data'!H116="","",'Budget Filing Data'!H116)</f>
        <v>SW_NC_NonRes_Ag_electric - New Construction - NonResidential - All Electric</v>
      </c>
      <c r="G130" s="634" t="s">
        <v>24</v>
      </c>
      <c r="H130" s="633" t="str">
        <f>'Budget Filing Data'!G116</f>
        <v>Agricultural</v>
      </c>
      <c r="I130" s="633" t="str">
        <f>'Budget Filing Data'!I116</f>
        <v>New Construction</v>
      </c>
      <c r="J130" s="633" t="str">
        <f>'Budget Filing Data'!L116</f>
        <v>Market Support</v>
      </c>
      <c r="K130" s="635">
        <f>'Budget Filing Data'!B116</f>
        <v>2029</v>
      </c>
      <c r="L130" s="636">
        <f t="shared" si="27"/>
        <v>64653.152099999992</v>
      </c>
      <c r="M130" s="637">
        <f>'Budget Filing Data'!AQ116</f>
        <v>5592.3904000000002</v>
      </c>
      <c r="N130" s="637">
        <f>'Budget Filing Data'!AR116</f>
        <v>4194.2928000000002</v>
      </c>
      <c r="O130" s="637">
        <f>'Budget Filing Data'!AS116</f>
        <v>18175.268899999999</v>
      </c>
      <c r="P130" s="638">
        <f>'Budget Filing Data'!AT116</f>
        <v>36691.199999999997</v>
      </c>
    </row>
    <row r="131" spans="3:16">
      <c r="C131" s="632" t="str">
        <f>'Budget Filing Data'!D117</f>
        <v>SDGE_SW_NC_NonRes_Ag_electric_PA</v>
      </c>
      <c r="D131" s="632" t="str">
        <f>'Budget Filing Data'!E117</f>
        <v>SW New Construction Non Residential - Agricultural - All Electric (Utility)</v>
      </c>
      <c r="E131" s="633" t="str">
        <f>'Budget Filing Data'!J117</f>
        <v>IOU Core</v>
      </c>
      <c r="F131" s="633" t="str">
        <f>IF('Budget Filing Data'!H117="","",'Budget Filing Data'!H117)</f>
        <v>SW_NC_NonRes_Ag_electric - New Construction - NonResidential - All Electric</v>
      </c>
      <c r="G131" s="634" t="s">
        <v>24</v>
      </c>
      <c r="H131" s="633" t="str">
        <f>'Budget Filing Data'!G117</f>
        <v>Agricultural</v>
      </c>
      <c r="I131" s="633" t="str">
        <f>'Budget Filing Data'!I117</f>
        <v>New Construction</v>
      </c>
      <c r="J131" s="633" t="str">
        <f>'Budget Filing Data'!L117</f>
        <v>Market Support</v>
      </c>
      <c r="K131" s="635">
        <f>'Budget Filing Data'!B117</f>
        <v>2029</v>
      </c>
      <c r="L131" s="636">
        <f t="shared" si="27"/>
        <v>578.82719999999995</v>
      </c>
      <c r="M131" s="637">
        <f>'Budget Filing Data'!AQ117</f>
        <v>578.82719999999995</v>
      </c>
      <c r="N131" s="637">
        <f>'Budget Filing Data'!AR117</f>
        <v>0</v>
      </c>
      <c r="O131" s="637">
        <f>'Budget Filing Data'!AS117</f>
        <v>0</v>
      </c>
      <c r="P131" s="638">
        <f>'Budget Filing Data'!AT117</f>
        <v>0</v>
      </c>
    </row>
    <row r="132" spans="3:16">
      <c r="C132" s="632" t="str">
        <f>'Budget Filing Data'!D118</f>
        <v>SDGE_SW_NC_NonRes_Com_electric</v>
      </c>
      <c r="D132" s="632" t="str">
        <f>'Budget Filing Data'!E118</f>
        <v>SW New Construction Non Residential - Commercial - All Electric</v>
      </c>
      <c r="E132" s="633" t="str">
        <f>'Budget Filing Data'!J118</f>
        <v>Third-Party Solicited</v>
      </c>
      <c r="F132" s="633" t="str">
        <f>IF('Budget Filing Data'!H118="","",'Budget Filing Data'!H118)</f>
        <v>SW_NC_NonRes_Com_electric - New Construction - NonResidential - All Electric</v>
      </c>
      <c r="G132" s="634" t="s">
        <v>24</v>
      </c>
      <c r="H132" s="633" t="str">
        <f>'Budget Filing Data'!G118</f>
        <v>Commercial</v>
      </c>
      <c r="I132" s="633" t="str">
        <f>'Budget Filing Data'!I118</f>
        <v>New Construction</v>
      </c>
      <c r="J132" s="633" t="str">
        <f>'Budget Filing Data'!L118</f>
        <v>Market Support</v>
      </c>
      <c r="K132" s="635">
        <f>'Budget Filing Data'!B118</f>
        <v>2029</v>
      </c>
      <c r="L132" s="636">
        <f t="shared" si="27"/>
        <v>413780.1739252999</v>
      </c>
      <c r="M132" s="637">
        <f>'Budget Filing Data'!AQ118</f>
        <v>35791.298799999997</v>
      </c>
      <c r="N132" s="637">
        <f>'Budget Filing Data'!AR118</f>
        <v>26843.474099999999</v>
      </c>
      <c r="O132" s="637">
        <f>'Budget Filing Data'!AS118</f>
        <v>116321.7212</v>
      </c>
      <c r="P132" s="638">
        <f>'Budget Filing Data'!AT118</f>
        <v>234823.67982529989</v>
      </c>
    </row>
    <row r="133" spans="3:16">
      <c r="C133" s="632" t="str">
        <f>'Budget Filing Data'!D119</f>
        <v>SDGE_SW_NC_NonRes_Com_electric_PA</v>
      </c>
      <c r="D133" s="632" t="str">
        <f>'Budget Filing Data'!E119</f>
        <v>SW New Construction Non Residential - Commercial - All Electric (Utility)</v>
      </c>
      <c r="E133" s="633" t="str">
        <f>'Budget Filing Data'!J119</f>
        <v>IOU Core</v>
      </c>
      <c r="F133" s="633" t="str">
        <f>IF('Budget Filing Data'!H119="","",'Budget Filing Data'!H119)</f>
        <v>SW_NC_NonRes_Com_electric - New Construction - NonResidential - All Electric</v>
      </c>
      <c r="G133" s="634" t="s">
        <v>24</v>
      </c>
      <c r="H133" s="633" t="str">
        <f>'Budget Filing Data'!G119</f>
        <v>Commercial</v>
      </c>
      <c r="I133" s="633" t="str">
        <f>'Budget Filing Data'!I119</f>
        <v>New Construction</v>
      </c>
      <c r="J133" s="633" t="str">
        <f>'Budget Filing Data'!L119</f>
        <v>Market Support</v>
      </c>
      <c r="K133" s="635">
        <f>'Budget Filing Data'!B119</f>
        <v>2029</v>
      </c>
      <c r="L133" s="636">
        <f t="shared" si="27"/>
        <v>2717.3272000000002</v>
      </c>
      <c r="M133" s="637">
        <f>'Budget Filing Data'!AQ119</f>
        <v>2717.3272000000002</v>
      </c>
      <c r="N133" s="637">
        <f>'Budget Filing Data'!AR119</f>
        <v>0</v>
      </c>
      <c r="O133" s="637">
        <f>'Budget Filing Data'!AS119</f>
        <v>0</v>
      </c>
      <c r="P133" s="638">
        <f>'Budget Filing Data'!AT119</f>
        <v>0</v>
      </c>
    </row>
    <row r="134" spans="3:16">
      <c r="C134" s="632" t="str">
        <f>'Budget Filing Data'!D120</f>
        <v>SDGE_SW_NC_NonRes_Ind_electric</v>
      </c>
      <c r="D134" s="632" t="str">
        <f>'Budget Filing Data'!E120</f>
        <v>SW New Construction Non Residential - Industrial - All Electric</v>
      </c>
      <c r="E134" s="633" t="str">
        <f>'Budget Filing Data'!J120</f>
        <v>Third-Party Solicited</v>
      </c>
      <c r="F134" s="633" t="str">
        <f>IF('Budget Filing Data'!H120="","",'Budget Filing Data'!H120)</f>
        <v>SW_NC_NonRes_Ind_electric - New Construction - NonResidential - All Electric</v>
      </c>
      <c r="G134" s="634" t="s">
        <v>24</v>
      </c>
      <c r="H134" s="633" t="str">
        <f>'Budget Filing Data'!G120</f>
        <v>Industrial</v>
      </c>
      <c r="I134" s="633" t="str">
        <f>'Budget Filing Data'!I120</f>
        <v>New Construction</v>
      </c>
      <c r="J134" s="633" t="str">
        <f>'Budget Filing Data'!L120</f>
        <v>Market Support</v>
      </c>
      <c r="K134" s="635">
        <f>'Budget Filing Data'!B120</f>
        <v>2029</v>
      </c>
      <c r="L134" s="636">
        <f t="shared" si="27"/>
        <v>64653.152099999992</v>
      </c>
      <c r="M134" s="637">
        <f>'Budget Filing Data'!AQ120</f>
        <v>5592.3904000000002</v>
      </c>
      <c r="N134" s="637">
        <f>'Budget Filing Data'!AR120</f>
        <v>4194.2928000000002</v>
      </c>
      <c r="O134" s="637">
        <f>'Budget Filing Data'!AS120</f>
        <v>18175.268899999999</v>
      </c>
      <c r="P134" s="638">
        <f>'Budget Filing Data'!AT120</f>
        <v>36691.199999999997</v>
      </c>
    </row>
    <row r="135" spans="3:16">
      <c r="C135" s="632" t="str">
        <f>'Budget Filing Data'!D121</f>
        <v>SDGE_SW_NC_NonRes_Ind_electric_PA</v>
      </c>
      <c r="D135" s="632" t="str">
        <f>'Budget Filing Data'!E121</f>
        <v>SW New Construction Non Residential - Industrial - All Electric (Utility)</v>
      </c>
      <c r="E135" s="633" t="str">
        <f>'Budget Filing Data'!J121</f>
        <v>IOU Core</v>
      </c>
      <c r="F135" s="633" t="str">
        <f>IF('Budget Filing Data'!H121="","",'Budget Filing Data'!H121)</f>
        <v>SW_NC_NonRes_Ind_electric - New Construction - NonResidential - All Electric</v>
      </c>
      <c r="G135" s="634" t="s">
        <v>24</v>
      </c>
      <c r="H135" s="633" t="str">
        <f>'Budget Filing Data'!G121</f>
        <v>Industrial</v>
      </c>
      <c r="I135" s="633" t="str">
        <f>'Budget Filing Data'!I121</f>
        <v>New Construction</v>
      </c>
      <c r="J135" s="633" t="str">
        <f>'Budget Filing Data'!L121</f>
        <v>Market Support</v>
      </c>
      <c r="K135" s="635">
        <f>'Budget Filing Data'!B121</f>
        <v>2029</v>
      </c>
      <c r="L135" s="636">
        <f t="shared" si="27"/>
        <v>578.82719999999995</v>
      </c>
      <c r="M135" s="637">
        <f>'Budget Filing Data'!AQ121</f>
        <v>578.82719999999995</v>
      </c>
      <c r="N135" s="637">
        <f>'Budget Filing Data'!AR121</f>
        <v>0</v>
      </c>
      <c r="O135" s="637">
        <f>'Budget Filing Data'!AS121</f>
        <v>0</v>
      </c>
      <c r="P135" s="638">
        <f>'Budget Filing Data'!AT121</f>
        <v>0</v>
      </c>
    </row>
    <row r="136" spans="3:16">
      <c r="C136" s="632" t="str">
        <f>'Budget Filing Data'!D122</f>
        <v>SDGE_SW_NC_NonRes_Pub_electric</v>
      </c>
      <c r="D136" s="632" t="str">
        <f>'Budget Filing Data'!E122</f>
        <v>SW New Construction Non Residential - Public - All Electric</v>
      </c>
      <c r="E136" s="633" t="str">
        <f>'Budget Filing Data'!J122</f>
        <v>Third-Party Solicited</v>
      </c>
      <c r="F136" s="633" t="str">
        <f>IF('Budget Filing Data'!H122="","",'Budget Filing Data'!H122)</f>
        <v>SW_NC_NonRes_Pub_electric - New Construction - NonResidential - All Electric</v>
      </c>
      <c r="G136" s="634" t="s">
        <v>24</v>
      </c>
      <c r="H136" s="633" t="str">
        <f>'Budget Filing Data'!G122</f>
        <v>Public</v>
      </c>
      <c r="I136" s="633" t="str">
        <f>'Budget Filing Data'!I122</f>
        <v>New Construction</v>
      </c>
      <c r="J136" s="633" t="str">
        <f>'Budget Filing Data'!L122</f>
        <v>Market Support</v>
      </c>
      <c r="K136" s="635">
        <f>'Budget Filing Data'!B122</f>
        <v>2029</v>
      </c>
      <c r="L136" s="636">
        <f t="shared" si="27"/>
        <v>271543.23946870008</v>
      </c>
      <c r="M136" s="637">
        <f>'Budget Filing Data'!AQ122</f>
        <v>23488.039799999999</v>
      </c>
      <c r="N136" s="637">
        <f>'Budget Filing Data'!AR122</f>
        <v>17616.029900000001</v>
      </c>
      <c r="O136" s="637">
        <f>'Budget Filing Data'!AS122</f>
        <v>76336.129499999995</v>
      </c>
      <c r="P136" s="638">
        <f>'Budget Filing Data'!AT122</f>
        <v>154103.04026870008</v>
      </c>
    </row>
    <row r="137" spans="3:16">
      <c r="C137" s="632" t="str">
        <f>'Budget Filing Data'!D123</f>
        <v>SDGE_SW_NC_NonRes_Pub_electric_PA</v>
      </c>
      <c r="D137" s="632" t="str">
        <f>'Budget Filing Data'!E123</f>
        <v>SW New Construction Non Residential - Public - All Electric (Utility)</v>
      </c>
      <c r="E137" s="633" t="str">
        <f>'Budget Filing Data'!J123</f>
        <v>IOU Core</v>
      </c>
      <c r="F137" s="633" t="str">
        <f>IF('Budget Filing Data'!H123="","",'Budget Filing Data'!H123)</f>
        <v>SW_NC_NonRes_Pub_electric - New Construction - NonResidential - All Electric</v>
      </c>
      <c r="G137" s="634" t="s">
        <v>24</v>
      </c>
      <c r="H137" s="633" t="str">
        <f>'Budget Filing Data'!G123</f>
        <v>Public</v>
      </c>
      <c r="I137" s="633" t="str">
        <f>'Budget Filing Data'!I123</f>
        <v>New Construction</v>
      </c>
      <c r="J137" s="633" t="str">
        <f>'Budget Filing Data'!L123</f>
        <v>Market Support</v>
      </c>
      <c r="K137" s="635">
        <f>'Budget Filing Data'!B123</f>
        <v>2029</v>
      </c>
      <c r="L137" s="636">
        <f t="shared" si="27"/>
        <v>1846.0871999999999</v>
      </c>
      <c r="M137" s="637">
        <f>'Budget Filing Data'!AQ123</f>
        <v>1846.0871999999999</v>
      </c>
      <c r="N137" s="637">
        <f>'Budget Filing Data'!AR123</f>
        <v>0</v>
      </c>
      <c r="O137" s="637">
        <f>'Budget Filing Data'!AS123</f>
        <v>0</v>
      </c>
      <c r="P137" s="638">
        <f>'Budget Filing Data'!AT123</f>
        <v>0</v>
      </c>
    </row>
    <row r="138" spans="3:16">
      <c r="C138" s="632" t="str">
        <f>'Budget Filing Data'!D124</f>
        <v>SDGE_SW_NC_NonRes_Res_electric</v>
      </c>
      <c r="D138" s="632" t="str">
        <f>'Budget Filing Data'!E124</f>
        <v>SW New Construction NonResidential - Residential - All Electric</v>
      </c>
      <c r="E138" s="633" t="str">
        <f>'Budget Filing Data'!J124</f>
        <v>Third-Party Solicited</v>
      </c>
      <c r="F138" s="633" t="str">
        <f>IF('Budget Filing Data'!H124="","",'Budget Filing Data'!H124)</f>
        <v>SW_NC_NonRes_Res_electric - New Construction - NonResidential - All Electric</v>
      </c>
      <c r="G138" s="634" t="s">
        <v>24</v>
      </c>
      <c r="H138" s="633" t="str">
        <f>'Budget Filing Data'!G124</f>
        <v>Residential</v>
      </c>
      <c r="I138" s="633" t="str">
        <f>'Budget Filing Data'!I124</f>
        <v>New Construction</v>
      </c>
      <c r="J138" s="633" t="str">
        <f>'Budget Filing Data'!L124</f>
        <v>Market Support</v>
      </c>
      <c r="K138" s="635">
        <f>'Budget Filing Data'!B124</f>
        <v>2029</v>
      </c>
      <c r="L138" s="636">
        <f t="shared" si="27"/>
        <v>478433.32561690238</v>
      </c>
      <c r="M138" s="637">
        <f>'Budget Filing Data'!AQ124</f>
        <v>41383.689299999998</v>
      </c>
      <c r="N138" s="637">
        <f>'Budget Filing Data'!AR124</f>
        <v>31037.766899999999</v>
      </c>
      <c r="O138" s="637">
        <f>'Budget Filing Data'!AS124</f>
        <v>134496.9901</v>
      </c>
      <c r="P138" s="638">
        <f>'Budget Filing Data'!AT124</f>
        <v>271514.87931690237</v>
      </c>
    </row>
    <row r="139" spans="3:16">
      <c r="C139" s="632" t="str">
        <f>'Budget Filing Data'!D125</f>
        <v>SDGE_SW_NC_NonRes_Res_electric_PA</v>
      </c>
      <c r="D139" s="632" t="str">
        <f>'Budget Filing Data'!E125</f>
        <v>SW New Construction NonResidential - Residential - All Electric (Utility)</v>
      </c>
      <c r="E139" s="633" t="str">
        <f>'Budget Filing Data'!J125</f>
        <v>IOU Core</v>
      </c>
      <c r="F139" s="633" t="str">
        <f>IF('Budget Filing Data'!H125="","",'Budget Filing Data'!H125)</f>
        <v>SW_NC_NonRes_Res_electric - New Construction - NonResidential - All Electric</v>
      </c>
      <c r="G139" s="634" t="s">
        <v>24</v>
      </c>
      <c r="H139" s="633" t="str">
        <f>'Budget Filing Data'!G125</f>
        <v>Residential</v>
      </c>
      <c r="I139" s="633" t="str">
        <f>'Budget Filing Data'!I125</f>
        <v>New Construction</v>
      </c>
      <c r="J139" s="633" t="str">
        <f>'Budget Filing Data'!L125</f>
        <v>Market Support</v>
      </c>
      <c r="K139" s="635">
        <f>'Budget Filing Data'!B125</f>
        <v>2029</v>
      </c>
      <c r="L139" s="636">
        <f t="shared" si="27"/>
        <v>3113.3472000000002</v>
      </c>
      <c r="M139" s="637">
        <f>'Budget Filing Data'!AQ125</f>
        <v>3113.3472000000002</v>
      </c>
      <c r="N139" s="637">
        <f>'Budget Filing Data'!AR125</f>
        <v>0</v>
      </c>
      <c r="O139" s="637">
        <f>'Budget Filing Data'!AS125</f>
        <v>0</v>
      </c>
      <c r="P139" s="638">
        <f>'Budget Filing Data'!AT125</f>
        <v>0</v>
      </c>
    </row>
    <row r="140" spans="3:16">
      <c r="C140" s="632" t="str">
        <f>'Budget Filing Data'!D126</f>
        <v>SDGE_SW_NC_NonRes_Ag_mixed</v>
      </c>
      <c r="D140" s="632" t="str">
        <f>'Budget Filing Data'!E126</f>
        <v>SW New Construction Non Residential - Agricultural - Mixed Fuel</v>
      </c>
      <c r="E140" s="633" t="str">
        <f>'Budget Filing Data'!J126</f>
        <v>Third-Party Solicited</v>
      </c>
      <c r="F140" s="633" t="str">
        <f>IF('Budget Filing Data'!H126="","",'Budget Filing Data'!H126)</f>
        <v>SW_NC_NonRes_Ag_mixed - New Construction - NonResidential - Mixed Fuel</v>
      </c>
      <c r="G140" s="634" t="s">
        <v>24</v>
      </c>
      <c r="H140" s="633" t="str">
        <f>'Budget Filing Data'!G126</f>
        <v>Agricultural</v>
      </c>
      <c r="I140" s="633" t="str">
        <f>'Budget Filing Data'!I126</f>
        <v>New Construction</v>
      </c>
      <c r="J140" s="633" t="str">
        <f>'Budget Filing Data'!L126</f>
        <v>Market Support</v>
      </c>
      <c r="K140" s="635">
        <f>'Budget Filing Data'!B126</f>
        <v>2029</v>
      </c>
      <c r="L140" s="636">
        <f t="shared" si="27"/>
        <v>40327.35967012</v>
      </c>
      <c r="M140" s="637">
        <f>'Budget Filing Data'!AQ126</f>
        <v>3565.7599</v>
      </c>
      <c r="N140" s="637">
        <f>'Budget Filing Data'!AR126</f>
        <v>2674.3199</v>
      </c>
      <c r="O140" s="637">
        <f>'Budget Filing Data'!AS126</f>
        <v>11588.7196</v>
      </c>
      <c r="P140" s="638">
        <f>'Budget Filing Data'!AT126</f>
        <v>22498.560270119997</v>
      </c>
    </row>
    <row r="141" spans="3:16">
      <c r="C141" s="632" t="str">
        <f>'Budget Filing Data'!D127</f>
        <v>SDGE_SW_NC_NonRes_Ag_mixed_PA</v>
      </c>
      <c r="D141" s="632" t="str">
        <f>'Budget Filing Data'!E127</f>
        <v>SW New Construction Non Residential - Agricultural - Mixed Fuel (Utility)</v>
      </c>
      <c r="E141" s="633" t="str">
        <f>'Budget Filing Data'!J127</f>
        <v>IOU Core</v>
      </c>
      <c r="F141" s="633" t="str">
        <f>IF('Budget Filing Data'!H127="","",'Budget Filing Data'!H127)</f>
        <v>SW_NC_NonRes_Ag_mixed - New Construction - NonResidential - Mixed Fuel</v>
      </c>
      <c r="G141" s="634" t="s">
        <v>24</v>
      </c>
      <c r="H141" s="633" t="str">
        <f>'Budget Filing Data'!G127</f>
        <v>Agricultural</v>
      </c>
      <c r="I141" s="633" t="str">
        <f>'Budget Filing Data'!I127</f>
        <v>New Construction</v>
      </c>
      <c r="J141" s="633" t="str">
        <f>'Budget Filing Data'!L127</f>
        <v>Market Support</v>
      </c>
      <c r="K141" s="635">
        <f>'Budget Filing Data'!B127</f>
        <v>2029</v>
      </c>
      <c r="L141" s="636">
        <f t="shared" si="27"/>
        <v>429.8272</v>
      </c>
      <c r="M141" s="637">
        <f>'Budget Filing Data'!AQ127</f>
        <v>429.8272</v>
      </c>
      <c r="N141" s="637">
        <f>'Budget Filing Data'!AR127</f>
        <v>0</v>
      </c>
      <c r="O141" s="637">
        <f>'Budget Filing Data'!AS127</f>
        <v>0</v>
      </c>
      <c r="P141" s="638">
        <f>'Budget Filing Data'!AT127</f>
        <v>0</v>
      </c>
    </row>
    <row r="142" spans="3:16">
      <c r="C142" s="632" t="str">
        <f>'Budget Filing Data'!D128</f>
        <v>SDGE_SW_NC_NonRes_Com_mixed</v>
      </c>
      <c r="D142" s="632" t="str">
        <f>'Budget Filing Data'!E128</f>
        <v>SW New Construction Non Residential - Commercial - Mixed Fuel</v>
      </c>
      <c r="E142" s="633" t="str">
        <f>'Budget Filing Data'!J128</f>
        <v>Third-Party Solicited</v>
      </c>
      <c r="F142" s="633" t="str">
        <f>IF('Budget Filing Data'!H128="","",'Budget Filing Data'!H128)</f>
        <v>SW_NC_NonRes_Com_mixed - New Construction - NonResidential - Mixed Fuel</v>
      </c>
      <c r="G142" s="634" t="s">
        <v>24</v>
      </c>
      <c r="H142" s="633" t="str">
        <f>'Budget Filing Data'!G128</f>
        <v>Commercial</v>
      </c>
      <c r="I142" s="633" t="str">
        <f>'Budget Filing Data'!I128</f>
        <v>New Construction</v>
      </c>
      <c r="J142" s="633" t="str">
        <f>'Budget Filing Data'!L128</f>
        <v>Market Support</v>
      </c>
      <c r="K142" s="635">
        <f>'Budget Filing Data'!B128</f>
        <v>2029</v>
      </c>
      <c r="L142" s="636">
        <f t="shared" si="27"/>
        <v>258095.09928669999</v>
      </c>
      <c r="M142" s="637">
        <f>'Budget Filing Data'!AQ128</f>
        <v>22820.8632</v>
      </c>
      <c r="N142" s="637">
        <f>'Budget Filing Data'!AR128</f>
        <v>17115.647400000002</v>
      </c>
      <c r="O142" s="637">
        <f>'Budget Filing Data'!AS128</f>
        <v>74167.805300000007</v>
      </c>
      <c r="P142" s="638">
        <f>'Budget Filing Data'!AT128</f>
        <v>143990.78338669997</v>
      </c>
    </row>
    <row r="143" spans="3:16">
      <c r="C143" s="632" t="str">
        <f>'Budget Filing Data'!D129</f>
        <v>SDGE_SW_NC_NonRes_Com_mixed_PA</v>
      </c>
      <c r="D143" s="632" t="str">
        <f>'Budget Filing Data'!E129</f>
        <v>SW New Construction Non Residential - Commercial - Mixed Fuel (Utility)</v>
      </c>
      <c r="E143" s="633" t="str">
        <f>'Budget Filing Data'!J129</f>
        <v>IOU Core</v>
      </c>
      <c r="F143" s="633" t="str">
        <f>IF('Budget Filing Data'!H129="","",'Budget Filing Data'!H129)</f>
        <v>SW_NC_NonRes_Com_mixed - New Construction - NonResidential - Mixed Fuel</v>
      </c>
      <c r="G143" s="634" t="s">
        <v>24</v>
      </c>
      <c r="H143" s="633" t="str">
        <f>'Budget Filing Data'!G129</f>
        <v>Commercial</v>
      </c>
      <c r="I143" s="633" t="str">
        <f>'Budget Filing Data'!I129</f>
        <v>New Construction</v>
      </c>
      <c r="J143" s="633" t="str">
        <f>'Budget Filing Data'!L129</f>
        <v>Market Support</v>
      </c>
      <c r="K143" s="635">
        <f>'Budget Filing Data'!B129</f>
        <v>2029</v>
      </c>
      <c r="L143" s="636">
        <f t="shared" si="27"/>
        <v>1763.7172</v>
      </c>
      <c r="M143" s="637">
        <f>'Budget Filing Data'!AQ129</f>
        <v>1763.7172</v>
      </c>
      <c r="N143" s="637">
        <f>'Budget Filing Data'!AR129</f>
        <v>0</v>
      </c>
      <c r="O143" s="637">
        <f>'Budget Filing Data'!AS129</f>
        <v>0</v>
      </c>
      <c r="P143" s="638">
        <f>'Budget Filing Data'!AT129</f>
        <v>0</v>
      </c>
    </row>
    <row r="144" spans="3:16">
      <c r="C144" s="632" t="str">
        <f>'Budget Filing Data'!D130</f>
        <v>SDGE_SW_NC_NonRes_Ind_mixed</v>
      </c>
      <c r="D144" s="632" t="str">
        <f>'Budget Filing Data'!E130</f>
        <v>SW New Construction Non Residential - Industrial - Mixed Fuel</v>
      </c>
      <c r="E144" s="633" t="str">
        <f>'Budget Filing Data'!J130</f>
        <v>Third-Party Solicited</v>
      </c>
      <c r="F144" s="633" t="str">
        <f>IF('Budget Filing Data'!H130="","",'Budget Filing Data'!H130)</f>
        <v>SW_NC_NonRes_Ind_mixed - New Construction - NonResidential - Mixed Fuel</v>
      </c>
      <c r="G144" s="634" t="s">
        <v>24</v>
      </c>
      <c r="H144" s="633" t="str">
        <f>'Budget Filing Data'!G130</f>
        <v>Industrial</v>
      </c>
      <c r="I144" s="633" t="str">
        <f>'Budget Filing Data'!I130</f>
        <v>New Construction</v>
      </c>
      <c r="J144" s="633" t="str">
        <f>'Budget Filing Data'!L130</f>
        <v>Market Support</v>
      </c>
      <c r="K144" s="635">
        <f>'Budget Filing Data'!B130</f>
        <v>2029</v>
      </c>
      <c r="L144" s="636">
        <f t="shared" si="27"/>
        <v>40327.360560000001</v>
      </c>
      <c r="M144" s="637">
        <f>'Budget Filing Data'!AQ130</f>
        <v>3565.7599</v>
      </c>
      <c r="N144" s="637">
        <f>'Budget Filing Data'!AR130</f>
        <v>2674.3199</v>
      </c>
      <c r="O144" s="637">
        <f>'Budget Filing Data'!AS130</f>
        <v>11588.7196</v>
      </c>
      <c r="P144" s="638">
        <f>'Budget Filing Data'!AT130</f>
        <v>22498.561160000001</v>
      </c>
    </row>
    <row r="145" spans="3:16">
      <c r="C145" s="632" t="str">
        <f>'Budget Filing Data'!D131</f>
        <v>SDGE_SW_NC_NonRes_Ind_mixed_PA</v>
      </c>
      <c r="D145" s="632" t="str">
        <f>'Budget Filing Data'!E131</f>
        <v>SW New Construction Non Residential - Industrial - Mixed Fuel (Utility)</v>
      </c>
      <c r="E145" s="633" t="str">
        <f>'Budget Filing Data'!J131</f>
        <v>IOU Core</v>
      </c>
      <c r="F145" s="633" t="str">
        <f>IF('Budget Filing Data'!H131="","",'Budget Filing Data'!H131)</f>
        <v>SW_NC_NonRes_Ind_mixed - New Construction - NonResidential - Mixed Fuel</v>
      </c>
      <c r="G145" s="634" t="s">
        <v>24</v>
      </c>
      <c r="H145" s="633" t="str">
        <f>'Budget Filing Data'!G131</f>
        <v>Industrial</v>
      </c>
      <c r="I145" s="633" t="str">
        <f>'Budget Filing Data'!I131</f>
        <v>New Construction</v>
      </c>
      <c r="J145" s="633" t="str">
        <f>'Budget Filing Data'!L131</f>
        <v>Market Support</v>
      </c>
      <c r="K145" s="635">
        <f>'Budget Filing Data'!B131</f>
        <v>2029</v>
      </c>
      <c r="L145" s="636">
        <f t="shared" si="27"/>
        <v>429.8272</v>
      </c>
      <c r="M145" s="637">
        <f>'Budget Filing Data'!AQ131</f>
        <v>429.8272</v>
      </c>
      <c r="N145" s="637">
        <f>'Budget Filing Data'!AR131</f>
        <v>0</v>
      </c>
      <c r="O145" s="637">
        <f>'Budget Filing Data'!AS131</f>
        <v>0</v>
      </c>
      <c r="P145" s="638">
        <f>'Budget Filing Data'!AT131</f>
        <v>0</v>
      </c>
    </row>
    <row r="146" spans="3:16">
      <c r="C146" s="632" t="str">
        <f>'Budget Filing Data'!D132</f>
        <v>SDGE_SW_NC_NonRes_Pub_mixed</v>
      </c>
      <c r="D146" s="632" t="str">
        <f>'Budget Filing Data'!E132</f>
        <v>SW New Construction Non Residential - Public - Mixed Fuel</v>
      </c>
      <c r="E146" s="633" t="str">
        <f>'Budget Filing Data'!J132</f>
        <v>Third-Party Solicited</v>
      </c>
      <c r="F146" s="633" t="str">
        <f>IF('Budget Filing Data'!H132="","",'Budget Filing Data'!H132)</f>
        <v>SW_NC_NonRes_Pub_mixed - New Construction - NonResidential - Mixed Fuel</v>
      </c>
      <c r="G146" s="634" t="s">
        <v>24</v>
      </c>
      <c r="H146" s="633" t="str">
        <f>'Budget Filing Data'!G132</f>
        <v>Public</v>
      </c>
      <c r="I146" s="633" t="str">
        <f>'Budget Filing Data'!I132</f>
        <v>New Construction</v>
      </c>
      <c r="J146" s="633" t="str">
        <f>'Budget Filing Data'!L132</f>
        <v>Market Support</v>
      </c>
      <c r="K146" s="635">
        <f>'Budget Filing Data'!B132</f>
        <v>2029</v>
      </c>
      <c r="L146" s="636">
        <f t="shared" si="27"/>
        <v>169374.90962399993</v>
      </c>
      <c r="M146" s="637">
        <f>'Budget Filing Data'!AQ132</f>
        <v>14976.191500000001</v>
      </c>
      <c r="N146" s="637">
        <f>'Budget Filing Data'!AR132</f>
        <v>11232.143599999999</v>
      </c>
      <c r="O146" s="637">
        <f>'Budget Filing Data'!AS132</f>
        <v>48672.622300000003</v>
      </c>
      <c r="P146" s="638">
        <f>'Budget Filing Data'!AT132</f>
        <v>94493.952223999935</v>
      </c>
    </row>
    <row r="147" spans="3:16">
      <c r="C147" s="632" t="str">
        <f>'Budget Filing Data'!D133</f>
        <v>SDGE_SW_NC_NonRes_Pub_mixed_PA</v>
      </c>
      <c r="D147" s="632" t="str">
        <f>'Budget Filing Data'!E133</f>
        <v>SW New Construction Non Residential - Public - Mixed Fuel (Utility)</v>
      </c>
      <c r="E147" s="633" t="str">
        <f>'Budget Filing Data'!J133</f>
        <v>IOU Core</v>
      </c>
      <c r="F147" s="633" t="str">
        <f>IF('Budget Filing Data'!H133="","",'Budget Filing Data'!H133)</f>
        <v>SW_NC_NonRes_Pub_mixed - New Construction - NonResidential - Mixed Fuel</v>
      </c>
      <c r="G147" s="634" t="s">
        <v>24</v>
      </c>
      <c r="H147" s="633" t="str">
        <f>'Budget Filing Data'!G133</f>
        <v>Public</v>
      </c>
      <c r="I147" s="633" t="str">
        <f>'Budget Filing Data'!I133</f>
        <v>New Construction</v>
      </c>
      <c r="J147" s="633" t="str">
        <f>'Budget Filing Data'!L133</f>
        <v>Market Support</v>
      </c>
      <c r="K147" s="635">
        <f>'Budget Filing Data'!B133</f>
        <v>2029</v>
      </c>
      <c r="L147" s="636">
        <f t="shared" si="27"/>
        <v>1220.2772</v>
      </c>
      <c r="M147" s="637">
        <f>'Budget Filing Data'!AQ133</f>
        <v>1220.2772</v>
      </c>
      <c r="N147" s="637">
        <f>'Budget Filing Data'!AR133</f>
        <v>0</v>
      </c>
      <c r="O147" s="637">
        <f>'Budget Filing Data'!AS133</f>
        <v>0</v>
      </c>
      <c r="P147" s="638">
        <f>'Budget Filing Data'!AT133</f>
        <v>0</v>
      </c>
    </row>
    <row r="148" spans="3:16">
      <c r="C148" s="632" t="str">
        <f>'Budget Filing Data'!D134</f>
        <v>SDGE_SW_NC_NonRes_Res_mixed</v>
      </c>
      <c r="D148" s="632" t="str">
        <f>'Budget Filing Data'!E134</f>
        <v>SW New Construction NonResidential - Residential - Mixed Fuel</v>
      </c>
      <c r="E148" s="633" t="str">
        <f>'Budget Filing Data'!J134</f>
        <v>Third-Party Solicited</v>
      </c>
      <c r="F148" s="633" t="str">
        <f>IF('Budget Filing Data'!H134="","",'Budget Filing Data'!H134)</f>
        <v>SW_NC_NonRes_Res_mixed - New Construction - NonResidential - Mixed Fuel</v>
      </c>
      <c r="G148" s="634" t="s">
        <v>24</v>
      </c>
      <c r="H148" s="633" t="str">
        <f>'Budget Filing Data'!G134</f>
        <v>Residential</v>
      </c>
      <c r="I148" s="633" t="str">
        <f>'Budget Filing Data'!I134</f>
        <v>New Construction</v>
      </c>
      <c r="J148" s="633" t="str">
        <f>'Budget Filing Data'!L134</f>
        <v>Market Support</v>
      </c>
      <c r="K148" s="635">
        <f>'Budget Filing Data'!B134</f>
        <v>2029</v>
      </c>
      <c r="L148" s="636">
        <f t="shared" si="27"/>
        <v>298422.45867898001</v>
      </c>
      <c r="M148" s="637">
        <f>'Budget Filing Data'!AQ134</f>
        <v>26386.623100000001</v>
      </c>
      <c r="N148" s="637">
        <f>'Budget Filing Data'!AR134</f>
        <v>19789.9673</v>
      </c>
      <c r="O148" s="637">
        <f>'Budget Filing Data'!AS134</f>
        <v>85756.524900000004</v>
      </c>
      <c r="P148" s="638">
        <f>'Budget Filing Data'!AT134</f>
        <v>166489.34337898003</v>
      </c>
    </row>
    <row r="149" spans="3:16">
      <c r="C149" s="632" t="str">
        <f>'Budget Filing Data'!D135</f>
        <v>SDGE_SW_NC_NonRes_Res_mixed_PA</v>
      </c>
      <c r="D149" s="632" t="str">
        <f>'Budget Filing Data'!E135</f>
        <v>SW New Construction NonResidential - Residential - Mixed Fuel (Utility)</v>
      </c>
      <c r="E149" s="633" t="str">
        <f>'Budget Filing Data'!J135</f>
        <v>IOU Core</v>
      </c>
      <c r="F149" s="633" t="str">
        <f>IF('Budget Filing Data'!H135="","",'Budget Filing Data'!H135)</f>
        <v>SW_NC_NonRes_Res_mixed - New Construction - NonResidential - Mixed Fuel</v>
      </c>
      <c r="G149" s="634" t="s">
        <v>24</v>
      </c>
      <c r="H149" s="633" t="str">
        <f>'Budget Filing Data'!G135</f>
        <v>Residential</v>
      </c>
      <c r="I149" s="633" t="str">
        <f>'Budget Filing Data'!I135</f>
        <v>New Construction</v>
      </c>
      <c r="J149" s="633" t="str">
        <f>'Budget Filing Data'!L135</f>
        <v>Market Support</v>
      </c>
      <c r="K149" s="635">
        <f>'Budget Filing Data'!B135</f>
        <v>2029</v>
      </c>
      <c r="L149" s="636">
        <f t="shared" si="27"/>
        <v>2010.7272</v>
      </c>
      <c r="M149" s="637">
        <f>'Budget Filing Data'!AQ135</f>
        <v>2010.7272</v>
      </c>
      <c r="N149" s="637">
        <f>'Budget Filing Data'!AR135</f>
        <v>0</v>
      </c>
      <c r="O149" s="637">
        <f>'Budget Filing Data'!AS135</f>
        <v>0</v>
      </c>
      <c r="P149" s="638">
        <f>'Budget Filing Data'!AT135</f>
        <v>0</v>
      </c>
    </row>
    <row r="150" spans="3:16">
      <c r="C150" s="632" t="str">
        <f>'Budget Filing Data'!D136</f>
        <v>SDGE_SW_NC_Res_electric</v>
      </c>
      <c r="D150" s="632" t="str">
        <f>'Budget Filing Data'!E136</f>
        <v>SW New Construction Residential - All Electric</v>
      </c>
      <c r="E150" s="633" t="str">
        <f>'Budget Filing Data'!J136</f>
        <v>Third-Party Solicited</v>
      </c>
      <c r="F150" s="633" t="str">
        <f>IF('Budget Filing Data'!H136="","",'Budget Filing Data'!H136)</f>
        <v>SW_NC_Res_electric - New Construction - Residential - All Electric</v>
      </c>
      <c r="G150" s="634" t="s">
        <v>24</v>
      </c>
      <c r="H150" s="633" t="str">
        <f>'Budget Filing Data'!G136</f>
        <v>Residential</v>
      </c>
      <c r="I150" s="633" t="str">
        <f>'Budget Filing Data'!I136</f>
        <v>New Construction</v>
      </c>
      <c r="J150" s="633" t="str">
        <f>'Budget Filing Data'!L136</f>
        <v>Market Support</v>
      </c>
      <c r="K150" s="635">
        <f>'Budget Filing Data'!B136</f>
        <v>2029</v>
      </c>
      <c r="L150" s="636">
        <f t="shared" si="27"/>
        <v>934300.27592000016</v>
      </c>
      <c r="M150" s="637">
        <f>'Budget Filing Data'!AQ136</f>
        <v>33813.962</v>
      </c>
      <c r="N150" s="637">
        <f>'Budget Filing Data'!AR136</f>
        <v>20020</v>
      </c>
      <c r="O150" s="637">
        <f>'Budget Filing Data'!AS136</f>
        <v>368281.91399999999</v>
      </c>
      <c r="P150" s="638">
        <f>'Budget Filing Data'!AT136</f>
        <v>512184.39992000017</v>
      </c>
    </row>
    <row r="151" spans="3:16">
      <c r="C151" s="632" t="str">
        <f>'Budget Filing Data'!D137</f>
        <v>SDGE_SW_NC_Res_electric_PA</v>
      </c>
      <c r="D151" s="632" t="str">
        <f>'Budget Filing Data'!E137</f>
        <v>SW New Construction Residential - All Electric (Utility)</v>
      </c>
      <c r="E151" s="633" t="str">
        <f>'Budget Filing Data'!J137</f>
        <v>IOU Core</v>
      </c>
      <c r="F151" s="633" t="str">
        <f>IF('Budget Filing Data'!H137="","",'Budget Filing Data'!H137)</f>
        <v>SW_NC_Res_electric - New Construction - Residential - All Electric</v>
      </c>
      <c r="G151" s="634" t="s">
        <v>24</v>
      </c>
      <c r="H151" s="633" t="str">
        <f>'Budget Filing Data'!G137</f>
        <v>Residential</v>
      </c>
      <c r="I151" s="633" t="str">
        <f>'Budget Filing Data'!I137</f>
        <v>New Construction</v>
      </c>
      <c r="J151" s="633" t="str">
        <f>'Budget Filing Data'!L137</f>
        <v>Market Support</v>
      </c>
      <c r="K151" s="635">
        <f>'Budget Filing Data'!B137</f>
        <v>2029</v>
      </c>
      <c r="L151" s="636">
        <f t="shared" si="27"/>
        <v>7550.9324999999999</v>
      </c>
      <c r="M151" s="637">
        <f>'Budget Filing Data'!AQ137</f>
        <v>7550.9324999999999</v>
      </c>
      <c r="N151" s="637">
        <f>'Budget Filing Data'!AR137</f>
        <v>0</v>
      </c>
      <c r="O151" s="637">
        <f>'Budget Filing Data'!AS137</f>
        <v>0</v>
      </c>
      <c r="P151" s="638">
        <f>'Budget Filing Data'!AT137</f>
        <v>0</v>
      </c>
    </row>
    <row r="152" spans="3:16">
      <c r="C152" s="645" t="str">
        <f>'Budget Filing Data'!D138</f>
        <v>SDGE4168</v>
      </c>
      <c r="D152" s="645" t="str">
        <f>'Budget Filing Data'!E138</f>
        <v>Lodging (Hotels/Motels)</v>
      </c>
      <c r="E152" s="646" t="str">
        <f>'Budget Filing Data'!J138</f>
        <v>Third-Party Solicited</v>
      </c>
      <c r="F152" s="646" t="str">
        <f>IF('Budget Filing Data'!H138="","",'Budget Filing Data'!H138)</f>
        <v/>
      </c>
      <c r="G152" s="634" t="s">
        <v>24</v>
      </c>
      <c r="H152" s="646" t="str">
        <f>'Budget Filing Data'!G138</f>
        <v>Commercial</v>
      </c>
      <c r="I152" s="646" t="str">
        <f>'Budget Filing Data'!I138</f>
        <v>Other</v>
      </c>
      <c r="J152" s="646" t="str">
        <f>'Budget Filing Data'!L138</f>
        <v>Resource Acquisition</v>
      </c>
      <c r="K152" s="647">
        <f>'Budget Filing Data'!B138</f>
        <v>2029</v>
      </c>
      <c r="L152" s="636">
        <f t="shared" si="27"/>
        <v>1649501.777</v>
      </c>
      <c r="M152" s="648">
        <v>148455</v>
      </c>
      <c r="N152" s="648">
        <v>98970</v>
      </c>
      <c r="O152" s="648">
        <v>513080</v>
      </c>
      <c r="P152" s="649">
        <v>888996.777</v>
      </c>
    </row>
    <row r="153" spans="3:16">
      <c r="C153" s="645" t="s">
        <v>1387</v>
      </c>
      <c r="D153" s="645" t="s">
        <v>1388</v>
      </c>
      <c r="E153" s="646" t="s">
        <v>17</v>
      </c>
      <c r="F153" s="646"/>
      <c r="G153" s="634" t="s">
        <v>24</v>
      </c>
      <c r="H153" s="646" t="str">
        <f>H152</f>
        <v>Commercial</v>
      </c>
      <c r="I153" s="646" t="str">
        <f t="shared" ref="I153:K153" si="34">I152</f>
        <v>Other</v>
      </c>
      <c r="J153" s="646" t="str">
        <f t="shared" si="34"/>
        <v>Resource Acquisition</v>
      </c>
      <c r="K153" s="647">
        <f t="shared" si="34"/>
        <v>2029</v>
      </c>
      <c r="L153" s="636">
        <f t="shared" si="27"/>
        <v>181389.3559</v>
      </c>
      <c r="M153" s="648">
        <v>97257.554699999993</v>
      </c>
      <c r="N153" s="648">
        <v>750.59259999999995</v>
      </c>
      <c r="O153" s="648">
        <v>83381.208599999998</v>
      </c>
      <c r="P153" s="649">
        <v>0</v>
      </c>
    </row>
    <row r="154" spans="3:16">
      <c r="C154" s="645" t="str">
        <f>'Budget Filing Data'!D139</f>
        <v>SDGE4169</v>
      </c>
      <c r="D154" s="645" t="str">
        <f>'Budget Filing Data'!E139</f>
        <v>Groceries, Restaurants and Food Storage</v>
      </c>
      <c r="E154" s="646" t="str">
        <f>'Budget Filing Data'!J139</f>
        <v>Third-Party Solicited</v>
      </c>
      <c r="F154" s="646" t="str">
        <f>IF('Budget Filing Data'!H139="","",'Budget Filing Data'!H139)</f>
        <v/>
      </c>
      <c r="G154" s="634" t="s">
        <v>24</v>
      </c>
      <c r="H154" s="646" t="str">
        <f>'Budget Filing Data'!G139</f>
        <v>Commercial</v>
      </c>
      <c r="I154" s="646" t="str">
        <f>'Budget Filing Data'!I139</f>
        <v>Other</v>
      </c>
      <c r="J154" s="646" t="str">
        <f>'Budget Filing Data'!L139</f>
        <v>Resource Acquisition</v>
      </c>
      <c r="K154" s="647">
        <f>'Budget Filing Data'!B139</f>
        <v>2029</v>
      </c>
      <c r="L154" s="636">
        <f t="shared" ref="L154:L161" si="35">SUM(M154:P154)</f>
        <v>1704484.2955</v>
      </c>
      <c r="M154" s="648">
        <v>91200</v>
      </c>
      <c r="N154" s="648">
        <v>110652</v>
      </c>
      <c r="O154" s="648">
        <v>702484.47860000003</v>
      </c>
      <c r="P154" s="649">
        <v>800147.81689999998</v>
      </c>
    </row>
    <row r="155" spans="3:16">
      <c r="C155" s="645" t="s">
        <v>1389</v>
      </c>
      <c r="D155" s="645" t="s">
        <v>1390</v>
      </c>
      <c r="E155" s="646" t="s">
        <v>17</v>
      </c>
      <c r="F155" s="646"/>
      <c r="G155" s="634" t="s">
        <v>24</v>
      </c>
      <c r="H155" s="646" t="str">
        <f>H154</f>
        <v>Commercial</v>
      </c>
      <c r="I155" s="646" t="str">
        <f t="shared" ref="I155:K155" si="36">I154</f>
        <v>Other</v>
      </c>
      <c r="J155" s="646" t="str">
        <f t="shared" si="36"/>
        <v>Resource Acquisition</v>
      </c>
      <c r="K155" s="647">
        <f t="shared" si="36"/>
        <v>2029</v>
      </c>
      <c r="L155" s="636">
        <f t="shared" si="35"/>
        <v>287649.21799999999</v>
      </c>
      <c r="M155" s="648">
        <v>89553.131699999998</v>
      </c>
      <c r="N155" s="648">
        <v>750.59259999999995</v>
      </c>
      <c r="O155" s="648">
        <v>197345.49369999999</v>
      </c>
      <c r="P155" s="649">
        <v>0</v>
      </c>
    </row>
    <row r="156" spans="3:16">
      <c r="C156" s="645" t="str">
        <f>'Budget Filing Data'!D140</f>
        <v>SDGE4170</v>
      </c>
      <c r="D156" s="645" t="str">
        <f>'Budget Filing Data'!E140</f>
        <v>Wholesale/Retail/Office, including Entertainment Services</v>
      </c>
      <c r="E156" s="646" t="str">
        <f>'Budget Filing Data'!J140</f>
        <v>Third-Party Solicited</v>
      </c>
      <c r="F156" s="646" t="str">
        <f>IF('Budget Filing Data'!H140="","",'Budget Filing Data'!H140)</f>
        <v/>
      </c>
      <c r="G156" s="634" t="s">
        <v>24</v>
      </c>
      <c r="H156" s="646" t="str">
        <f>'Budget Filing Data'!G140</f>
        <v>Commercial</v>
      </c>
      <c r="I156" s="646" t="str">
        <f>'Budget Filing Data'!I140</f>
        <v>Other</v>
      </c>
      <c r="J156" s="646" t="str">
        <f>'Budget Filing Data'!L140</f>
        <v>Resource Acquisition</v>
      </c>
      <c r="K156" s="647">
        <f>'Budget Filing Data'!B140</f>
        <v>2029</v>
      </c>
      <c r="L156" s="636">
        <f t="shared" si="35"/>
        <v>5480160.9100000001</v>
      </c>
      <c r="M156" s="648">
        <v>155880</v>
      </c>
      <c r="N156" s="648">
        <v>93600</v>
      </c>
      <c r="O156" s="648">
        <v>2637848.9300000002</v>
      </c>
      <c r="P156" s="649">
        <v>2592831.98</v>
      </c>
    </row>
    <row r="157" spans="3:16">
      <c r="C157" s="645" t="s">
        <v>1391</v>
      </c>
      <c r="D157" s="645" t="s">
        <v>1392</v>
      </c>
      <c r="E157" s="646" t="s">
        <v>17</v>
      </c>
      <c r="F157" s="646"/>
      <c r="G157" s="634" t="s">
        <v>24</v>
      </c>
      <c r="H157" s="646" t="str">
        <f>H156</f>
        <v>Commercial</v>
      </c>
      <c r="I157" s="646" t="str">
        <f t="shared" ref="I157:K157" si="37">I156</f>
        <v>Other</v>
      </c>
      <c r="J157" s="646" t="str">
        <f t="shared" si="37"/>
        <v>Resource Acquisition</v>
      </c>
      <c r="K157" s="647">
        <f t="shared" si="37"/>
        <v>2029</v>
      </c>
      <c r="L157" s="636">
        <f t="shared" si="35"/>
        <v>682722.86599999992</v>
      </c>
      <c r="M157" s="648">
        <v>247928.4823</v>
      </c>
      <c r="N157" s="648">
        <v>750.59259999999995</v>
      </c>
      <c r="O157" s="648">
        <v>434043.79109999997</v>
      </c>
      <c r="P157" s="649">
        <v>0</v>
      </c>
    </row>
    <row r="158" spans="3:16">
      <c r="C158" s="645" t="str">
        <f>'Budget Filing Data'!D141</f>
        <v>SDGE4171</v>
      </c>
      <c r="D158" s="645" t="str">
        <f>'Budget Filing Data'!E141</f>
        <v>Private Institutions/Healthcare</v>
      </c>
      <c r="E158" s="646" t="str">
        <f>'Budget Filing Data'!J141</f>
        <v>Third-Party Solicited</v>
      </c>
      <c r="F158" s="646" t="str">
        <f>IF('Budget Filing Data'!H141="","",'Budget Filing Data'!H141)</f>
        <v/>
      </c>
      <c r="G158" s="634" t="s">
        <v>24</v>
      </c>
      <c r="H158" s="646" t="str">
        <f>'Budget Filing Data'!G141</f>
        <v>Commercial</v>
      </c>
      <c r="I158" s="646" t="str">
        <f>'Budget Filing Data'!I141</f>
        <v>Other</v>
      </c>
      <c r="J158" s="646" t="str">
        <f>'Budget Filing Data'!L141</f>
        <v>Resource Acquisition</v>
      </c>
      <c r="K158" s="647">
        <f>'Budget Filing Data'!B141</f>
        <v>2029</v>
      </c>
      <c r="L158" s="636">
        <f t="shared" si="35"/>
        <v>1527614.8199999998</v>
      </c>
      <c r="M158" s="648">
        <v>137485</v>
      </c>
      <c r="N158" s="648">
        <v>91657</v>
      </c>
      <c r="O158" s="648">
        <v>407410</v>
      </c>
      <c r="P158" s="649">
        <v>891062.82</v>
      </c>
    </row>
    <row r="159" spans="3:16">
      <c r="C159" s="645" t="s">
        <v>1393</v>
      </c>
      <c r="D159" s="645" t="s">
        <v>1394</v>
      </c>
      <c r="E159" s="646" t="s">
        <v>17</v>
      </c>
      <c r="F159" s="646"/>
      <c r="G159" s="634" t="s">
        <v>24</v>
      </c>
      <c r="H159" s="646" t="str">
        <f>H158</f>
        <v>Commercial</v>
      </c>
      <c r="I159" s="646" t="str">
        <f t="shared" ref="I159:K159" si="38">I158</f>
        <v>Other</v>
      </c>
      <c r="J159" s="646" t="str">
        <f t="shared" si="38"/>
        <v>Resource Acquisition</v>
      </c>
      <c r="K159" s="647">
        <f t="shared" si="38"/>
        <v>2029</v>
      </c>
      <c r="L159" s="636">
        <f t="shared" si="35"/>
        <v>168501.69449999998</v>
      </c>
      <c r="M159" s="648">
        <v>90777.247199999998</v>
      </c>
      <c r="N159" s="648">
        <v>750.59259999999995</v>
      </c>
      <c r="O159" s="648">
        <v>76973.854699999996</v>
      </c>
      <c r="P159" s="649">
        <v>0</v>
      </c>
    </row>
    <row r="160" spans="3:16">
      <c r="C160" s="645" t="str">
        <f>'Budget Filing Data'!D142</f>
        <v>SDGE4175</v>
      </c>
      <c r="D160" s="645" t="str">
        <f>'Budget Filing Data'!E142</f>
        <v>Local Residential Fuel-Substitution</v>
      </c>
      <c r="E160" s="646" t="str">
        <f>'Budget Filing Data'!J142</f>
        <v>IOU Core</v>
      </c>
      <c r="F160" s="646" t="str">
        <f>IF('Budget Filing Data'!H142="","",'Budget Filing Data'!H142)</f>
        <v/>
      </c>
      <c r="G160" s="634" t="s">
        <v>15</v>
      </c>
      <c r="H160" s="646" t="str">
        <f>'Budget Filing Data'!G142</f>
        <v>Residential</v>
      </c>
      <c r="I160" s="646" t="str">
        <f>'Budget Filing Data'!I142</f>
        <v>Other</v>
      </c>
      <c r="J160" s="646" t="str">
        <f>'Budget Filing Data'!L142</f>
        <v>Market Support</v>
      </c>
      <c r="K160" s="647">
        <f>'Budget Filing Data'!B142</f>
        <v>2029</v>
      </c>
      <c r="L160" s="636">
        <f t="shared" si="35"/>
        <v>900000</v>
      </c>
      <c r="M160" s="648">
        <v>90000</v>
      </c>
      <c r="N160" s="648">
        <v>100556</v>
      </c>
      <c r="O160" s="648">
        <v>643444</v>
      </c>
      <c r="P160" s="649">
        <v>66000</v>
      </c>
    </row>
    <row r="161" spans="3:16">
      <c r="C161" s="645" t="s">
        <v>1395</v>
      </c>
      <c r="D161" s="645" t="s">
        <v>1396</v>
      </c>
      <c r="E161" s="646" t="s">
        <v>17</v>
      </c>
      <c r="F161" s="646"/>
      <c r="G161" s="634" t="s">
        <v>15</v>
      </c>
      <c r="H161" s="646" t="str">
        <f>H160</f>
        <v>Residential</v>
      </c>
      <c r="I161" s="646" t="str">
        <f t="shared" ref="I161:K161" si="39">I160</f>
        <v>Other</v>
      </c>
      <c r="J161" s="646" t="str">
        <f t="shared" si="39"/>
        <v>Market Support</v>
      </c>
      <c r="K161" s="647">
        <f t="shared" si="39"/>
        <v>2029</v>
      </c>
      <c r="L161" s="636">
        <f t="shared" si="35"/>
        <v>154405.1684</v>
      </c>
      <c r="M161" s="648">
        <v>142480.95170000001</v>
      </c>
      <c r="N161" s="648">
        <v>3752.9625999999998</v>
      </c>
      <c r="O161" s="648">
        <v>8171.2541000000001</v>
      </c>
      <c r="P161" s="649">
        <v>0</v>
      </c>
    </row>
    <row r="162" spans="3:16">
      <c r="C162" s="632" t="str">
        <f>'Budget Filing Data'!D143</f>
        <v>SDGE_CS_PortfolioSupport</v>
      </c>
      <c r="D162" s="632" t="str">
        <f>'Budget Filing Data'!E143</f>
        <v>Codes &amp; Standards Portfolio Support PA Costs</v>
      </c>
      <c r="E162" s="633" t="str">
        <f>'Budget Filing Data'!J143</f>
        <v>IOU Core</v>
      </c>
      <c r="F162" s="633" t="str">
        <f>IF('Budget Filing Data'!H143="","",'Budget Filing Data'!H143)</f>
        <v/>
      </c>
      <c r="G162" s="634" t="s">
        <v>24</v>
      </c>
      <c r="H162" s="633" t="str">
        <f>'Budget Filing Data'!G143</f>
        <v>Portfolio Support</v>
      </c>
      <c r="I162" s="633" t="str">
        <f>'Budget Filing Data'!I143</f>
        <v>Other</v>
      </c>
      <c r="J162" s="633" t="str">
        <f>'Budget Filing Data'!L143</f>
        <v>Codes and Standards</v>
      </c>
      <c r="K162" s="635">
        <f>'Budget Filing Data'!B143</f>
        <v>2029</v>
      </c>
      <c r="L162" s="636">
        <f t="shared" ref="L162:L227" si="40">SUM(M162:P162)</f>
        <v>198945.14910000001</v>
      </c>
      <c r="M162" s="637">
        <f>'Budget Filing Data'!AQ143</f>
        <v>198945.14910000001</v>
      </c>
      <c r="N162" s="637">
        <f>'Budget Filing Data'!AR143</f>
        <v>0</v>
      </c>
      <c r="O162" s="637">
        <f>'Budget Filing Data'!AS143</f>
        <v>0</v>
      </c>
      <c r="P162" s="638">
        <f>'Budget Filing Data'!AT143</f>
        <v>0</v>
      </c>
    </row>
    <row r="163" spans="3:16">
      <c r="C163" s="632" t="str">
        <f>'Budget Filing Data'!D144</f>
        <v>SDGE_Equity_PortfolioSupport</v>
      </c>
      <c r="D163" s="632" t="str">
        <f>'Budget Filing Data'!E144</f>
        <v>Equity Portfolio Support PA Costs</v>
      </c>
      <c r="E163" s="633" t="str">
        <f>'Budget Filing Data'!J144</f>
        <v>IOU Core</v>
      </c>
      <c r="F163" s="633" t="str">
        <f>IF('Budget Filing Data'!H144="","",'Budget Filing Data'!H144)</f>
        <v/>
      </c>
      <c r="G163" s="634" t="s">
        <v>24</v>
      </c>
      <c r="H163" s="633" t="str">
        <f>'Budget Filing Data'!G144</f>
        <v>Portfolio Support</v>
      </c>
      <c r="I163" s="633" t="str">
        <f>'Budget Filing Data'!I144</f>
        <v>Other</v>
      </c>
      <c r="J163" s="633" t="str">
        <f>'Budget Filing Data'!L144</f>
        <v>Equity</v>
      </c>
      <c r="K163" s="635">
        <f>'Budget Filing Data'!B144</f>
        <v>2029</v>
      </c>
      <c r="L163" s="636">
        <f t="shared" si="40"/>
        <v>9405.68</v>
      </c>
      <c r="M163" s="637">
        <f>'Budget Filing Data'!AQ144</f>
        <v>9405.68</v>
      </c>
      <c r="N163" s="637">
        <f>'Budget Filing Data'!AR144</f>
        <v>0</v>
      </c>
      <c r="O163" s="637">
        <f>'Budget Filing Data'!AS144</f>
        <v>0</v>
      </c>
      <c r="P163" s="638">
        <f>'Budget Filing Data'!AT144</f>
        <v>0</v>
      </c>
    </row>
    <row r="164" spans="3:16">
      <c r="C164" s="632" t="str">
        <f>'Budget Filing Data'!D145</f>
        <v>SDGE_MS_PortfolioSupport</v>
      </c>
      <c r="D164" s="632" t="str">
        <f>'Budget Filing Data'!E145</f>
        <v>Market Support Portfolio Support PA Costs</v>
      </c>
      <c r="E164" s="633" t="str">
        <f>'Budget Filing Data'!J145</f>
        <v>IOU Core</v>
      </c>
      <c r="F164" s="633" t="str">
        <f>IF('Budget Filing Data'!H145="","",'Budget Filing Data'!H145)</f>
        <v/>
      </c>
      <c r="G164" s="634" t="s">
        <v>24</v>
      </c>
      <c r="H164" s="633" t="str">
        <f>'Budget Filing Data'!G145</f>
        <v>Portfolio Support</v>
      </c>
      <c r="I164" s="633" t="str">
        <f>'Budget Filing Data'!I145</f>
        <v>Other</v>
      </c>
      <c r="J164" s="633" t="str">
        <f>'Budget Filing Data'!L145</f>
        <v>Market Support</v>
      </c>
      <c r="K164" s="635">
        <f>'Budget Filing Data'!B145</f>
        <v>2029</v>
      </c>
      <c r="L164" s="636">
        <f t="shared" si="40"/>
        <v>352662.57679999998</v>
      </c>
      <c r="M164" s="637">
        <f>'Budget Filing Data'!AQ145</f>
        <v>352662.57679999998</v>
      </c>
      <c r="N164" s="637">
        <f>'Budget Filing Data'!AR145</f>
        <v>0</v>
      </c>
      <c r="O164" s="637">
        <f>'Budget Filing Data'!AS145</f>
        <v>0</v>
      </c>
      <c r="P164" s="638">
        <f>'Budget Filing Data'!AT145</f>
        <v>0</v>
      </c>
    </row>
    <row r="165" spans="3:16">
      <c r="C165" s="632" t="str">
        <f>'Budget Filing Data'!D146</f>
        <v>SDGE_RA_PortfolioSupport</v>
      </c>
      <c r="D165" s="632" t="str">
        <f>'Budget Filing Data'!E146</f>
        <v>Resource Acquisition Portfolio Support PA Costs</v>
      </c>
      <c r="E165" s="633" t="str">
        <f>'Budget Filing Data'!J146</f>
        <v>IOU Core</v>
      </c>
      <c r="F165" s="633" t="str">
        <f>IF('Budget Filing Data'!H146="","",'Budget Filing Data'!H146)</f>
        <v/>
      </c>
      <c r="G165" s="634" t="s">
        <v>24</v>
      </c>
      <c r="H165" s="633" t="str">
        <f>'Budget Filing Data'!G146</f>
        <v>Portfolio Support</v>
      </c>
      <c r="I165" s="633" t="str">
        <f>'Budget Filing Data'!I146</f>
        <v>Other</v>
      </c>
      <c r="J165" s="633" t="str">
        <f>'Budget Filing Data'!L146</f>
        <v>Resource Acquisition</v>
      </c>
      <c r="K165" s="635">
        <f>'Budget Filing Data'!B146</f>
        <v>2029</v>
      </c>
      <c r="L165" s="636">
        <f t="shared" si="40"/>
        <v>2089823.9047000001</v>
      </c>
      <c r="M165" s="637">
        <f>'Budget Filing Data'!AQ146</f>
        <v>2089823.9047000001</v>
      </c>
      <c r="N165" s="637">
        <f>'Budget Filing Data'!AR146</f>
        <v>0</v>
      </c>
      <c r="O165" s="637">
        <f>'Budget Filing Data'!AS146</f>
        <v>0</v>
      </c>
      <c r="P165" s="638">
        <f>'Budget Filing Data'!AT146</f>
        <v>0</v>
      </c>
    </row>
    <row r="166" spans="3:16">
      <c r="C166" s="632" t="str">
        <f>'Budget Filing Data'!D147</f>
        <v>SDGE_SW_HESC</v>
      </c>
      <c r="D166" s="632" t="str">
        <f>'Budget Filing Data'!E147</f>
        <v>SW Home Energy Score California</v>
      </c>
      <c r="E166" s="633" t="str">
        <f>'Budget Filing Data'!J147</f>
        <v>REN/CCA</v>
      </c>
      <c r="F166" s="633" t="str">
        <f>IF('Budget Filing Data'!H147="","",'Budget Filing Data'!H147)</f>
        <v>SW_HESC - SW Home Energy Score California</v>
      </c>
      <c r="G166" s="634" t="s">
        <v>15</v>
      </c>
      <c r="H166" s="633" t="str">
        <f>'Budget Filing Data'!G147</f>
        <v>Residential</v>
      </c>
      <c r="I166" s="633" t="str">
        <f>'Budget Filing Data'!I147</f>
        <v>Market Transformation</v>
      </c>
      <c r="J166" s="633" t="str">
        <f>'Budget Filing Data'!L147</f>
        <v>Market Support</v>
      </c>
      <c r="K166" s="635">
        <f>'Budget Filing Data'!B147</f>
        <v>2029</v>
      </c>
      <c r="L166" s="636">
        <f t="shared" si="40"/>
        <v>522742.13760000002</v>
      </c>
      <c r="M166" s="637">
        <f>'Budget Filing Data'!AQ147</f>
        <v>16363.8336</v>
      </c>
      <c r="N166" s="637">
        <f>'Budget Filing Data'!AR147</f>
        <v>39680</v>
      </c>
      <c r="O166" s="637">
        <f>'Budget Filing Data'!AS147</f>
        <v>107098.304</v>
      </c>
      <c r="P166" s="638">
        <f>'Budget Filing Data'!AT147</f>
        <v>359600</v>
      </c>
    </row>
    <row r="167" spans="3:16">
      <c r="C167" s="632" t="str">
        <f>'Budget Filing Data'!D148</f>
        <v>SDGE_SW_HESC_PA</v>
      </c>
      <c r="D167" s="632" t="str">
        <f>'Budget Filing Data'!E148</f>
        <v>SW Home Energy Score California (Utility)</v>
      </c>
      <c r="E167" s="633" t="str">
        <f>'Budget Filing Data'!J148</f>
        <v>IOU Core</v>
      </c>
      <c r="F167" s="633" t="str">
        <f>IF('Budget Filing Data'!H148="","",'Budget Filing Data'!H148)</f>
        <v>SW_HESC - SW Home Energy Score California</v>
      </c>
      <c r="G167" s="634" t="s">
        <v>15</v>
      </c>
      <c r="H167" s="633" t="str">
        <f>'Budget Filing Data'!G148</f>
        <v>Residential</v>
      </c>
      <c r="I167" s="633" t="str">
        <f>'Budget Filing Data'!I148</f>
        <v>Market Transformation</v>
      </c>
      <c r="J167" s="633" t="str">
        <f>'Budget Filing Data'!L148</f>
        <v>Market Support</v>
      </c>
      <c r="K167" s="635">
        <f>'Budget Filing Data'!B148</f>
        <v>2029</v>
      </c>
      <c r="L167" s="636">
        <f t="shared" si="40"/>
        <v>5088.1225000000004</v>
      </c>
      <c r="M167" s="637">
        <f>'Budget Filing Data'!AQ148</f>
        <v>5088.1225000000004</v>
      </c>
      <c r="N167" s="637">
        <f>'Budget Filing Data'!AR148</f>
        <v>0</v>
      </c>
      <c r="O167" s="637">
        <f>'Budget Filing Data'!AS148</f>
        <v>0</v>
      </c>
      <c r="P167" s="638">
        <f>'Budget Filing Data'!AT148</f>
        <v>0</v>
      </c>
    </row>
    <row r="168" spans="3:16">
      <c r="C168" s="645" t="str">
        <f>'Budget Filing Data'!D149</f>
        <v>SDGE4201</v>
      </c>
      <c r="D168" s="645" t="str">
        <f>'Budget Filing Data'!E149</f>
        <v>Market Access Program - Residential</v>
      </c>
      <c r="E168" s="646" t="str">
        <f>'Budget Filing Data'!J149</f>
        <v>Third-Party Solicited</v>
      </c>
      <c r="F168" s="646" t="str">
        <f>IF('Budget Filing Data'!H149="","",'Budget Filing Data'!H149)</f>
        <v/>
      </c>
      <c r="G168" s="634" t="s">
        <v>24</v>
      </c>
      <c r="H168" s="646" t="str">
        <f>'Budget Filing Data'!G149</f>
        <v>Residential</v>
      </c>
      <c r="I168" s="646" t="str">
        <f>'Budget Filing Data'!I149</f>
        <v>Other</v>
      </c>
      <c r="J168" s="646" t="str">
        <f>'Budget Filing Data'!L149</f>
        <v>Resource Acquisition</v>
      </c>
      <c r="K168" s="647">
        <f>'Budget Filing Data'!B149</f>
        <v>2029</v>
      </c>
      <c r="L168" s="636">
        <f t="shared" si="40"/>
        <v>287384.70030000003</v>
      </c>
      <c r="M168" s="648">
        <v>25412</v>
      </c>
      <c r="N168" s="648">
        <v>16941</v>
      </c>
      <c r="O168" s="648">
        <v>67734</v>
      </c>
      <c r="P168" s="649">
        <v>177297.7003</v>
      </c>
    </row>
    <row r="169" spans="3:16">
      <c r="C169" s="645" t="s">
        <v>1397</v>
      </c>
      <c r="D169" s="645" t="s">
        <v>1398</v>
      </c>
      <c r="E169" s="646" t="s">
        <v>17</v>
      </c>
      <c r="F169" s="646"/>
      <c r="G169" s="634" t="s">
        <v>24</v>
      </c>
      <c r="H169" s="646" t="str">
        <f>H168</f>
        <v>Residential</v>
      </c>
      <c r="I169" s="646" t="str">
        <f t="shared" ref="I169:K169" si="41">I168</f>
        <v>Other</v>
      </c>
      <c r="J169" s="646" t="str">
        <f t="shared" si="41"/>
        <v>Resource Acquisition</v>
      </c>
      <c r="K169" s="647">
        <f t="shared" si="41"/>
        <v>2029</v>
      </c>
      <c r="L169" s="636">
        <f t="shared" si="40"/>
        <v>38338.809000000001</v>
      </c>
      <c r="M169" s="648">
        <v>19600.5985</v>
      </c>
      <c r="N169" s="648">
        <v>750.59259999999995</v>
      </c>
      <c r="O169" s="648">
        <v>17987.617900000001</v>
      </c>
      <c r="P169" s="649">
        <v>0</v>
      </c>
    </row>
    <row r="170" spans="3:16">
      <c r="C170" s="645" t="str">
        <f>'Budget Filing Data'!D150</f>
        <v>SDGE4202</v>
      </c>
      <c r="D170" s="645" t="str">
        <f>'Budget Filing Data'!E150</f>
        <v>Market Access Program - Commercial</v>
      </c>
      <c r="E170" s="646" t="str">
        <f>'Budget Filing Data'!J150</f>
        <v>Third-Party Solicited</v>
      </c>
      <c r="F170" s="646" t="str">
        <f>IF('Budget Filing Data'!H150="","",'Budget Filing Data'!H150)</f>
        <v/>
      </c>
      <c r="G170" s="634" t="s">
        <v>24</v>
      </c>
      <c r="H170" s="646" t="str">
        <f>'Budget Filing Data'!G150</f>
        <v>Commercial</v>
      </c>
      <c r="I170" s="646" t="str">
        <f>'Budget Filing Data'!I150</f>
        <v>Other</v>
      </c>
      <c r="J170" s="646" t="str">
        <f>'Budget Filing Data'!L150</f>
        <v>Resource Acquisition</v>
      </c>
      <c r="K170" s="647">
        <f>'Budget Filing Data'!B150</f>
        <v>2029</v>
      </c>
      <c r="L170" s="636">
        <f t="shared" si="40"/>
        <v>1857580.9939999999</v>
      </c>
      <c r="M170" s="648">
        <v>162385</v>
      </c>
      <c r="N170" s="648">
        <v>108257</v>
      </c>
      <c r="O170" s="648">
        <v>432830</v>
      </c>
      <c r="P170" s="649">
        <v>1154108.9939999999</v>
      </c>
    </row>
    <row r="171" spans="3:16">
      <c r="C171" s="645" t="s">
        <v>1399</v>
      </c>
      <c r="D171" s="645" t="s">
        <v>1400</v>
      </c>
      <c r="E171" s="646" t="s">
        <v>17</v>
      </c>
      <c r="F171" s="646"/>
      <c r="G171" s="634" t="s">
        <v>24</v>
      </c>
      <c r="H171" s="646" t="str">
        <f>H170</f>
        <v>Commercial</v>
      </c>
      <c r="I171" s="646" t="str">
        <f t="shared" ref="I171:K171" si="42">I170</f>
        <v>Other</v>
      </c>
      <c r="J171" s="646" t="str">
        <f t="shared" si="42"/>
        <v>Resource Acquisition</v>
      </c>
      <c r="K171" s="647">
        <f t="shared" si="42"/>
        <v>2029</v>
      </c>
      <c r="L171" s="636">
        <f t="shared" si="40"/>
        <v>207988.94380000001</v>
      </c>
      <c r="M171" s="648">
        <v>110721.71859999999</v>
      </c>
      <c r="N171" s="648">
        <v>750.59259999999995</v>
      </c>
      <c r="O171" s="648">
        <v>96516.632599999997</v>
      </c>
      <c r="P171" s="649">
        <v>0</v>
      </c>
    </row>
    <row r="172" spans="3:16">
      <c r="C172" s="632" t="str">
        <f>'Budget Filing Data'!D151</f>
        <v>SDGE_SW_HVAC_AE_NonRes</v>
      </c>
      <c r="D172" s="632" t="str">
        <f>'Budget Filing Data'!E151</f>
        <v>SW HVAC All Electric Non-Residential</v>
      </c>
      <c r="E172" s="633" t="str">
        <f>'Budget Filing Data'!J151</f>
        <v>Third-Party Solicited</v>
      </c>
      <c r="F172" s="633" t="str">
        <f>IF('Budget Filing Data'!H151="","",'Budget Filing Data'!H151)</f>
        <v>SW_HVAC_AE_NonRes - SW HVAC All Electric Non-Residential</v>
      </c>
      <c r="G172" s="634" t="s">
        <v>24</v>
      </c>
      <c r="H172" s="633" t="str">
        <f>'Budget Filing Data'!G151</f>
        <v>Commercial</v>
      </c>
      <c r="I172" s="633" t="str">
        <f>'Budget Filing Data'!I151</f>
        <v>Market Transformation</v>
      </c>
      <c r="J172" s="633" t="str">
        <f>'Budget Filing Data'!L151</f>
        <v>Resource Acquisition</v>
      </c>
      <c r="K172" s="635">
        <f>'Budget Filing Data'!B151</f>
        <v>2029</v>
      </c>
      <c r="L172" s="636">
        <f t="shared" si="40"/>
        <v>858176.59330000007</v>
      </c>
      <c r="M172" s="637">
        <f>'Budget Filing Data'!AQ151</f>
        <v>102981.1905</v>
      </c>
      <c r="N172" s="637">
        <f>'Budget Filing Data'!AR151</f>
        <v>68654.127399999998</v>
      </c>
      <c r="O172" s="637">
        <f>'Budget Filing Data'!AS151</f>
        <v>454804.65210000001</v>
      </c>
      <c r="P172" s="638">
        <f>'Budget Filing Data'!AT151</f>
        <v>231736.62330000015</v>
      </c>
    </row>
    <row r="173" spans="3:16">
      <c r="C173" s="632" t="str">
        <f>'Budget Filing Data'!D152</f>
        <v>SDGE_SW_HVAC_AE_NonRes_PA</v>
      </c>
      <c r="D173" s="632" t="str">
        <f>'Budget Filing Data'!E152</f>
        <v>SW HVAC All Electric Non-Residential (Utility)</v>
      </c>
      <c r="E173" s="633" t="str">
        <f>'Budget Filing Data'!J152</f>
        <v>IOU Core</v>
      </c>
      <c r="F173" s="633" t="str">
        <f>IF('Budget Filing Data'!H152="","",'Budget Filing Data'!H152)</f>
        <v>SW_HVAC_AE_NonRes - SW HVAC All Electric Non-Residential</v>
      </c>
      <c r="G173" s="634" t="s">
        <v>24</v>
      </c>
      <c r="H173" s="633" t="str">
        <f>'Budget Filing Data'!G152</f>
        <v>Commercial</v>
      </c>
      <c r="I173" s="633" t="str">
        <f>'Budget Filing Data'!I152</f>
        <v>Market Transformation</v>
      </c>
      <c r="J173" s="633" t="str">
        <f>'Budget Filing Data'!L152</f>
        <v>Resource Acquisition</v>
      </c>
      <c r="K173" s="635">
        <f>'Budget Filing Data'!B152</f>
        <v>2029</v>
      </c>
      <c r="L173" s="636">
        <f t="shared" si="40"/>
        <v>7084.6525000000001</v>
      </c>
      <c r="M173" s="637">
        <f>'Budget Filing Data'!AQ152</f>
        <v>7084.6525000000001</v>
      </c>
      <c r="N173" s="637">
        <f>'Budget Filing Data'!AR152</f>
        <v>0</v>
      </c>
      <c r="O173" s="637">
        <f>'Budget Filing Data'!AS152</f>
        <v>0</v>
      </c>
      <c r="P173" s="638">
        <f>'Budget Filing Data'!AT152</f>
        <v>0</v>
      </c>
    </row>
    <row r="174" spans="3:16">
      <c r="C174" s="632" t="str">
        <f>'Budget Filing Data'!D153</f>
        <v>SDGE_OtherPA_Admin</v>
      </c>
      <c r="D174" s="632" t="str">
        <f>'Budget Filing Data'!E153</f>
        <v>Other PA Collaboration</v>
      </c>
      <c r="E174" s="633" t="str">
        <f>'Budget Filing Data'!J153</f>
        <v>Non-Program</v>
      </c>
      <c r="F174" s="633" t="str">
        <f>IF('Budget Filing Data'!H153="","",'Budget Filing Data'!H153)</f>
        <v/>
      </c>
      <c r="G174" s="634" t="s">
        <v>15</v>
      </c>
      <c r="H174" s="633" t="str">
        <f>'Budget Filing Data'!G153</f>
        <v>Cross Cutting</v>
      </c>
      <c r="I174" s="633" t="str">
        <f>'Budget Filing Data'!I153</f>
        <v>Other</v>
      </c>
      <c r="J174" s="633" t="str">
        <f>'Budget Filing Data'!L153</f>
        <v>Market Support</v>
      </c>
      <c r="K174" s="635">
        <f>'Budget Filing Data'!B153</f>
        <v>2029</v>
      </c>
      <c r="L174" s="636">
        <f t="shared" si="40"/>
        <v>129420.14939999999</v>
      </c>
      <c r="M174" s="637">
        <f>'Budget Filing Data'!AQ153</f>
        <v>129420.14939999999</v>
      </c>
      <c r="N174" s="637">
        <f>'Budget Filing Data'!AR153</f>
        <v>0</v>
      </c>
      <c r="O174" s="637">
        <f>'Budget Filing Data'!AS153</f>
        <v>0</v>
      </c>
      <c r="P174" s="638">
        <f>'Budget Filing Data'!AT153</f>
        <v>0</v>
      </c>
    </row>
    <row r="175" spans="3:16">
      <c r="C175" s="632" t="str">
        <f>'Budget Filing Data'!D154</f>
        <v>SDGE3251</v>
      </c>
      <c r="D175" s="632" t="str">
        <f>'Budget Filing Data'!E154</f>
        <v>SW C&amp;S - Compliance Enhancement</v>
      </c>
      <c r="E175" s="633" t="str">
        <f>'Budget Filing Data'!J154</f>
        <v>IOU Core</v>
      </c>
      <c r="F175" s="633" t="str">
        <f>IF('Budget Filing Data'!H154="","",'Budget Filing Data'!H154)</f>
        <v/>
      </c>
      <c r="G175" s="634" t="s">
        <v>15</v>
      </c>
      <c r="H175" s="633" t="str">
        <f>'Budget Filing Data'!G154</f>
        <v>Cross Cutting</v>
      </c>
      <c r="I175" s="633" t="str">
        <f>'Budget Filing Data'!I154</f>
        <v>Codes and Standards</v>
      </c>
      <c r="J175" s="633" t="str">
        <f>'Budget Filing Data'!L154</f>
        <v>Codes and Standards</v>
      </c>
      <c r="K175" s="635">
        <f>'Budget Filing Data'!B154</f>
        <v>2030</v>
      </c>
      <c r="L175" s="636">
        <f t="shared" si="40"/>
        <v>1183526.1362000001</v>
      </c>
      <c r="M175" s="637">
        <f>'Budget Filing Data'!AQ154</f>
        <v>35261.916100000002</v>
      </c>
      <c r="N175" s="637">
        <f>'Budget Filing Data'!AR154</f>
        <v>0</v>
      </c>
      <c r="O175" s="637">
        <f>'Budget Filing Data'!AS154</f>
        <v>1148264.2201</v>
      </c>
      <c r="P175" s="638">
        <f>'Budget Filing Data'!AT154</f>
        <v>0</v>
      </c>
    </row>
    <row r="176" spans="3:16">
      <c r="C176" s="632" t="str">
        <f>'Budget Filing Data'!D155</f>
        <v>SDGE3252</v>
      </c>
      <c r="D176" s="632" t="str">
        <f>'Budget Filing Data'!E155</f>
        <v>SW C&amp;S - Reach Codes</v>
      </c>
      <c r="E176" s="633" t="str">
        <f>'Budget Filing Data'!J155</f>
        <v>IOU Core</v>
      </c>
      <c r="F176" s="633" t="str">
        <f>IF('Budget Filing Data'!H155="","",'Budget Filing Data'!H155)</f>
        <v/>
      </c>
      <c r="G176" s="634" t="s">
        <v>15</v>
      </c>
      <c r="H176" s="633" t="str">
        <f>'Budget Filing Data'!G155</f>
        <v>Cross Cutting</v>
      </c>
      <c r="I176" s="633" t="str">
        <f>'Budget Filing Data'!I155</f>
        <v>Codes and Standards</v>
      </c>
      <c r="J176" s="633" t="str">
        <f>'Budget Filing Data'!L155</f>
        <v>Codes and Standards</v>
      </c>
      <c r="K176" s="635">
        <f>'Budget Filing Data'!B155</f>
        <v>2030</v>
      </c>
      <c r="L176" s="636">
        <f t="shared" si="40"/>
        <v>1108886.9911</v>
      </c>
      <c r="M176" s="637">
        <f>'Budget Filing Data'!AQ155</f>
        <v>24149.9702</v>
      </c>
      <c r="N176" s="637">
        <f>'Budget Filing Data'!AR155</f>
        <v>0</v>
      </c>
      <c r="O176" s="637">
        <f>'Budget Filing Data'!AS155</f>
        <v>1084737.0208999999</v>
      </c>
      <c r="P176" s="638">
        <f>'Budget Filing Data'!AT155</f>
        <v>0</v>
      </c>
    </row>
    <row r="177" spans="3:16">
      <c r="C177" s="632" t="str">
        <f>'Budget Filing Data'!D156</f>
        <v>SDGE3253</v>
      </c>
      <c r="D177" s="632" t="str">
        <f>'Budget Filing Data'!E156</f>
        <v>SW C&amp;S - Planning Coordination</v>
      </c>
      <c r="E177" s="633" t="str">
        <f>'Budget Filing Data'!J156</f>
        <v>IOU Core</v>
      </c>
      <c r="F177" s="633" t="str">
        <f>IF('Budget Filing Data'!H156="","",'Budget Filing Data'!H156)</f>
        <v/>
      </c>
      <c r="G177" s="634" t="s">
        <v>15</v>
      </c>
      <c r="H177" s="633" t="str">
        <f>'Budget Filing Data'!G156</f>
        <v>Cross Cutting</v>
      </c>
      <c r="I177" s="633" t="str">
        <f>'Budget Filing Data'!I156</f>
        <v>Codes and Standards</v>
      </c>
      <c r="J177" s="633" t="str">
        <f>'Budget Filing Data'!L156</f>
        <v>Codes and Standards</v>
      </c>
      <c r="K177" s="635">
        <f>'Budget Filing Data'!B156</f>
        <v>2030</v>
      </c>
      <c r="L177" s="636">
        <f t="shared" si="40"/>
        <v>820265.33100000001</v>
      </c>
      <c r="M177" s="637">
        <f>'Budget Filing Data'!AQ156</f>
        <v>20970.623200000002</v>
      </c>
      <c r="N177" s="637">
        <f>'Budget Filing Data'!AR156</f>
        <v>0</v>
      </c>
      <c r="O177" s="637">
        <f>'Budget Filing Data'!AS156</f>
        <v>799294.70779999997</v>
      </c>
      <c r="P177" s="638">
        <f>'Budget Filing Data'!AT156</f>
        <v>0</v>
      </c>
    </row>
    <row r="178" spans="3:16">
      <c r="C178" s="632" t="str">
        <f>'Budget Filing Data'!D157</f>
        <v>SDGE3262</v>
      </c>
      <c r="D178" s="632" t="str">
        <f>'Budget Filing Data'!E157</f>
        <v>SW-FIN-On-Bill Finance</v>
      </c>
      <c r="E178" s="633" t="str">
        <f>'Budget Filing Data'!J157</f>
        <v>IOU Core</v>
      </c>
      <c r="F178" s="633" t="str">
        <f>IF('Budget Filing Data'!H157="","",'Budget Filing Data'!H157)</f>
        <v/>
      </c>
      <c r="G178" s="634" t="s">
        <v>15</v>
      </c>
      <c r="H178" s="633" t="str">
        <f>'Budget Filing Data'!G157</f>
        <v>Commercial</v>
      </c>
      <c r="I178" s="633" t="str">
        <f>'Budget Filing Data'!I157</f>
        <v>Financing</v>
      </c>
      <c r="J178" s="633" t="str">
        <f>'Budget Filing Data'!L157</f>
        <v>Market Support</v>
      </c>
      <c r="K178" s="635">
        <f>'Budget Filing Data'!B157</f>
        <v>2030</v>
      </c>
      <c r="L178" s="636">
        <f t="shared" si="40"/>
        <v>115799.84099999999</v>
      </c>
      <c r="M178" s="637">
        <f>'Budget Filing Data'!AQ157</f>
        <v>45845.427799999998</v>
      </c>
      <c r="N178" s="637">
        <f>'Budget Filing Data'!AR157</f>
        <v>773.11030000000005</v>
      </c>
      <c r="O178" s="637">
        <f>'Budget Filing Data'!AS157</f>
        <v>69181.302899999995</v>
      </c>
      <c r="P178" s="638">
        <f>'Budget Filing Data'!AT157</f>
        <v>0</v>
      </c>
    </row>
    <row r="179" spans="3:16">
      <c r="C179" s="632" t="str">
        <f>'Budget Filing Data'!D158</f>
        <v>SDGE3280</v>
      </c>
      <c r="D179" s="632" t="str">
        <f>'Budget Filing Data'!E158</f>
        <v>3P-IDEEA</v>
      </c>
      <c r="E179" s="633" t="str">
        <f>'Budget Filing Data'!J158</f>
        <v>Non-Program</v>
      </c>
      <c r="F179" s="633" t="str">
        <f>IF('Budget Filing Data'!H158="","",'Budget Filing Data'!H158)</f>
        <v/>
      </c>
      <c r="G179" s="634" t="s">
        <v>15</v>
      </c>
      <c r="H179" s="633" t="str">
        <f>'Budget Filing Data'!G158</f>
        <v>Cross Cutting</v>
      </c>
      <c r="I179" s="633" t="str">
        <f>'Budget Filing Data'!I158</f>
        <v>Market Education Outreach</v>
      </c>
      <c r="J179" s="633" t="str">
        <f>'Budget Filing Data'!L158</f>
        <v>Market Support</v>
      </c>
      <c r="K179" s="635">
        <f>'Budget Filing Data'!B158</f>
        <v>2030</v>
      </c>
      <c r="L179" s="636">
        <f t="shared" si="40"/>
        <v>159023.57999999999</v>
      </c>
      <c r="M179" s="637">
        <f>'Budget Filing Data'!AQ158</f>
        <v>159023.57999999999</v>
      </c>
      <c r="N179" s="637">
        <f>'Budget Filing Data'!AR158</f>
        <v>0</v>
      </c>
      <c r="O179" s="637">
        <f>'Budget Filing Data'!AS158</f>
        <v>0</v>
      </c>
      <c r="P179" s="638">
        <f>'Budget Filing Data'!AT158</f>
        <v>0</v>
      </c>
    </row>
    <row r="180" spans="3:16">
      <c r="C180" s="632" t="str">
        <f>'Budget Filing Data'!D159</f>
        <v>SDGE3281</v>
      </c>
      <c r="D180" s="632" t="str">
        <f>'Budget Filing Data'!E159</f>
        <v>EM&amp;V-Evaluation Measurement &amp; Verification</v>
      </c>
      <c r="E180" s="633" t="str">
        <f>'Budget Filing Data'!J159</f>
        <v>Non-Program</v>
      </c>
      <c r="F180" s="633" t="str">
        <f>IF('Budget Filing Data'!H159="","",'Budget Filing Data'!H159)</f>
        <v/>
      </c>
      <c r="G180" s="634" t="s">
        <v>24</v>
      </c>
      <c r="H180" s="633" t="str">
        <f>'Budget Filing Data'!G159</f>
        <v>Cross Cutting</v>
      </c>
      <c r="I180" s="633" t="str">
        <f>'Budget Filing Data'!I159</f>
        <v>Evaluation Measurement and Verification</v>
      </c>
      <c r="J180" s="633" t="str">
        <f>'Budget Filing Data'!L159</f>
        <v>Evaluation, Measurement, and Verification</v>
      </c>
      <c r="K180" s="635">
        <f>'Budget Filing Data'!B159</f>
        <v>2030</v>
      </c>
      <c r="L180" s="636">
        <f t="shared" si="40"/>
        <v>2751062.3849999998</v>
      </c>
      <c r="M180" s="637">
        <f>'Budget Filing Data'!AQ159</f>
        <v>2751062.3849999998</v>
      </c>
      <c r="N180" s="637">
        <f>'Budget Filing Data'!AR159</f>
        <v>0</v>
      </c>
      <c r="O180" s="637">
        <f>'Budget Filing Data'!AS159</f>
        <v>0</v>
      </c>
      <c r="P180" s="638">
        <f>'Budget Filing Data'!AT159</f>
        <v>0</v>
      </c>
    </row>
    <row r="181" spans="3:16">
      <c r="C181" s="645" t="str">
        <f>'Budget Filing Data'!D160</f>
        <v>SDGE4001</v>
      </c>
      <c r="D181" s="645" t="str">
        <f>'Budget Filing Data'!E160</f>
        <v>Single Family Program</v>
      </c>
      <c r="E181" s="646" t="str">
        <f>'Budget Filing Data'!J160</f>
        <v>Third-Party Solicited</v>
      </c>
      <c r="F181" s="646" t="str">
        <f>IF('Budget Filing Data'!H160="","",'Budget Filing Data'!H160)</f>
        <v/>
      </c>
      <c r="G181" s="634" t="s">
        <v>24</v>
      </c>
      <c r="H181" s="646" t="str">
        <f>'Budget Filing Data'!G160</f>
        <v>Residential</v>
      </c>
      <c r="I181" s="646" t="str">
        <f>'Budget Filing Data'!I160</f>
        <v>Other</v>
      </c>
      <c r="J181" s="646" t="str">
        <f>'Budget Filing Data'!L160</f>
        <v>Resource Acquisition</v>
      </c>
      <c r="K181" s="647">
        <f>'Budget Filing Data'!B160</f>
        <v>2030</v>
      </c>
      <c r="L181" s="636">
        <f t="shared" si="40"/>
        <v>4999999.9989999998</v>
      </c>
      <c r="M181" s="648">
        <v>150000</v>
      </c>
      <c r="N181" s="648">
        <v>150000</v>
      </c>
      <c r="O181" s="648">
        <v>50000</v>
      </c>
      <c r="P181" s="649">
        <v>4649999.9989999998</v>
      </c>
    </row>
    <row r="182" spans="3:16">
      <c r="C182" s="645" t="s">
        <v>1378</v>
      </c>
      <c r="D182" s="645" t="s">
        <v>1379</v>
      </c>
      <c r="E182" s="646" t="s">
        <v>17</v>
      </c>
      <c r="F182" s="646"/>
      <c r="G182" s="634" t="s">
        <v>24</v>
      </c>
      <c r="H182" s="646" t="str">
        <f>H181</f>
        <v>Residential</v>
      </c>
      <c r="I182" s="646" t="str">
        <f t="shared" ref="I182:K182" si="43">I181</f>
        <v>Other</v>
      </c>
      <c r="J182" s="646" t="str">
        <f t="shared" si="43"/>
        <v>Resource Acquisition</v>
      </c>
      <c r="K182" s="647">
        <f t="shared" si="43"/>
        <v>2030</v>
      </c>
      <c r="L182" s="636">
        <f t="shared" si="40"/>
        <v>493186.55500000005</v>
      </c>
      <c r="M182" s="648">
        <v>152683.82399999999</v>
      </c>
      <c r="N182" s="648">
        <v>773.11030000000005</v>
      </c>
      <c r="O182" s="648">
        <v>339729.62070000003</v>
      </c>
      <c r="P182" s="649">
        <v>0</v>
      </c>
    </row>
    <row r="183" spans="3:16">
      <c r="C183" s="645" t="str">
        <f>'Budget Filing Data'!D161</f>
        <v>SDGE4002</v>
      </c>
      <c r="D183" s="645" t="str">
        <f>'Budget Filing Data'!E161</f>
        <v>Multi Family Program</v>
      </c>
      <c r="E183" s="646" t="str">
        <f>'Budget Filing Data'!J161</f>
        <v>Third-Party Solicited</v>
      </c>
      <c r="F183" s="646" t="str">
        <f>IF('Budget Filing Data'!H161="","",'Budget Filing Data'!H161)</f>
        <v/>
      </c>
      <c r="G183" s="634" t="s">
        <v>24</v>
      </c>
      <c r="H183" s="646" t="str">
        <f>'Budget Filing Data'!G161</f>
        <v>Residential</v>
      </c>
      <c r="I183" s="646" t="str">
        <f>'Budget Filing Data'!I161</f>
        <v>Other</v>
      </c>
      <c r="J183" s="646" t="str">
        <f>'Budget Filing Data'!L161</f>
        <v>Resource Acquisition</v>
      </c>
      <c r="K183" s="647">
        <f>'Budget Filing Data'!B161</f>
        <v>2030</v>
      </c>
      <c r="L183" s="636">
        <f t="shared" si="40"/>
        <v>9999999.9989999998</v>
      </c>
      <c r="M183" s="648">
        <v>300000</v>
      </c>
      <c r="N183" s="648">
        <v>300000</v>
      </c>
      <c r="O183" s="648">
        <v>100000</v>
      </c>
      <c r="P183" s="649">
        <v>9299999.9989999998</v>
      </c>
    </row>
    <row r="184" spans="3:16">
      <c r="C184" s="645" t="s">
        <v>1380</v>
      </c>
      <c r="D184" s="645" t="s">
        <v>1381</v>
      </c>
      <c r="E184" s="646" t="s">
        <v>17</v>
      </c>
      <c r="F184" s="646"/>
      <c r="G184" s="634" t="s">
        <v>24</v>
      </c>
      <c r="H184" s="646" t="str">
        <f>H183</f>
        <v>Residential</v>
      </c>
      <c r="I184" s="646" t="str">
        <f t="shared" ref="I184:K184" si="44">I183</f>
        <v>Other</v>
      </c>
      <c r="J184" s="646" t="str">
        <f t="shared" si="44"/>
        <v>Resource Acquisition</v>
      </c>
      <c r="K184" s="647">
        <f t="shared" si="44"/>
        <v>2030</v>
      </c>
      <c r="L184" s="636">
        <f t="shared" si="40"/>
        <v>985772.33450000011</v>
      </c>
      <c r="M184" s="648">
        <v>303900.74190000002</v>
      </c>
      <c r="N184" s="648">
        <v>773.11030000000005</v>
      </c>
      <c r="O184" s="648">
        <v>681098.48230000003</v>
      </c>
      <c r="P184" s="649">
        <v>0</v>
      </c>
    </row>
    <row r="185" spans="3:16">
      <c r="C185" s="645" t="str">
        <f>'Budget Filing Data'!D162</f>
        <v>SDGE4006</v>
      </c>
      <c r="D185" s="645" t="str">
        <f>'Budget Filing Data'!E162</f>
        <v>Industrial Sector Program</v>
      </c>
      <c r="E185" s="646" t="str">
        <f>'Budget Filing Data'!J162</f>
        <v>Third-Party Solicited</v>
      </c>
      <c r="F185" s="646" t="str">
        <f>IF('Budget Filing Data'!H162="","",'Budget Filing Data'!H162)</f>
        <v/>
      </c>
      <c r="G185" s="634" t="s">
        <v>24</v>
      </c>
      <c r="H185" s="646" t="str">
        <f>'Budget Filing Data'!G162</f>
        <v>Industrial</v>
      </c>
      <c r="I185" s="646" t="str">
        <f>'Budget Filing Data'!I162</f>
        <v>Other</v>
      </c>
      <c r="J185" s="646" t="str">
        <f>'Budget Filing Data'!L162</f>
        <v>Resource Acquisition</v>
      </c>
      <c r="K185" s="647">
        <f>'Budget Filing Data'!B162</f>
        <v>2030</v>
      </c>
      <c r="L185" s="636">
        <f t="shared" si="40"/>
        <v>8144877.7000000002</v>
      </c>
      <c r="M185" s="648">
        <v>488692.66</v>
      </c>
      <c r="N185" s="648">
        <v>407243.89</v>
      </c>
      <c r="O185" s="648">
        <v>5496899.1500000004</v>
      </c>
      <c r="P185" s="649">
        <v>1752042</v>
      </c>
    </row>
    <row r="186" spans="3:16">
      <c r="C186" s="645" t="s">
        <v>1382</v>
      </c>
      <c r="D186" s="645" t="s">
        <v>1383</v>
      </c>
      <c r="E186" s="646" t="s">
        <v>17</v>
      </c>
      <c r="F186" s="646"/>
      <c r="G186" s="634" t="s">
        <v>24</v>
      </c>
      <c r="H186" s="646" t="str">
        <f>H185</f>
        <v>Industrial</v>
      </c>
      <c r="I186" s="646" t="str">
        <f t="shared" ref="I186:K186" si="45">I185</f>
        <v>Other</v>
      </c>
      <c r="J186" s="646" t="str">
        <f t="shared" si="45"/>
        <v>Resource Acquisition</v>
      </c>
      <c r="K186" s="647">
        <f t="shared" si="45"/>
        <v>2030</v>
      </c>
      <c r="L186" s="636">
        <f t="shared" si="40"/>
        <v>1186187.7805000001</v>
      </c>
      <c r="M186" s="648">
        <v>338731.20380000002</v>
      </c>
      <c r="N186" s="648">
        <v>773.11030000000005</v>
      </c>
      <c r="O186" s="648">
        <v>846683.46640000003</v>
      </c>
      <c r="P186" s="649">
        <v>0</v>
      </c>
    </row>
    <row r="187" spans="3:16">
      <c r="C187" s="645" t="str">
        <f>'Budget Filing Data'!D163</f>
        <v>SDGE4040</v>
      </c>
      <c r="D187" s="645" t="str">
        <f>'Budget Filing Data'!E163</f>
        <v>IDSM Local Residential Behavioral Program (EE)</v>
      </c>
      <c r="E187" s="646" t="str">
        <f>'Budget Filing Data'!J163</f>
        <v>Third-Party Solicited</v>
      </c>
      <c r="F187" s="646" t="str">
        <f>IF('Budget Filing Data'!H163="","",'Budget Filing Data'!H163)</f>
        <v/>
      </c>
      <c r="G187" s="634" t="s">
        <v>24</v>
      </c>
      <c r="H187" s="646" t="str">
        <f>'Budget Filing Data'!G163</f>
        <v>Residential</v>
      </c>
      <c r="I187" s="646" t="str">
        <f>'Budget Filing Data'!I163</f>
        <v>Other</v>
      </c>
      <c r="J187" s="646" t="str">
        <f>'Budget Filing Data'!L163</f>
        <v>Resource Acquisition</v>
      </c>
      <c r="K187" s="647">
        <f>'Budget Filing Data'!B163</f>
        <v>2030</v>
      </c>
      <c r="L187" s="636">
        <f t="shared" si="40"/>
        <v>3539844.1399999997</v>
      </c>
      <c r="M187" s="648">
        <v>353984.41399999999</v>
      </c>
      <c r="N187" s="648">
        <v>0</v>
      </c>
      <c r="O187" s="648">
        <v>3185859.7259999998</v>
      </c>
      <c r="P187" s="649">
        <v>0</v>
      </c>
    </row>
    <row r="188" spans="3:16">
      <c r="C188" s="645" t="s">
        <v>1384</v>
      </c>
      <c r="D188" s="645" t="s">
        <v>1385</v>
      </c>
      <c r="E188" s="646" t="s">
        <v>17</v>
      </c>
      <c r="F188" s="646"/>
      <c r="G188" s="634" t="s">
        <v>24</v>
      </c>
      <c r="H188" s="646" t="str">
        <f>H187</f>
        <v>Residential</v>
      </c>
      <c r="I188" s="646" t="str">
        <f t="shared" ref="I188:K188" si="46">I187</f>
        <v>Other</v>
      </c>
      <c r="J188" s="646" t="str">
        <f t="shared" si="46"/>
        <v>Resource Acquisition</v>
      </c>
      <c r="K188" s="647">
        <f t="shared" si="46"/>
        <v>2030</v>
      </c>
      <c r="L188" s="636">
        <f t="shared" si="40"/>
        <v>163303.05119999999</v>
      </c>
      <c r="M188" s="648">
        <v>99797.756399999998</v>
      </c>
      <c r="N188" s="648">
        <v>18554.648000000001</v>
      </c>
      <c r="O188" s="648">
        <v>44950.646800000002</v>
      </c>
      <c r="P188" s="649">
        <v>0</v>
      </c>
    </row>
    <row r="189" spans="3:16">
      <c r="C189" s="632" t="str">
        <f>'Budget Filing Data'!D164</f>
        <v>SDGE_SW_CSA_Natl</v>
      </c>
      <c r="D189" s="632" t="str">
        <f>'Budget Filing Data'!E164</f>
        <v>SW Codes &amp; Standards Advocacy - National Codes &amp; Standards Advocacy</v>
      </c>
      <c r="E189" s="633" t="str">
        <f>'Budget Filing Data'!J164</f>
        <v>Third-Party Solicited</v>
      </c>
      <c r="F189" s="633" t="str">
        <f>IF('Budget Filing Data'!H164="","",'Budget Filing Data'!H164)</f>
        <v>SW_CSA_Natl - Codes and Standards National Codes Advocacy</v>
      </c>
      <c r="G189" s="634" t="s">
        <v>24</v>
      </c>
      <c r="H189" s="633" t="str">
        <f>'Budget Filing Data'!G164</f>
        <v>Cross Cutting</v>
      </c>
      <c r="I189" s="633" t="str">
        <f>'Budget Filing Data'!I164</f>
        <v>Codes and Standards</v>
      </c>
      <c r="J189" s="633" t="str">
        <f>'Budget Filing Data'!L164</f>
        <v>Codes and Standards</v>
      </c>
      <c r="K189" s="635">
        <f>'Budget Filing Data'!B164</f>
        <v>2030</v>
      </c>
      <c r="L189" s="636">
        <f t="shared" si="40"/>
        <v>423899.28909999999</v>
      </c>
      <c r="M189" s="637">
        <f>'Budget Filing Data'!AQ164</f>
        <v>0</v>
      </c>
      <c r="N189" s="637">
        <f>'Budget Filing Data'!AR164</f>
        <v>0</v>
      </c>
      <c r="O189" s="637">
        <f>'Budget Filing Data'!AS164</f>
        <v>423899.28909999999</v>
      </c>
      <c r="P189" s="638">
        <f>'Budget Filing Data'!AT164</f>
        <v>0</v>
      </c>
    </row>
    <row r="190" spans="3:16">
      <c r="C190" s="632" t="str">
        <f>'Budget Filing Data'!D165</f>
        <v>SDGE_SW_CSA_Natl_PA</v>
      </c>
      <c r="D190" s="632" t="str">
        <f>'Budget Filing Data'!E165</f>
        <v>SW Codes &amp; Standards Advocacy - National Codes &amp; Standards Advocacy (Utility)</v>
      </c>
      <c r="E190" s="633" t="str">
        <f>'Budget Filing Data'!J165</f>
        <v>IOU Core</v>
      </c>
      <c r="F190" s="633" t="str">
        <f>IF('Budget Filing Data'!H165="","",'Budget Filing Data'!H165)</f>
        <v>SW_CSA_Natl - Codes and Standards National Codes Advocacy</v>
      </c>
      <c r="G190" s="634" t="s">
        <v>24</v>
      </c>
      <c r="H190" s="633" t="str">
        <f>'Budget Filing Data'!G165</f>
        <v>Cross Cutting</v>
      </c>
      <c r="I190" s="633" t="str">
        <f>'Budget Filing Data'!I165</f>
        <v>Codes and Standards</v>
      </c>
      <c r="J190" s="633" t="str">
        <f>'Budget Filing Data'!L165</f>
        <v>Codes and Standards</v>
      </c>
      <c r="K190" s="635">
        <f>'Budget Filing Data'!B165</f>
        <v>2030</v>
      </c>
      <c r="L190" s="636">
        <f t="shared" si="40"/>
        <v>63484.8482</v>
      </c>
      <c r="M190" s="637">
        <f>'Budget Filing Data'!AQ165</f>
        <v>14672.967699999999</v>
      </c>
      <c r="N190" s="637">
        <f>'Budget Filing Data'!AR165</f>
        <v>0</v>
      </c>
      <c r="O190" s="637">
        <f>'Budget Filing Data'!AS165</f>
        <v>48811.880499999999</v>
      </c>
      <c r="P190" s="638">
        <f>'Budget Filing Data'!AT165</f>
        <v>0</v>
      </c>
    </row>
    <row r="191" spans="3:16">
      <c r="C191" s="632" t="str">
        <f>'Budget Filing Data'!D166</f>
        <v>SDGE_SW_CSA_Appl</v>
      </c>
      <c r="D191" s="632" t="str">
        <f>'Budget Filing Data'!E166</f>
        <v>SW Codes &amp; Standards Advocacy - State Appliance Standards</v>
      </c>
      <c r="E191" s="633" t="str">
        <f>'Budget Filing Data'!J166</f>
        <v>Third-Party Solicited</v>
      </c>
      <c r="F191" s="633" t="str">
        <f>IF('Budget Filing Data'!H166="","",'Budget Filing Data'!H166)</f>
        <v>SW_CSA_Appl - Codes and Standards Appliance Advocacy</v>
      </c>
      <c r="G191" s="634" t="s">
        <v>24</v>
      </c>
      <c r="H191" s="633" t="str">
        <f>'Budget Filing Data'!G166</f>
        <v>Cross Cutting</v>
      </c>
      <c r="I191" s="633" t="str">
        <f>'Budget Filing Data'!I166</f>
        <v>Codes and Standards</v>
      </c>
      <c r="J191" s="633" t="str">
        <f>'Budget Filing Data'!L166</f>
        <v>Codes and Standards</v>
      </c>
      <c r="K191" s="635">
        <f>'Budget Filing Data'!B166</f>
        <v>2030</v>
      </c>
      <c r="L191" s="636">
        <f t="shared" si="40"/>
        <v>333070.63510000001</v>
      </c>
      <c r="M191" s="637">
        <f>'Budget Filing Data'!AQ166</f>
        <v>0</v>
      </c>
      <c r="N191" s="637">
        <f>'Budget Filing Data'!AR166</f>
        <v>0</v>
      </c>
      <c r="O191" s="637">
        <f>'Budget Filing Data'!AS166</f>
        <v>333070.63510000001</v>
      </c>
      <c r="P191" s="638">
        <f>'Budget Filing Data'!AT166</f>
        <v>0</v>
      </c>
    </row>
    <row r="192" spans="3:16">
      <c r="C192" s="632" t="str">
        <f>'Budget Filing Data'!D167</f>
        <v>SDGE_SW_CSA_Appl_PA</v>
      </c>
      <c r="D192" s="632" t="str">
        <f>'Budget Filing Data'!E167</f>
        <v>SW Codes &amp; Standards Advocacy - State Appliance Standards (Utility)</v>
      </c>
      <c r="E192" s="633" t="str">
        <f>'Budget Filing Data'!J167</f>
        <v>IOU Core</v>
      </c>
      <c r="F192" s="633" t="str">
        <f>IF('Budget Filing Data'!H167="","",'Budget Filing Data'!H167)</f>
        <v>SW_CSA_Appl - Codes and Standards Appliance Advocacy</v>
      </c>
      <c r="G192" s="634" t="s">
        <v>24</v>
      </c>
      <c r="H192" s="633" t="str">
        <f>'Budget Filing Data'!G167</f>
        <v>Cross Cutting</v>
      </c>
      <c r="I192" s="633" t="str">
        <f>'Budget Filing Data'!I167</f>
        <v>Codes and Standards</v>
      </c>
      <c r="J192" s="633" t="str">
        <f>'Budget Filing Data'!L167</f>
        <v>Codes and Standards</v>
      </c>
      <c r="K192" s="635">
        <f>'Budget Filing Data'!B167</f>
        <v>2030</v>
      </c>
      <c r="L192" s="636">
        <f t="shared" si="40"/>
        <v>65064.948199999999</v>
      </c>
      <c r="M192" s="637">
        <f>'Budget Filing Data'!AQ167</f>
        <v>14238.6</v>
      </c>
      <c r="N192" s="637">
        <f>'Budget Filing Data'!AR167</f>
        <v>0</v>
      </c>
      <c r="O192" s="637">
        <f>'Budget Filing Data'!AS167</f>
        <v>50826.3482</v>
      </c>
      <c r="P192" s="638">
        <f>'Budget Filing Data'!AT167</f>
        <v>0</v>
      </c>
    </row>
    <row r="193" spans="3:16">
      <c r="C193" s="632" t="str">
        <f>'Budget Filing Data'!D168</f>
        <v>SDGE_SW_CSA_Bldg</v>
      </c>
      <c r="D193" s="632" t="str">
        <f>'Budget Filing Data'!E168</f>
        <v>SW Codes &amp; Standards Advocacy - State Building Codes</v>
      </c>
      <c r="E193" s="633" t="str">
        <f>'Budget Filing Data'!J168</f>
        <v>Third-Party Solicited</v>
      </c>
      <c r="F193" s="633" t="str">
        <f>IF('Budget Filing Data'!H168="","",'Budget Filing Data'!H168)</f>
        <v>SW_CSA_Bldg - Codes and Standards Building Codes Advocacy</v>
      </c>
      <c r="G193" s="634" t="s">
        <v>24</v>
      </c>
      <c r="H193" s="633" t="str">
        <f>'Budget Filing Data'!G168</f>
        <v>Cross Cutting</v>
      </c>
      <c r="I193" s="633" t="str">
        <f>'Budget Filing Data'!I168</f>
        <v>Codes and Standards</v>
      </c>
      <c r="J193" s="633" t="str">
        <f>'Budget Filing Data'!L168</f>
        <v>Codes and Standards</v>
      </c>
      <c r="K193" s="635">
        <f>'Budget Filing Data'!B168</f>
        <v>2030</v>
      </c>
      <c r="L193" s="636">
        <f t="shared" si="40"/>
        <v>699685.34719999996</v>
      </c>
      <c r="M193" s="637">
        <f>'Budget Filing Data'!AQ168</f>
        <v>0</v>
      </c>
      <c r="N193" s="637">
        <f>'Budget Filing Data'!AR168</f>
        <v>0</v>
      </c>
      <c r="O193" s="637">
        <f>'Budget Filing Data'!AS168</f>
        <v>699685.34719999996</v>
      </c>
      <c r="P193" s="638">
        <f>'Budget Filing Data'!AT168</f>
        <v>0</v>
      </c>
    </row>
    <row r="194" spans="3:16">
      <c r="C194" s="632" t="str">
        <f>'Budget Filing Data'!D169</f>
        <v>SDGE_SW_CSA_Bldg_PA</v>
      </c>
      <c r="D194" s="632" t="str">
        <f>'Budget Filing Data'!E169</f>
        <v>SW Codes &amp; Standards Advocacy - State Building Codes (Utility)</v>
      </c>
      <c r="E194" s="633" t="str">
        <f>'Budget Filing Data'!J169</f>
        <v>IOU Core</v>
      </c>
      <c r="F194" s="633" t="str">
        <f>IF('Budget Filing Data'!H169="","",'Budget Filing Data'!H169)</f>
        <v>SW_CSA_Bldg - Codes and Standards Building Codes Advocacy</v>
      </c>
      <c r="G194" s="634" t="s">
        <v>24</v>
      </c>
      <c r="H194" s="633" t="str">
        <f>'Budget Filing Data'!G169</f>
        <v>Cross Cutting</v>
      </c>
      <c r="I194" s="633" t="str">
        <f>'Budget Filing Data'!I169</f>
        <v>Codes and Standards</v>
      </c>
      <c r="J194" s="633" t="str">
        <f>'Budget Filing Data'!L169</f>
        <v>Codes and Standards</v>
      </c>
      <c r="K194" s="635">
        <f>'Budget Filing Data'!B169</f>
        <v>2030</v>
      </c>
      <c r="L194" s="636">
        <f t="shared" si="40"/>
        <v>81581.790600000008</v>
      </c>
      <c r="M194" s="637">
        <f>'Budget Filing Data'!AQ169</f>
        <v>17273.9496</v>
      </c>
      <c r="N194" s="637">
        <f>'Budget Filing Data'!AR169</f>
        <v>0</v>
      </c>
      <c r="O194" s="637">
        <f>'Budget Filing Data'!AS169</f>
        <v>64307.841</v>
      </c>
      <c r="P194" s="638">
        <f>'Budget Filing Data'!AT169</f>
        <v>0</v>
      </c>
    </row>
    <row r="195" spans="3:16">
      <c r="C195" s="632" t="str">
        <f>'Budget Filing Data'!D170</f>
        <v>SDGE_SW_ETP_Elec</v>
      </c>
      <c r="D195" s="632" t="str">
        <f>'Budget Filing Data'!E170</f>
        <v>SW Emerging Technologies - Electric</v>
      </c>
      <c r="E195" s="633" t="str">
        <f>'Budget Filing Data'!J170</f>
        <v>Third-Party Solicited</v>
      </c>
      <c r="F195" s="633" t="str">
        <f>IF('Budget Filing Data'!H170="","",'Budget Filing Data'!H170)</f>
        <v>SW_ETP_Elec - Emerging Technology Programs - Electric</v>
      </c>
      <c r="G195" s="634" t="s">
        <v>15</v>
      </c>
      <c r="H195" s="633" t="str">
        <f>'Budget Filing Data'!G170</f>
        <v>Cross Cutting</v>
      </c>
      <c r="I195" s="633" t="str">
        <f>'Budget Filing Data'!I170</f>
        <v>Emerging Technologies</v>
      </c>
      <c r="J195" s="633" t="str">
        <f>'Budget Filing Data'!L170</f>
        <v>Market Support</v>
      </c>
      <c r="K195" s="635">
        <f>'Budget Filing Data'!B170</f>
        <v>2030</v>
      </c>
      <c r="L195" s="636">
        <f t="shared" si="40"/>
        <v>1547000</v>
      </c>
      <c r="M195" s="637">
        <f>'Budget Filing Data'!AQ170</f>
        <v>0</v>
      </c>
      <c r="N195" s="637">
        <f>'Budget Filing Data'!AR170</f>
        <v>0</v>
      </c>
      <c r="O195" s="637">
        <f>'Budget Filing Data'!AS170</f>
        <v>1547000</v>
      </c>
      <c r="P195" s="638">
        <f>'Budget Filing Data'!AT170</f>
        <v>0</v>
      </c>
    </row>
    <row r="196" spans="3:16">
      <c r="C196" s="632" t="str">
        <f>'Budget Filing Data'!D171</f>
        <v>SDGE_SW_ETP_Elec_PA</v>
      </c>
      <c r="D196" s="632" t="str">
        <f>'Budget Filing Data'!E171</f>
        <v>SW Emerging Technologies - Electric (Utility)</v>
      </c>
      <c r="E196" s="633" t="str">
        <f>'Budget Filing Data'!J171</f>
        <v>IOU Core</v>
      </c>
      <c r="F196" s="633" t="str">
        <f>IF('Budget Filing Data'!H171="","",'Budget Filing Data'!H171)</f>
        <v>SW_ETP_Elec - Emerging Technology Programs - Electric</v>
      </c>
      <c r="G196" s="634" t="s">
        <v>15</v>
      </c>
      <c r="H196" s="633" t="str">
        <f>'Budget Filing Data'!G171</f>
        <v>Cross Cutting</v>
      </c>
      <c r="I196" s="633" t="str">
        <f>'Budget Filing Data'!I171</f>
        <v>Emerging Technologies</v>
      </c>
      <c r="J196" s="633" t="str">
        <f>'Budget Filing Data'!L171</f>
        <v>Market Support</v>
      </c>
      <c r="K196" s="635">
        <f>'Budget Filing Data'!B171</f>
        <v>2030</v>
      </c>
      <c r="L196" s="636">
        <f t="shared" si="40"/>
        <v>103983.24589999999</v>
      </c>
      <c r="M196" s="637">
        <f>'Budget Filing Data'!AQ171</f>
        <v>24645.537100000001</v>
      </c>
      <c r="N196" s="637">
        <f>'Budget Filing Data'!AR171</f>
        <v>0</v>
      </c>
      <c r="O196" s="637">
        <f>'Budget Filing Data'!AS171</f>
        <v>79337.708799999993</v>
      </c>
      <c r="P196" s="638">
        <f>'Budget Filing Data'!AT171</f>
        <v>0</v>
      </c>
    </row>
    <row r="197" spans="3:16">
      <c r="C197" s="632" t="str">
        <f>'Budget Filing Data'!D172</f>
        <v>SDGE_SW_IP_Gov</v>
      </c>
      <c r="D197" s="632" t="str">
        <f>'Budget Filing Data'!E172</f>
        <v>SW Institutional Partnerships: DGS &amp; DoC</v>
      </c>
      <c r="E197" s="633" t="str">
        <f>'Budget Filing Data'!J172</f>
        <v>Third-Party Solicited</v>
      </c>
      <c r="F197" s="633" t="str">
        <f>IF('Budget Filing Data'!H172="","",'Budget Filing Data'!H172)</f>
        <v>SW_IP_Gov - Institutional Partnerships - Government</v>
      </c>
      <c r="G197" s="634" t="s">
        <v>24</v>
      </c>
      <c r="H197" s="633" t="str">
        <f>'Budget Filing Data'!G172</f>
        <v>Public</v>
      </c>
      <c r="I197" s="633" t="str">
        <f>'Budget Filing Data'!I172</f>
        <v>Government Partnerships</v>
      </c>
      <c r="J197" s="633" t="str">
        <f>'Budget Filing Data'!L172</f>
        <v>Resource Acquisition</v>
      </c>
      <c r="K197" s="635">
        <f>'Budget Filing Data'!B172</f>
        <v>2030</v>
      </c>
      <c r="L197" s="636">
        <f t="shared" si="40"/>
        <v>230942.55994899999</v>
      </c>
      <c r="M197" s="637">
        <f>'Budget Filing Data'!AQ172</f>
        <v>9523.2000000000007</v>
      </c>
      <c r="N197" s="637">
        <f>'Budget Filing Data'!AR172</f>
        <v>496</v>
      </c>
      <c r="O197" s="637">
        <f>'Budget Filing Data'!AS172</f>
        <v>60207.756600000001</v>
      </c>
      <c r="P197" s="638">
        <f>'Budget Filing Data'!AT172</f>
        <v>160715.60334899998</v>
      </c>
    </row>
    <row r="198" spans="3:16">
      <c r="C198" s="632" t="str">
        <f>'Budget Filing Data'!D173</f>
        <v>SDGE_SW_IP_Gov_PA</v>
      </c>
      <c r="D198" s="632" t="str">
        <f>'Budget Filing Data'!E173</f>
        <v>SW Institutional Partnerships: DGS &amp; DoC (Utility)</v>
      </c>
      <c r="E198" s="633" t="str">
        <f>'Budget Filing Data'!J173</f>
        <v>IOU Core</v>
      </c>
      <c r="F198" s="633" t="str">
        <f>IF('Budget Filing Data'!H173="","",'Budget Filing Data'!H173)</f>
        <v>SW_IP_Gov - Institutional Partnerships - Government</v>
      </c>
      <c r="G198" s="634" t="s">
        <v>24</v>
      </c>
      <c r="H198" s="633" t="str">
        <f>'Budget Filing Data'!G173</f>
        <v>Public</v>
      </c>
      <c r="I198" s="633" t="str">
        <f>'Budget Filing Data'!I173</f>
        <v>Government Partnerships</v>
      </c>
      <c r="J198" s="633" t="str">
        <f>'Budget Filing Data'!L173</f>
        <v>Resource Acquisition</v>
      </c>
      <c r="K198" s="635">
        <f>'Budget Filing Data'!B173</f>
        <v>2030</v>
      </c>
      <c r="L198" s="636">
        <f t="shared" si="40"/>
        <v>3291.1947</v>
      </c>
      <c r="M198" s="637">
        <f>'Budget Filing Data'!AQ173</f>
        <v>3291.1947</v>
      </c>
      <c r="N198" s="637">
        <f>'Budget Filing Data'!AR173</f>
        <v>0</v>
      </c>
      <c r="O198" s="637">
        <f>'Budget Filing Data'!AS173</f>
        <v>0</v>
      </c>
      <c r="P198" s="638">
        <f>'Budget Filing Data'!AT173</f>
        <v>0</v>
      </c>
    </row>
    <row r="199" spans="3:16">
      <c r="C199" s="632" t="str">
        <f>'Budget Filing Data'!D174</f>
        <v>SDGE_SW_IP_Colleges</v>
      </c>
      <c r="D199" s="632" t="str">
        <f>'Budget Filing Data'!E174</f>
        <v>SW Higher Education</v>
      </c>
      <c r="E199" s="633" t="str">
        <f>'Budget Filing Data'!J174</f>
        <v>Third-Party Solicited</v>
      </c>
      <c r="F199" s="633" t="str">
        <f>IF('Budget Filing Data'!H174="","",'Budget Filing Data'!H174)</f>
        <v>SW_IP_Colleges - Institutional Partnerships - Colleges</v>
      </c>
      <c r="G199" s="634" t="s">
        <v>24</v>
      </c>
      <c r="H199" s="633" t="str">
        <f>'Budget Filing Data'!G174</f>
        <v>Public</v>
      </c>
      <c r="I199" s="633" t="str">
        <f>'Budget Filing Data'!I174</f>
        <v>Government Partnerships</v>
      </c>
      <c r="J199" s="633" t="str">
        <f>'Budget Filing Data'!L174</f>
        <v>Resource Acquisition</v>
      </c>
      <c r="K199" s="635">
        <f>'Budget Filing Data'!B174</f>
        <v>2030</v>
      </c>
      <c r="L199" s="636">
        <f t="shared" si="40"/>
        <v>522456.612196</v>
      </c>
      <c r="M199" s="637">
        <f>'Budget Filing Data'!AQ174</f>
        <v>0</v>
      </c>
      <c r="N199" s="637">
        <f>'Budget Filing Data'!AR174</f>
        <v>0</v>
      </c>
      <c r="O199" s="637">
        <f>'Budget Filing Data'!AS174</f>
        <v>334326.9117</v>
      </c>
      <c r="P199" s="638">
        <f>'Budget Filing Data'!AT174</f>
        <v>188129.700496</v>
      </c>
    </row>
    <row r="200" spans="3:16">
      <c r="C200" s="632" t="str">
        <f>'Budget Filing Data'!D175</f>
        <v>SDGE_SW_IP_Colleges_PA</v>
      </c>
      <c r="D200" s="632" t="str">
        <f>'Budget Filing Data'!E175</f>
        <v>SW Higher Education (Utility)</v>
      </c>
      <c r="E200" s="633" t="str">
        <f>'Budget Filing Data'!J175</f>
        <v>IOU Core</v>
      </c>
      <c r="F200" s="633" t="str">
        <f>IF('Budget Filing Data'!H175="","",'Budget Filing Data'!H175)</f>
        <v>SW_IP_Colleges - Institutional Partnerships - Colleges</v>
      </c>
      <c r="G200" s="634" t="s">
        <v>24</v>
      </c>
      <c r="H200" s="633" t="str">
        <f>'Budget Filing Data'!G175</f>
        <v>Public</v>
      </c>
      <c r="I200" s="633" t="str">
        <f>'Budget Filing Data'!I175</f>
        <v>Government Partnerships</v>
      </c>
      <c r="J200" s="633" t="str">
        <f>'Budget Filing Data'!L175</f>
        <v>Resource Acquisition</v>
      </c>
      <c r="K200" s="635">
        <f>'Budget Filing Data'!B175</f>
        <v>2030</v>
      </c>
      <c r="L200" s="636">
        <f t="shared" si="40"/>
        <v>5068.8347000000003</v>
      </c>
      <c r="M200" s="637">
        <f>'Budget Filing Data'!AQ175</f>
        <v>5068.8347000000003</v>
      </c>
      <c r="N200" s="637">
        <f>'Budget Filing Data'!AR175</f>
        <v>0</v>
      </c>
      <c r="O200" s="637">
        <f>'Budget Filing Data'!AS175</f>
        <v>0</v>
      </c>
      <c r="P200" s="638">
        <f>'Budget Filing Data'!AT175</f>
        <v>0</v>
      </c>
    </row>
    <row r="201" spans="3:16">
      <c r="C201" s="632" t="str">
        <f>'Budget Filing Data'!D176</f>
        <v>SDGE_SW_MCWH</v>
      </c>
      <c r="D201" s="632" t="str">
        <f>'Budget Filing Data'!E176</f>
        <v>SW Midstream Commercial Water Heating</v>
      </c>
      <c r="E201" s="633" t="str">
        <f>'Budget Filing Data'!J176</f>
        <v>Third-Party Solicited</v>
      </c>
      <c r="F201" s="633" t="str">
        <f>IF('Budget Filing Data'!H176="","",'Budget Filing Data'!H176)</f>
        <v>SW_MCWH - Midstream Commercial Water Heating</v>
      </c>
      <c r="G201" s="634" t="s">
        <v>24</v>
      </c>
      <c r="H201" s="633" t="str">
        <f>'Budget Filing Data'!G176</f>
        <v>Commercial</v>
      </c>
      <c r="I201" s="633" t="str">
        <f>'Budget Filing Data'!I176</f>
        <v>Other</v>
      </c>
      <c r="J201" s="633" t="str">
        <f>'Budget Filing Data'!L176</f>
        <v>Resource Acquisition</v>
      </c>
      <c r="K201" s="635">
        <f>'Budget Filing Data'!B176</f>
        <v>2030</v>
      </c>
      <c r="L201" s="636">
        <f t="shared" si="40"/>
        <v>2427599.9999266239</v>
      </c>
      <c r="M201" s="637">
        <f>'Budget Filing Data'!AQ176</f>
        <v>284760.36629999999</v>
      </c>
      <c r="N201" s="637">
        <f>'Budget Filing Data'!AR176</f>
        <v>207222.9277</v>
      </c>
      <c r="O201" s="637">
        <f>'Budget Filing Data'!AS176</f>
        <v>702690.96600000001</v>
      </c>
      <c r="P201" s="638">
        <f>'Budget Filing Data'!AT176</f>
        <v>1232925.7399266236</v>
      </c>
    </row>
    <row r="202" spans="3:16">
      <c r="C202" s="632" t="str">
        <f>'Budget Filing Data'!D177</f>
        <v>SDGE_SW_MCWH_PA</v>
      </c>
      <c r="D202" s="632" t="str">
        <f>'Budget Filing Data'!E177</f>
        <v>SW Midstream Commercial Water Heating (Utility)</v>
      </c>
      <c r="E202" s="633" t="str">
        <f>'Budget Filing Data'!J177</f>
        <v>IOU Core</v>
      </c>
      <c r="F202" s="633" t="str">
        <f>IF('Budget Filing Data'!H177="","",'Budget Filing Data'!H177)</f>
        <v>SW_MCWH - Midstream Commercial Water Heating</v>
      </c>
      <c r="G202" s="634" t="s">
        <v>24</v>
      </c>
      <c r="H202" s="633" t="str">
        <f>'Budget Filing Data'!G177</f>
        <v>Commercial</v>
      </c>
      <c r="I202" s="633" t="str">
        <f>'Budget Filing Data'!I177</f>
        <v>Other</v>
      </c>
      <c r="J202" s="633" t="str">
        <f>'Budget Filing Data'!L177</f>
        <v>Resource Acquisition</v>
      </c>
      <c r="K202" s="635">
        <f>'Budget Filing Data'!B177</f>
        <v>2030</v>
      </c>
      <c r="L202" s="636">
        <f t="shared" si="40"/>
        <v>16686.314699999999</v>
      </c>
      <c r="M202" s="637">
        <f>'Budget Filing Data'!AQ177</f>
        <v>16686.314699999999</v>
      </c>
      <c r="N202" s="637">
        <f>'Budget Filing Data'!AR177</f>
        <v>0</v>
      </c>
      <c r="O202" s="637">
        <f>'Budget Filing Data'!AS177</f>
        <v>0</v>
      </c>
      <c r="P202" s="638">
        <f>'Budget Filing Data'!AT177</f>
        <v>0</v>
      </c>
    </row>
    <row r="203" spans="3:16">
      <c r="C203" s="632" t="str">
        <f>'Budget Filing Data'!D178</f>
        <v>SDGE_SW_FS</v>
      </c>
      <c r="D203" s="632" t="str">
        <f>'Budget Filing Data'!E178</f>
        <v>SW Foodservice Point of Sale Program</v>
      </c>
      <c r="E203" s="633" t="str">
        <f>'Budget Filing Data'!J178</f>
        <v>Third-Party Solicited</v>
      </c>
      <c r="F203" s="633" t="str">
        <f>IF('Budget Filing Data'!H178="","",'Budget Filing Data'!H178)</f>
        <v>SW_FS - Food Service</v>
      </c>
      <c r="G203" s="634" t="s">
        <v>24</v>
      </c>
      <c r="H203" s="633" t="str">
        <f>'Budget Filing Data'!G178</f>
        <v>Commercial</v>
      </c>
      <c r="I203" s="633" t="str">
        <f>'Budget Filing Data'!I178</f>
        <v>Other</v>
      </c>
      <c r="J203" s="633" t="str">
        <f>'Budget Filing Data'!L178</f>
        <v>Resource Acquisition</v>
      </c>
      <c r="K203" s="635">
        <f>'Budget Filing Data'!B178</f>
        <v>2030</v>
      </c>
      <c r="L203" s="636">
        <f t="shared" si="40"/>
        <v>2196400</v>
      </c>
      <c r="M203" s="637">
        <f>'Budget Filing Data'!AQ178</f>
        <v>205286.0239</v>
      </c>
      <c r="N203" s="637">
        <f>'Budget Filing Data'!AR178</f>
        <v>160655.91450000001</v>
      </c>
      <c r="O203" s="637">
        <f>'Budget Filing Data'!AS178</f>
        <v>916786.29559999995</v>
      </c>
      <c r="P203" s="638">
        <f>'Budget Filing Data'!AT178</f>
        <v>913671.76600000029</v>
      </c>
    </row>
    <row r="204" spans="3:16">
      <c r="C204" s="632" t="str">
        <f>'Budget Filing Data'!D179</f>
        <v>SDGE_SW_FS_PA</v>
      </c>
      <c r="D204" s="632" t="str">
        <f>'Budget Filing Data'!E179</f>
        <v>SW Foodservice Point of Sale Program (Utility)</v>
      </c>
      <c r="E204" s="633" t="str">
        <f>'Budget Filing Data'!J179</f>
        <v>IOU Core</v>
      </c>
      <c r="F204" s="633" t="str">
        <f>IF('Budget Filing Data'!H179="","",'Budget Filing Data'!H179)</f>
        <v>SW_FS - Food Service</v>
      </c>
      <c r="G204" s="634" t="s">
        <v>24</v>
      </c>
      <c r="H204" s="633" t="str">
        <f>'Budget Filing Data'!G179</f>
        <v>Commercial</v>
      </c>
      <c r="I204" s="633" t="str">
        <f>'Budget Filing Data'!I179</f>
        <v>Other</v>
      </c>
      <c r="J204" s="633" t="str">
        <f>'Budget Filing Data'!L179</f>
        <v>Resource Acquisition</v>
      </c>
      <c r="K204" s="635">
        <f>'Budget Filing Data'!B179</f>
        <v>2030</v>
      </c>
      <c r="L204" s="636">
        <f t="shared" si="40"/>
        <v>15276.4647</v>
      </c>
      <c r="M204" s="637">
        <f>'Budget Filing Data'!AQ179</f>
        <v>15276.4647</v>
      </c>
      <c r="N204" s="637">
        <f>'Budget Filing Data'!AR179</f>
        <v>0</v>
      </c>
      <c r="O204" s="637">
        <f>'Budget Filing Data'!AS179</f>
        <v>0</v>
      </c>
      <c r="P204" s="638">
        <f>'Budget Filing Data'!AT179</f>
        <v>0</v>
      </c>
    </row>
    <row r="205" spans="3:16">
      <c r="C205" s="632" t="str">
        <f>'Budget Filing Data'!D180</f>
        <v>SDGE_SW_WET_CC</v>
      </c>
      <c r="D205" s="632" t="str">
        <f>'Budget Filing Data'!E180</f>
        <v>SW WET Career Connections</v>
      </c>
      <c r="E205" s="633" t="str">
        <f>'Budget Filing Data'!J180</f>
        <v>Third-Party Solicited</v>
      </c>
      <c r="F205" s="633" t="str">
        <f>IF('Budget Filing Data'!H180="","",'Budget Filing Data'!H180)</f>
        <v>SW_WET_CC - Workforce Education and Training - Career Connections</v>
      </c>
      <c r="G205" s="634" t="s">
        <v>15</v>
      </c>
      <c r="H205" s="633" t="str">
        <f>'Budget Filing Data'!G180</f>
        <v>Cross Cutting</v>
      </c>
      <c r="I205" s="633" t="str">
        <f>'Budget Filing Data'!I180</f>
        <v>Workforce Education and Training</v>
      </c>
      <c r="J205" s="633" t="str">
        <f>'Budget Filing Data'!L180</f>
        <v>Market Support</v>
      </c>
      <c r="K205" s="635">
        <f>'Budget Filing Data'!B180</f>
        <v>2030</v>
      </c>
      <c r="L205" s="636">
        <f t="shared" si="40"/>
        <v>109120</v>
      </c>
      <c r="M205" s="637">
        <f>'Budget Filing Data'!AQ180</f>
        <v>1091.2</v>
      </c>
      <c r="N205" s="637">
        <f>'Budget Filing Data'!AR180</f>
        <v>7638.4</v>
      </c>
      <c r="O205" s="637">
        <f>'Budget Filing Data'!AS180</f>
        <v>100390.39999999999</v>
      </c>
      <c r="P205" s="638">
        <f>'Budget Filing Data'!AT180</f>
        <v>0</v>
      </c>
    </row>
    <row r="206" spans="3:16">
      <c r="C206" s="632" t="str">
        <f>'Budget Filing Data'!D181</f>
        <v>SDGE_SW_WET_CC_PA</v>
      </c>
      <c r="D206" s="632" t="str">
        <f>'Budget Filing Data'!E181</f>
        <v>SW WET Career Connections (Utility)</v>
      </c>
      <c r="E206" s="633" t="str">
        <f>'Budget Filing Data'!J181</f>
        <v>IOU Core</v>
      </c>
      <c r="F206" s="633" t="str">
        <f>IF('Budget Filing Data'!H181="","",'Budget Filing Data'!H181)</f>
        <v>SW_WET_CC - Workforce Education and Training - Career Connections</v>
      </c>
      <c r="G206" s="634" t="s">
        <v>15</v>
      </c>
      <c r="H206" s="633" t="str">
        <f>'Budget Filing Data'!G181</f>
        <v>Cross Cutting</v>
      </c>
      <c r="I206" s="633" t="str">
        <f>'Budget Filing Data'!I181</f>
        <v>Workforce Education and Training</v>
      </c>
      <c r="J206" s="633" t="str">
        <f>'Budget Filing Data'!L181</f>
        <v>Market Support</v>
      </c>
      <c r="K206" s="635">
        <f>'Budget Filing Data'!B181</f>
        <v>2030</v>
      </c>
      <c r="L206" s="636">
        <f t="shared" si="40"/>
        <v>2548.3247000000001</v>
      </c>
      <c r="M206" s="637">
        <f>'Budget Filing Data'!AQ181</f>
        <v>2548.3247000000001</v>
      </c>
      <c r="N206" s="637">
        <f>'Budget Filing Data'!AR181</f>
        <v>0</v>
      </c>
      <c r="O206" s="637">
        <f>'Budget Filing Data'!AS181</f>
        <v>0</v>
      </c>
      <c r="P206" s="638">
        <f>'Budget Filing Data'!AT181</f>
        <v>0</v>
      </c>
    </row>
    <row r="207" spans="3:16">
      <c r="C207" s="632" t="str">
        <f>'Budget Filing Data'!D182</f>
        <v>SDGE_SW_WET_Work</v>
      </c>
      <c r="D207" s="632" t="str">
        <f>'Budget Filing Data'!E182</f>
        <v>SW WE&amp;T Career &amp; Workforce Readiness (CWR)</v>
      </c>
      <c r="E207" s="633" t="str">
        <f>'Budget Filing Data'!J182</f>
        <v>Third-Party Solicited</v>
      </c>
      <c r="F207" s="633" t="str">
        <f>IF('Budget Filing Data'!H182="","",'Budget Filing Data'!H182)</f>
        <v>SW_WET_Work - Workforce Education and Training Career &amp; Workforce Readiness</v>
      </c>
      <c r="G207" s="634" t="s">
        <v>15</v>
      </c>
      <c r="H207" s="633" t="str">
        <f>'Budget Filing Data'!G182</f>
        <v>Cross Cutting</v>
      </c>
      <c r="I207" s="633" t="str">
        <f>'Budget Filing Data'!I182</f>
        <v>Workforce Education and Training</v>
      </c>
      <c r="J207" s="633" t="str">
        <f>'Budget Filing Data'!L182</f>
        <v>Equity</v>
      </c>
      <c r="K207" s="635">
        <f>'Budget Filing Data'!B182</f>
        <v>2030</v>
      </c>
      <c r="L207" s="636">
        <f t="shared" si="40"/>
        <v>218240</v>
      </c>
      <c r="M207" s="637">
        <f>'Budget Filing Data'!AQ182</f>
        <v>21824</v>
      </c>
      <c r="N207" s="637">
        <f>'Budget Filing Data'!AR182</f>
        <v>13094.4</v>
      </c>
      <c r="O207" s="637">
        <f>'Budget Filing Data'!AS182</f>
        <v>183321.60000000001</v>
      </c>
      <c r="P207" s="638">
        <f>'Budget Filing Data'!AT182</f>
        <v>0</v>
      </c>
    </row>
    <row r="208" spans="3:16">
      <c r="C208" s="632" t="str">
        <f>'Budget Filing Data'!D183</f>
        <v>SDGE_SW_WET_Work_PA</v>
      </c>
      <c r="D208" s="632" t="str">
        <f>'Budget Filing Data'!E183</f>
        <v>SW WE&amp;T Career &amp; Workforce Readiness (CWR) (Utility)</v>
      </c>
      <c r="E208" s="633" t="str">
        <f>'Budget Filing Data'!J183</f>
        <v>IOU Core</v>
      </c>
      <c r="F208" s="633" t="str">
        <f>IF('Budget Filing Data'!H183="","",'Budget Filing Data'!H183)</f>
        <v>SW_WET_Work - Workforce Education and Training Career &amp; Workforce Readiness</v>
      </c>
      <c r="G208" s="634" t="s">
        <v>15</v>
      </c>
      <c r="H208" s="633" t="str">
        <f>'Budget Filing Data'!G183</f>
        <v>Cross Cutting</v>
      </c>
      <c r="I208" s="633" t="str">
        <f>'Budget Filing Data'!I183</f>
        <v>Workforce Education and Training</v>
      </c>
      <c r="J208" s="633" t="str">
        <f>'Budget Filing Data'!L183</f>
        <v>Equity</v>
      </c>
      <c r="K208" s="635">
        <f>'Budget Filing Data'!B183</f>
        <v>2030</v>
      </c>
      <c r="L208" s="636">
        <f t="shared" si="40"/>
        <v>3213.7347</v>
      </c>
      <c r="M208" s="637">
        <f>'Budget Filing Data'!AQ183</f>
        <v>3213.7347</v>
      </c>
      <c r="N208" s="637">
        <f>'Budget Filing Data'!AR183</f>
        <v>0</v>
      </c>
      <c r="O208" s="637">
        <f>'Budget Filing Data'!AS183</f>
        <v>0</v>
      </c>
      <c r="P208" s="638">
        <f>'Budget Filing Data'!AT183</f>
        <v>0</v>
      </c>
    </row>
    <row r="209" spans="3:16">
      <c r="C209" s="632" t="str">
        <f>'Budget Filing Data'!D184</f>
        <v>SDGE_SW_HVAC_QIQM</v>
      </c>
      <c r="D209" s="632" t="str">
        <f>'Budget Filing Data'!E184</f>
        <v>SW HVAC QI/QM Program</v>
      </c>
      <c r="E209" s="633" t="str">
        <f>'Budget Filing Data'!J184</f>
        <v>Third-Party Solicited</v>
      </c>
      <c r="F209" s="633" t="str">
        <f>IF('Budget Filing Data'!H184="","",'Budget Filing Data'!H184)</f>
        <v>SW_HVAC_QIQM - SW HVAC QI/QM Program</v>
      </c>
      <c r="G209" s="634" t="s">
        <v>15</v>
      </c>
      <c r="H209" s="633" t="str">
        <f>'Budget Filing Data'!G184</f>
        <v>Residential</v>
      </c>
      <c r="I209" s="633" t="str">
        <f>'Budget Filing Data'!I184</f>
        <v>Other</v>
      </c>
      <c r="J209" s="633" t="str">
        <f>'Budget Filing Data'!L184</f>
        <v>Market Support</v>
      </c>
      <c r="K209" s="635">
        <f>'Budget Filing Data'!B184</f>
        <v>2030</v>
      </c>
      <c r="L209" s="636">
        <f t="shared" si="40"/>
        <v>684480</v>
      </c>
      <c r="M209" s="637">
        <f>'Budget Filing Data'!AQ184</f>
        <v>34224</v>
      </c>
      <c r="N209" s="637">
        <f>'Budget Filing Data'!AR184</f>
        <v>34224</v>
      </c>
      <c r="O209" s="637">
        <f>'Budget Filing Data'!AS184</f>
        <v>174964</v>
      </c>
      <c r="P209" s="638">
        <f>'Budget Filing Data'!AT184</f>
        <v>441068</v>
      </c>
    </row>
    <row r="210" spans="3:16">
      <c r="C210" s="632" t="str">
        <f>'Budget Filing Data'!D185</f>
        <v>SDGE_SW_HVAC_QIQM_PA</v>
      </c>
      <c r="D210" s="632" t="str">
        <f>'Budget Filing Data'!E185</f>
        <v>SW HVAC QI/QM Program (Utility)</v>
      </c>
      <c r="E210" s="633" t="str">
        <f>'Budget Filing Data'!J185</f>
        <v>IOU Core</v>
      </c>
      <c r="F210" s="633" t="str">
        <f>IF('Budget Filing Data'!H185="","",'Budget Filing Data'!H185)</f>
        <v>SW_HVAC_QIQM - SW HVAC QI/QM Program</v>
      </c>
      <c r="G210" s="634" t="s">
        <v>15</v>
      </c>
      <c r="H210" s="633" t="str">
        <f>'Budget Filing Data'!G185</f>
        <v>Residential</v>
      </c>
      <c r="I210" s="633" t="str">
        <f>'Budget Filing Data'!I185</f>
        <v>Other</v>
      </c>
      <c r="J210" s="633" t="str">
        <f>'Budget Filing Data'!L185</f>
        <v>Market Support</v>
      </c>
      <c r="K210" s="635">
        <f>'Budget Filing Data'!B185</f>
        <v>2030</v>
      </c>
      <c r="L210" s="636">
        <f t="shared" si="40"/>
        <v>319573.75040000002</v>
      </c>
      <c r="M210" s="637">
        <f>'Budget Filing Data'!AQ185</f>
        <v>260854.87330000001</v>
      </c>
      <c r="N210" s="637">
        <f>'Budget Filing Data'!AR185</f>
        <v>773.11030000000005</v>
      </c>
      <c r="O210" s="637">
        <f>'Budget Filing Data'!AS185</f>
        <v>57945.766799999998</v>
      </c>
      <c r="P210" s="638">
        <f>'Budget Filing Data'!AT185</f>
        <v>0</v>
      </c>
    </row>
    <row r="211" spans="3:16">
      <c r="C211" s="632" t="str">
        <f>'Budget Filing Data'!D186</f>
        <v>SDGE_SW_ETP_Gas</v>
      </c>
      <c r="D211" s="632" t="str">
        <f>'Budget Filing Data'!E186</f>
        <v>SW Emerging Technologies - Gas</v>
      </c>
      <c r="E211" s="633" t="str">
        <f>'Budget Filing Data'!J186</f>
        <v>Third-Party Solicited</v>
      </c>
      <c r="F211" s="633" t="str">
        <f>IF('Budget Filing Data'!H186="","",'Budget Filing Data'!H186)</f>
        <v>SW_ETP_Gas - Emerging Technology Programs - Gas</v>
      </c>
      <c r="G211" s="634" t="s">
        <v>15</v>
      </c>
      <c r="H211" s="633" t="str">
        <f>'Budget Filing Data'!G186</f>
        <v>Cross Cutting</v>
      </c>
      <c r="I211" s="633" t="str">
        <f>'Budget Filing Data'!I186</f>
        <v>Emerging Technologies</v>
      </c>
      <c r="J211" s="633" t="str">
        <f>'Budget Filing Data'!L186</f>
        <v>Market Support</v>
      </c>
      <c r="K211" s="635">
        <f>'Budget Filing Data'!B186</f>
        <v>2030</v>
      </c>
      <c r="L211" s="636">
        <f t="shared" si="40"/>
        <v>495000</v>
      </c>
      <c r="M211" s="637">
        <f>'Budget Filing Data'!AQ186</f>
        <v>6600</v>
      </c>
      <c r="N211" s="637">
        <f>'Budget Filing Data'!AR186</f>
        <v>1914</v>
      </c>
      <c r="O211" s="637">
        <f>'Budget Filing Data'!AS186</f>
        <v>486486</v>
      </c>
      <c r="P211" s="638">
        <f>'Budget Filing Data'!AT186</f>
        <v>0</v>
      </c>
    </row>
    <row r="212" spans="3:16">
      <c r="C212" s="632" t="str">
        <f>'Budget Filing Data'!D187</f>
        <v>SDGE_SW_ETP_Gas_PA</v>
      </c>
      <c r="D212" s="632" t="str">
        <f>'Budget Filing Data'!E187</f>
        <v>SW Emerging Technologies - Gas (Utility)</v>
      </c>
      <c r="E212" s="633" t="str">
        <f>'Budget Filing Data'!J187</f>
        <v>IOU Core</v>
      </c>
      <c r="F212" s="633" t="str">
        <f>IF('Budget Filing Data'!H187="","",'Budget Filing Data'!H187)</f>
        <v>SW_ETP_Gas - Emerging Technology Programs - Gas</v>
      </c>
      <c r="G212" s="634" t="s">
        <v>15</v>
      </c>
      <c r="H212" s="633" t="str">
        <f>'Budget Filing Data'!G187</f>
        <v>Cross Cutting</v>
      </c>
      <c r="I212" s="633" t="str">
        <f>'Budget Filing Data'!I187</f>
        <v>Emerging Technologies</v>
      </c>
      <c r="J212" s="633" t="str">
        <f>'Budget Filing Data'!L187</f>
        <v>Market Support</v>
      </c>
      <c r="K212" s="635">
        <f>'Budget Filing Data'!B187</f>
        <v>2030</v>
      </c>
      <c r="L212" s="636">
        <f t="shared" si="40"/>
        <v>13272.9576</v>
      </c>
      <c r="M212" s="637">
        <f>'Budget Filing Data'!AQ187</f>
        <v>6404.7359999999999</v>
      </c>
      <c r="N212" s="637">
        <f>'Budget Filing Data'!AR187</f>
        <v>0</v>
      </c>
      <c r="O212" s="637">
        <f>'Budget Filing Data'!AS187</f>
        <v>6868.2215999999999</v>
      </c>
      <c r="P212" s="638">
        <f>'Budget Filing Data'!AT187</f>
        <v>0</v>
      </c>
    </row>
    <row r="213" spans="3:16">
      <c r="C213" s="632" t="str">
        <f>'Budget Filing Data'!D188</f>
        <v>SDGE_SW_NC_NonRes_Ag_electric</v>
      </c>
      <c r="D213" s="632" t="str">
        <f>'Budget Filing Data'!E188</f>
        <v>SW New Construction Non Residential - Agricultural - All Electric</v>
      </c>
      <c r="E213" s="633" t="str">
        <f>'Budget Filing Data'!J188</f>
        <v>Third-Party Solicited</v>
      </c>
      <c r="F213" s="633" t="str">
        <f>IF('Budget Filing Data'!H188="","",'Budget Filing Data'!H188)</f>
        <v>SW_NC_NonRes_Ag_electric - New Construction - NonResidential - All Electric</v>
      </c>
      <c r="G213" s="634" t="s">
        <v>24</v>
      </c>
      <c r="H213" s="633" t="str">
        <f>'Budget Filing Data'!G188</f>
        <v>Agricultural</v>
      </c>
      <c r="I213" s="633" t="str">
        <f>'Budget Filing Data'!I188</f>
        <v>New Construction</v>
      </c>
      <c r="J213" s="633" t="str">
        <f>'Budget Filing Data'!L188</f>
        <v>Market Support</v>
      </c>
      <c r="K213" s="635">
        <f>'Budget Filing Data'!B188</f>
        <v>2030</v>
      </c>
      <c r="L213" s="636">
        <f t="shared" si="40"/>
        <v>13367.098456</v>
      </c>
      <c r="M213" s="637">
        <f>'Budget Filing Data'!AQ188</f>
        <v>1152.3155999999999</v>
      </c>
      <c r="N213" s="637">
        <f>'Budget Filing Data'!AR188</f>
        <v>864.23670000000004</v>
      </c>
      <c r="O213" s="637">
        <f>'Budget Filing Data'!AS188</f>
        <v>3745.0259000000001</v>
      </c>
      <c r="P213" s="638">
        <f>'Budget Filing Data'!AT188</f>
        <v>7605.5202560000007</v>
      </c>
    </row>
    <row r="214" spans="3:16">
      <c r="C214" s="632" t="str">
        <f>'Budget Filing Data'!D189</f>
        <v>SDGE_SW_NC_NonRes_Ag_electric_PA</v>
      </c>
      <c r="D214" s="632" t="str">
        <f>'Budget Filing Data'!E189</f>
        <v>SW New Construction Non Residential - Agricultural - All Electric (Utility)</v>
      </c>
      <c r="E214" s="633" t="str">
        <f>'Budget Filing Data'!J189</f>
        <v>IOU Core</v>
      </c>
      <c r="F214" s="633" t="str">
        <f>IF('Budget Filing Data'!H189="","",'Budget Filing Data'!H189)</f>
        <v>SW_NC_NonRes_Ag_electric - New Construction - NonResidential - All Electric</v>
      </c>
      <c r="G214" s="634" t="s">
        <v>24</v>
      </c>
      <c r="H214" s="633" t="str">
        <f>'Budget Filing Data'!G189</f>
        <v>Agricultural</v>
      </c>
      <c r="I214" s="633" t="str">
        <f>'Budget Filing Data'!I189</f>
        <v>New Construction</v>
      </c>
      <c r="J214" s="633" t="str">
        <f>'Budget Filing Data'!L189</f>
        <v>Market Support</v>
      </c>
      <c r="K214" s="635">
        <f>'Budget Filing Data'!B189</f>
        <v>2030</v>
      </c>
      <c r="L214" s="636">
        <f t="shared" si="40"/>
        <v>269.80149999999998</v>
      </c>
      <c r="M214" s="637">
        <f>'Budget Filing Data'!AQ189</f>
        <v>269.80149999999998</v>
      </c>
      <c r="N214" s="637">
        <f>'Budget Filing Data'!AR189</f>
        <v>0</v>
      </c>
      <c r="O214" s="637">
        <f>'Budget Filing Data'!AS189</f>
        <v>0</v>
      </c>
      <c r="P214" s="638">
        <f>'Budget Filing Data'!AT189</f>
        <v>0</v>
      </c>
    </row>
    <row r="215" spans="3:16">
      <c r="C215" s="632" t="str">
        <f>'Budget Filing Data'!D190</f>
        <v>SDGE_SW_NC_NonRes_Com_electric</v>
      </c>
      <c r="D215" s="632" t="str">
        <f>'Budget Filing Data'!E190</f>
        <v>SW New Construction Non Residential - Commercial - All Electric</v>
      </c>
      <c r="E215" s="633" t="str">
        <f>'Budget Filing Data'!J190</f>
        <v>Third-Party Solicited</v>
      </c>
      <c r="F215" s="633" t="str">
        <f>IF('Budget Filing Data'!H190="","",'Budget Filing Data'!H190)</f>
        <v>SW_NC_NonRes_Com_electric - New Construction - NonResidential - All Electric</v>
      </c>
      <c r="G215" s="634" t="s">
        <v>24</v>
      </c>
      <c r="H215" s="633" t="str">
        <f>'Budget Filing Data'!G190</f>
        <v>Commercial</v>
      </c>
      <c r="I215" s="633" t="str">
        <f>'Budget Filing Data'!I190</f>
        <v>New Construction</v>
      </c>
      <c r="J215" s="633" t="str">
        <f>'Budget Filing Data'!L190</f>
        <v>Market Support</v>
      </c>
      <c r="K215" s="635">
        <f>'Budget Filing Data'!B190</f>
        <v>2030</v>
      </c>
      <c r="L215" s="636">
        <f t="shared" si="40"/>
        <v>334177.46234729991</v>
      </c>
      <c r="M215" s="637">
        <f>'Budget Filing Data'!AQ190</f>
        <v>28807.891199999998</v>
      </c>
      <c r="N215" s="637">
        <f>'Budget Filing Data'!AR190</f>
        <v>21605.918399999999</v>
      </c>
      <c r="O215" s="637">
        <f>'Budget Filing Data'!AS190</f>
        <v>93625.646500000003</v>
      </c>
      <c r="P215" s="638">
        <f>'Budget Filing Data'!AT190</f>
        <v>190138.0062472999</v>
      </c>
    </row>
    <row r="216" spans="3:16">
      <c r="C216" s="632" t="str">
        <f>'Budget Filing Data'!D191</f>
        <v>SDGE_SW_NC_NonRes_Com_electric_PA</v>
      </c>
      <c r="D216" s="632" t="str">
        <f>'Budget Filing Data'!E191</f>
        <v>SW New Construction Non Residential - Commercial - All Electric (Utility)</v>
      </c>
      <c r="E216" s="633" t="str">
        <f>'Budget Filing Data'!J191</f>
        <v>IOU Core</v>
      </c>
      <c r="F216" s="633" t="str">
        <f>IF('Budget Filing Data'!H191="","",'Budget Filing Data'!H191)</f>
        <v>SW_NC_NonRes_Com_electric - New Construction - NonResidential - All Electric</v>
      </c>
      <c r="G216" s="634" t="s">
        <v>24</v>
      </c>
      <c r="H216" s="633" t="str">
        <f>'Budget Filing Data'!G191</f>
        <v>Commercial</v>
      </c>
      <c r="I216" s="633" t="str">
        <f>'Budget Filing Data'!I191</f>
        <v>New Construction</v>
      </c>
      <c r="J216" s="633" t="str">
        <f>'Budget Filing Data'!L191</f>
        <v>Market Support</v>
      </c>
      <c r="K216" s="635">
        <f>'Budget Filing Data'!B191</f>
        <v>2030</v>
      </c>
      <c r="L216" s="636">
        <f t="shared" si="40"/>
        <v>2226.0915</v>
      </c>
      <c r="M216" s="637">
        <f>'Budget Filing Data'!AQ191</f>
        <v>2226.0915</v>
      </c>
      <c r="N216" s="637">
        <f>'Budget Filing Data'!AR191</f>
        <v>0</v>
      </c>
      <c r="O216" s="637">
        <f>'Budget Filing Data'!AS191</f>
        <v>0</v>
      </c>
      <c r="P216" s="638">
        <f>'Budget Filing Data'!AT191</f>
        <v>0</v>
      </c>
    </row>
    <row r="217" spans="3:16">
      <c r="C217" s="632" t="str">
        <f>'Budget Filing Data'!D192</f>
        <v>SDGE_SW_NC_NonRes_Ind_electric</v>
      </c>
      <c r="D217" s="632" t="str">
        <f>'Budget Filing Data'!E192</f>
        <v>SW New Construction Non Residential - Industrial - All Electric</v>
      </c>
      <c r="E217" s="633" t="str">
        <f>'Budget Filing Data'!J192</f>
        <v>Third-Party Solicited</v>
      </c>
      <c r="F217" s="633" t="str">
        <f>IF('Budget Filing Data'!H192="","",'Budget Filing Data'!H192)</f>
        <v>SW_NC_NonRes_Ind_electric - New Construction - NonResidential - All Electric</v>
      </c>
      <c r="G217" s="634" t="s">
        <v>24</v>
      </c>
      <c r="H217" s="633" t="str">
        <f>'Budget Filing Data'!G192</f>
        <v>Industrial</v>
      </c>
      <c r="I217" s="633" t="str">
        <f>'Budget Filing Data'!I192</f>
        <v>New Construction</v>
      </c>
      <c r="J217" s="633" t="str">
        <f>'Budget Filing Data'!L192</f>
        <v>Market Support</v>
      </c>
      <c r="K217" s="635">
        <f>'Budget Filing Data'!B192</f>
        <v>2030</v>
      </c>
      <c r="L217" s="636">
        <f t="shared" si="40"/>
        <v>13367.098456</v>
      </c>
      <c r="M217" s="637">
        <f>'Budget Filing Data'!AQ192</f>
        <v>1152.3155999999999</v>
      </c>
      <c r="N217" s="637">
        <f>'Budget Filing Data'!AR192</f>
        <v>864.23670000000004</v>
      </c>
      <c r="O217" s="637">
        <f>'Budget Filing Data'!AS192</f>
        <v>3745.0259000000001</v>
      </c>
      <c r="P217" s="638">
        <f>'Budget Filing Data'!AT192</f>
        <v>7605.5202559999998</v>
      </c>
    </row>
    <row r="218" spans="3:16">
      <c r="C218" s="632" t="str">
        <f>'Budget Filing Data'!D193</f>
        <v>SDGE_SW_NC_NonRes_Ind_electric_PA</v>
      </c>
      <c r="D218" s="632" t="str">
        <f>'Budget Filing Data'!E193</f>
        <v>SW New Construction Non Residential - Industrial - All Electric (Utility)</v>
      </c>
      <c r="E218" s="633" t="str">
        <f>'Budget Filing Data'!J193</f>
        <v>IOU Core</v>
      </c>
      <c r="F218" s="633" t="str">
        <f>IF('Budget Filing Data'!H193="","",'Budget Filing Data'!H193)</f>
        <v>SW_NC_NonRes_Ind_electric - New Construction - NonResidential - All Electric</v>
      </c>
      <c r="G218" s="634" t="s">
        <v>24</v>
      </c>
      <c r="H218" s="633" t="str">
        <f>'Budget Filing Data'!G193</f>
        <v>Industrial</v>
      </c>
      <c r="I218" s="633" t="str">
        <f>'Budget Filing Data'!I193</f>
        <v>New Construction</v>
      </c>
      <c r="J218" s="633" t="str">
        <f>'Budget Filing Data'!L193</f>
        <v>Market Support</v>
      </c>
      <c r="K218" s="635">
        <f>'Budget Filing Data'!B193</f>
        <v>2030</v>
      </c>
      <c r="L218" s="636">
        <f t="shared" si="40"/>
        <v>269.80149999999998</v>
      </c>
      <c r="M218" s="637">
        <f>'Budget Filing Data'!AQ193</f>
        <v>269.80149999999998</v>
      </c>
      <c r="N218" s="637">
        <f>'Budget Filing Data'!AR193</f>
        <v>0</v>
      </c>
      <c r="O218" s="637">
        <f>'Budget Filing Data'!AS193</f>
        <v>0</v>
      </c>
      <c r="P218" s="638">
        <f>'Budget Filing Data'!AT193</f>
        <v>0</v>
      </c>
    </row>
    <row r="219" spans="3:16">
      <c r="C219" s="632" t="str">
        <f>'Budget Filing Data'!D194</f>
        <v>SDGE_SW_NC_NonRes_Pub_electric</v>
      </c>
      <c r="D219" s="632" t="str">
        <f>'Budget Filing Data'!E194</f>
        <v>SW New Construction Non Residential - Public - All Electric</v>
      </c>
      <c r="E219" s="633" t="str">
        <f>'Budget Filing Data'!J194</f>
        <v>Third-Party Solicited</v>
      </c>
      <c r="F219" s="633" t="str">
        <f>IF('Budget Filing Data'!H194="","",'Budget Filing Data'!H194)</f>
        <v>SW_NC_NonRes_Pub_electric - New Construction - NonResidential - All Electric</v>
      </c>
      <c r="G219" s="634" t="s">
        <v>24</v>
      </c>
      <c r="H219" s="633" t="str">
        <f>'Budget Filing Data'!G194</f>
        <v>Public</v>
      </c>
      <c r="I219" s="633" t="str">
        <f>'Budget Filing Data'!I194</f>
        <v>New Construction</v>
      </c>
      <c r="J219" s="633" t="str">
        <f>'Budget Filing Data'!L194</f>
        <v>Market Support</v>
      </c>
      <c r="K219" s="635">
        <f>'Budget Filing Data'!B194</f>
        <v>2030</v>
      </c>
      <c r="L219" s="636">
        <f t="shared" si="40"/>
        <v>253974.8719242001</v>
      </c>
      <c r="M219" s="637">
        <f>'Budget Filing Data'!AQ194</f>
        <v>21893.997299999999</v>
      </c>
      <c r="N219" s="637">
        <f>'Budget Filing Data'!AR194</f>
        <v>16420.498</v>
      </c>
      <c r="O219" s="637">
        <f>'Budget Filing Data'!AS194</f>
        <v>71155.491299999994</v>
      </c>
      <c r="P219" s="638">
        <f>'Budget Filing Data'!AT194</f>
        <v>144504.88532420009</v>
      </c>
    </row>
    <row r="220" spans="3:16">
      <c r="C220" s="632" t="str">
        <f>'Budget Filing Data'!D195</f>
        <v>SDGE_SW_NC_NonRes_Pub_electric_PA</v>
      </c>
      <c r="D220" s="632" t="str">
        <f>'Budget Filing Data'!E195</f>
        <v>SW New Construction Non Residential - Public - All Electric (Utility)</v>
      </c>
      <c r="E220" s="633" t="str">
        <f>'Budget Filing Data'!J195</f>
        <v>IOU Core</v>
      </c>
      <c r="F220" s="633" t="str">
        <f>IF('Budget Filing Data'!H195="","",'Budget Filing Data'!H195)</f>
        <v>SW_NC_NonRes_Pub_electric - New Construction - NonResidential - All Electric</v>
      </c>
      <c r="G220" s="634" t="s">
        <v>24</v>
      </c>
      <c r="H220" s="633" t="str">
        <f>'Budget Filing Data'!G195</f>
        <v>Public</v>
      </c>
      <c r="I220" s="633" t="str">
        <f>'Budget Filing Data'!I195</f>
        <v>New Construction</v>
      </c>
      <c r="J220" s="633" t="str">
        <f>'Budget Filing Data'!L195</f>
        <v>Market Support</v>
      </c>
      <c r="K220" s="635">
        <f>'Budget Filing Data'!B195</f>
        <v>2030</v>
      </c>
      <c r="L220" s="636">
        <f t="shared" si="40"/>
        <v>1737.0215000000001</v>
      </c>
      <c r="M220" s="637">
        <f>'Budget Filing Data'!AQ195</f>
        <v>1737.0215000000001</v>
      </c>
      <c r="N220" s="637">
        <f>'Budget Filing Data'!AR195</f>
        <v>0</v>
      </c>
      <c r="O220" s="637">
        <f>'Budget Filing Data'!AS195</f>
        <v>0</v>
      </c>
      <c r="P220" s="638">
        <f>'Budget Filing Data'!AT195</f>
        <v>0</v>
      </c>
    </row>
    <row r="221" spans="3:16">
      <c r="C221" s="632" t="str">
        <f>'Budget Filing Data'!D196</f>
        <v>SDGE_SW_NC_NonRes_Res_electric</v>
      </c>
      <c r="D221" s="632" t="str">
        <f>'Budget Filing Data'!E196</f>
        <v>SW New Construction NonResidential - Residential - All Electric</v>
      </c>
      <c r="E221" s="633" t="str">
        <f>'Budget Filing Data'!J196</f>
        <v>Third-Party Solicited</v>
      </c>
      <c r="F221" s="633" t="str">
        <f>IF('Budget Filing Data'!H196="","",'Budget Filing Data'!H196)</f>
        <v>SW_NC_NonRes_Res_electric - New Construction - NonResidential - All Electric</v>
      </c>
      <c r="G221" s="634" t="s">
        <v>24</v>
      </c>
      <c r="H221" s="633" t="str">
        <f>'Budget Filing Data'!G196</f>
        <v>Residential</v>
      </c>
      <c r="I221" s="633" t="str">
        <f>'Budget Filing Data'!I196</f>
        <v>New Construction</v>
      </c>
      <c r="J221" s="633" t="str">
        <f>'Budget Filing Data'!L196</f>
        <v>Market Support</v>
      </c>
      <c r="K221" s="635">
        <f>'Budget Filing Data'!B196</f>
        <v>2030</v>
      </c>
      <c r="L221" s="636">
        <f t="shared" si="40"/>
        <v>775291.7126081459</v>
      </c>
      <c r="M221" s="637">
        <f>'Budget Filing Data'!AQ196</f>
        <v>66834.3076</v>
      </c>
      <c r="N221" s="637">
        <f>'Budget Filing Data'!AR196</f>
        <v>50125.7307</v>
      </c>
      <c r="O221" s="637">
        <f>'Budget Filing Data'!AS196</f>
        <v>217211.49979999999</v>
      </c>
      <c r="P221" s="638">
        <f>'Budget Filing Data'!AT196</f>
        <v>441120.17450814589</v>
      </c>
    </row>
    <row r="222" spans="3:16">
      <c r="C222" s="632" t="str">
        <f>'Budget Filing Data'!D197</f>
        <v>SDGE_SW_NC_NonRes_Res_electric_PA</v>
      </c>
      <c r="D222" s="632" t="str">
        <f>'Budget Filing Data'!E197</f>
        <v>SW New Construction NonResidential - Residential - All Electric (Utility)</v>
      </c>
      <c r="E222" s="633" t="str">
        <f>'Budget Filing Data'!J197</f>
        <v>IOU Core</v>
      </c>
      <c r="F222" s="633" t="str">
        <f>IF('Budget Filing Data'!H197="","",'Budget Filing Data'!H197)</f>
        <v>SW_NC_NonRes_Res_electric - New Construction - NonResidential - All Electric</v>
      </c>
      <c r="G222" s="634" t="s">
        <v>24</v>
      </c>
      <c r="H222" s="633" t="str">
        <f>'Budget Filing Data'!G197</f>
        <v>Residential</v>
      </c>
      <c r="I222" s="633" t="str">
        <f>'Budget Filing Data'!I197</f>
        <v>New Construction</v>
      </c>
      <c r="J222" s="633" t="str">
        <f>'Budget Filing Data'!L197</f>
        <v>Market Support</v>
      </c>
      <c r="K222" s="635">
        <f>'Budget Filing Data'!B197</f>
        <v>2030</v>
      </c>
      <c r="L222" s="636">
        <f t="shared" si="40"/>
        <v>4915.9915000000001</v>
      </c>
      <c r="M222" s="637">
        <f>'Budget Filing Data'!AQ197</f>
        <v>4915.9915000000001</v>
      </c>
      <c r="N222" s="637">
        <f>'Budget Filing Data'!AR197</f>
        <v>0</v>
      </c>
      <c r="O222" s="637">
        <f>'Budget Filing Data'!AS197</f>
        <v>0</v>
      </c>
      <c r="P222" s="638">
        <f>'Budget Filing Data'!AT197</f>
        <v>0</v>
      </c>
    </row>
    <row r="223" spans="3:16">
      <c r="C223" s="632" t="str">
        <f>'Budget Filing Data'!D198</f>
        <v>SDGE_SW_NC_NonRes_Ag_mixed</v>
      </c>
      <c r="D223" s="632" t="str">
        <f>'Budget Filing Data'!E198</f>
        <v>SW New Construction Non Residential - Agricultural - Mixed Fuel</v>
      </c>
      <c r="E223" s="633" t="str">
        <f>'Budget Filing Data'!J198</f>
        <v>Third-Party Solicited</v>
      </c>
      <c r="F223" s="633" t="str">
        <f>IF('Budget Filing Data'!H198="","",'Budget Filing Data'!H198)</f>
        <v>SW_NC_NonRes_Ag_mixed - New Construction - NonResidential - Mixed Fuel</v>
      </c>
      <c r="G223" s="634" t="s">
        <v>24</v>
      </c>
      <c r="H223" s="633" t="str">
        <f>'Budget Filing Data'!G198</f>
        <v>Agricultural</v>
      </c>
      <c r="I223" s="633" t="str">
        <f>'Budget Filing Data'!I198</f>
        <v>New Construction</v>
      </c>
      <c r="J223" s="633" t="str">
        <f>'Budget Filing Data'!L198</f>
        <v>Market Support</v>
      </c>
      <c r="K223" s="635">
        <f>'Budget Filing Data'!B198</f>
        <v>2030</v>
      </c>
      <c r="L223" s="636">
        <f t="shared" si="40"/>
        <v>53312.681060119998</v>
      </c>
      <c r="M223" s="637">
        <f>'Budget Filing Data'!AQ198</f>
        <v>4767.5150999999996</v>
      </c>
      <c r="N223" s="637">
        <f>'Budget Filing Data'!AR198</f>
        <v>3575.6363999999999</v>
      </c>
      <c r="O223" s="637">
        <f>'Budget Filing Data'!AS198</f>
        <v>15494.424199999999</v>
      </c>
      <c r="P223" s="638">
        <f>'Budget Filing Data'!AT198</f>
        <v>29475.105360119996</v>
      </c>
    </row>
    <row r="224" spans="3:16">
      <c r="C224" s="632" t="str">
        <f>'Budget Filing Data'!D199</f>
        <v>SDGE_SW_NC_NonRes_Ag_mixed_PA</v>
      </c>
      <c r="D224" s="632" t="str">
        <f>'Budget Filing Data'!E199</f>
        <v>SW New Construction Non Residential - Agricultural - Mixed Fuel (Utility)</v>
      </c>
      <c r="E224" s="633" t="str">
        <f>'Budget Filing Data'!J199</f>
        <v>IOU Core</v>
      </c>
      <c r="F224" s="633" t="str">
        <f>IF('Budget Filing Data'!H199="","",'Budget Filing Data'!H199)</f>
        <v>SW_NC_NonRes_Ag_mixed - New Construction - NonResidential - Mixed Fuel</v>
      </c>
      <c r="G224" s="634" t="s">
        <v>24</v>
      </c>
      <c r="H224" s="633" t="str">
        <f>'Budget Filing Data'!G199</f>
        <v>Agricultural</v>
      </c>
      <c r="I224" s="633" t="str">
        <f>'Budget Filing Data'!I199</f>
        <v>New Construction</v>
      </c>
      <c r="J224" s="633" t="str">
        <f>'Budget Filing Data'!L199</f>
        <v>Market Support</v>
      </c>
      <c r="K224" s="635">
        <f>'Budget Filing Data'!B199</f>
        <v>2030</v>
      </c>
      <c r="L224" s="636">
        <f t="shared" si="40"/>
        <v>513.39149999999995</v>
      </c>
      <c r="M224" s="637">
        <f>'Budget Filing Data'!AQ199</f>
        <v>513.39149999999995</v>
      </c>
      <c r="N224" s="637">
        <f>'Budget Filing Data'!AR199</f>
        <v>0</v>
      </c>
      <c r="O224" s="637">
        <f>'Budget Filing Data'!AS199</f>
        <v>0</v>
      </c>
      <c r="P224" s="638">
        <f>'Budget Filing Data'!AT199</f>
        <v>0</v>
      </c>
    </row>
    <row r="225" spans="3:16">
      <c r="C225" s="632" t="str">
        <f>'Budget Filing Data'!D200</f>
        <v>SDGE_SW_NC_NonRes_Com_mixed</v>
      </c>
      <c r="D225" s="632" t="str">
        <f>'Budget Filing Data'!E200</f>
        <v>SW New Construction Non Residential - Commercial - Mixed Fuel</v>
      </c>
      <c r="E225" s="633" t="str">
        <f>'Budget Filing Data'!J200</f>
        <v>Third-Party Solicited</v>
      </c>
      <c r="F225" s="633" t="str">
        <f>IF('Budget Filing Data'!H200="","",'Budget Filing Data'!H200)</f>
        <v>SW_NC_NonRes_Com_mixed - New Construction - NonResidential - Mixed Fuel</v>
      </c>
      <c r="G225" s="634" t="s">
        <v>24</v>
      </c>
      <c r="H225" s="633" t="str">
        <f>'Budget Filing Data'!G200</f>
        <v>Commercial</v>
      </c>
      <c r="I225" s="633" t="str">
        <f>'Budget Filing Data'!I200</f>
        <v>New Construction</v>
      </c>
      <c r="J225" s="633" t="str">
        <f>'Budget Filing Data'!L200</f>
        <v>Market Support</v>
      </c>
      <c r="K225" s="635">
        <f>'Budget Filing Data'!B200</f>
        <v>2030</v>
      </c>
      <c r="L225" s="636">
        <f t="shared" si="40"/>
        <v>304643.88941269997</v>
      </c>
      <c r="M225" s="637">
        <f>'Budget Filing Data'!AQ200</f>
        <v>27242.943599999999</v>
      </c>
      <c r="N225" s="637">
        <f>'Budget Filing Data'!AR200</f>
        <v>20432.207699999999</v>
      </c>
      <c r="O225" s="637">
        <f>'Budget Filing Data'!AS200</f>
        <v>88539.566800000001</v>
      </c>
      <c r="P225" s="638">
        <f>'Budget Filing Data'!AT200</f>
        <v>168429.17131269997</v>
      </c>
    </row>
    <row r="226" spans="3:16">
      <c r="C226" s="632" t="str">
        <f>'Budget Filing Data'!D201</f>
        <v>SDGE_SW_NC_NonRes_Com_mixed_PA</v>
      </c>
      <c r="D226" s="632" t="str">
        <f>'Budget Filing Data'!E201</f>
        <v>SW New Construction Non Residential - Commercial - Mixed Fuel (Utility)</v>
      </c>
      <c r="E226" s="633" t="str">
        <f>'Budget Filing Data'!J201</f>
        <v>IOU Core</v>
      </c>
      <c r="F226" s="633" t="str">
        <f>IF('Budget Filing Data'!H201="","",'Budget Filing Data'!H201)</f>
        <v>SW_NC_NonRes_Com_mixed - New Construction - NonResidential - Mixed Fuel</v>
      </c>
      <c r="G226" s="634" t="s">
        <v>24</v>
      </c>
      <c r="H226" s="633" t="str">
        <f>'Budget Filing Data'!G201</f>
        <v>Commercial</v>
      </c>
      <c r="I226" s="633" t="str">
        <f>'Budget Filing Data'!I201</f>
        <v>New Construction</v>
      </c>
      <c r="J226" s="633" t="str">
        <f>'Budget Filing Data'!L201</f>
        <v>Market Support</v>
      </c>
      <c r="K226" s="635">
        <f>'Budget Filing Data'!B201</f>
        <v>2030</v>
      </c>
      <c r="L226" s="636">
        <f t="shared" si="40"/>
        <v>2046.0015000000001</v>
      </c>
      <c r="M226" s="637">
        <f>'Budget Filing Data'!AQ201</f>
        <v>2046.0015000000001</v>
      </c>
      <c r="N226" s="637">
        <f>'Budget Filing Data'!AR201</f>
        <v>0</v>
      </c>
      <c r="O226" s="637">
        <f>'Budget Filing Data'!AS201</f>
        <v>0</v>
      </c>
      <c r="P226" s="638">
        <f>'Budget Filing Data'!AT201</f>
        <v>0</v>
      </c>
    </row>
    <row r="227" spans="3:16">
      <c r="C227" s="632" t="str">
        <f>'Budget Filing Data'!D202</f>
        <v>SDGE_SW_NC_NonRes_Ind_mixed</v>
      </c>
      <c r="D227" s="632" t="str">
        <f>'Budget Filing Data'!E202</f>
        <v>SW New Construction Non Residential - Industrial - Mixed Fuel</v>
      </c>
      <c r="E227" s="633" t="str">
        <f>'Budget Filing Data'!J202</f>
        <v>Third-Party Solicited</v>
      </c>
      <c r="F227" s="633" t="str">
        <f>IF('Budget Filing Data'!H202="","",'Budget Filing Data'!H202)</f>
        <v>SW_NC_NonRes_Ind_mixed - New Construction - NonResidential - Mixed Fuel</v>
      </c>
      <c r="G227" s="634" t="s">
        <v>24</v>
      </c>
      <c r="H227" s="633" t="str">
        <f>'Budget Filing Data'!G202</f>
        <v>Industrial</v>
      </c>
      <c r="I227" s="633" t="str">
        <f>'Budget Filing Data'!I202</f>
        <v>New Construction</v>
      </c>
      <c r="J227" s="633" t="str">
        <f>'Budget Filing Data'!L202</f>
        <v>Market Support</v>
      </c>
      <c r="K227" s="635">
        <f>'Budget Filing Data'!B202</f>
        <v>2030</v>
      </c>
      <c r="L227" s="636">
        <f t="shared" si="40"/>
        <v>53312.681949999998</v>
      </c>
      <c r="M227" s="637">
        <f>'Budget Filing Data'!AQ202</f>
        <v>4767.5150999999996</v>
      </c>
      <c r="N227" s="637">
        <f>'Budget Filing Data'!AR202</f>
        <v>3575.6363999999999</v>
      </c>
      <c r="O227" s="637">
        <f>'Budget Filing Data'!AS202</f>
        <v>15494.424199999999</v>
      </c>
      <c r="P227" s="638">
        <f>'Budget Filing Data'!AT202</f>
        <v>29475.106250000001</v>
      </c>
    </row>
    <row r="228" spans="3:16">
      <c r="C228" s="632" t="str">
        <f>'Budget Filing Data'!D203</f>
        <v>SDGE_SW_NC_NonRes_Ind_mixed_PA</v>
      </c>
      <c r="D228" s="632" t="str">
        <f>'Budget Filing Data'!E203</f>
        <v>SW New Construction Non Residential - Industrial - Mixed Fuel (Utility)</v>
      </c>
      <c r="E228" s="633" t="str">
        <f>'Budget Filing Data'!J203</f>
        <v>IOU Core</v>
      </c>
      <c r="F228" s="633" t="str">
        <f>IF('Budget Filing Data'!H203="","",'Budget Filing Data'!H203)</f>
        <v>SW_NC_NonRes_Ind_mixed - New Construction - NonResidential - Mixed Fuel</v>
      </c>
      <c r="G228" s="634" t="s">
        <v>24</v>
      </c>
      <c r="H228" s="633" t="str">
        <f>'Budget Filing Data'!G203</f>
        <v>Industrial</v>
      </c>
      <c r="I228" s="633" t="str">
        <f>'Budget Filing Data'!I203</f>
        <v>New Construction</v>
      </c>
      <c r="J228" s="633" t="str">
        <f>'Budget Filing Data'!L203</f>
        <v>Market Support</v>
      </c>
      <c r="K228" s="635">
        <f>'Budget Filing Data'!B203</f>
        <v>2030</v>
      </c>
      <c r="L228" s="636">
        <f t="shared" ref="L228:L302" si="47">SUM(M228:P228)</f>
        <v>513.39149999999995</v>
      </c>
      <c r="M228" s="637">
        <f>'Budget Filing Data'!AQ203</f>
        <v>513.39149999999995</v>
      </c>
      <c r="N228" s="637">
        <f>'Budget Filing Data'!AR203</f>
        <v>0</v>
      </c>
      <c r="O228" s="637">
        <f>'Budget Filing Data'!AS203</f>
        <v>0</v>
      </c>
      <c r="P228" s="638">
        <f>'Budget Filing Data'!AT203</f>
        <v>0</v>
      </c>
    </row>
    <row r="229" spans="3:16">
      <c r="C229" s="632" t="str">
        <f>'Budget Filing Data'!D204</f>
        <v>SDGE_SW_NC_NonRes_Pub_mixed</v>
      </c>
      <c r="D229" s="632" t="str">
        <f>'Budget Filing Data'!E204</f>
        <v>SW New Construction Non Residential - Public - Mixed Fuel</v>
      </c>
      <c r="E229" s="633" t="str">
        <f>'Budget Filing Data'!J204</f>
        <v>Third-Party Solicited</v>
      </c>
      <c r="F229" s="633" t="str">
        <f>IF('Budget Filing Data'!H204="","",'Budget Filing Data'!H204)</f>
        <v>SW_NC_NonRes_Pub_mixed - New Construction - NonResidential - Mixed Fuel</v>
      </c>
      <c r="G229" s="634" t="s">
        <v>24</v>
      </c>
      <c r="H229" s="633" t="str">
        <f>'Budget Filing Data'!G204</f>
        <v>Public</v>
      </c>
      <c r="I229" s="633" t="str">
        <f>'Budget Filing Data'!I204</f>
        <v>New Construction</v>
      </c>
      <c r="J229" s="633" t="str">
        <f>'Budget Filing Data'!L204</f>
        <v>Market Support</v>
      </c>
      <c r="K229" s="635">
        <f>'Budget Filing Data'!B204</f>
        <v>2030</v>
      </c>
      <c r="L229" s="636">
        <f t="shared" si="47"/>
        <v>190402.43143599998</v>
      </c>
      <c r="M229" s="637">
        <f>'Budget Filing Data'!AQ204</f>
        <v>17026.839800000002</v>
      </c>
      <c r="N229" s="637">
        <f>'Budget Filing Data'!AR204</f>
        <v>12770.129800000001</v>
      </c>
      <c r="O229" s="637">
        <f>'Budget Filing Data'!AS204</f>
        <v>55337.229200000002</v>
      </c>
      <c r="P229" s="638">
        <f>'Budget Filing Data'!AT204</f>
        <v>105268.23263599996</v>
      </c>
    </row>
    <row r="230" spans="3:16">
      <c r="C230" s="632" t="str">
        <f>'Budget Filing Data'!D205</f>
        <v>SDGE_SW_NC_NonRes_Pub_mixed_PA</v>
      </c>
      <c r="D230" s="632" t="str">
        <f>'Budget Filing Data'!E205</f>
        <v>SW New Construction Non Residential - Public - Mixed Fuel (Utility)</v>
      </c>
      <c r="E230" s="633" t="str">
        <f>'Budget Filing Data'!J205</f>
        <v>IOU Core</v>
      </c>
      <c r="F230" s="633" t="str">
        <f>IF('Budget Filing Data'!H205="","",'Budget Filing Data'!H205)</f>
        <v>SW_NC_NonRes_Pub_mixed - New Construction - NonResidential - Mixed Fuel</v>
      </c>
      <c r="G230" s="634" t="s">
        <v>24</v>
      </c>
      <c r="H230" s="633" t="str">
        <f>'Budget Filing Data'!G205</f>
        <v>Public</v>
      </c>
      <c r="I230" s="633" t="str">
        <f>'Budget Filing Data'!I205</f>
        <v>New Construction</v>
      </c>
      <c r="J230" s="633" t="str">
        <f>'Budget Filing Data'!L205</f>
        <v>Market Support</v>
      </c>
      <c r="K230" s="635">
        <f>'Budget Filing Data'!B205</f>
        <v>2030</v>
      </c>
      <c r="L230" s="636">
        <f t="shared" si="47"/>
        <v>1349.3615</v>
      </c>
      <c r="M230" s="637">
        <f>'Budget Filing Data'!AQ205</f>
        <v>1349.3615</v>
      </c>
      <c r="N230" s="637">
        <f>'Budget Filing Data'!AR205</f>
        <v>0</v>
      </c>
      <c r="O230" s="637">
        <f>'Budget Filing Data'!AS205</f>
        <v>0</v>
      </c>
      <c r="P230" s="638">
        <f>'Budget Filing Data'!AT205</f>
        <v>0</v>
      </c>
    </row>
    <row r="231" spans="3:16">
      <c r="C231" s="632" t="str">
        <f>'Budget Filing Data'!D206</f>
        <v>SDGE_SW_NC_NonRes_Res_mixed</v>
      </c>
      <c r="D231" s="632" t="str">
        <f>'Budget Filing Data'!E206</f>
        <v>SW New Construction NonResidential - Residential - Mixed Fuel</v>
      </c>
      <c r="E231" s="633" t="str">
        <f>'Budget Filing Data'!J206</f>
        <v>Third-Party Solicited</v>
      </c>
      <c r="F231" s="633" t="str">
        <f>IF('Budget Filing Data'!H206="","",'Budget Filing Data'!H206)</f>
        <v>SW_NC_NonRes_Res_mixed - New Construction - NonResidential - Mixed Fuel</v>
      </c>
      <c r="G231" s="634" t="s">
        <v>24</v>
      </c>
      <c r="H231" s="633" t="str">
        <f>'Budget Filing Data'!G206</f>
        <v>Residential</v>
      </c>
      <c r="I231" s="633" t="str">
        <f>'Budget Filing Data'!I206</f>
        <v>New Construction</v>
      </c>
      <c r="J231" s="633" t="str">
        <f>'Budget Filing Data'!L206</f>
        <v>Market Support</v>
      </c>
      <c r="K231" s="635">
        <f>'Budget Filing Data'!B206</f>
        <v>2030</v>
      </c>
      <c r="L231" s="636">
        <f t="shared" si="47"/>
        <v>99009.264638979963</v>
      </c>
      <c r="M231" s="637">
        <f>'Budget Filing Data'!AQ206</f>
        <v>8853.9567000000006</v>
      </c>
      <c r="N231" s="637">
        <f>'Budget Filing Data'!AR206</f>
        <v>6640.4674999999997</v>
      </c>
      <c r="O231" s="637">
        <f>'Budget Filing Data'!AS206</f>
        <v>28775.359199999999</v>
      </c>
      <c r="P231" s="638">
        <f>'Budget Filing Data'!AT206</f>
        <v>54739.481238979963</v>
      </c>
    </row>
    <row r="232" spans="3:16">
      <c r="C232" s="632" t="str">
        <f>'Budget Filing Data'!D207</f>
        <v>SDGE_SW_NC_NonRes_Res_mixed_PA</v>
      </c>
      <c r="D232" s="632" t="str">
        <f>'Budget Filing Data'!E207</f>
        <v>SW New Construction NonResidential - Residential - Mixed Fuel (Utility)</v>
      </c>
      <c r="E232" s="633" t="str">
        <f>'Budget Filing Data'!J207</f>
        <v>IOU Core</v>
      </c>
      <c r="F232" s="633" t="str">
        <f>IF('Budget Filing Data'!H207="","",'Budget Filing Data'!H207)</f>
        <v>SW_NC_NonRes_Res_mixed - New Construction - NonResidential - Mixed Fuel</v>
      </c>
      <c r="G232" s="634" t="s">
        <v>24</v>
      </c>
      <c r="H232" s="633" t="str">
        <f>'Budget Filing Data'!G207</f>
        <v>Residential</v>
      </c>
      <c r="I232" s="633" t="str">
        <f>'Budget Filing Data'!I207</f>
        <v>New Construction</v>
      </c>
      <c r="J232" s="633" t="str">
        <f>'Budget Filing Data'!L207</f>
        <v>Market Support</v>
      </c>
      <c r="K232" s="635">
        <f>'Budget Filing Data'!B207</f>
        <v>2030</v>
      </c>
      <c r="L232" s="636">
        <f t="shared" si="47"/>
        <v>792.04150000000004</v>
      </c>
      <c r="M232" s="637">
        <f>'Budget Filing Data'!AQ207</f>
        <v>792.04150000000004</v>
      </c>
      <c r="N232" s="637">
        <f>'Budget Filing Data'!AR207</f>
        <v>0</v>
      </c>
      <c r="O232" s="637">
        <f>'Budget Filing Data'!AS207</f>
        <v>0</v>
      </c>
      <c r="P232" s="638">
        <f>'Budget Filing Data'!AT207</f>
        <v>0</v>
      </c>
    </row>
    <row r="233" spans="3:16">
      <c r="C233" s="632" t="str">
        <f>'Budget Filing Data'!D208</f>
        <v>SDGE_SW_NC_Res_electric</v>
      </c>
      <c r="D233" s="632" t="str">
        <f>'Budget Filing Data'!E208</f>
        <v>SW New Construction Residential - All Electric</v>
      </c>
      <c r="E233" s="633" t="str">
        <f>'Budget Filing Data'!J208</f>
        <v>Third-Party Solicited</v>
      </c>
      <c r="F233" s="633" t="str">
        <f>IF('Budget Filing Data'!H208="","",'Budget Filing Data'!H208)</f>
        <v>SW_NC_Res_electric - New Construction - Residential - All Electric</v>
      </c>
      <c r="G233" s="634" t="s">
        <v>24</v>
      </c>
      <c r="H233" s="633" t="str">
        <f>'Budget Filing Data'!G208</f>
        <v>Residential</v>
      </c>
      <c r="I233" s="633" t="str">
        <f>'Budget Filing Data'!I208</f>
        <v>New Construction</v>
      </c>
      <c r="J233" s="633" t="str">
        <f>'Budget Filing Data'!L208</f>
        <v>Market Support</v>
      </c>
      <c r="K233" s="635">
        <f>'Budget Filing Data'!B208</f>
        <v>2030</v>
      </c>
      <c r="L233" s="636">
        <f t="shared" si="47"/>
        <v>925090.6209199999</v>
      </c>
      <c r="M233" s="637">
        <f>'Budget Filing Data'!AQ208</f>
        <v>37846.627</v>
      </c>
      <c r="N233" s="637">
        <f>'Budget Filing Data'!AR208</f>
        <v>20020</v>
      </c>
      <c r="O233" s="637">
        <f>'Budget Filing Data'!AS208</f>
        <v>358452.09399999998</v>
      </c>
      <c r="P233" s="638">
        <f>'Budget Filing Data'!AT208</f>
        <v>508771.89991999994</v>
      </c>
    </row>
    <row r="234" spans="3:16">
      <c r="C234" s="632" t="str">
        <f>'Budget Filing Data'!D209</f>
        <v>SDGE_SW_NC_Res_electric_PA</v>
      </c>
      <c r="D234" s="632" t="str">
        <f>'Budget Filing Data'!E209</f>
        <v>SW New Construction Residential - All Electric (Utility)</v>
      </c>
      <c r="E234" s="633" t="str">
        <f>'Budget Filing Data'!J209</f>
        <v>IOU Core</v>
      </c>
      <c r="F234" s="633" t="str">
        <f>IF('Budget Filing Data'!H209="","",'Budget Filing Data'!H209)</f>
        <v>SW_NC_Res_electric - New Construction - Residential - All Electric</v>
      </c>
      <c r="G234" s="634" t="s">
        <v>24</v>
      </c>
      <c r="H234" s="633" t="str">
        <f>'Budget Filing Data'!G209</f>
        <v>Residential</v>
      </c>
      <c r="I234" s="633" t="str">
        <f>'Budget Filing Data'!I209</f>
        <v>New Construction</v>
      </c>
      <c r="J234" s="633" t="str">
        <f>'Budget Filing Data'!L209</f>
        <v>Market Support</v>
      </c>
      <c r="K234" s="635">
        <f>'Budget Filing Data'!B209</f>
        <v>2030</v>
      </c>
      <c r="L234" s="636">
        <f t="shared" si="47"/>
        <v>7524.0747000000001</v>
      </c>
      <c r="M234" s="637">
        <f>'Budget Filing Data'!AQ209</f>
        <v>7524.0747000000001</v>
      </c>
      <c r="N234" s="637">
        <f>'Budget Filing Data'!AR209</f>
        <v>0</v>
      </c>
      <c r="O234" s="637">
        <f>'Budget Filing Data'!AS209</f>
        <v>0</v>
      </c>
      <c r="P234" s="638">
        <f>'Budget Filing Data'!AT209</f>
        <v>0</v>
      </c>
    </row>
    <row r="235" spans="3:16">
      <c r="C235" s="645" t="str">
        <f>'Budget Filing Data'!D210</f>
        <v>SDGE4168</v>
      </c>
      <c r="D235" s="645" t="str">
        <f>'Budget Filing Data'!E210</f>
        <v>Lodging (Hotels/Motels)</v>
      </c>
      <c r="E235" s="646" t="str">
        <f>'Budget Filing Data'!J210</f>
        <v>Third-Party Solicited</v>
      </c>
      <c r="F235" s="646" t="str">
        <f>IF('Budget Filing Data'!H210="","",'Budget Filing Data'!H210)</f>
        <v/>
      </c>
      <c r="G235" s="634" t="s">
        <v>24</v>
      </c>
      <c r="H235" s="646" t="str">
        <f>'Budget Filing Data'!G210</f>
        <v>Commercial</v>
      </c>
      <c r="I235" s="646" t="str">
        <f>'Budget Filing Data'!I210</f>
        <v>Other</v>
      </c>
      <c r="J235" s="646" t="str">
        <f>'Budget Filing Data'!L210</f>
        <v>Resource Acquisition</v>
      </c>
      <c r="K235" s="647">
        <f>'Budget Filing Data'!B210</f>
        <v>2030</v>
      </c>
      <c r="L235" s="636">
        <f t="shared" si="47"/>
        <v>1649502.777</v>
      </c>
      <c r="M235" s="648">
        <v>148675</v>
      </c>
      <c r="N235" s="648">
        <v>99117</v>
      </c>
      <c r="O235" s="648">
        <v>512714</v>
      </c>
      <c r="P235" s="649">
        <v>888996.777</v>
      </c>
    </row>
    <row r="236" spans="3:16">
      <c r="C236" s="645" t="s">
        <v>1387</v>
      </c>
      <c r="D236" s="645" t="s">
        <v>1388</v>
      </c>
      <c r="E236" s="646" t="s">
        <v>17</v>
      </c>
      <c r="F236" s="646"/>
      <c r="G236" s="634" t="s">
        <v>24</v>
      </c>
      <c r="H236" s="646" t="str">
        <f>H235</f>
        <v>Commercial</v>
      </c>
      <c r="I236" s="646" t="str">
        <f t="shared" ref="I236:K236" si="48">I235</f>
        <v>Other</v>
      </c>
      <c r="J236" s="646" t="str">
        <f t="shared" si="48"/>
        <v>Resource Acquisition</v>
      </c>
      <c r="K236" s="647">
        <f t="shared" si="48"/>
        <v>2030</v>
      </c>
      <c r="L236" s="636">
        <f t="shared" si="47"/>
        <v>185249.7041</v>
      </c>
      <c r="M236" s="648">
        <v>99827.101999999999</v>
      </c>
      <c r="N236" s="648">
        <v>773.11030000000005</v>
      </c>
      <c r="O236" s="648">
        <v>84649.491800000003</v>
      </c>
      <c r="P236" s="649">
        <v>0</v>
      </c>
    </row>
    <row r="237" spans="3:16">
      <c r="C237" s="645" t="str">
        <f>'Budget Filing Data'!D211</f>
        <v>SDGE4169</v>
      </c>
      <c r="D237" s="645" t="str">
        <f>'Budget Filing Data'!E211</f>
        <v>Groceries, Restaurants and Food Storage</v>
      </c>
      <c r="E237" s="646" t="str">
        <f>'Budget Filing Data'!J211</f>
        <v>Third-Party Solicited</v>
      </c>
      <c r="F237" s="646" t="str">
        <f>IF('Budget Filing Data'!H211="","",'Budget Filing Data'!H211)</f>
        <v/>
      </c>
      <c r="G237" s="634" t="s">
        <v>24</v>
      </c>
      <c r="H237" s="646" t="str">
        <f>'Budget Filing Data'!G211</f>
        <v>Commercial</v>
      </c>
      <c r="I237" s="646" t="str">
        <f>'Budget Filing Data'!I211</f>
        <v>Other</v>
      </c>
      <c r="J237" s="646" t="str">
        <f>'Budget Filing Data'!L211</f>
        <v>Resource Acquisition</v>
      </c>
      <c r="K237" s="647">
        <f>'Budget Filing Data'!B211</f>
        <v>2030</v>
      </c>
      <c r="L237" s="636">
        <f t="shared" si="47"/>
        <v>1704484.2955</v>
      </c>
      <c r="M237" s="648">
        <v>91200</v>
      </c>
      <c r="N237" s="648">
        <v>110652</v>
      </c>
      <c r="O237" s="648">
        <v>702484.47860000003</v>
      </c>
      <c r="P237" s="649">
        <v>800147.81689999998</v>
      </c>
    </row>
    <row r="238" spans="3:16">
      <c r="C238" s="645" t="s">
        <v>1389</v>
      </c>
      <c r="D238" s="645" t="s">
        <v>1390</v>
      </c>
      <c r="E238" s="646" t="s">
        <v>17</v>
      </c>
      <c r="F238" s="646"/>
      <c r="G238" s="634" t="s">
        <v>24</v>
      </c>
      <c r="H238" s="646" t="str">
        <f>H237</f>
        <v>Commercial</v>
      </c>
      <c r="I238" s="646" t="str">
        <f t="shared" ref="I238:K238" si="49">I237</f>
        <v>Other</v>
      </c>
      <c r="J238" s="646" t="str">
        <f t="shared" si="49"/>
        <v>Resource Acquisition</v>
      </c>
      <c r="K238" s="647">
        <f t="shared" si="49"/>
        <v>2030</v>
      </c>
      <c r="L238" s="636">
        <f t="shared" si="47"/>
        <v>294915.7047</v>
      </c>
      <c r="M238" s="648">
        <v>91879.923599999995</v>
      </c>
      <c r="N238" s="648">
        <v>773.11030000000005</v>
      </c>
      <c r="O238" s="648">
        <v>202262.67079999999</v>
      </c>
      <c r="P238" s="649">
        <v>0</v>
      </c>
    </row>
    <row r="239" spans="3:16">
      <c r="C239" s="645" t="str">
        <f>'Budget Filing Data'!D212</f>
        <v>SDGE4170</v>
      </c>
      <c r="D239" s="645" t="str">
        <f>'Budget Filing Data'!E212</f>
        <v>Wholesale/Retail/Office, including Entertainment Services</v>
      </c>
      <c r="E239" s="646" t="str">
        <f>'Budget Filing Data'!J212</f>
        <v>Third-Party Solicited</v>
      </c>
      <c r="F239" s="646" t="str">
        <f>IF('Budget Filing Data'!H212="","",'Budget Filing Data'!H212)</f>
        <v/>
      </c>
      <c r="G239" s="634" t="s">
        <v>24</v>
      </c>
      <c r="H239" s="646" t="str">
        <f>'Budget Filing Data'!G212</f>
        <v>Commercial</v>
      </c>
      <c r="I239" s="646" t="str">
        <f>'Budget Filing Data'!I212</f>
        <v>Other</v>
      </c>
      <c r="J239" s="646" t="str">
        <f>'Budget Filing Data'!L212</f>
        <v>Resource Acquisition</v>
      </c>
      <c r="K239" s="647">
        <f>'Budget Filing Data'!B212</f>
        <v>2030</v>
      </c>
      <c r="L239" s="636">
        <f t="shared" si="47"/>
        <v>5480212.5700000003</v>
      </c>
      <c r="M239" s="648">
        <v>155880</v>
      </c>
      <c r="N239" s="648">
        <v>93600</v>
      </c>
      <c r="O239" s="648">
        <v>2654053.86</v>
      </c>
      <c r="P239" s="649">
        <v>2576678.71</v>
      </c>
    </row>
    <row r="240" spans="3:16">
      <c r="C240" s="645" t="s">
        <v>1391</v>
      </c>
      <c r="D240" s="645" t="s">
        <v>1392</v>
      </c>
      <c r="E240" s="646" t="s">
        <v>17</v>
      </c>
      <c r="F240" s="646"/>
      <c r="G240" s="634" t="s">
        <v>24</v>
      </c>
      <c r="H240" s="646" t="str">
        <f>H239</f>
        <v>Commercial</v>
      </c>
      <c r="I240" s="646" t="str">
        <f t="shared" ref="I240:K240" si="50">I239</f>
        <v>Other</v>
      </c>
      <c r="J240" s="646" t="str">
        <f t="shared" si="50"/>
        <v>Resource Acquisition</v>
      </c>
      <c r="K240" s="647">
        <f t="shared" si="50"/>
        <v>2030</v>
      </c>
      <c r="L240" s="636">
        <f t="shared" si="47"/>
        <v>702998.23359999992</v>
      </c>
      <c r="M240" s="648">
        <v>254209.84419999999</v>
      </c>
      <c r="N240" s="648">
        <v>773.11030000000005</v>
      </c>
      <c r="O240" s="648">
        <v>448015.27909999999</v>
      </c>
      <c r="P240" s="649">
        <v>0</v>
      </c>
    </row>
    <row r="241" spans="3:16">
      <c r="C241" s="645" t="str">
        <f>'Budget Filing Data'!D213</f>
        <v>SDGE4171</v>
      </c>
      <c r="D241" s="645" t="str">
        <f>'Budget Filing Data'!E213</f>
        <v>Private Institutions/Healthcare</v>
      </c>
      <c r="E241" s="646" t="str">
        <f>'Budget Filing Data'!J213</f>
        <v>Third-Party Solicited</v>
      </c>
      <c r="F241" s="646" t="str">
        <f>IF('Budget Filing Data'!H213="","",'Budget Filing Data'!H213)</f>
        <v/>
      </c>
      <c r="G241" s="634" t="s">
        <v>24</v>
      </c>
      <c r="H241" s="646" t="str">
        <f>'Budget Filing Data'!G213</f>
        <v>Commercial</v>
      </c>
      <c r="I241" s="646" t="str">
        <f>'Budget Filing Data'!I213</f>
        <v>Other</v>
      </c>
      <c r="J241" s="646" t="str">
        <f>'Budget Filing Data'!L213</f>
        <v>Resource Acquisition</v>
      </c>
      <c r="K241" s="647">
        <f>'Budget Filing Data'!B213</f>
        <v>2030</v>
      </c>
      <c r="L241" s="636">
        <f t="shared" si="47"/>
        <v>1527614.8199999998</v>
      </c>
      <c r="M241" s="648">
        <v>137485</v>
      </c>
      <c r="N241" s="648">
        <v>91657</v>
      </c>
      <c r="O241" s="648">
        <v>407410</v>
      </c>
      <c r="P241" s="649">
        <v>891062.82</v>
      </c>
    </row>
    <row r="242" spans="3:16">
      <c r="C242" s="645" t="s">
        <v>1393</v>
      </c>
      <c r="D242" s="645" t="s">
        <v>1394</v>
      </c>
      <c r="E242" s="646" t="s">
        <v>17</v>
      </c>
      <c r="F242" s="646"/>
      <c r="G242" s="634" t="s">
        <v>24</v>
      </c>
      <c r="H242" s="646" t="str">
        <f>H241</f>
        <v>Commercial</v>
      </c>
      <c r="I242" s="646" t="str">
        <f t="shared" ref="I242:K242" si="51">I241</f>
        <v>Other</v>
      </c>
      <c r="J242" s="646" t="str">
        <f t="shared" si="51"/>
        <v>Resource Acquisition</v>
      </c>
      <c r="K242" s="647">
        <f t="shared" si="51"/>
        <v>2030</v>
      </c>
      <c r="L242" s="636">
        <f t="shared" si="47"/>
        <v>172092.23729999998</v>
      </c>
      <c r="M242" s="648">
        <v>93178.102899999998</v>
      </c>
      <c r="N242" s="648">
        <v>773.11030000000005</v>
      </c>
      <c r="O242" s="648">
        <v>78141.024099999995</v>
      </c>
      <c r="P242" s="649">
        <v>0</v>
      </c>
    </row>
    <row r="243" spans="3:16">
      <c r="C243" s="645" t="str">
        <f>'Budget Filing Data'!D214</f>
        <v>SDGE4175</v>
      </c>
      <c r="D243" s="645" t="str">
        <f>'Budget Filing Data'!E214</f>
        <v>Local Residential Fuel-Substitution</v>
      </c>
      <c r="E243" s="646" t="str">
        <f>'Budget Filing Data'!J214</f>
        <v>IOU Core</v>
      </c>
      <c r="F243" s="646" t="str">
        <f>IF('Budget Filing Data'!H214="","",'Budget Filing Data'!H214)</f>
        <v/>
      </c>
      <c r="G243" s="634" t="s">
        <v>15</v>
      </c>
      <c r="H243" s="646" t="str">
        <f>'Budget Filing Data'!G214</f>
        <v>Residential</v>
      </c>
      <c r="I243" s="646" t="str">
        <f>'Budget Filing Data'!I214</f>
        <v>Other</v>
      </c>
      <c r="J243" s="646" t="str">
        <f>'Budget Filing Data'!L214</f>
        <v>Market Support</v>
      </c>
      <c r="K243" s="647">
        <f>'Budget Filing Data'!B214</f>
        <v>2030</v>
      </c>
      <c r="L243" s="636">
        <f t="shared" si="47"/>
        <v>900000</v>
      </c>
      <c r="M243" s="648">
        <v>90000</v>
      </c>
      <c r="N243" s="648">
        <v>100556</v>
      </c>
      <c r="O243" s="648">
        <v>643444</v>
      </c>
      <c r="P243" s="649">
        <v>66000</v>
      </c>
    </row>
    <row r="244" spans="3:16">
      <c r="C244" s="645" t="s">
        <v>1395</v>
      </c>
      <c r="D244" s="645" t="s">
        <v>1396</v>
      </c>
      <c r="E244" s="646" t="s">
        <v>17</v>
      </c>
      <c r="F244" s="646"/>
      <c r="G244" s="634" t="s">
        <v>15</v>
      </c>
      <c r="H244" s="646" t="str">
        <f>H243</f>
        <v>Residential</v>
      </c>
      <c r="I244" s="646" t="str">
        <f t="shared" ref="I244:K244" si="52">I243</f>
        <v>Other</v>
      </c>
      <c r="J244" s="646" t="str">
        <f t="shared" si="52"/>
        <v>Market Support</v>
      </c>
      <c r="K244" s="647">
        <f t="shared" si="52"/>
        <v>2030</v>
      </c>
      <c r="L244" s="636">
        <f t="shared" si="47"/>
        <v>171371.0779</v>
      </c>
      <c r="M244" s="648">
        <v>159118.1635</v>
      </c>
      <c r="N244" s="648">
        <v>3865.5517</v>
      </c>
      <c r="O244" s="648">
        <v>8387.3626999999997</v>
      </c>
      <c r="P244" s="649">
        <v>0</v>
      </c>
    </row>
    <row r="245" spans="3:16">
      <c r="C245" s="632" t="str">
        <f>'Budget Filing Data'!D215</f>
        <v>SDGE_CS_PortfolioSupport</v>
      </c>
      <c r="D245" s="632" t="str">
        <f>'Budget Filing Data'!E215</f>
        <v>Codes &amp; Standards Portfolio Support PA Costs</v>
      </c>
      <c r="E245" s="633" t="str">
        <f>'Budget Filing Data'!J215</f>
        <v>IOU Core</v>
      </c>
      <c r="F245" s="633" t="str">
        <f>IF('Budget Filing Data'!H215="","",'Budget Filing Data'!H215)</f>
        <v/>
      </c>
      <c r="G245" s="634" t="s">
        <v>24</v>
      </c>
      <c r="H245" s="633" t="str">
        <f>'Budget Filing Data'!G215</f>
        <v>Portfolio Support</v>
      </c>
      <c r="I245" s="633" t="str">
        <f>'Budget Filing Data'!I215</f>
        <v>Other</v>
      </c>
      <c r="J245" s="633" t="str">
        <f>'Budget Filing Data'!L215</f>
        <v>Codes and Standards</v>
      </c>
      <c r="K245" s="635">
        <f>'Budget Filing Data'!B215</f>
        <v>2030</v>
      </c>
      <c r="L245" s="636">
        <f t="shared" si="47"/>
        <v>205636.4319</v>
      </c>
      <c r="M245" s="637">
        <f>'Budget Filing Data'!AQ215</f>
        <v>205636.4319</v>
      </c>
      <c r="N245" s="637">
        <f>'Budget Filing Data'!AR215</f>
        <v>0</v>
      </c>
      <c r="O245" s="637">
        <f>'Budget Filing Data'!AS215</f>
        <v>0</v>
      </c>
      <c r="P245" s="638">
        <f>'Budget Filing Data'!AT215</f>
        <v>0</v>
      </c>
    </row>
    <row r="246" spans="3:16">
      <c r="C246" s="632" t="str">
        <f>'Budget Filing Data'!D216</f>
        <v>SDGE_Equity_PortfolioSupport</v>
      </c>
      <c r="D246" s="632" t="str">
        <f>'Budget Filing Data'!E216</f>
        <v>Equity Portfolio Support PA Costs</v>
      </c>
      <c r="E246" s="633" t="str">
        <f>'Budget Filing Data'!J216</f>
        <v>IOU Core</v>
      </c>
      <c r="F246" s="633" t="str">
        <f>IF('Budget Filing Data'!H216="","",'Budget Filing Data'!H216)</f>
        <v/>
      </c>
      <c r="G246" s="634" t="s">
        <v>24</v>
      </c>
      <c r="H246" s="633" t="str">
        <f>'Budget Filing Data'!G216</f>
        <v>Portfolio Support</v>
      </c>
      <c r="I246" s="633" t="str">
        <f>'Budget Filing Data'!I216</f>
        <v>Other</v>
      </c>
      <c r="J246" s="633" t="str">
        <f>'Budget Filing Data'!L216</f>
        <v>Equity</v>
      </c>
      <c r="K246" s="635">
        <f>'Budget Filing Data'!B216</f>
        <v>2030</v>
      </c>
      <c r="L246" s="636">
        <f t="shared" si="47"/>
        <v>9528.0439999999999</v>
      </c>
      <c r="M246" s="637">
        <f>'Budget Filing Data'!AQ216</f>
        <v>9528.0439999999999</v>
      </c>
      <c r="N246" s="637">
        <f>'Budget Filing Data'!AR216</f>
        <v>0</v>
      </c>
      <c r="O246" s="637">
        <f>'Budget Filing Data'!AS216</f>
        <v>0</v>
      </c>
      <c r="P246" s="638">
        <f>'Budget Filing Data'!AT216</f>
        <v>0</v>
      </c>
    </row>
    <row r="247" spans="3:16">
      <c r="C247" s="632" t="str">
        <f>'Budget Filing Data'!D217</f>
        <v>SDGE_MS_PortfolioSupport</v>
      </c>
      <c r="D247" s="632" t="str">
        <f>'Budget Filing Data'!E217</f>
        <v>Market Support Portfolio Support PA Costs</v>
      </c>
      <c r="E247" s="633" t="str">
        <f>'Budget Filing Data'!J217</f>
        <v>IOU Core</v>
      </c>
      <c r="F247" s="633" t="str">
        <f>IF('Budget Filing Data'!H217="","",'Budget Filing Data'!H217)</f>
        <v/>
      </c>
      <c r="G247" s="634" t="s">
        <v>24</v>
      </c>
      <c r="H247" s="633" t="str">
        <f>'Budget Filing Data'!G217</f>
        <v>Portfolio Support</v>
      </c>
      <c r="I247" s="633" t="str">
        <f>'Budget Filing Data'!I217</f>
        <v>Other</v>
      </c>
      <c r="J247" s="633" t="str">
        <f>'Budget Filing Data'!L217</f>
        <v>Market Support</v>
      </c>
      <c r="K247" s="635">
        <f>'Budget Filing Data'!B217</f>
        <v>2030</v>
      </c>
      <c r="L247" s="636">
        <f t="shared" si="47"/>
        <v>360494.19040000002</v>
      </c>
      <c r="M247" s="637">
        <f>'Budget Filing Data'!AQ217</f>
        <v>360494.19040000002</v>
      </c>
      <c r="N247" s="637">
        <f>'Budget Filing Data'!AR217</f>
        <v>0</v>
      </c>
      <c r="O247" s="637">
        <f>'Budget Filing Data'!AS217</f>
        <v>0</v>
      </c>
      <c r="P247" s="638">
        <f>'Budget Filing Data'!AT217</f>
        <v>0</v>
      </c>
    </row>
    <row r="248" spans="3:16">
      <c r="C248" s="632" t="str">
        <f>'Budget Filing Data'!D218</f>
        <v>SDGE_RA_PortfolioSupport</v>
      </c>
      <c r="D248" s="632" t="str">
        <f>'Budget Filing Data'!E218</f>
        <v>Resource Acquisition Portfolio Support PA Costs</v>
      </c>
      <c r="E248" s="633" t="str">
        <f>'Budget Filing Data'!J218</f>
        <v>IOU Core</v>
      </c>
      <c r="F248" s="633" t="str">
        <f>IF('Budget Filing Data'!H218="","",'Budget Filing Data'!H218)</f>
        <v/>
      </c>
      <c r="G248" s="634" t="s">
        <v>24</v>
      </c>
      <c r="H248" s="633" t="str">
        <f>'Budget Filing Data'!G218</f>
        <v>Portfolio Support</v>
      </c>
      <c r="I248" s="633" t="str">
        <f>'Budget Filing Data'!I218</f>
        <v>Other</v>
      </c>
      <c r="J248" s="633" t="str">
        <f>'Budget Filing Data'!L218</f>
        <v>Resource Acquisition</v>
      </c>
      <c r="K248" s="635">
        <f>'Budget Filing Data'!B218</f>
        <v>2030</v>
      </c>
      <c r="L248" s="636">
        <f t="shared" si="47"/>
        <v>2147906.1320000002</v>
      </c>
      <c r="M248" s="637">
        <f>'Budget Filing Data'!AQ218</f>
        <v>2147906.1320000002</v>
      </c>
      <c r="N248" s="637">
        <f>'Budget Filing Data'!AR218</f>
        <v>0</v>
      </c>
      <c r="O248" s="637">
        <f>'Budget Filing Data'!AS218</f>
        <v>0</v>
      </c>
      <c r="P248" s="638">
        <f>'Budget Filing Data'!AT218</f>
        <v>0</v>
      </c>
    </row>
    <row r="249" spans="3:16">
      <c r="C249" s="632" t="str">
        <f>'Budget Filing Data'!D219</f>
        <v>SDGE_SW_HESC</v>
      </c>
      <c r="D249" s="632" t="str">
        <f>'Budget Filing Data'!E219</f>
        <v>SW Home Energy Score California</v>
      </c>
      <c r="E249" s="633" t="str">
        <f>'Budget Filing Data'!J219</f>
        <v>REN/CCA</v>
      </c>
      <c r="F249" s="633" t="str">
        <f>IF('Budget Filing Data'!H219="","",'Budget Filing Data'!H219)</f>
        <v>SW_HESC - SW Home Energy Score California</v>
      </c>
      <c r="G249" s="634" t="s">
        <v>15</v>
      </c>
      <c r="H249" s="633" t="str">
        <f>'Budget Filing Data'!G219</f>
        <v>Residential</v>
      </c>
      <c r="I249" s="633" t="str">
        <f>'Budget Filing Data'!I219</f>
        <v>Market Transformation</v>
      </c>
      <c r="J249" s="633" t="str">
        <f>'Budget Filing Data'!L219</f>
        <v>Market Support</v>
      </c>
      <c r="K249" s="635">
        <f>'Budget Filing Data'!B219</f>
        <v>2030</v>
      </c>
      <c r="L249" s="636">
        <f t="shared" si="47"/>
        <v>584446.12479999999</v>
      </c>
      <c r="M249" s="637">
        <f>'Budget Filing Data'!AQ219</f>
        <v>15853.945599999999</v>
      </c>
      <c r="N249" s="637">
        <f>'Budget Filing Data'!AR219</f>
        <v>37200</v>
      </c>
      <c r="O249" s="637">
        <f>'Budget Filing Data'!AS219</f>
        <v>122192.1792</v>
      </c>
      <c r="P249" s="638">
        <f>'Budget Filing Data'!AT219</f>
        <v>409200</v>
      </c>
    </row>
    <row r="250" spans="3:16">
      <c r="C250" s="632" t="str">
        <f>'Budget Filing Data'!D220</f>
        <v>SDGE_SW_HESC_PA</v>
      </c>
      <c r="D250" s="632" t="str">
        <f>'Budget Filing Data'!E220</f>
        <v>SW Home Energy Score California (Utility)</v>
      </c>
      <c r="E250" s="633" t="str">
        <f>'Budget Filing Data'!J220</f>
        <v>IOU Core</v>
      </c>
      <c r="F250" s="633" t="str">
        <f>IF('Budget Filing Data'!H220="","",'Budget Filing Data'!H220)</f>
        <v>SW_HESC - SW Home Energy Score California</v>
      </c>
      <c r="G250" s="634" t="s">
        <v>15</v>
      </c>
      <c r="H250" s="633" t="str">
        <f>'Budget Filing Data'!G220</f>
        <v>Residential</v>
      </c>
      <c r="I250" s="633" t="str">
        <f>'Budget Filing Data'!I220</f>
        <v>Market Transformation</v>
      </c>
      <c r="J250" s="633" t="str">
        <f>'Budget Filing Data'!L220</f>
        <v>Market Support</v>
      </c>
      <c r="K250" s="635">
        <f>'Budget Filing Data'!B220</f>
        <v>2030</v>
      </c>
      <c r="L250" s="636">
        <f t="shared" si="47"/>
        <v>5511.5146999999997</v>
      </c>
      <c r="M250" s="637">
        <f>'Budget Filing Data'!AQ220</f>
        <v>5511.5146999999997</v>
      </c>
      <c r="N250" s="637">
        <f>'Budget Filing Data'!AR220</f>
        <v>0</v>
      </c>
      <c r="O250" s="637">
        <f>'Budget Filing Data'!AS220</f>
        <v>0</v>
      </c>
      <c r="P250" s="638">
        <f>'Budget Filing Data'!AT220</f>
        <v>0</v>
      </c>
    </row>
    <row r="251" spans="3:16">
      <c r="C251" s="645" t="str">
        <f>'Budget Filing Data'!D221</f>
        <v>SDGE4201</v>
      </c>
      <c r="D251" s="645" t="str">
        <f>'Budget Filing Data'!E221</f>
        <v>Market Access Program - Residential</v>
      </c>
      <c r="E251" s="646" t="str">
        <f>'Budget Filing Data'!J221</f>
        <v>Third-Party Solicited</v>
      </c>
      <c r="F251" s="646" t="str">
        <f>IF('Budget Filing Data'!H221="","",'Budget Filing Data'!H221)</f>
        <v/>
      </c>
      <c r="G251" s="634" t="s">
        <v>24</v>
      </c>
      <c r="H251" s="646" t="str">
        <f>'Budget Filing Data'!G221</f>
        <v>Residential</v>
      </c>
      <c r="I251" s="646" t="str">
        <f>'Budget Filing Data'!I221</f>
        <v>Other</v>
      </c>
      <c r="J251" s="646" t="str">
        <f>'Budget Filing Data'!L221</f>
        <v>Resource Acquisition</v>
      </c>
      <c r="K251" s="647">
        <f>'Budget Filing Data'!B221</f>
        <v>2030</v>
      </c>
      <c r="L251" s="636">
        <f t="shared" si="47"/>
        <v>287384.70030000003</v>
      </c>
      <c r="M251" s="648">
        <v>25412</v>
      </c>
      <c r="N251" s="648">
        <v>16941</v>
      </c>
      <c r="O251" s="648">
        <v>67734</v>
      </c>
      <c r="P251" s="649">
        <v>177297.7003</v>
      </c>
    </row>
    <row r="252" spans="3:16">
      <c r="C252" s="645" t="s">
        <v>1397</v>
      </c>
      <c r="D252" s="645" t="s">
        <v>1398</v>
      </c>
      <c r="E252" s="646" t="s">
        <v>17</v>
      </c>
      <c r="F252" s="646"/>
      <c r="G252" s="634" t="s">
        <v>24</v>
      </c>
      <c r="H252" s="646" t="str">
        <f>H251</f>
        <v>Residential</v>
      </c>
      <c r="I252" s="646" t="str">
        <f t="shared" ref="I252:K252" si="53">I251</f>
        <v>Other</v>
      </c>
      <c r="J252" s="646" t="str">
        <f t="shared" si="53"/>
        <v>Resource Acquisition</v>
      </c>
      <c r="K252" s="647">
        <f t="shared" si="53"/>
        <v>2030</v>
      </c>
      <c r="L252" s="636">
        <f t="shared" si="47"/>
        <v>39213.458200000001</v>
      </c>
      <c r="M252" s="648">
        <v>20127.9575</v>
      </c>
      <c r="N252" s="648">
        <v>773.11030000000005</v>
      </c>
      <c r="O252" s="648">
        <v>18312.3904</v>
      </c>
      <c r="P252" s="649">
        <v>0</v>
      </c>
    </row>
    <row r="253" spans="3:16">
      <c r="C253" s="645" t="str">
        <f>'Budget Filing Data'!D222</f>
        <v>SDGE4202</v>
      </c>
      <c r="D253" s="645" t="str">
        <f>'Budget Filing Data'!E222</f>
        <v>Market Access Program - Commercial</v>
      </c>
      <c r="E253" s="646" t="str">
        <f>'Budget Filing Data'!J222</f>
        <v>Third-Party Solicited</v>
      </c>
      <c r="F253" s="646" t="str">
        <f>IF('Budget Filing Data'!H222="","",'Budget Filing Data'!H222)</f>
        <v/>
      </c>
      <c r="G253" s="634" t="s">
        <v>24</v>
      </c>
      <c r="H253" s="646" t="str">
        <f>'Budget Filing Data'!G222</f>
        <v>Commercial</v>
      </c>
      <c r="I253" s="646" t="str">
        <f>'Budget Filing Data'!I222</f>
        <v>Other</v>
      </c>
      <c r="J253" s="646" t="str">
        <f>'Budget Filing Data'!L222</f>
        <v>Resource Acquisition</v>
      </c>
      <c r="K253" s="647">
        <f>'Budget Filing Data'!B222</f>
        <v>2030</v>
      </c>
      <c r="L253" s="636">
        <f t="shared" si="47"/>
        <v>1825911.9920000001</v>
      </c>
      <c r="M253" s="648">
        <v>162385</v>
      </c>
      <c r="N253" s="648">
        <v>108257</v>
      </c>
      <c r="O253" s="648">
        <v>432830</v>
      </c>
      <c r="P253" s="649">
        <v>1122439.9920000001</v>
      </c>
    </row>
    <row r="254" spans="3:16">
      <c r="C254" s="645" t="s">
        <v>1399</v>
      </c>
      <c r="D254" s="645" t="s">
        <v>1400</v>
      </c>
      <c r="E254" s="646" t="s">
        <v>17</v>
      </c>
      <c r="F254" s="646"/>
      <c r="G254" s="634" t="s">
        <v>24</v>
      </c>
      <c r="H254" s="646" t="str">
        <f>H253</f>
        <v>Commercial</v>
      </c>
      <c r="I254" s="646" t="str">
        <f t="shared" ref="I254:K254" si="54">I253</f>
        <v>Other</v>
      </c>
      <c r="J254" s="646" t="str">
        <f t="shared" si="54"/>
        <v>Resource Acquisition</v>
      </c>
      <c r="K254" s="647">
        <f t="shared" si="54"/>
        <v>2030</v>
      </c>
      <c r="L254" s="636">
        <f t="shared" si="47"/>
        <v>211086.99910000002</v>
      </c>
      <c r="M254" s="648">
        <v>113458.13430000001</v>
      </c>
      <c r="N254" s="648">
        <v>773.11030000000005</v>
      </c>
      <c r="O254" s="648">
        <v>96855.754499999995</v>
      </c>
      <c r="P254" s="649">
        <v>0</v>
      </c>
    </row>
    <row r="255" spans="3:16">
      <c r="C255" s="632" t="str">
        <f>'Budget Filing Data'!D223</f>
        <v>SDGE_SW_HVAC_AE_NonRes</v>
      </c>
      <c r="D255" s="632" t="str">
        <f>'Budget Filing Data'!E223</f>
        <v>SW HVAC All Electric Non-Residential</v>
      </c>
      <c r="E255" s="633" t="str">
        <f>'Budget Filing Data'!J223</f>
        <v>Third-Party Solicited</v>
      </c>
      <c r="F255" s="633" t="str">
        <f>IF('Budget Filing Data'!H223="","",'Budget Filing Data'!H223)</f>
        <v>SW_HVAC_AE_NonRes - SW HVAC All Electric Non-Residential</v>
      </c>
      <c r="G255" s="634" t="s">
        <v>24</v>
      </c>
      <c r="H255" s="633" t="str">
        <f>'Budget Filing Data'!G223</f>
        <v>Commercial</v>
      </c>
      <c r="I255" s="633" t="str">
        <f>'Budget Filing Data'!I223</f>
        <v>Market Transformation</v>
      </c>
      <c r="J255" s="633" t="str">
        <f>'Budget Filing Data'!L223</f>
        <v>Resource Acquisition</v>
      </c>
      <c r="K255" s="635">
        <f>'Budget Filing Data'!B223</f>
        <v>2030</v>
      </c>
      <c r="L255" s="636">
        <f t="shared" si="47"/>
        <v>903343.78261000011</v>
      </c>
      <c r="M255" s="637">
        <f>'Budget Filing Data'!AQ223</f>
        <v>108401.2542</v>
      </c>
      <c r="N255" s="637">
        <f>'Budget Filing Data'!AR223</f>
        <v>72267.502600000007</v>
      </c>
      <c r="O255" s="637">
        <f>'Budget Filing Data'!AS223</f>
        <v>478722.8346</v>
      </c>
      <c r="P255" s="638">
        <f>'Budget Filing Data'!AT223</f>
        <v>243952.19121000002</v>
      </c>
    </row>
    <row r="256" spans="3:16">
      <c r="C256" s="632" t="str">
        <f>'Budget Filing Data'!D224</f>
        <v>SDGE_SW_HVAC_AE_NonRes_PA</v>
      </c>
      <c r="D256" s="632" t="str">
        <f>'Budget Filing Data'!E224</f>
        <v>SW HVAC All Electric Non-Residential (Utility)</v>
      </c>
      <c r="E256" s="633" t="str">
        <f>'Budget Filing Data'!J224</f>
        <v>IOU Core</v>
      </c>
      <c r="F256" s="633" t="str">
        <f>IF('Budget Filing Data'!H224="","",'Budget Filing Data'!H224)</f>
        <v>SW_HVAC_AE_NonRes - SW HVAC All Electric Non-Residential</v>
      </c>
      <c r="G256" s="634" t="s">
        <v>24</v>
      </c>
      <c r="H256" s="633" t="str">
        <f>'Budget Filing Data'!G224</f>
        <v>Commercial</v>
      </c>
      <c r="I256" s="633" t="str">
        <f>'Budget Filing Data'!I224</f>
        <v>Market Transformation</v>
      </c>
      <c r="J256" s="633" t="str">
        <f>'Budget Filing Data'!L224</f>
        <v>Resource Acquisition</v>
      </c>
      <c r="K256" s="635">
        <f>'Budget Filing Data'!B224</f>
        <v>2030</v>
      </c>
      <c r="L256" s="636">
        <f t="shared" si="47"/>
        <v>7391.4647000000004</v>
      </c>
      <c r="M256" s="637">
        <f>'Budget Filing Data'!AQ224</f>
        <v>7391.4647000000004</v>
      </c>
      <c r="N256" s="637">
        <f>'Budget Filing Data'!AR224</f>
        <v>0</v>
      </c>
      <c r="O256" s="637">
        <f>'Budget Filing Data'!AS224</f>
        <v>0</v>
      </c>
      <c r="P256" s="638">
        <f>'Budget Filing Data'!AT224</f>
        <v>0</v>
      </c>
    </row>
    <row r="257" spans="3:16">
      <c r="C257" s="632" t="str">
        <f>'Budget Filing Data'!D225</f>
        <v>SDGE_OtherPA_Admin</v>
      </c>
      <c r="D257" s="632" t="str">
        <f>'Budget Filing Data'!E225</f>
        <v>Other PA Collaboration</v>
      </c>
      <c r="E257" s="633" t="str">
        <f>'Budget Filing Data'!J225</f>
        <v>Non-Program</v>
      </c>
      <c r="F257" s="633" t="str">
        <f>IF('Budget Filing Data'!H225="","",'Budget Filing Data'!H225)</f>
        <v/>
      </c>
      <c r="G257" s="634" t="s">
        <v>15</v>
      </c>
      <c r="H257" s="633" t="str">
        <f>'Budget Filing Data'!G225</f>
        <v>Cross Cutting</v>
      </c>
      <c r="I257" s="633" t="str">
        <f>'Budget Filing Data'!I225</f>
        <v>Other</v>
      </c>
      <c r="J257" s="633" t="str">
        <f>'Budget Filing Data'!L225</f>
        <v>Market Support</v>
      </c>
      <c r="K257" s="635">
        <f>'Budget Filing Data'!B225</f>
        <v>2030</v>
      </c>
      <c r="L257" s="636">
        <f t="shared" si="47"/>
        <v>129479.86500000001</v>
      </c>
      <c r="M257" s="637">
        <f>'Budget Filing Data'!AQ225</f>
        <v>129479.86500000001</v>
      </c>
      <c r="N257" s="637">
        <f>'Budget Filing Data'!AR225</f>
        <v>0</v>
      </c>
      <c r="O257" s="637">
        <f>'Budget Filing Data'!AS225</f>
        <v>0</v>
      </c>
      <c r="P257" s="638">
        <f>'Budget Filing Data'!AT225</f>
        <v>0</v>
      </c>
    </row>
    <row r="258" spans="3:16">
      <c r="C258" s="632" t="str">
        <f>'Budget Filing Data'!D226</f>
        <v>SDGE3251</v>
      </c>
      <c r="D258" s="632" t="str">
        <f>'Budget Filing Data'!E226</f>
        <v>SW C&amp;S - Compliance Enhancement</v>
      </c>
      <c r="E258" s="633" t="str">
        <f>'Budget Filing Data'!J226</f>
        <v>IOU Core</v>
      </c>
      <c r="F258" s="633" t="str">
        <f>IF('Budget Filing Data'!H226="","",'Budget Filing Data'!H226)</f>
        <v/>
      </c>
      <c r="G258" s="634" t="s">
        <v>15</v>
      </c>
      <c r="H258" s="633" t="str">
        <f>'Budget Filing Data'!G226</f>
        <v>Cross Cutting</v>
      </c>
      <c r="I258" s="633" t="str">
        <f>'Budget Filing Data'!I226</f>
        <v>Codes and Standards</v>
      </c>
      <c r="J258" s="633" t="str">
        <f>'Budget Filing Data'!L226</f>
        <v>Codes and Standards</v>
      </c>
      <c r="K258" s="635">
        <f>'Budget Filing Data'!B226</f>
        <v>2031</v>
      </c>
      <c r="L258" s="636">
        <f t="shared" si="47"/>
        <v>847506.62789999996</v>
      </c>
      <c r="M258" s="637">
        <f>'Budget Filing Data'!AQ226</f>
        <v>33969.127899999999</v>
      </c>
      <c r="N258" s="637">
        <f>'Budget Filing Data'!AR226</f>
        <v>0</v>
      </c>
      <c r="O258" s="637">
        <f>'Budget Filing Data'!AS226</f>
        <v>813537.5</v>
      </c>
      <c r="P258" s="638">
        <f>'Budget Filing Data'!AT226</f>
        <v>0</v>
      </c>
    </row>
    <row r="259" spans="3:16">
      <c r="C259" s="632" t="str">
        <f>'Budget Filing Data'!D227</f>
        <v>SDGE3252</v>
      </c>
      <c r="D259" s="632" t="str">
        <f>'Budget Filing Data'!E227</f>
        <v>SW C&amp;S - Reach Codes</v>
      </c>
      <c r="E259" s="633" t="str">
        <f>'Budget Filing Data'!J227</f>
        <v>IOU Core</v>
      </c>
      <c r="F259" s="633" t="str">
        <f>IF('Budget Filing Data'!H227="","",'Budget Filing Data'!H227)</f>
        <v/>
      </c>
      <c r="G259" s="634" t="s">
        <v>15</v>
      </c>
      <c r="H259" s="633" t="str">
        <f>'Budget Filing Data'!G227</f>
        <v>Cross Cutting</v>
      </c>
      <c r="I259" s="633" t="str">
        <f>'Budget Filing Data'!I227</f>
        <v>Codes and Standards</v>
      </c>
      <c r="J259" s="633" t="str">
        <f>'Budget Filing Data'!L227</f>
        <v>Codes and Standards</v>
      </c>
      <c r="K259" s="635">
        <f>'Budget Filing Data'!B227</f>
        <v>2031</v>
      </c>
      <c r="L259" s="636">
        <f t="shared" si="47"/>
        <v>773450.60609999998</v>
      </c>
      <c r="M259" s="637">
        <f>'Budget Filing Data'!AQ227</f>
        <v>22549.5016</v>
      </c>
      <c r="N259" s="637">
        <f>'Budget Filing Data'!AR227</f>
        <v>0</v>
      </c>
      <c r="O259" s="637">
        <f>'Budget Filing Data'!AS227</f>
        <v>750901.10450000002</v>
      </c>
      <c r="P259" s="638">
        <f>'Budget Filing Data'!AT227</f>
        <v>0</v>
      </c>
    </row>
    <row r="260" spans="3:16">
      <c r="C260" s="632" t="str">
        <f>'Budget Filing Data'!D228</f>
        <v>SDGE3253</v>
      </c>
      <c r="D260" s="632" t="str">
        <f>'Budget Filing Data'!E228</f>
        <v>SW C&amp;S - Planning Coordination</v>
      </c>
      <c r="E260" s="633" t="str">
        <f>'Budget Filing Data'!J228</f>
        <v>IOU Core</v>
      </c>
      <c r="F260" s="633" t="str">
        <f>IF('Budget Filing Data'!H228="","",'Budget Filing Data'!H228)</f>
        <v/>
      </c>
      <c r="G260" s="634" t="s">
        <v>15</v>
      </c>
      <c r="H260" s="633" t="str">
        <f>'Budget Filing Data'!G228</f>
        <v>Cross Cutting</v>
      </c>
      <c r="I260" s="633" t="str">
        <f>'Budget Filing Data'!I228</f>
        <v>Codes and Standards</v>
      </c>
      <c r="J260" s="633" t="str">
        <f>'Budget Filing Data'!L228</f>
        <v>Codes and Standards</v>
      </c>
      <c r="K260" s="635">
        <f>'Budget Filing Data'!B228</f>
        <v>2031</v>
      </c>
      <c r="L260" s="636">
        <f t="shared" si="47"/>
        <v>578745.42879999999</v>
      </c>
      <c r="M260" s="637">
        <f>'Budget Filing Data'!AQ228</f>
        <v>19919.219499999999</v>
      </c>
      <c r="N260" s="637">
        <f>'Budget Filing Data'!AR228</f>
        <v>0</v>
      </c>
      <c r="O260" s="637">
        <f>'Budget Filing Data'!AS228</f>
        <v>558826.20929999999</v>
      </c>
      <c r="P260" s="638">
        <f>'Budget Filing Data'!AT228</f>
        <v>0</v>
      </c>
    </row>
    <row r="261" spans="3:16">
      <c r="C261" s="632" t="str">
        <f>'Budget Filing Data'!D229</f>
        <v>SDGE3262</v>
      </c>
      <c r="D261" s="632" t="str">
        <f>'Budget Filing Data'!E229</f>
        <v>SW-FIN-On-Bill Finance</v>
      </c>
      <c r="E261" s="633" t="str">
        <f>'Budget Filing Data'!J229</f>
        <v>IOU Core</v>
      </c>
      <c r="F261" s="633" t="str">
        <f>IF('Budget Filing Data'!H229="","",'Budget Filing Data'!H229)</f>
        <v/>
      </c>
      <c r="G261" s="634" t="s">
        <v>15</v>
      </c>
      <c r="H261" s="633" t="str">
        <f>'Budget Filing Data'!G229</f>
        <v>Commercial</v>
      </c>
      <c r="I261" s="633" t="str">
        <f>'Budget Filing Data'!I229</f>
        <v>Financing</v>
      </c>
      <c r="J261" s="633" t="str">
        <f>'Budget Filing Data'!L229</f>
        <v>Market Support</v>
      </c>
      <c r="K261" s="635">
        <f>'Budget Filing Data'!B229</f>
        <v>2031</v>
      </c>
      <c r="L261" s="636">
        <f t="shared" si="47"/>
        <v>118951.2506</v>
      </c>
      <c r="M261" s="637">
        <f>'Budget Filing Data'!AQ229</f>
        <v>47198.206200000001</v>
      </c>
      <c r="N261" s="637">
        <f>'Budget Filing Data'!AR229</f>
        <v>796.30359999999996</v>
      </c>
      <c r="O261" s="637">
        <f>'Budget Filing Data'!AS229</f>
        <v>70956.7408</v>
      </c>
      <c r="P261" s="638">
        <f>'Budget Filing Data'!AT229</f>
        <v>0</v>
      </c>
    </row>
    <row r="262" spans="3:16">
      <c r="C262" s="632" t="str">
        <f>'Budget Filing Data'!D230</f>
        <v>SDGE3280</v>
      </c>
      <c r="D262" s="632" t="str">
        <f>'Budget Filing Data'!E230</f>
        <v>3P-IDEEA</v>
      </c>
      <c r="E262" s="633" t="str">
        <f>'Budget Filing Data'!J230</f>
        <v>Non-Program</v>
      </c>
      <c r="F262" s="633" t="str">
        <f>IF('Budget Filing Data'!H230="","",'Budget Filing Data'!H230)</f>
        <v/>
      </c>
      <c r="G262" s="634" t="s">
        <v>15</v>
      </c>
      <c r="H262" s="633" t="str">
        <f>'Budget Filing Data'!G230</f>
        <v>Cross Cutting</v>
      </c>
      <c r="I262" s="633" t="str">
        <f>'Budget Filing Data'!I230</f>
        <v>Market Education Outreach</v>
      </c>
      <c r="J262" s="633" t="str">
        <f>'Budget Filing Data'!L230</f>
        <v>Market Support</v>
      </c>
      <c r="K262" s="635">
        <f>'Budget Filing Data'!B230</f>
        <v>2031</v>
      </c>
      <c r="L262" s="636">
        <f t="shared" si="47"/>
        <v>161388.03769999999</v>
      </c>
      <c r="M262" s="637">
        <f>'Budget Filing Data'!AQ230</f>
        <v>161388.03769999999</v>
      </c>
      <c r="N262" s="637">
        <f>'Budget Filing Data'!AR230</f>
        <v>0</v>
      </c>
      <c r="O262" s="637">
        <f>'Budget Filing Data'!AS230</f>
        <v>0</v>
      </c>
      <c r="P262" s="638">
        <f>'Budget Filing Data'!AT230</f>
        <v>0</v>
      </c>
    </row>
    <row r="263" spans="3:16">
      <c r="C263" s="632" t="str">
        <f>'Budget Filing Data'!D231</f>
        <v>SDGE3281</v>
      </c>
      <c r="D263" s="632" t="str">
        <f>'Budget Filing Data'!E231</f>
        <v>EM&amp;V-Evaluation Measurement &amp; Verification</v>
      </c>
      <c r="E263" s="633" t="str">
        <f>'Budget Filing Data'!J231</f>
        <v>Non-Program</v>
      </c>
      <c r="F263" s="633" t="str">
        <f>IF('Budget Filing Data'!H231="","",'Budget Filing Data'!H231)</f>
        <v/>
      </c>
      <c r="G263" s="634" t="s">
        <v>24</v>
      </c>
      <c r="H263" s="633" t="str">
        <f>'Budget Filing Data'!G231</f>
        <v>Cross Cutting</v>
      </c>
      <c r="I263" s="633" t="str">
        <f>'Budget Filing Data'!I231</f>
        <v>Evaluation Measurement and Verification</v>
      </c>
      <c r="J263" s="633" t="str">
        <f>'Budget Filing Data'!L231</f>
        <v>Evaluation, Measurement, and Verification</v>
      </c>
      <c r="K263" s="635">
        <f>'Budget Filing Data'!B231</f>
        <v>2031</v>
      </c>
      <c r="L263" s="636">
        <f t="shared" si="47"/>
        <v>2873293.4942999999</v>
      </c>
      <c r="M263" s="637">
        <f>'Budget Filing Data'!AQ231</f>
        <v>2873293.4942999999</v>
      </c>
      <c r="N263" s="637">
        <f>'Budget Filing Data'!AR231</f>
        <v>0</v>
      </c>
      <c r="O263" s="637">
        <f>'Budget Filing Data'!AS231</f>
        <v>0</v>
      </c>
      <c r="P263" s="638">
        <f>'Budget Filing Data'!AT231</f>
        <v>0</v>
      </c>
    </row>
    <row r="264" spans="3:16">
      <c r="C264" s="645" t="str">
        <f>'Budget Filing Data'!D232</f>
        <v>SDGE4001</v>
      </c>
      <c r="D264" s="645" t="str">
        <f>'Budget Filing Data'!E232</f>
        <v>Single Family Program</v>
      </c>
      <c r="E264" s="646" t="str">
        <f>'Budget Filing Data'!J232</f>
        <v>Third-Party Solicited</v>
      </c>
      <c r="F264" s="646" t="str">
        <f>IF('Budget Filing Data'!H232="","",'Budget Filing Data'!H232)</f>
        <v/>
      </c>
      <c r="G264" s="634" t="s">
        <v>24</v>
      </c>
      <c r="H264" s="646" t="str">
        <f>'Budget Filing Data'!G232</f>
        <v>Residential</v>
      </c>
      <c r="I264" s="646" t="str">
        <f>'Budget Filing Data'!I232</f>
        <v>Other</v>
      </c>
      <c r="J264" s="646" t="str">
        <f>'Budget Filing Data'!L232</f>
        <v>Resource Acquisition</v>
      </c>
      <c r="K264" s="647">
        <f>'Budget Filing Data'!B232</f>
        <v>2031</v>
      </c>
      <c r="L264" s="636">
        <f t="shared" si="47"/>
        <v>4999999.9989999998</v>
      </c>
      <c r="M264" s="648">
        <v>150000</v>
      </c>
      <c r="N264" s="648">
        <v>150000</v>
      </c>
      <c r="O264" s="648">
        <v>50000</v>
      </c>
      <c r="P264" s="649">
        <v>4649999.9989999998</v>
      </c>
    </row>
    <row r="265" spans="3:16">
      <c r="C265" s="645" t="s">
        <v>1378</v>
      </c>
      <c r="D265" s="645" t="s">
        <v>1379</v>
      </c>
      <c r="E265" s="646" t="s">
        <v>17</v>
      </c>
      <c r="F265" s="646"/>
      <c r="G265" s="634" t="s">
        <v>24</v>
      </c>
      <c r="H265" s="646" t="str">
        <f>H264</f>
        <v>Residential</v>
      </c>
      <c r="I265" s="646" t="str">
        <f t="shared" ref="I265:K265" si="55">I264</f>
        <v>Other</v>
      </c>
      <c r="J265" s="646" t="str">
        <f t="shared" si="55"/>
        <v>Resource Acquisition</v>
      </c>
      <c r="K265" s="647">
        <f t="shared" si="55"/>
        <v>2031</v>
      </c>
      <c r="L265" s="636">
        <f t="shared" si="47"/>
        <v>489420.87679999997</v>
      </c>
      <c r="M265" s="648">
        <v>155775.4633</v>
      </c>
      <c r="N265" s="648">
        <v>796.30359999999996</v>
      </c>
      <c r="O265" s="648">
        <v>332849.10989999998</v>
      </c>
      <c r="P265" s="649">
        <v>0</v>
      </c>
    </row>
    <row r="266" spans="3:16">
      <c r="C266" s="645" t="str">
        <f>'Budget Filing Data'!D233</f>
        <v>SDGE4002</v>
      </c>
      <c r="D266" s="645" t="str">
        <f>'Budget Filing Data'!E233</f>
        <v>Multi Family Program</v>
      </c>
      <c r="E266" s="646" t="str">
        <f>'Budget Filing Data'!J233</f>
        <v>Third-Party Solicited</v>
      </c>
      <c r="F266" s="646" t="str">
        <f>IF('Budget Filing Data'!H233="","",'Budget Filing Data'!H233)</f>
        <v/>
      </c>
      <c r="G266" s="634" t="s">
        <v>24</v>
      </c>
      <c r="H266" s="646" t="str">
        <f>'Budget Filing Data'!G233</f>
        <v>Residential</v>
      </c>
      <c r="I266" s="646" t="str">
        <f>'Budget Filing Data'!I233</f>
        <v>Other</v>
      </c>
      <c r="J266" s="646" t="str">
        <f>'Budget Filing Data'!L233</f>
        <v>Resource Acquisition</v>
      </c>
      <c r="K266" s="647">
        <f>'Budget Filing Data'!B233</f>
        <v>2031</v>
      </c>
      <c r="L266" s="636">
        <f t="shared" si="47"/>
        <v>11999999.999</v>
      </c>
      <c r="M266" s="648">
        <v>360000</v>
      </c>
      <c r="N266" s="648">
        <v>360000</v>
      </c>
      <c r="O266" s="648">
        <v>120000</v>
      </c>
      <c r="P266" s="649">
        <v>11159999.999</v>
      </c>
    </row>
    <row r="267" spans="3:16">
      <c r="C267" s="645" t="s">
        <v>1380</v>
      </c>
      <c r="D267" s="645" t="s">
        <v>1381</v>
      </c>
      <c r="E267" s="646" t="s">
        <v>17</v>
      </c>
      <c r="F267" s="646"/>
      <c r="G267" s="634" t="s">
        <v>24</v>
      </c>
      <c r="H267" s="646" t="str">
        <f>H266</f>
        <v>Residential</v>
      </c>
      <c r="I267" s="646" t="str">
        <f t="shared" ref="I267:K267" si="56">I266</f>
        <v>Other</v>
      </c>
      <c r="J267" s="646" t="str">
        <f t="shared" si="56"/>
        <v>Resource Acquisition</v>
      </c>
      <c r="K267" s="647">
        <f t="shared" si="56"/>
        <v>2031</v>
      </c>
      <c r="L267" s="636">
        <f t="shared" si="47"/>
        <v>1086164.2747</v>
      </c>
      <c r="M267" s="648">
        <v>322006.2634</v>
      </c>
      <c r="N267" s="648">
        <v>796.30359999999996</v>
      </c>
      <c r="O267" s="648">
        <v>763361.70770000003</v>
      </c>
      <c r="P267" s="649">
        <v>0</v>
      </c>
    </row>
    <row r="268" spans="3:16">
      <c r="C268" s="645" t="str">
        <f>'Budget Filing Data'!D234</f>
        <v>SDGE4006</v>
      </c>
      <c r="D268" s="645" t="str">
        <f>'Budget Filing Data'!E234</f>
        <v>Industrial Sector Program</v>
      </c>
      <c r="E268" s="646" t="str">
        <f>'Budget Filing Data'!J234</f>
        <v>Third-Party Solicited</v>
      </c>
      <c r="F268" s="646" t="str">
        <f>IF('Budget Filing Data'!H234="","",'Budget Filing Data'!H234)</f>
        <v/>
      </c>
      <c r="G268" s="634" t="s">
        <v>24</v>
      </c>
      <c r="H268" s="646" t="str">
        <f>'Budget Filing Data'!G234</f>
        <v>Industrial</v>
      </c>
      <c r="I268" s="646" t="str">
        <f>'Budget Filing Data'!I234</f>
        <v>Other</v>
      </c>
      <c r="J268" s="646" t="str">
        <f>'Budget Filing Data'!L234</f>
        <v>Resource Acquisition</v>
      </c>
      <c r="K268" s="647">
        <f>'Budget Filing Data'!B234</f>
        <v>2031</v>
      </c>
      <c r="L268" s="636">
        <f t="shared" si="47"/>
        <v>8108771.6100000003</v>
      </c>
      <c r="M268" s="648">
        <v>486526.36</v>
      </c>
      <c r="N268" s="648">
        <v>405438.63</v>
      </c>
      <c r="O268" s="648">
        <v>5516014.6200000001</v>
      </c>
      <c r="P268" s="649">
        <v>1700792</v>
      </c>
    </row>
    <row r="269" spans="3:16">
      <c r="C269" s="645" t="s">
        <v>1382</v>
      </c>
      <c r="D269" s="645" t="s">
        <v>1383</v>
      </c>
      <c r="E269" s="646" t="s">
        <v>17</v>
      </c>
      <c r="F269" s="646"/>
      <c r="G269" s="634" t="s">
        <v>24</v>
      </c>
      <c r="H269" s="646" t="str">
        <f>H268</f>
        <v>Industrial</v>
      </c>
      <c r="I269" s="646" t="str">
        <f t="shared" ref="I269:K269" si="57">I268</f>
        <v>Other</v>
      </c>
      <c r="J269" s="646" t="str">
        <f t="shared" si="57"/>
        <v>Resource Acquisition</v>
      </c>
      <c r="K269" s="647">
        <f t="shared" si="57"/>
        <v>2031</v>
      </c>
      <c r="L269" s="636">
        <f t="shared" si="47"/>
        <v>1189452.3182000001</v>
      </c>
      <c r="M269" s="648">
        <v>346251.77110000001</v>
      </c>
      <c r="N269" s="648">
        <v>796.30359999999996</v>
      </c>
      <c r="O269" s="648">
        <v>842404.24349999998</v>
      </c>
      <c r="P269" s="649">
        <v>0</v>
      </c>
    </row>
    <row r="270" spans="3:16">
      <c r="C270" s="645" t="str">
        <f>'Budget Filing Data'!D235</f>
        <v>SDGE4040</v>
      </c>
      <c r="D270" s="645" t="str">
        <f>'Budget Filing Data'!E235</f>
        <v>IDSM Local Residential Behavioral Program (EE)</v>
      </c>
      <c r="E270" s="646" t="str">
        <f>'Budget Filing Data'!J235</f>
        <v>Third-Party Solicited</v>
      </c>
      <c r="F270" s="646" t="str">
        <f>IF('Budget Filing Data'!H235="","",'Budget Filing Data'!H235)</f>
        <v/>
      </c>
      <c r="G270" s="634" t="s">
        <v>24</v>
      </c>
      <c r="H270" s="646" t="str">
        <f>'Budget Filing Data'!G235</f>
        <v>Residential</v>
      </c>
      <c r="I270" s="646" t="str">
        <f>'Budget Filing Data'!I235</f>
        <v>Other</v>
      </c>
      <c r="J270" s="646" t="str">
        <f>'Budget Filing Data'!L235</f>
        <v>Resource Acquisition</v>
      </c>
      <c r="K270" s="647">
        <f>'Budget Filing Data'!B235</f>
        <v>2031</v>
      </c>
      <c r="L270" s="636">
        <f t="shared" si="47"/>
        <v>5151402.6900000004</v>
      </c>
      <c r="M270" s="648">
        <v>515140.26899999997</v>
      </c>
      <c r="N270" s="648">
        <v>0</v>
      </c>
      <c r="O270" s="648">
        <v>4636262.4210000001</v>
      </c>
      <c r="P270" s="649">
        <v>0</v>
      </c>
    </row>
    <row r="271" spans="3:16">
      <c r="C271" s="645" t="s">
        <v>1384</v>
      </c>
      <c r="D271" s="645" t="s">
        <v>1385</v>
      </c>
      <c r="E271" s="646" t="s">
        <v>17</v>
      </c>
      <c r="F271" s="646"/>
      <c r="G271" s="634" t="s">
        <v>24</v>
      </c>
      <c r="H271" s="646" t="str">
        <f>H270</f>
        <v>Residential</v>
      </c>
      <c r="I271" s="646" t="str">
        <f t="shared" ref="I271:K271" si="58">I270</f>
        <v>Other</v>
      </c>
      <c r="J271" s="646" t="str">
        <f t="shared" si="58"/>
        <v>Resource Acquisition</v>
      </c>
      <c r="K271" s="647">
        <f t="shared" si="58"/>
        <v>2031</v>
      </c>
      <c r="L271" s="636">
        <f t="shared" si="47"/>
        <v>188971.8518</v>
      </c>
      <c r="M271" s="648">
        <v>111379.7628</v>
      </c>
      <c r="N271" s="648">
        <v>19111.2876</v>
      </c>
      <c r="O271" s="648">
        <v>58480.801399999997</v>
      </c>
      <c r="P271" s="649">
        <v>0</v>
      </c>
    </row>
    <row r="272" spans="3:16">
      <c r="C272" s="632" t="str">
        <f>'Budget Filing Data'!D236</f>
        <v>SDGE_SW_CSA_Natl</v>
      </c>
      <c r="D272" s="632" t="str">
        <f>'Budget Filing Data'!E236</f>
        <v>SW Codes &amp; Standards Advocacy - National Codes &amp; Standards Advocacy</v>
      </c>
      <c r="E272" s="633" t="str">
        <f>'Budget Filing Data'!J236</f>
        <v>Third-Party Solicited</v>
      </c>
      <c r="F272" s="633" t="str">
        <f>IF('Budget Filing Data'!H236="","",'Budget Filing Data'!H236)</f>
        <v>SW_CSA_Natl - Codes and Standards National Codes Advocacy</v>
      </c>
      <c r="G272" s="634" t="s">
        <v>24</v>
      </c>
      <c r="H272" s="633" t="str">
        <f>'Budget Filing Data'!G236</f>
        <v>Cross Cutting</v>
      </c>
      <c r="I272" s="633" t="str">
        <f>'Budget Filing Data'!I236</f>
        <v>Codes and Standards</v>
      </c>
      <c r="J272" s="633" t="str">
        <f>'Budget Filing Data'!L236</f>
        <v>Codes and Standards</v>
      </c>
      <c r="K272" s="635">
        <f>'Budget Filing Data'!B236</f>
        <v>2031</v>
      </c>
      <c r="L272" s="636">
        <f t="shared" si="47"/>
        <v>423899.28909999999</v>
      </c>
      <c r="M272" s="637">
        <f>'Budget Filing Data'!AQ236</f>
        <v>0</v>
      </c>
      <c r="N272" s="637">
        <f>'Budget Filing Data'!AR236</f>
        <v>0</v>
      </c>
      <c r="O272" s="637">
        <f>'Budget Filing Data'!AS236</f>
        <v>423899.28909999999</v>
      </c>
      <c r="P272" s="638">
        <f>'Budget Filing Data'!AT236</f>
        <v>0</v>
      </c>
    </row>
    <row r="273" spans="3:16">
      <c r="C273" s="632" t="str">
        <f>'Budget Filing Data'!D237</f>
        <v>SDGE_SW_CSA_Natl_PA</v>
      </c>
      <c r="D273" s="632" t="str">
        <f>'Budget Filing Data'!E237</f>
        <v>SW Codes &amp; Standards Advocacy - National Codes &amp; Standards Advocacy (Utility)</v>
      </c>
      <c r="E273" s="633" t="str">
        <f>'Budget Filing Data'!J237</f>
        <v>IOU Core</v>
      </c>
      <c r="F273" s="633" t="str">
        <f>IF('Budget Filing Data'!H237="","",'Budget Filing Data'!H237)</f>
        <v>SW_CSA_Natl - Codes and Standards National Codes Advocacy</v>
      </c>
      <c r="G273" s="634" t="s">
        <v>24</v>
      </c>
      <c r="H273" s="633" t="str">
        <f>'Budget Filing Data'!G237</f>
        <v>Cross Cutting</v>
      </c>
      <c r="I273" s="633" t="str">
        <f>'Budget Filing Data'!I237</f>
        <v>Codes and Standards</v>
      </c>
      <c r="J273" s="633" t="str">
        <f>'Budget Filing Data'!L237</f>
        <v>Codes and Standards</v>
      </c>
      <c r="K273" s="635">
        <f>'Budget Filing Data'!B237</f>
        <v>2031</v>
      </c>
      <c r="L273" s="636">
        <f t="shared" si="47"/>
        <v>65263.166400000002</v>
      </c>
      <c r="M273" s="637">
        <f>'Budget Filing Data'!AQ237</f>
        <v>14986.9292</v>
      </c>
      <c r="N273" s="637">
        <f>'Budget Filing Data'!AR237</f>
        <v>0</v>
      </c>
      <c r="O273" s="637">
        <f>'Budget Filing Data'!AS237</f>
        <v>50276.237200000003</v>
      </c>
      <c r="P273" s="638">
        <f>'Budget Filing Data'!AT237</f>
        <v>0</v>
      </c>
    </row>
    <row r="274" spans="3:16">
      <c r="C274" s="632" t="str">
        <f>'Budget Filing Data'!D238</f>
        <v>SDGE_SW_CSA_Appl</v>
      </c>
      <c r="D274" s="632" t="str">
        <f>'Budget Filing Data'!E238</f>
        <v>SW Codes &amp; Standards Advocacy - State Appliance Standards</v>
      </c>
      <c r="E274" s="633" t="str">
        <f>'Budget Filing Data'!J238</f>
        <v>Third-Party Solicited</v>
      </c>
      <c r="F274" s="633" t="str">
        <f>IF('Budget Filing Data'!H238="","",'Budget Filing Data'!H238)</f>
        <v>SW_CSA_Appl - Codes and Standards Appliance Advocacy</v>
      </c>
      <c r="G274" s="634" t="s">
        <v>24</v>
      </c>
      <c r="H274" s="633" t="str">
        <f>'Budget Filing Data'!G238</f>
        <v>Cross Cutting</v>
      </c>
      <c r="I274" s="633" t="str">
        <f>'Budget Filing Data'!I238</f>
        <v>Codes and Standards</v>
      </c>
      <c r="J274" s="633" t="str">
        <f>'Budget Filing Data'!L238</f>
        <v>Codes and Standards</v>
      </c>
      <c r="K274" s="635">
        <f>'Budget Filing Data'!B238</f>
        <v>2031</v>
      </c>
      <c r="L274" s="636">
        <f t="shared" si="47"/>
        <v>333070.63510000001</v>
      </c>
      <c r="M274" s="637">
        <f>'Budget Filing Data'!AQ238</f>
        <v>0</v>
      </c>
      <c r="N274" s="637">
        <f>'Budget Filing Data'!AR238</f>
        <v>0</v>
      </c>
      <c r="O274" s="637">
        <f>'Budget Filing Data'!AS238</f>
        <v>333070.63510000001</v>
      </c>
      <c r="P274" s="638">
        <f>'Budget Filing Data'!AT238</f>
        <v>0</v>
      </c>
    </row>
    <row r="275" spans="3:16">
      <c r="C275" s="632" t="str">
        <f>'Budget Filing Data'!D239</f>
        <v>SDGE_SW_CSA_Appl_PA</v>
      </c>
      <c r="D275" s="632" t="str">
        <f>'Budget Filing Data'!E239</f>
        <v>SW Codes &amp; Standards Advocacy - State Appliance Standards (Utility)</v>
      </c>
      <c r="E275" s="633" t="str">
        <f>'Budget Filing Data'!J239</f>
        <v>IOU Core</v>
      </c>
      <c r="F275" s="633" t="str">
        <f>IF('Budget Filing Data'!H239="","",'Budget Filing Data'!H239)</f>
        <v>SW_CSA_Appl - Codes and Standards Appliance Advocacy</v>
      </c>
      <c r="G275" s="634" t="s">
        <v>24</v>
      </c>
      <c r="H275" s="633" t="str">
        <f>'Budget Filing Data'!G239</f>
        <v>Cross Cutting</v>
      </c>
      <c r="I275" s="633" t="str">
        <f>'Budget Filing Data'!I239</f>
        <v>Codes and Standards</v>
      </c>
      <c r="J275" s="633" t="str">
        <f>'Budget Filing Data'!L239</f>
        <v>Codes and Standards</v>
      </c>
      <c r="K275" s="635">
        <f>'Budget Filing Data'!B239</f>
        <v>2031</v>
      </c>
      <c r="L275" s="636">
        <f t="shared" si="47"/>
        <v>66917.715599999996</v>
      </c>
      <c r="M275" s="637">
        <f>'Budget Filing Data'!AQ239</f>
        <v>14566.5766</v>
      </c>
      <c r="N275" s="637">
        <f>'Budget Filing Data'!AR239</f>
        <v>0</v>
      </c>
      <c r="O275" s="637">
        <f>'Budget Filing Data'!AS239</f>
        <v>52351.139000000003</v>
      </c>
      <c r="P275" s="638">
        <f>'Budget Filing Data'!AT239</f>
        <v>0</v>
      </c>
    </row>
    <row r="276" spans="3:16">
      <c r="C276" s="632" t="str">
        <f>'Budget Filing Data'!D240</f>
        <v>SDGE_SW_CSA_Bldg</v>
      </c>
      <c r="D276" s="632" t="str">
        <f>'Budget Filing Data'!E240</f>
        <v>SW Codes &amp; Standards Advocacy - State Building Codes</v>
      </c>
      <c r="E276" s="633" t="str">
        <f>'Budget Filing Data'!J240</f>
        <v>Third-Party Solicited</v>
      </c>
      <c r="F276" s="633" t="str">
        <f>IF('Budget Filing Data'!H240="","",'Budget Filing Data'!H240)</f>
        <v>SW_CSA_Bldg - Codes and Standards Building Codes Advocacy</v>
      </c>
      <c r="G276" s="634" t="s">
        <v>24</v>
      </c>
      <c r="H276" s="633" t="str">
        <f>'Budget Filing Data'!G240</f>
        <v>Cross Cutting</v>
      </c>
      <c r="I276" s="633" t="str">
        <f>'Budget Filing Data'!I240</f>
        <v>Codes and Standards</v>
      </c>
      <c r="J276" s="633" t="str">
        <f>'Budget Filing Data'!L240</f>
        <v>Codes and Standards</v>
      </c>
      <c r="K276" s="635">
        <f>'Budget Filing Data'!B240</f>
        <v>2031</v>
      </c>
      <c r="L276" s="636">
        <f t="shared" si="47"/>
        <v>699685.34719999996</v>
      </c>
      <c r="M276" s="637">
        <f>'Budget Filing Data'!AQ240</f>
        <v>0</v>
      </c>
      <c r="N276" s="637">
        <f>'Budget Filing Data'!AR240</f>
        <v>0</v>
      </c>
      <c r="O276" s="637">
        <f>'Budget Filing Data'!AS240</f>
        <v>699685.34719999996</v>
      </c>
      <c r="P276" s="638">
        <f>'Budget Filing Data'!AT240</f>
        <v>0</v>
      </c>
    </row>
    <row r="277" spans="3:16">
      <c r="C277" s="632" t="str">
        <f>'Budget Filing Data'!D241</f>
        <v>SDGE_SW_CSA_Bldg_PA</v>
      </c>
      <c r="D277" s="632" t="str">
        <f>'Budget Filing Data'!E241</f>
        <v>SW Codes &amp; Standards Advocacy - State Building Codes (Utility)</v>
      </c>
      <c r="E277" s="633" t="str">
        <f>'Budget Filing Data'!J241</f>
        <v>IOU Core</v>
      </c>
      <c r="F277" s="633" t="str">
        <f>IF('Budget Filing Data'!H241="","",'Budget Filing Data'!H241)</f>
        <v>SW_CSA_Bldg - Codes and Standards Building Codes Advocacy</v>
      </c>
      <c r="G277" s="634" t="s">
        <v>24</v>
      </c>
      <c r="H277" s="633" t="str">
        <f>'Budget Filing Data'!G241</f>
        <v>Cross Cutting</v>
      </c>
      <c r="I277" s="633" t="str">
        <f>'Budget Filing Data'!I241</f>
        <v>Codes and Standards</v>
      </c>
      <c r="J277" s="633" t="str">
        <f>'Budget Filing Data'!L241</f>
        <v>Codes and Standards</v>
      </c>
      <c r="K277" s="635">
        <f>'Budget Filing Data'!B241</f>
        <v>2031</v>
      </c>
      <c r="L277" s="636">
        <f t="shared" si="47"/>
        <v>83820.895399999994</v>
      </c>
      <c r="M277" s="637">
        <f>'Budget Filing Data'!AQ241</f>
        <v>17583.818599999999</v>
      </c>
      <c r="N277" s="637">
        <f>'Budget Filing Data'!AR241</f>
        <v>0</v>
      </c>
      <c r="O277" s="637">
        <f>'Budget Filing Data'!AS241</f>
        <v>66237.076799999995</v>
      </c>
      <c r="P277" s="638">
        <f>'Budget Filing Data'!AT241</f>
        <v>0</v>
      </c>
    </row>
    <row r="278" spans="3:16">
      <c r="C278" s="632" t="str">
        <f>'Budget Filing Data'!D242</f>
        <v>SDGE_SW_ETP_Elec</v>
      </c>
      <c r="D278" s="632" t="str">
        <f>'Budget Filing Data'!E242</f>
        <v>SW Emerging Technologies - Electric</v>
      </c>
      <c r="E278" s="633" t="str">
        <f>'Budget Filing Data'!J242</f>
        <v>Third-Party Solicited</v>
      </c>
      <c r="F278" s="633" t="str">
        <f>IF('Budget Filing Data'!H242="","",'Budget Filing Data'!H242)</f>
        <v>SW_ETP_Elec - Emerging Technology Programs - Electric</v>
      </c>
      <c r="G278" s="634" t="s">
        <v>15</v>
      </c>
      <c r="H278" s="633" t="str">
        <f>'Budget Filing Data'!G242</f>
        <v>Cross Cutting</v>
      </c>
      <c r="I278" s="633" t="str">
        <f>'Budget Filing Data'!I242</f>
        <v>Emerging Technologies</v>
      </c>
      <c r="J278" s="633" t="str">
        <f>'Budget Filing Data'!L242</f>
        <v>Market Support</v>
      </c>
      <c r="K278" s="635">
        <f>'Budget Filing Data'!B242</f>
        <v>2031</v>
      </c>
      <c r="L278" s="636">
        <f t="shared" si="47"/>
        <v>1547000</v>
      </c>
      <c r="M278" s="637">
        <f>'Budget Filing Data'!AQ242</f>
        <v>0</v>
      </c>
      <c r="N278" s="637">
        <f>'Budget Filing Data'!AR242</f>
        <v>0</v>
      </c>
      <c r="O278" s="637">
        <f>'Budget Filing Data'!AS242</f>
        <v>1547000</v>
      </c>
      <c r="P278" s="638">
        <f>'Budget Filing Data'!AT242</f>
        <v>0</v>
      </c>
    </row>
    <row r="279" spans="3:16">
      <c r="C279" s="632" t="str">
        <f>'Budget Filing Data'!D243</f>
        <v>SDGE_SW_ETP_Elec_PA</v>
      </c>
      <c r="D279" s="632" t="str">
        <f>'Budget Filing Data'!E243</f>
        <v>SW Emerging Technologies - Electric (Utility)</v>
      </c>
      <c r="E279" s="633" t="str">
        <f>'Budget Filing Data'!J243</f>
        <v>IOU Core</v>
      </c>
      <c r="F279" s="633" t="str">
        <f>IF('Budget Filing Data'!H243="","",'Budget Filing Data'!H243)</f>
        <v>SW_ETP_Elec - Emerging Technology Programs - Electric</v>
      </c>
      <c r="G279" s="634" t="s">
        <v>15</v>
      </c>
      <c r="H279" s="633" t="str">
        <f>'Budget Filing Data'!G243</f>
        <v>Cross Cutting</v>
      </c>
      <c r="I279" s="633" t="str">
        <f>'Budget Filing Data'!I243</f>
        <v>Emerging Technologies</v>
      </c>
      <c r="J279" s="633" t="str">
        <f>'Budget Filing Data'!L243</f>
        <v>Market Support</v>
      </c>
      <c r="K279" s="635">
        <f>'Budget Filing Data'!B243</f>
        <v>2031</v>
      </c>
      <c r="L279" s="636">
        <f t="shared" si="47"/>
        <v>106642.0865</v>
      </c>
      <c r="M279" s="637">
        <f>'Budget Filing Data'!AQ243</f>
        <v>24924.246899999998</v>
      </c>
      <c r="N279" s="637">
        <f>'Budget Filing Data'!AR243</f>
        <v>0</v>
      </c>
      <c r="O279" s="637">
        <f>'Budget Filing Data'!AS243</f>
        <v>81717.839600000007</v>
      </c>
      <c r="P279" s="638">
        <f>'Budget Filing Data'!AT243</f>
        <v>0</v>
      </c>
    </row>
    <row r="280" spans="3:16">
      <c r="C280" s="632" t="str">
        <f>'Budget Filing Data'!D244</f>
        <v>SDGE_SW_IP_Gov</v>
      </c>
      <c r="D280" s="632" t="str">
        <f>'Budget Filing Data'!E244</f>
        <v>SW Institutional Partnerships: DGS &amp; DoC</v>
      </c>
      <c r="E280" s="633" t="str">
        <f>'Budget Filing Data'!J244</f>
        <v>Third-Party Solicited</v>
      </c>
      <c r="F280" s="633" t="str">
        <f>IF('Budget Filing Data'!H244="","",'Budget Filing Data'!H244)</f>
        <v>SW_IP_Gov - Institutional Partnerships - Government</v>
      </c>
      <c r="G280" s="634" t="s">
        <v>24</v>
      </c>
      <c r="H280" s="633" t="str">
        <f>'Budget Filing Data'!G244</f>
        <v>Public</v>
      </c>
      <c r="I280" s="633" t="str">
        <f>'Budget Filing Data'!I244</f>
        <v>Government Partnerships</v>
      </c>
      <c r="J280" s="633" t="str">
        <f>'Budget Filing Data'!L244</f>
        <v>Resource Acquisition</v>
      </c>
      <c r="K280" s="635">
        <f>'Budget Filing Data'!B244</f>
        <v>2031</v>
      </c>
      <c r="L280" s="636">
        <f t="shared" si="47"/>
        <v>230942.560214</v>
      </c>
      <c r="M280" s="637">
        <f>'Budget Filing Data'!AQ244</f>
        <v>9523.2000000000007</v>
      </c>
      <c r="N280" s="637">
        <f>'Budget Filing Data'!AR244</f>
        <v>496</v>
      </c>
      <c r="O280" s="637">
        <f>'Budget Filing Data'!AS244</f>
        <v>142335.41380000001</v>
      </c>
      <c r="P280" s="638">
        <f>'Budget Filing Data'!AT244</f>
        <v>78587.946413999991</v>
      </c>
    </row>
    <row r="281" spans="3:16">
      <c r="C281" s="632" t="str">
        <f>'Budget Filing Data'!D245</f>
        <v>SDGE_SW_IP_Gov_PA</v>
      </c>
      <c r="D281" s="632" t="str">
        <f>'Budget Filing Data'!E245</f>
        <v>SW Institutional Partnerships: DGS &amp; DoC (Utility)</v>
      </c>
      <c r="E281" s="633" t="str">
        <f>'Budget Filing Data'!J245</f>
        <v>IOU Core</v>
      </c>
      <c r="F281" s="633" t="str">
        <f>IF('Budget Filing Data'!H245="","",'Budget Filing Data'!H245)</f>
        <v>SW_IP_Gov - Institutional Partnerships - Government</v>
      </c>
      <c r="G281" s="634" t="s">
        <v>24</v>
      </c>
      <c r="H281" s="633" t="str">
        <f>'Budget Filing Data'!G245</f>
        <v>Public</v>
      </c>
      <c r="I281" s="633" t="str">
        <f>'Budget Filing Data'!I245</f>
        <v>Government Partnerships</v>
      </c>
      <c r="J281" s="633" t="str">
        <f>'Budget Filing Data'!L245</f>
        <v>Resource Acquisition</v>
      </c>
      <c r="K281" s="635">
        <f>'Budget Filing Data'!B245</f>
        <v>2031</v>
      </c>
      <c r="L281" s="636">
        <f t="shared" si="47"/>
        <v>3321.1621</v>
      </c>
      <c r="M281" s="637">
        <f>'Budget Filing Data'!AQ245</f>
        <v>3321.1621</v>
      </c>
      <c r="N281" s="637">
        <f>'Budget Filing Data'!AR245</f>
        <v>0</v>
      </c>
      <c r="O281" s="637">
        <f>'Budget Filing Data'!AS245</f>
        <v>0</v>
      </c>
      <c r="P281" s="638">
        <f>'Budget Filing Data'!AT245</f>
        <v>0</v>
      </c>
    </row>
    <row r="282" spans="3:16">
      <c r="C282" s="632" t="str">
        <f>'Budget Filing Data'!D246</f>
        <v>SDGE_SW_IP_Colleges</v>
      </c>
      <c r="D282" s="632" t="str">
        <f>'Budget Filing Data'!E246</f>
        <v>SW Higher Education</v>
      </c>
      <c r="E282" s="633" t="str">
        <f>'Budget Filing Data'!J246</f>
        <v>Third-Party Solicited</v>
      </c>
      <c r="F282" s="633" t="str">
        <f>IF('Budget Filing Data'!H246="","",'Budget Filing Data'!H246)</f>
        <v>SW_IP_Colleges - Institutional Partnerships - Colleges</v>
      </c>
      <c r="G282" s="634" t="s">
        <v>24</v>
      </c>
      <c r="H282" s="633" t="str">
        <f>'Budget Filing Data'!G246</f>
        <v>Public</v>
      </c>
      <c r="I282" s="633" t="str">
        <f>'Budget Filing Data'!I246</f>
        <v>Government Partnerships</v>
      </c>
      <c r="J282" s="633" t="str">
        <f>'Budget Filing Data'!L246</f>
        <v>Resource Acquisition</v>
      </c>
      <c r="K282" s="635">
        <f>'Budget Filing Data'!B246</f>
        <v>2031</v>
      </c>
      <c r="L282" s="636">
        <f t="shared" si="47"/>
        <v>523607.82382480003</v>
      </c>
      <c r="M282" s="637">
        <f>'Budget Filing Data'!AQ246</f>
        <v>0</v>
      </c>
      <c r="N282" s="637">
        <f>'Budget Filing Data'!AR246</f>
        <v>0</v>
      </c>
      <c r="O282" s="637">
        <f>'Budget Filing Data'!AS246</f>
        <v>327292.01890000002</v>
      </c>
      <c r="P282" s="638">
        <f>'Budget Filing Data'!AT246</f>
        <v>196315.8049248</v>
      </c>
    </row>
    <row r="283" spans="3:16">
      <c r="C283" s="632" t="str">
        <f>'Budget Filing Data'!D247</f>
        <v>SDGE_SW_IP_Colleges_PA</v>
      </c>
      <c r="D283" s="632" t="str">
        <f>'Budget Filing Data'!E247</f>
        <v>SW Higher Education (Utility)</v>
      </c>
      <c r="E283" s="633" t="str">
        <f>'Budget Filing Data'!J247</f>
        <v>IOU Core</v>
      </c>
      <c r="F283" s="633" t="str">
        <f>IF('Budget Filing Data'!H247="","",'Budget Filing Data'!H247)</f>
        <v>SW_IP_Colleges - Institutional Partnerships - Colleges</v>
      </c>
      <c r="G283" s="634" t="s">
        <v>24</v>
      </c>
      <c r="H283" s="633" t="str">
        <f>'Budget Filing Data'!G247</f>
        <v>Public</v>
      </c>
      <c r="I283" s="633" t="str">
        <f>'Budget Filing Data'!I247</f>
        <v>Government Partnerships</v>
      </c>
      <c r="J283" s="633" t="str">
        <f>'Budget Filing Data'!L247</f>
        <v>Resource Acquisition</v>
      </c>
      <c r="K283" s="635">
        <f>'Budget Filing Data'!B247</f>
        <v>2031</v>
      </c>
      <c r="L283" s="636">
        <f t="shared" si="47"/>
        <v>5072.2120999999997</v>
      </c>
      <c r="M283" s="637">
        <f>'Budget Filing Data'!AQ247</f>
        <v>5072.2120999999997</v>
      </c>
      <c r="N283" s="637">
        <f>'Budget Filing Data'!AR247</f>
        <v>0</v>
      </c>
      <c r="O283" s="637">
        <f>'Budget Filing Data'!AS247</f>
        <v>0</v>
      </c>
      <c r="P283" s="638">
        <f>'Budget Filing Data'!AT247</f>
        <v>0</v>
      </c>
    </row>
    <row r="284" spans="3:16">
      <c r="C284" s="632" t="str">
        <f>'Budget Filing Data'!D248</f>
        <v>SDGE_SW_MCWH</v>
      </c>
      <c r="D284" s="632" t="str">
        <f>'Budget Filing Data'!E248</f>
        <v>SW Midstream Commercial Water Heating</v>
      </c>
      <c r="E284" s="633" t="str">
        <f>'Budget Filing Data'!J248</f>
        <v>Third-Party Solicited</v>
      </c>
      <c r="F284" s="633" t="str">
        <f>IF('Budget Filing Data'!H248="","",'Budget Filing Data'!H248)</f>
        <v>SW_MCWH - Midstream Commercial Water Heating</v>
      </c>
      <c r="G284" s="634" t="s">
        <v>24</v>
      </c>
      <c r="H284" s="633" t="str">
        <f>'Budget Filing Data'!G248</f>
        <v>Commercial</v>
      </c>
      <c r="I284" s="633" t="str">
        <f>'Budget Filing Data'!I248</f>
        <v>Other</v>
      </c>
      <c r="J284" s="633" t="str">
        <f>'Budget Filing Data'!L248</f>
        <v>Resource Acquisition</v>
      </c>
      <c r="K284" s="635">
        <f>'Budget Filing Data'!B248</f>
        <v>2031</v>
      </c>
      <c r="L284" s="636">
        <f t="shared" si="47"/>
        <v>2427599.9999266239</v>
      </c>
      <c r="M284" s="637">
        <f>'Budget Filing Data'!AQ248</f>
        <v>284760.36629999999</v>
      </c>
      <c r="N284" s="637">
        <f>'Budget Filing Data'!AR248</f>
        <v>207222.9277</v>
      </c>
      <c r="O284" s="637">
        <f>'Budget Filing Data'!AS248</f>
        <v>702690.96600000001</v>
      </c>
      <c r="P284" s="638">
        <f>'Budget Filing Data'!AT248</f>
        <v>1232925.7399266236</v>
      </c>
    </row>
    <row r="285" spans="3:16">
      <c r="C285" s="632" t="str">
        <f>'Budget Filing Data'!D249</f>
        <v>SDGE_SW_MCWH_PA</v>
      </c>
      <c r="D285" s="632" t="str">
        <f>'Budget Filing Data'!E249</f>
        <v>SW Midstream Commercial Water Heating (Utility)</v>
      </c>
      <c r="E285" s="633" t="str">
        <f>'Budget Filing Data'!J249</f>
        <v>IOU Core</v>
      </c>
      <c r="F285" s="633" t="str">
        <f>IF('Budget Filing Data'!H249="","",'Budget Filing Data'!H249)</f>
        <v>SW_MCWH - Midstream Commercial Water Heating</v>
      </c>
      <c r="G285" s="634" t="s">
        <v>24</v>
      </c>
      <c r="H285" s="633" t="str">
        <f>'Budget Filing Data'!G249</f>
        <v>Commercial</v>
      </c>
      <c r="I285" s="633" t="str">
        <f>'Budget Filing Data'!I249</f>
        <v>Other</v>
      </c>
      <c r="J285" s="633" t="str">
        <f>'Budget Filing Data'!L249</f>
        <v>Resource Acquisition</v>
      </c>
      <c r="K285" s="635">
        <f>'Budget Filing Data'!B249</f>
        <v>2031</v>
      </c>
      <c r="L285" s="636">
        <f t="shared" si="47"/>
        <v>16464.0321</v>
      </c>
      <c r="M285" s="637">
        <f>'Budget Filing Data'!AQ249</f>
        <v>16464.0321</v>
      </c>
      <c r="N285" s="637">
        <f>'Budget Filing Data'!AR249</f>
        <v>0</v>
      </c>
      <c r="O285" s="637">
        <f>'Budget Filing Data'!AS249</f>
        <v>0</v>
      </c>
      <c r="P285" s="638">
        <f>'Budget Filing Data'!AT249</f>
        <v>0</v>
      </c>
    </row>
    <row r="286" spans="3:16">
      <c r="C286" s="632" t="str">
        <f>'Budget Filing Data'!D250</f>
        <v>SDGE_SW_FS</v>
      </c>
      <c r="D286" s="632" t="str">
        <f>'Budget Filing Data'!E250</f>
        <v>SW Foodservice Point of Sale Program</v>
      </c>
      <c r="E286" s="633" t="str">
        <f>'Budget Filing Data'!J250</f>
        <v>Third-Party Solicited</v>
      </c>
      <c r="F286" s="633" t="str">
        <f>IF('Budget Filing Data'!H250="","",'Budget Filing Data'!H250)</f>
        <v>SW_FS - Food Service</v>
      </c>
      <c r="G286" s="634" t="s">
        <v>24</v>
      </c>
      <c r="H286" s="633" t="str">
        <f>'Budget Filing Data'!G250</f>
        <v>Commercial</v>
      </c>
      <c r="I286" s="633" t="str">
        <f>'Budget Filing Data'!I250</f>
        <v>Other</v>
      </c>
      <c r="J286" s="633" t="str">
        <f>'Budget Filing Data'!L250</f>
        <v>Resource Acquisition</v>
      </c>
      <c r="K286" s="635">
        <f>'Budget Filing Data'!B250</f>
        <v>2031</v>
      </c>
      <c r="L286" s="636">
        <f t="shared" si="47"/>
        <v>2196400.0000000005</v>
      </c>
      <c r="M286" s="637">
        <f>'Budget Filing Data'!AQ250</f>
        <v>205597.0736</v>
      </c>
      <c r="N286" s="637">
        <f>'Budget Filing Data'!AR250</f>
        <v>158680.76879999999</v>
      </c>
      <c r="O286" s="637">
        <f>'Budget Filing Data'!AS250</f>
        <v>931002.81759999995</v>
      </c>
      <c r="P286" s="638">
        <f>'Budget Filing Data'!AT250</f>
        <v>901119.34000000043</v>
      </c>
    </row>
    <row r="287" spans="3:16">
      <c r="C287" s="632" t="str">
        <f>'Budget Filing Data'!D251</f>
        <v>SDGE_SW_FS_PA</v>
      </c>
      <c r="D287" s="632" t="str">
        <f>'Budget Filing Data'!E251</f>
        <v>SW Foodservice Point of Sale Program (Utility)</v>
      </c>
      <c r="E287" s="633" t="str">
        <f>'Budget Filing Data'!J251</f>
        <v>IOU Core</v>
      </c>
      <c r="F287" s="633" t="str">
        <f>IF('Budget Filing Data'!H251="","",'Budget Filing Data'!H251)</f>
        <v>SW_FS - Food Service</v>
      </c>
      <c r="G287" s="634" t="s">
        <v>24</v>
      </c>
      <c r="H287" s="633" t="str">
        <f>'Budget Filing Data'!G251</f>
        <v>Commercial</v>
      </c>
      <c r="I287" s="633" t="str">
        <f>'Budget Filing Data'!I251</f>
        <v>Other</v>
      </c>
      <c r="J287" s="633" t="str">
        <f>'Budget Filing Data'!L251</f>
        <v>Resource Acquisition</v>
      </c>
      <c r="K287" s="635">
        <f>'Budget Filing Data'!B251</f>
        <v>2031</v>
      </c>
      <c r="L287" s="636">
        <f t="shared" si="47"/>
        <v>15080.732099999999</v>
      </c>
      <c r="M287" s="637">
        <f>'Budget Filing Data'!AQ251</f>
        <v>15080.732099999999</v>
      </c>
      <c r="N287" s="637">
        <f>'Budget Filing Data'!AR251</f>
        <v>0</v>
      </c>
      <c r="O287" s="637">
        <f>'Budget Filing Data'!AS251</f>
        <v>0</v>
      </c>
      <c r="P287" s="638">
        <f>'Budget Filing Data'!AT251</f>
        <v>0</v>
      </c>
    </row>
    <row r="288" spans="3:16">
      <c r="C288" s="632" t="str">
        <f>'Budget Filing Data'!D252</f>
        <v>SDGE_SW_WET_CC</v>
      </c>
      <c r="D288" s="632" t="str">
        <f>'Budget Filing Data'!E252</f>
        <v>SW WET Career Connections</v>
      </c>
      <c r="E288" s="633" t="str">
        <f>'Budget Filing Data'!J252</f>
        <v>Third-Party Solicited</v>
      </c>
      <c r="F288" s="633" t="str">
        <f>IF('Budget Filing Data'!H252="","",'Budget Filing Data'!H252)</f>
        <v>SW_WET_CC - Workforce Education and Training - Career Connections</v>
      </c>
      <c r="G288" s="634" t="s">
        <v>15</v>
      </c>
      <c r="H288" s="633" t="str">
        <f>'Budget Filing Data'!G252</f>
        <v>Cross Cutting</v>
      </c>
      <c r="I288" s="633" t="str">
        <f>'Budget Filing Data'!I252</f>
        <v>Workforce Education and Training</v>
      </c>
      <c r="J288" s="633" t="str">
        <f>'Budget Filing Data'!L252</f>
        <v>Market Support</v>
      </c>
      <c r="K288" s="635">
        <f>'Budget Filing Data'!B252</f>
        <v>2031</v>
      </c>
      <c r="L288" s="636">
        <f t="shared" si="47"/>
        <v>109120</v>
      </c>
      <c r="M288" s="637">
        <f>'Budget Filing Data'!AQ252</f>
        <v>1091.2</v>
      </c>
      <c r="N288" s="637">
        <f>'Budget Filing Data'!AR252</f>
        <v>7638.4</v>
      </c>
      <c r="O288" s="637">
        <f>'Budget Filing Data'!AS252</f>
        <v>100390.39999999999</v>
      </c>
      <c r="P288" s="638">
        <f>'Budget Filing Data'!AT252</f>
        <v>0</v>
      </c>
    </row>
    <row r="289" spans="3:16">
      <c r="C289" s="632" t="str">
        <f>'Budget Filing Data'!D253</f>
        <v>SDGE_SW_WET_CC_PA</v>
      </c>
      <c r="D289" s="632" t="str">
        <f>'Budget Filing Data'!E253</f>
        <v>SW WET Career Connections (Utility)</v>
      </c>
      <c r="E289" s="633" t="str">
        <f>'Budget Filing Data'!J253</f>
        <v>IOU Core</v>
      </c>
      <c r="F289" s="633" t="str">
        <f>IF('Budget Filing Data'!H253="","",'Budget Filing Data'!H253)</f>
        <v>SW_WET_CC - Workforce Education and Training - Career Connections</v>
      </c>
      <c r="G289" s="634" t="s">
        <v>15</v>
      </c>
      <c r="H289" s="633" t="str">
        <f>'Budget Filing Data'!G253</f>
        <v>Cross Cutting</v>
      </c>
      <c r="I289" s="633" t="str">
        <f>'Budget Filing Data'!I253</f>
        <v>Workforce Education and Training</v>
      </c>
      <c r="J289" s="633" t="str">
        <f>'Budget Filing Data'!L253</f>
        <v>Market Support</v>
      </c>
      <c r="K289" s="635">
        <f>'Budget Filing Data'!B253</f>
        <v>2031</v>
      </c>
      <c r="L289" s="636">
        <f t="shared" si="47"/>
        <v>2592.2820999999999</v>
      </c>
      <c r="M289" s="637">
        <f>'Budget Filing Data'!AQ253</f>
        <v>2592.2820999999999</v>
      </c>
      <c r="N289" s="637">
        <f>'Budget Filing Data'!AR253</f>
        <v>0</v>
      </c>
      <c r="O289" s="637">
        <f>'Budget Filing Data'!AS253</f>
        <v>0</v>
      </c>
      <c r="P289" s="638">
        <f>'Budget Filing Data'!AT253</f>
        <v>0</v>
      </c>
    </row>
    <row r="290" spans="3:16">
      <c r="C290" s="632" t="str">
        <f>'Budget Filing Data'!D254</f>
        <v>SDGE_SW_WET_Work</v>
      </c>
      <c r="D290" s="632" t="str">
        <f>'Budget Filing Data'!E254</f>
        <v>SW WE&amp;T Career &amp; Workforce Readiness (CWR)</v>
      </c>
      <c r="E290" s="633" t="str">
        <f>'Budget Filing Data'!J254</f>
        <v>Third-Party Solicited</v>
      </c>
      <c r="F290" s="633" t="str">
        <f>IF('Budget Filing Data'!H254="","",'Budget Filing Data'!H254)</f>
        <v>SW_WET_Work - Workforce Education and Training Career &amp; Workforce Readiness</v>
      </c>
      <c r="G290" s="634" t="s">
        <v>15</v>
      </c>
      <c r="H290" s="633" t="str">
        <f>'Budget Filing Data'!G254</f>
        <v>Cross Cutting</v>
      </c>
      <c r="I290" s="633" t="str">
        <f>'Budget Filing Data'!I254</f>
        <v>Workforce Education and Training</v>
      </c>
      <c r="J290" s="633" t="str">
        <f>'Budget Filing Data'!L254</f>
        <v>Equity</v>
      </c>
      <c r="K290" s="635">
        <f>'Budget Filing Data'!B254</f>
        <v>2031</v>
      </c>
      <c r="L290" s="636">
        <f t="shared" si="47"/>
        <v>218240</v>
      </c>
      <c r="M290" s="637">
        <f>'Budget Filing Data'!AQ254</f>
        <v>21824</v>
      </c>
      <c r="N290" s="637">
        <f>'Budget Filing Data'!AR254</f>
        <v>13094.4</v>
      </c>
      <c r="O290" s="637">
        <f>'Budget Filing Data'!AS254</f>
        <v>183321.60000000001</v>
      </c>
      <c r="P290" s="638">
        <f>'Budget Filing Data'!AT254</f>
        <v>0</v>
      </c>
    </row>
    <row r="291" spans="3:16">
      <c r="C291" s="632" t="str">
        <f>'Budget Filing Data'!D255</f>
        <v>SDGE_SW_WET_Work_PA</v>
      </c>
      <c r="D291" s="632" t="str">
        <f>'Budget Filing Data'!E255</f>
        <v>SW WE&amp;T Career &amp; Workforce Readiness (CWR) (Utility)</v>
      </c>
      <c r="E291" s="633" t="str">
        <f>'Budget Filing Data'!J255</f>
        <v>IOU Core</v>
      </c>
      <c r="F291" s="633" t="str">
        <f>IF('Budget Filing Data'!H255="","",'Budget Filing Data'!H255)</f>
        <v>SW_WET_Work - Workforce Education and Training Career &amp; Workforce Readiness</v>
      </c>
      <c r="G291" s="634" t="s">
        <v>15</v>
      </c>
      <c r="H291" s="633" t="str">
        <f>'Budget Filing Data'!G255</f>
        <v>Cross Cutting</v>
      </c>
      <c r="I291" s="633" t="str">
        <f>'Budget Filing Data'!I255</f>
        <v>Workforce Education and Training</v>
      </c>
      <c r="J291" s="633" t="str">
        <f>'Budget Filing Data'!L255</f>
        <v>Equity</v>
      </c>
      <c r="K291" s="635">
        <f>'Budget Filing Data'!B255</f>
        <v>2031</v>
      </c>
      <c r="L291" s="636">
        <f t="shared" si="47"/>
        <v>3245.1621</v>
      </c>
      <c r="M291" s="637">
        <f>'Budget Filing Data'!AQ255</f>
        <v>3245.1621</v>
      </c>
      <c r="N291" s="637">
        <f>'Budget Filing Data'!AR255</f>
        <v>0</v>
      </c>
      <c r="O291" s="637">
        <f>'Budget Filing Data'!AS255</f>
        <v>0</v>
      </c>
      <c r="P291" s="638">
        <f>'Budget Filing Data'!AT255</f>
        <v>0</v>
      </c>
    </row>
    <row r="292" spans="3:16">
      <c r="C292" s="632" t="str">
        <f>'Budget Filing Data'!D256</f>
        <v>SDGE_SW_HVAC_QIQM</v>
      </c>
      <c r="D292" s="632" t="str">
        <f>'Budget Filing Data'!E256</f>
        <v>SW HVAC QI/QM Program</v>
      </c>
      <c r="E292" s="633" t="str">
        <f>'Budget Filing Data'!J256</f>
        <v>Third-Party Solicited</v>
      </c>
      <c r="F292" s="633" t="str">
        <f>IF('Budget Filing Data'!H256="","",'Budget Filing Data'!H256)</f>
        <v>SW_HVAC_QIQM - SW HVAC QI/QM Program</v>
      </c>
      <c r="G292" s="634" t="s">
        <v>15</v>
      </c>
      <c r="H292" s="633" t="str">
        <f>'Budget Filing Data'!G256</f>
        <v>Residential</v>
      </c>
      <c r="I292" s="633" t="str">
        <f>'Budget Filing Data'!I256</f>
        <v>Other</v>
      </c>
      <c r="J292" s="633" t="str">
        <f>'Budget Filing Data'!L256</f>
        <v>Market Support</v>
      </c>
      <c r="K292" s="635">
        <f>'Budget Filing Data'!B256</f>
        <v>2031</v>
      </c>
      <c r="L292" s="636">
        <f t="shared" si="47"/>
        <v>684480</v>
      </c>
      <c r="M292" s="637">
        <f>'Budget Filing Data'!AQ256</f>
        <v>34224</v>
      </c>
      <c r="N292" s="637">
        <f>'Budget Filing Data'!AR256</f>
        <v>34224</v>
      </c>
      <c r="O292" s="637">
        <f>'Budget Filing Data'!AS256</f>
        <v>174964</v>
      </c>
      <c r="P292" s="638">
        <f>'Budget Filing Data'!AT256</f>
        <v>441068</v>
      </c>
    </row>
    <row r="293" spans="3:16">
      <c r="C293" s="632" t="str">
        <f>'Budget Filing Data'!D257</f>
        <v>SDGE_SW_HVAC_QIQM_PA</v>
      </c>
      <c r="D293" s="632" t="str">
        <f>'Budget Filing Data'!E257</f>
        <v>SW HVAC QI/QM Program (Utility)</v>
      </c>
      <c r="E293" s="633" t="str">
        <f>'Budget Filing Data'!J257</f>
        <v>IOU Core</v>
      </c>
      <c r="F293" s="633" t="str">
        <f>IF('Budget Filing Data'!H257="","",'Budget Filing Data'!H257)</f>
        <v>SW_HVAC_QIQM - SW HVAC QI/QM Program</v>
      </c>
      <c r="G293" s="634" t="s">
        <v>15</v>
      </c>
      <c r="H293" s="633" t="str">
        <f>'Budget Filing Data'!G257</f>
        <v>Residential</v>
      </c>
      <c r="I293" s="633" t="str">
        <f>'Budget Filing Data'!I257</f>
        <v>Other</v>
      </c>
      <c r="J293" s="633" t="str">
        <f>'Budget Filing Data'!L257</f>
        <v>Market Support</v>
      </c>
      <c r="K293" s="635">
        <f>'Budget Filing Data'!B257</f>
        <v>2031</v>
      </c>
      <c r="L293" s="636">
        <f t="shared" si="47"/>
        <v>325609.42499999999</v>
      </c>
      <c r="M293" s="637">
        <f>'Budget Filing Data'!AQ257</f>
        <v>266625.87780000002</v>
      </c>
      <c r="N293" s="637">
        <f>'Budget Filing Data'!AR257</f>
        <v>796.30359999999996</v>
      </c>
      <c r="O293" s="637">
        <f>'Budget Filing Data'!AS257</f>
        <v>58187.243600000002</v>
      </c>
      <c r="P293" s="638">
        <f>'Budget Filing Data'!AT257</f>
        <v>0</v>
      </c>
    </row>
    <row r="294" spans="3:16">
      <c r="C294" s="632" t="str">
        <f>'Budget Filing Data'!D258</f>
        <v>SDGE_SW_ETP_Gas</v>
      </c>
      <c r="D294" s="632" t="str">
        <f>'Budget Filing Data'!E258</f>
        <v>SW Emerging Technologies - Gas</v>
      </c>
      <c r="E294" s="633" t="str">
        <f>'Budget Filing Data'!J258</f>
        <v>Third-Party Solicited</v>
      </c>
      <c r="F294" s="633" t="str">
        <f>IF('Budget Filing Data'!H258="","",'Budget Filing Data'!H258)</f>
        <v>SW_ETP_Gas - Emerging Technology Programs - Gas</v>
      </c>
      <c r="G294" s="634" t="s">
        <v>15</v>
      </c>
      <c r="H294" s="633" t="str">
        <f>'Budget Filing Data'!G258</f>
        <v>Cross Cutting</v>
      </c>
      <c r="I294" s="633" t="str">
        <f>'Budget Filing Data'!I258</f>
        <v>Emerging Technologies</v>
      </c>
      <c r="J294" s="633" t="str">
        <f>'Budget Filing Data'!L258</f>
        <v>Market Support</v>
      </c>
      <c r="K294" s="635">
        <f>'Budget Filing Data'!B258</f>
        <v>2031</v>
      </c>
      <c r="L294" s="636">
        <f t="shared" si="47"/>
        <v>495000</v>
      </c>
      <c r="M294" s="637">
        <f>'Budget Filing Data'!AQ258</f>
        <v>6600</v>
      </c>
      <c r="N294" s="637">
        <f>'Budget Filing Data'!AR258</f>
        <v>1914</v>
      </c>
      <c r="O294" s="637">
        <f>'Budget Filing Data'!AS258</f>
        <v>486486</v>
      </c>
      <c r="P294" s="638">
        <f>'Budget Filing Data'!AT258</f>
        <v>0</v>
      </c>
    </row>
    <row r="295" spans="3:16">
      <c r="C295" s="632" t="str">
        <f>'Budget Filing Data'!D259</f>
        <v>SDGE_SW_ETP_Gas_PA</v>
      </c>
      <c r="D295" s="632" t="str">
        <f>'Budget Filing Data'!E259</f>
        <v>SW Emerging Technologies - Gas (Utility)</v>
      </c>
      <c r="E295" s="633" t="str">
        <f>'Budget Filing Data'!J259</f>
        <v>IOU Core</v>
      </c>
      <c r="F295" s="633" t="str">
        <f>IF('Budget Filing Data'!H259="","",'Budget Filing Data'!H259)</f>
        <v>SW_ETP_Gas - Emerging Technology Programs - Gas</v>
      </c>
      <c r="G295" s="634" t="s">
        <v>15</v>
      </c>
      <c r="H295" s="633" t="str">
        <f>'Budget Filing Data'!G259</f>
        <v>Cross Cutting</v>
      </c>
      <c r="I295" s="633" t="str">
        <f>'Budget Filing Data'!I259</f>
        <v>Emerging Technologies</v>
      </c>
      <c r="J295" s="633" t="str">
        <f>'Budget Filing Data'!L259</f>
        <v>Market Support</v>
      </c>
      <c r="K295" s="635">
        <f>'Budget Filing Data'!B259</f>
        <v>2031</v>
      </c>
      <c r="L295" s="636">
        <f t="shared" si="47"/>
        <v>13782.3385</v>
      </c>
      <c r="M295" s="637">
        <f>'Budget Filing Data'!AQ259</f>
        <v>6488.3747999999996</v>
      </c>
      <c r="N295" s="637">
        <f>'Budget Filing Data'!AR259</f>
        <v>0</v>
      </c>
      <c r="O295" s="637">
        <f>'Budget Filing Data'!AS259</f>
        <v>7293.9637000000002</v>
      </c>
      <c r="P295" s="638">
        <f>'Budget Filing Data'!AT259</f>
        <v>0</v>
      </c>
    </row>
    <row r="296" spans="3:16">
      <c r="C296" s="632" t="str">
        <f>'Budget Filing Data'!D260</f>
        <v>SDGE_SW_NC_NonRes_Ag_electric</v>
      </c>
      <c r="D296" s="632" t="str">
        <f>'Budget Filing Data'!E260</f>
        <v>SW New Construction Non Residential - Agricultural - All Electric</v>
      </c>
      <c r="E296" s="633" t="str">
        <f>'Budget Filing Data'!J260</f>
        <v>Third-Party Solicited</v>
      </c>
      <c r="F296" s="633" t="str">
        <f>IF('Budget Filing Data'!H260="","",'Budget Filing Data'!H260)</f>
        <v>SW_NC_NonRes_Ag_electric - New Construction - NonResidential - All Electric</v>
      </c>
      <c r="G296" s="634" t="s">
        <v>24</v>
      </c>
      <c r="H296" s="633" t="str">
        <f>'Budget Filing Data'!G260</f>
        <v>Agricultural</v>
      </c>
      <c r="I296" s="633" t="str">
        <f>'Budget Filing Data'!I260</f>
        <v>New Construction</v>
      </c>
      <c r="J296" s="633" t="str">
        <f>'Budget Filing Data'!L260</f>
        <v>Market Support</v>
      </c>
      <c r="K296" s="635">
        <f>'Budget Filing Data'!B260</f>
        <v>2031</v>
      </c>
      <c r="L296" s="636">
        <f t="shared" si="47"/>
        <v>13787.5888</v>
      </c>
      <c r="M296" s="637">
        <f>'Budget Filing Data'!AQ260</f>
        <v>567.48080000000004</v>
      </c>
      <c r="N296" s="637">
        <f>'Budget Filing Data'!AR260</f>
        <v>425.61059999999998</v>
      </c>
      <c r="O296" s="637">
        <f>'Budget Filing Data'!AS260</f>
        <v>1844.3126999999999</v>
      </c>
      <c r="P296" s="638">
        <f>'Budget Filing Data'!AT260</f>
        <v>10950.1847</v>
      </c>
    </row>
    <row r="297" spans="3:16">
      <c r="C297" s="632" t="str">
        <f>'Budget Filing Data'!D261</f>
        <v>SDGE_SW_NC_NonRes_Ag_electric_PA</v>
      </c>
      <c r="D297" s="632" t="str">
        <f>'Budget Filing Data'!E261</f>
        <v>SW New Construction Non Residential - Agricultural - All Electric (Utility)</v>
      </c>
      <c r="E297" s="633" t="str">
        <f>'Budget Filing Data'!J261</f>
        <v>IOU Core</v>
      </c>
      <c r="F297" s="633" t="str">
        <f>IF('Budget Filing Data'!H261="","",'Budget Filing Data'!H261)</f>
        <v>SW_NC_NonRes_Ag_electric - New Construction - NonResidential - All Electric</v>
      </c>
      <c r="G297" s="634" t="s">
        <v>24</v>
      </c>
      <c r="H297" s="633" t="str">
        <f>'Budget Filing Data'!G261</f>
        <v>Agricultural</v>
      </c>
      <c r="I297" s="633" t="str">
        <f>'Budget Filing Data'!I261</f>
        <v>New Construction</v>
      </c>
      <c r="J297" s="633" t="str">
        <f>'Budget Filing Data'!L261</f>
        <v>Market Support</v>
      </c>
      <c r="K297" s="635">
        <f>'Budget Filing Data'!B261</f>
        <v>2031</v>
      </c>
      <c r="L297" s="636">
        <f t="shared" si="47"/>
        <v>276.43029999999999</v>
      </c>
      <c r="M297" s="637">
        <f>'Budget Filing Data'!AQ261</f>
        <v>276.43029999999999</v>
      </c>
      <c r="N297" s="637">
        <f>'Budget Filing Data'!AR261</f>
        <v>0</v>
      </c>
      <c r="O297" s="637">
        <f>'Budget Filing Data'!AS261</f>
        <v>0</v>
      </c>
      <c r="P297" s="638">
        <f>'Budget Filing Data'!AT261</f>
        <v>0</v>
      </c>
    </row>
    <row r="298" spans="3:16">
      <c r="C298" s="632" t="str">
        <f>'Budget Filing Data'!D262</f>
        <v>SDGE_SW_NC_NonRes_Com_electric</v>
      </c>
      <c r="D298" s="632" t="str">
        <f>'Budget Filing Data'!E262</f>
        <v>SW New Construction Non Residential - Commercial - All Electric</v>
      </c>
      <c r="E298" s="633" t="str">
        <f>'Budget Filing Data'!J262</f>
        <v>Third-Party Solicited</v>
      </c>
      <c r="F298" s="633" t="str">
        <f>IF('Budget Filing Data'!H262="","",'Budget Filing Data'!H262)</f>
        <v>SW_NC_NonRes_Com_electric - New Construction - NonResidential - All Electric</v>
      </c>
      <c r="G298" s="634" t="s">
        <v>24</v>
      </c>
      <c r="H298" s="633" t="str">
        <f>'Budget Filing Data'!G262</f>
        <v>Commercial</v>
      </c>
      <c r="I298" s="633" t="str">
        <f>'Budget Filing Data'!I262</f>
        <v>New Construction</v>
      </c>
      <c r="J298" s="633" t="str">
        <f>'Budget Filing Data'!L262</f>
        <v>Market Support</v>
      </c>
      <c r="K298" s="635">
        <f>'Budget Filing Data'!B262</f>
        <v>2031</v>
      </c>
      <c r="L298" s="636">
        <f t="shared" si="47"/>
        <v>372264.89779239992</v>
      </c>
      <c r="M298" s="637">
        <f>'Budget Filing Data'!AQ262</f>
        <v>15321.9822</v>
      </c>
      <c r="N298" s="637">
        <f>'Budget Filing Data'!AR262</f>
        <v>11491.4866</v>
      </c>
      <c r="O298" s="637">
        <f>'Budget Filing Data'!AS262</f>
        <v>49796.4421</v>
      </c>
      <c r="P298" s="638">
        <f>'Budget Filing Data'!AT262</f>
        <v>295654.9868923999</v>
      </c>
    </row>
    <row r="299" spans="3:16">
      <c r="C299" s="632" t="str">
        <f>'Budget Filing Data'!D263</f>
        <v>SDGE_SW_NC_NonRes_Com_electric_PA</v>
      </c>
      <c r="D299" s="632" t="str">
        <f>'Budget Filing Data'!E263</f>
        <v>SW New Construction Non Residential - Commercial - All Electric (Utility)</v>
      </c>
      <c r="E299" s="633" t="str">
        <f>'Budget Filing Data'!J263</f>
        <v>IOU Core</v>
      </c>
      <c r="F299" s="633" t="str">
        <f>IF('Budget Filing Data'!H263="","",'Budget Filing Data'!H263)</f>
        <v>SW_NC_NonRes_Com_electric - New Construction - NonResidential - All Electric</v>
      </c>
      <c r="G299" s="634" t="s">
        <v>24</v>
      </c>
      <c r="H299" s="633" t="str">
        <f>'Budget Filing Data'!G263</f>
        <v>Commercial</v>
      </c>
      <c r="I299" s="633" t="str">
        <f>'Budget Filing Data'!I263</f>
        <v>New Construction</v>
      </c>
      <c r="J299" s="633" t="str">
        <f>'Budget Filing Data'!L263</f>
        <v>Market Support</v>
      </c>
      <c r="K299" s="635">
        <f>'Budget Filing Data'!B263</f>
        <v>2031</v>
      </c>
      <c r="L299" s="636">
        <f t="shared" si="47"/>
        <v>2421.2503000000002</v>
      </c>
      <c r="M299" s="637">
        <f>'Budget Filing Data'!AQ263</f>
        <v>2421.2503000000002</v>
      </c>
      <c r="N299" s="637">
        <f>'Budget Filing Data'!AR263</f>
        <v>0</v>
      </c>
      <c r="O299" s="637">
        <f>'Budget Filing Data'!AS263</f>
        <v>0</v>
      </c>
      <c r="P299" s="638">
        <f>'Budget Filing Data'!AT263</f>
        <v>0</v>
      </c>
    </row>
    <row r="300" spans="3:16">
      <c r="C300" s="632" t="str">
        <f>'Budget Filing Data'!D264</f>
        <v>SDGE_SW_NC_NonRes_Ind_electric</v>
      </c>
      <c r="D300" s="632" t="str">
        <f>'Budget Filing Data'!E264</f>
        <v>SW New Construction Non Residential - Industrial - All Electric</v>
      </c>
      <c r="E300" s="633" t="str">
        <f>'Budget Filing Data'!J264</f>
        <v>Third-Party Solicited</v>
      </c>
      <c r="F300" s="633" t="str">
        <f>IF('Budget Filing Data'!H264="","",'Budget Filing Data'!H264)</f>
        <v>SW_NC_NonRes_Ind_electric - New Construction - NonResidential - All Electric</v>
      </c>
      <c r="G300" s="634" t="s">
        <v>24</v>
      </c>
      <c r="H300" s="633" t="str">
        <f>'Budget Filing Data'!G264</f>
        <v>Industrial</v>
      </c>
      <c r="I300" s="633" t="str">
        <f>'Budget Filing Data'!I264</f>
        <v>New Construction</v>
      </c>
      <c r="J300" s="633" t="str">
        <f>'Budget Filing Data'!L264</f>
        <v>Market Support</v>
      </c>
      <c r="K300" s="635">
        <f>'Budget Filing Data'!B264</f>
        <v>2031</v>
      </c>
      <c r="L300" s="636">
        <f t="shared" si="47"/>
        <v>13787.5888</v>
      </c>
      <c r="M300" s="637">
        <f>'Budget Filing Data'!AQ264</f>
        <v>567.48080000000004</v>
      </c>
      <c r="N300" s="637">
        <f>'Budget Filing Data'!AR264</f>
        <v>425.61059999999998</v>
      </c>
      <c r="O300" s="637">
        <f>'Budget Filing Data'!AS264</f>
        <v>1844.3126999999999</v>
      </c>
      <c r="P300" s="638">
        <f>'Budget Filing Data'!AT264</f>
        <v>10950.1847</v>
      </c>
    </row>
    <row r="301" spans="3:16">
      <c r="C301" s="632" t="str">
        <f>'Budget Filing Data'!D265</f>
        <v>SDGE_SW_NC_NonRes_Ind_electric_PA</v>
      </c>
      <c r="D301" s="632" t="str">
        <f>'Budget Filing Data'!E265</f>
        <v>SW New Construction Non Residential - Industrial - All Electric (Utility)</v>
      </c>
      <c r="E301" s="633" t="str">
        <f>'Budget Filing Data'!J265</f>
        <v>IOU Core</v>
      </c>
      <c r="F301" s="633" t="str">
        <f>IF('Budget Filing Data'!H265="","",'Budget Filing Data'!H265)</f>
        <v>SW_NC_NonRes_Ind_electric - New Construction - NonResidential - All Electric</v>
      </c>
      <c r="G301" s="634" t="s">
        <v>24</v>
      </c>
      <c r="H301" s="633" t="str">
        <f>'Budget Filing Data'!G265</f>
        <v>Industrial</v>
      </c>
      <c r="I301" s="633" t="str">
        <f>'Budget Filing Data'!I265</f>
        <v>New Construction</v>
      </c>
      <c r="J301" s="633" t="str">
        <f>'Budget Filing Data'!L265</f>
        <v>Market Support</v>
      </c>
      <c r="K301" s="635">
        <f>'Budget Filing Data'!B265</f>
        <v>2031</v>
      </c>
      <c r="L301" s="636">
        <f t="shared" si="47"/>
        <v>276.43029999999999</v>
      </c>
      <c r="M301" s="637">
        <f>'Budget Filing Data'!AQ265</f>
        <v>276.43029999999999</v>
      </c>
      <c r="N301" s="637">
        <f>'Budget Filing Data'!AR265</f>
        <v>0</v>
      </c>
      <c r="O301" s="637">
        <f>'Budget Filing Data'!AS265</f>
        <v>0</v>
      </c>
      <c r="P301" s="638">
        <f>'Budget Filing Data'!AT265</f>
        <v>0</v>
      </c>
    </row>
    <row r="302" spans="3:16">
      <c r="C302" s="632" t="str">
        <f>'Budget Filing Data'!D266</f>
        <v>SDGE_SW_NC_NonRes_Pub_electric</v>
      </c>
      <c r="D302" s="632" t="str">
        <f>'Budget Filing Data'!E266</f>
        <v>SW New Construction Non Residential - Public - All Electric</v>
      </c>
      <c r="E302" s="633" t="str">
        <f>'Budget Filing Data'!J266</f>
        <v>Third-Party Solicited</v>
      </c>
      <c r="F302" s="633" t="str">
        <f>IF('Budget Filing Data'!H266="","",'Budget Filing Data'!H266)</f>
        <v>SW_NC_NonRes_Pub_electric - New Construction - NonResidential - All Electric</v>
      </c>
      <c r="G302" s="634" t="s">
        <v>24</v>
      </c>
      <c r="H302" s="633" t="str">
        <f>'Budget Filing Data'!G266</f>
        <v>Public</v>
      </c>
      <c r="I302" s="633" t="str">
        <f>'Budget Filing Data'!I266</f>
        <v>New Construction</v>
      </c>
      <c r="J302" s="633" t="str">
        <f>'Budget Filing Data'!L266</f>
        <v>Market Support</v>
      </c>
      <c r="K302" s="635">
        <f>'Budget Filing Data'!B266</f>
        <v>2031</v>
      </c>
      <c r="L302" s="636">
        <f t="shared" si="47"/>
        <v>282645.57088620012</v>
      </c>
      <c r="M302" s="637">
        <f>'Budget Filing Data'!AQ266</f>
        <v>11633.3568</v>
      </c>
      <c r="N302" s="637">
        <f>'Budget Filing Data'!AR266</f>
        <v>8725.0175999999992</v>
      </c>
      <c r="O302" s="637">
        <f>'Budget Filing Data'!AS266</f>
        <v>37808.409699999997</v>
      </c>
      <c r="P302" s="638">
        <f>'Budget Filing Data'!AT266</f>
        <v>224478.7867862001</v>
      </c>
    </row>
    <row r="303" spans="3:16">
      <c r="C303" s="632" t="str">
        <f>'Budget Filing Data'!D267</f>
        <v>SDGE_SW_NC_NonRes_Pub_electric_PA</v>
      </c>
      <c r="D303" s="632" t="str">
        <f>'Budget Filing Data'!E267</f>
        <v>SW New Construction Non Residential - Public - All Electric (Utility)</v>
      </c>
      <c r="E303" s="633" t="str">
        <f>'Budget Filing Data'!J267</f>
        <v>IOU Core</v>
      </c>
      <c r="F303" s="633" t="str">
        <f>IF('Budget Filing Data'!H267="","",'Budget Filing Data'!H267)</f>
        <v>SW_NC_NonRes_Pub_electric - New Construction - NonResidential - All Electric</v>
      </c>
      <c r="G303" s="634" t="s">
        <v>24</v>
      </c>
      <c r="H303" s="633" t="str">
        <f>'Budget Filing Data'!G267</f>
        <v>Public</v>
      </c>
      <c r="I303" s="633" t="str">
        <f>'Budget Filing Data'!I267</f>
        <v>New Construction</v>
      </c>
      <c r="J303" s="633" t="str">
        <f>'Budget Filing Data'!L267</f>
        <v>Market Support</v>
      </c>
      <c r="K303" s="635">
        <f>'Budget Filing Data'!B267</f>
        <v>2031</v>
      </c>
      <c r="L303" s="636">
        <f t="shared" ref="L303:L340" si="59">SUM(M303:P303)</f>
        <v>1885.0402999999999</v>
      </c>
      <c r="M303" s="637">
        <f>'Budget Filing Data'!AQ267</f>
        <v>1885.0402999999999</v>
      </c>
      <c r="N303" s="637">
        <f>'Budget Filing Data'!AR267</f>
        <v>0</v>
      </c>
      <c r="O303" s="637">
        <f>'Budget Filing Data'!AS267</f>
        <v>0</v>
      </c>
      <c r="P303" s="638">
        <f>'Budget Filing Data'!AT267</f>
        <v>0</v>
      </c>
    </row>
    <row r="304" spans="3:16">
      <c r="C304" s="632" t="str">
        <f>'Budget Filing Data'!D268</f>
        <v>SDGE_SW_NC_NonRes_Res_electric</v>
      </c>
      <c r="D304" s="632" t="str">
        <f>'Budget Filing Data'!E268</f>
        <v>SW New Construction NonResidential - Residential - All Electric</v>
      </c>
      <c r="E304" s="633" t="str">
        <f>'Budget Filing Data'!J268</f>
        <v>Third-Party Solicited</v>
      </c>
      <c r="F304" s="633" t="str">
        <f>IF('Budget Filing Data'!H268="","",'Budget Filing Data'!H268)</f>
        <v>SW_NC_NonRes_Res_electric - New Construction - NonResidential - All Electric</v>
      </c>
      <c r="G304" s="634" t="s">
        <v>24</v>
      </c>
      <c r="H304" s="633" t="str">
        <f>'Budget Filing Data'!G268</f>
        <v>Residential</v>
      </c>
      <c r="I304" s="633" t="str">
        <f>'Budget Filing Data'!I268</f>
        <v>New Construction</v>
      </c>
      <c r="J304" s="633" t="str">
        <f>'Budget Filing Data'!L268</f>
        <v>Market Support</v>
      </c>
      <c r="K304" s="635">
        <f>'Budget Filing Data'!B268</f>
        <v>2031</v>
      </c>
      <c r="L304" s="636">
        <f t="shared" si="59"/>
        <v>889299.47724118759</v>
      </c>
      <c r="M304" s="637">
        <f>'Budget Filing Data'!AQ268</f>
        <v>36602.512999999999</v>
      </c>
      <c r="N304" s="637">
        <f>'Budget Filing Data'!AR268</f>
        <v>27451.884699999999</v>
      </c>
      <c r="O304" s="637">
        <f>'Budget Filing Data'!AS268</f>
        <v>118958.16710000001</v>
      </c>
      <c r="P304" s="638">
        <f>'Budget Filing Data'!AT268</f>
        <v>706286.91244118765</v>
      </c>
    </row>
    <row r="305" spans="3:16">
      <c r="C305" s="632" t="str">
        <f>'Budget Filing Data'!D269</f>
        <v>SDGE_SW_NC_NonRes_Res_electric_PA</v>
      </c>
      <c r="D305" s="632" t="str">
        <f>'Budget Filing Data'!E269</f>
        <v>SW New Construction NonResidential - Residential - All Electric (Utility)</v>
      </c>
      <c r="E305" s="633" t="str">
        <f>'Budget Filing Data'!J269</f>
        <v>IOU Core</v>
      </c>
      <c r="F305" s="633" t="str">
        <f>IF('Budget Filing Data'!H269="","",'Budget Filing Data'!H269)</f>
        <v>SW_NC_NonRes_Res_electric - New Construction - NonResidential - All Electric</v>
      </c>
      <c r="G305" s="634" t="s">
        <v>24</v>
      </c>
      <c r="H305" s="633" t="str">
        <f>'Budget Filing Data'!G269</f>
        <v>Residential</v>
      </c>
      <c r="I305" s="633" t="str">
        <f>'Budget Filing Data'!I269</f>
        <v>New Construction</v>
      </c>
      <c r="J305" s="633" t="str">
        <f>'Budget Filing Data'!L269</f>
        <v>Market Support</v>
      </c>
      <c r="K305" s="635">
        <f>'Budget Filing Data'!B269</f>
        <v>2031</v>
      </c>
      <c r="L305" s="636">
        <f t="shared" si="59"/>
        <v>5708.6704</v>
      </c>
      <c r="M305" s="637">
        <f>'Budget Filing Data'!AQ269</f>
        <v>5708.6704</v>
      </c>
      <c r="N305" s="637">
        <f>'Budget Filing Data'!AR269</f>
        <v>0</v>
      </c>
      <c r="O305" s="637">
        <f>'Budget Filing Data'!AS269</f>
        <v>0</v>
      </c>
      <c r="P305" s="638">
        <f>'Budget Filing Data'!AT269</f>
        <v>0</v>
      </c>
    </row>
    <row r="306" spans="3:16">
      <c r="C306" s="632" t="str">
        <f>'Budget Filing Data'!D270</f>
        <v>SDGE_SW_NC_NonRes_Ag_mixed</v>
      </c>
      <c r="D306" s="632" t="str">
        <f>'Budget Filing Data'!E270</f>
        <v>SW New Construction Non Residential - Agricultural - Mixed Fuel</v>
      </c>
      <c r="E306" s="633" t="str">
        <f>'Budget Filing Data'!J270</f>
        <v>Third-Party Solicited</v>
      </c>
      <c r="F306" s="633" t="str">
        <f>IF('Budget Filing Data'!H270="","",'Budget Filing Data'!H270)</f>
        <v>SW_NC_NonRes_Ag_mixed - New Construction - NonResidential - Mixed Fuel</v>
      </c>
      <c r="G306" s="634" t="s">
        <v>24</v>
      </c>
      <c r="H306" s="633" t="str">
        <f>'Budget Filing Data'!G270</f>
        <v>Agricultural</v>
      </c>
      <c r="I306" s="633" t="str">
        <f>'Budget Filing Data'!I270</f>
        <v>New Construction</v>
      </c>
      <c r="J306" s="633" t="str">
        <f>'Budget Filing Data'!L270</f>
        <v>Market Support</v>
      </c>
      <c r="K306" s="635">
        <f>'Budget Filing Data'!B270</f>
        <v>2031</v>
      </c>
      <c r="L306" s="636">
        <f t="shared" si="59"/>
        <v>55239.867410120001</v>
      </c>
      <c r="M306" s="637">
        <f>'Budget Filing Data'!AQ270</f>
        <v>2692.1401999999998</v>
      </c>
      <c r="N306" s="637">
        <f>'Budget Filing Data'!AR270</f>
        <v>2019.1051</v>
      </c>
      <c r="O306" s="637">
        <f>'Budget Filing Data'!AS270</f>
        <v>8749.4555999999993</v>
      </c>
      <c r="P306" s="638">
        <f>'Budget Filing Data'!AT270</f>
        <v>41779.166510119998</v>
      </c>
    </row>
    <row r="307" spans="3:16">
      <c r="C307" s="632" t="str">
        <f>'Budget Filing Data'!D271</f>
        <v>SDGE_SW_NC_NonRes_Ag_mixed_PA</v>
      </c>
      <c r="D307" s="632" t="str">
        <f>'Budget Filing Data'!E271</f>
        <v>SW New Construction Non Residential - Agricultural - Mixed Fuel (Utility)</v>
      </c>
      <c r="E307" s="633" t="str">
        <f>'Budget Filing Data'!J271</f>
        <v>IOU Core</v>
      </c>
      <c r="F307" s="633" t="str">
        <f>IF('Budget Filing Data'!H271="","",'Budget Filing Data'!H271)</f>
        <v>SW_NC_NonRes_Ag_mixed - New Construction - NonResidential - Mixed Fuel</v>
      </c>
      <c r="G307" s="634" t="s">
        <v>24</v>
      </c>
      <c r="H307" s="633" t="str">
        <f>'Budget Filing Data'!G271</f>
        <v>Agricultural</v>
      </c>
      <c r="I307" s="633" t="str">
        <f>'Budget Filing Data'!I271</f>
        <v>New Construction</v>
      </c>
      <c r="J307" s="633" t="str">
        <f>'Budget Filing Data'!L271</f>
        <v>Market Support</v>
      </c>
      <c r="K307" s="635">
        <f>'Budget Filing Data'!B271</f>
        <v>2031</v>
      </c>
      <c r="L307" s="636">
        <f t="shared" si="59"/>
        <v>524.45029999999997</v>
      </c>
      <c r="M307" s="637">
        <f>'Budget Filing Data'!AQ271</f>
        <v>524.45029999999997</v>
      </c>
      <c r="N307" s="637">
        <f>'Budget Filing Data'!AR271</f>
        <v>0</v>
      </c>
      <c r="O307" s="637">
        <f>'Budget Filing Data'!AS271</f>
        <v>0</v>
      </c>
      <c r="P307" s="638">
        <f>'Budget Filing Data'!AT271</f>
        <v>0</v>
      </c>
    </row>
    <row r="308" spans="3:16">
      <c r="C308" s="632" t="str">
        <f>'Budget Filing Data'!D272</f>
        <v>SDGE_SW_NC_NonRes_Com_mixed</v>
      </c>
      <c r="D308" s="632" t="str">
        <f>'Budget Filing Data'!E272</f>
        <v>SW New Construction Non Residential - Commercial - Mixed Fuel</v>
      </c>
      <c r="E308" s="633" t="str">
        <f>'Budget Filing Data'!J272</f>
        <v>Third-Party Solicited</v>
      </c>
      <c r="F308" s="633" t="str">
        <f>IF('Budget Filing Data'!H272="","",'Budget Filing Data'!H272)</f>
        <v>SW_NC_NonRes_Com_mixed - New Construction - NonResidential - Mixed Fuel</v>
      </c>
      <c r="G308" s="634" t="s">
        <v>24</v>
      </c>
      <c r="H308" s="633" t="str">
        <f>'Budget Filing Data'!G272</f>
        <v>Commercial</v>
      </c>
      <c r="I308" s="633" t="str">
        <f>'Budget Filing Data'!I272</f>
        <v>New Construction</v>
      </c>
      <c r="J308" s="633" t="str">
        <f>'Budget Filing Data'!L272</f>
        <v>Market Support</v>
      </c>
      <c r="K308" s="635">
        <f>'Budget Filing Data'!B272</f>
        <v>2031</v>
      </c>
      <c r="L308" s="636">
        <f t="shared" si="59"/>
        <v>284090.74558779999</v>
      </c>
      <c r="M308" s="637">
        <f>'Budget Filing Data'!AQ272</f>
        <v>13845.2924</v>
      </c>
      <c r="N308" s="637">
        <f>'Budget Filing Data'!AR272</f>
        <v>10383.969300000001</v>
      </c>
      <c r="O308" s="637">
        <f>'Budget Filing Data'!AS272</f>
        <v>44997.200400000002</v>
      </c>
      <c r="P308" s="638">
        <f>'Budget Filing Data'!AT272</f>
        <v>214864.28348779998</v>
      </c>
    </row>
    <row r="309" spans="3:16">
      <c r="C309" s="632" t="str">
        <f>'Budget Filing Data'!D273</f>
        <v>SDGE_SW_NC_NonRes_Com_mixed_PA</v>
      </c>
      <c r="D309" s="632" t="str">
        <f>'Budget Filing Data'!E273</f>
        <v>SW New Construction Non Residential - Commercial - Mixed Fuel (Utility)</v>
      </c>
      <c r="E309" s="633" t="str">
        <f>'Budget Filing Data'!J273</f>
        <v>IOU Core</v>
      </c>
      <c r="F309" s="633" t="str">
        <f>IF('Budget Filing Data'!H273="","",'Budget Filing Data'!H273)</f>
        <v>SW_NC_NonRes_Com_mixed - New Construction - NonResidential - Mixed Fuel</v>
      </c>
      <c r="G309" s="634" t="s">
        <v>24</v>
      </c>
      <c r="H309" s="633" t="str">
        <f>'Budget Filing Data'!G273</f>
        <v>Commercial</v>
      </c>
      <c r="I309" s="633" t="str">
        <f>'Budget Filing Data'!I273</f>
        <v>New Construction</v>
      </c>
      <c r="J309" s="633" t="str">
        <f>'Budget Filing Data'!L273</f>
        <v>Market Support</v>
      </c>
      <c r="K309" s="635">
        <f>'Budget Filing Data'!B273</f>
        <v>2031</v>
      </c>
      <c r="L309" s="636">
        <f t="shared" si="59"/>
        <v>1893.6903</v>
      </c>
      <c r="M309" s="637">
        <f>'Budget Filing Data'!AQ273</f>
        <v>1893.6903</v>
      </c>
      <c r="N309" s="637">
        <f>'Budget Filing Data'!AR273</f>
        <v>0</v>
      </c>
      <c r="O309" s="637">
        <f>'Budget Filing Data'!AS273</f>
        <v>0</v>
      </c>
      <c r="P309" s="638">
        <f>'Budget Filing Data'!AT273</f>
        <v>0</v>
      </c>
    </row>
    <row r="310" spans="3:16">
      <c r="C310" s="632" t="str">
        <f>'Budget Filing Data'!D274</f>
        <v>SDGE_SW_NC_NonRes_Ind_mixed</v>
      </c>
      <c r="D310" s="632" t="str">
        <f>'Budget Filing Data'!E274</f>
        <v>SW New Construction Non Residential - Industrial - Mixed Fuel</v>
      </c>
      <c r="E310" s="633" t="str">
        <f>'Budget Filing Data'!J274</f>
        <v>Third-Party Solicited</v>
      </c>
      <c r="F310" s="633" t="str">
        <f>IF('Budget Filing Data'!H274="","",'Budget Filing Data'!H274)</f>
        <v>SW_NC_NonRes_Ind_mixed - New Construction - NonResidential - Mixed Fuel</v>
      </c>
      <c r="G310" s="634" t="s">
        <v>24</v>
      </c>
      <c r="H310" s="633" t="str">
        <f>'Budget Filing Data'!G274</f>
        <v>Industrial</v>
      </c>
      <c r="I310" s="633" t="str">
        <f>'Budget Filing Data'!I274</f>
        <v>New Construction</v>
      </c>
      <c r="J310" s="633" t="str">
        <f>'Budget Filing Data'!L274</f>
        <v>Market Support</v>
      </c>
      <c r="K310" s="635">
        <f>'Budget Filing Data'!B274</f>
        <v>2031</v>
      </c>
      <c r="L310" s="636">
        <f t="shared" si="59"/>
        <v>55239.868300000002</v>
      </c>
      <c r="M310" s="637">
        <f>'Budget Filing Data'!AQ274</f>
        <v>2692.1401999999998</v>
      </c>
      <c r="N310" s="637">
        <f>'Budget Filing Data'!AR274</f>
        <v>2019.1051</v>
      </c>
      <c r="O310" s="637">
        <f>'Budget Filing Data'!AS274</f>
        <v>8749.4555999999993</v>
      </c>
      <c r="P310" s="638">
        <f>'Budget Filing Data'!AT274</f>
        <v>41779.167400000006</v>
      </c>
    </row>
    <row r="311" spans="3:16">
      <c r="C311" s="632" t="str">
        <f>'Budget Filing Data'!D275</f>
        <v>SDGE_SW_NC_NonRes_Ind_mixed_PA</v>
      </c>
      <c r="D311" s="632" t="str">
        <f>'Budget Filing Data'!E275</f>
        <v>SW New Construction Non Residential - Industrial - Mixed Fuel (Utility)</v>
      </c>
      <c r="E311" s="633" t="str">
        <f>'Budget Filing Data'!J275</f>
        <v>IOU Core</v>
      </c>
      <c r="F311" s="633" t="str">
        <f>IF('Budget Filing Data'!H275="","",'Budget Filing Data'!H275)</f>
        <v>SW_NC_NonRes_Ind_mixed - New Construction - NonResidential - Mixed Fuel</v>
      </c>
      <c r="G311" s="634" t="s">
        <v>24</v>
      </c>
      <c r="H311" s="633" t="str">
        <f>'Budget Filing Data'!G275</f>
        <v>Industrial</v>
      </c>
      <c r="I311" s="633" t="str">
        <f>'Budget Filing Data'!I275</f>
        <v>New Construction</v>
      </c>
      <c r="J311" s="633" t="str">
        <f>'Budget Filing Data'!L275</f>
        <v>Market Support</v>
      </c>
      <c r="K311" s="635">
        <f>'Budget Filing Data'!B275</f>
        <v>2031</v>
      </c>
      <c r="L311" s="636">
        <f t="shared" si="59"/>
        <v>524.45029999999997</v>
      </c>
      <c r="M311" s="637">
        <f>'Budget Filing Data'!AQ275</f>
        <v>524.45029999999997</v>
      </c>
      <c r="N311" s="637">
        <f>'Budget Filing Data'!AR275</f>
        <v>0</v>
      </c>
      <c r="O311" s="637">
        <f>'Budget Filing Data'!AS275</f>
        <v>0</v>
      </c>
      <c r="P311" s="638">
        <f>'Budget Filing Data'!AT275</f>
        <v>0</v>
      </c>
    </row>
    <row r="312" spans="3:16">
      <c r="C312" s="632" t="str">
        <f>'Budget Filing Data'!D276</f>
        <v>SDGE_SW_NC_NonRes_Pub_mixed</v>
      </c>
      <c r="D312" s="632" t="str">
        <f>'Budget Filing Data'!E276</f>
        <v>SW New Construction Non Residential - Public - Mixed Fuel</v>
      </c>
      <c r="E312" s="633" t="str">
        <f>'Budget Filing Data'!J276</f>
        <v>Third-Party Solicited</v>
      </c>
      <c r="F312" s="633" t="str">
        <f>IF('Budget Filing Data'!H276="","",'Budget Filing Data'!H276)</f>
        <v>SW_NC_NonRes_Pub_mixed - New Construction - NonResidential - Mixed Fuel</v>
      </c>
      <c r="G312" s="634" t="s">
        <v>24</v>
      </c>
      <c r="H312" s="633" t="str">
        <f>'Budget Filing Data'!G276</f>
        <v>Public</v>
      </c>
      <c r="I312" s="633" t="str">
        <f>'Budget Filing Data'!I276</f>
        <v>New Construction</v>
      </c>
      <c r="J312" s="633" t="str">
        <f>'Budget Filing Data'!L276</f>
        <v>Market Support</v>
      </c>
      <c r="K312" s="635">
        <f>'Budget Filing Data'!B276</f>
        <v>2031</v>
      </c>
      <c r="L312" s="636">
        <f t="shared" si="59"/>
        <v>173611.01133399995</v>
      </c>
      <c r="M312" s="637">
        <f>'Budget Filing Data'!AQ276</f>
        <v>8461.0120000000006</v>
      </c>
      <c r="N312" s="637">
        <f>'Budget Filing Data'!AR276</f>
        <v>6345.759</v>
      </c>
      <c r="O312" s="637">
        <f>'Budget Filing Data'!AS276</f>
        <v>27498.289100000002</v>
      </c>
      <c r="P312" s="638">
        <f>'Budget Filing Data'!AT276</f>
        <v>131305.95123399995</v>
      </c>
    </row>
    <row r="313" spans="3:16">
      <c r="C313" s="632" t="str">
        <f>'Budget Filing Data'!D277</f>
        <v>SDGE_SW_NC_NonRes_Pub_mixed_PA</v>
      </c>
      <c r="D313" s="632" t="str">
        <f>'Budget Filing Data'!E277</f>
        <v>SW New Construction Non Residential - Public - Mixed Fuel (Utility)</v>
      </c>
      <c r="E313" s="633" t="str">
        <f>'Budget Filing Data'!J277</f>
        <v>IOU Core</v>
      </c>
      <c r="F313" s="633" t="str">
        <f>IF('Budget Filing Data'!H277="","",'Budget Filing Data'!H277)</f>
        <v>SW_NC_NonRes_Pub_mixed - New Construction - NonResidential - Mixed Fuel</v>
      </c>
      <c r="G313" s="634" t="s">
        <v>24</v>
      </c>
      <c r="H313" s="633" t="str">
        <f>'Budget Filing Data'!G277</f>
        <v>Public</v>
      </c>
      <c r="I313" s="633" t="str">
        <f>'Budget Filing Data'!I277</f>
        <v>New Construction</v>
      </c>
      <c r="J313" s="633" t="str">
        <f>'Budget Filing Data'!L277</f>
        <v>Market Support</v>
      </c>
      <c r="K313" s="635">
        <f>'Budget Filing Data'!B277</f>
        <v>2031</v>
      </c>
      <c r="L313" s="636">
        <f t="shared" si="59"/>
        <v>1232.6803</v>
      </c>
      <c r="M313" s="637">
        <f>'Budget Filing Data'!AQ277</f>
        <v>1232.6803</v>
      </c>
      <c r="N313" s="637">
        <f>'Budget Filing Data'!AR277</f>
        <v>0</v>
      </c>
      <c r="O313" s="637">
        <f>'Budget Filing Data'!AS277</f>
        <v>0</v>
      </c>
      <c r="P313" s="638">
        <f>'Budget Filing Data'!AT277</f>
        <v>0</v>
      </c>
    </row>
    <row r="314" spans="3:16">
      <c r="C314" s="632" t="str">
        <f>'Budget Filing Data'!D278</f>
        <v>SDGE_SW_NC_NonRes_Res_mixed</v>
      </c>
      <c r="D314" s="632" t="str">
        <f>'Budget Filing Data'!E278</f>
        <v>SW New Construction NonResidential - Residential - Mixed Fuel</v>
      </c>
      <c r="E314" s="633" t="str">
        <f>'Budget Filing Data'!J278</f>
        <v>Third-Party Solicited</v>
      </c>
      <c r="F314" s="633" t="str">
        <f>IF('Budget Filing Data'!H278="","",'Budget Filing Data'!H278)</f>
        <v>SW_NC_NonRes_Res_mixed - New Construction - NonResidential - Mixed Fuel</v>
      </c>
      <c r="G314" s="634" t="s">
        <v>24</v>
      </c>
      <c r="H314" s="633" t="str">
        <f>'Budget Filing Data'!G278</f>
        <v>Residential</v>
      </c>
      <c r="I314" s="633" t="str">
        <f>'Budget Filing Data'!I278</f>
        <v>New Construction</v>
      </c>
      <c r="J314" s="633" t="str">
        <f>'Budget Filing Data'!L278</f>
        <v>Market Support</v>
      </c>
      <c r="K314" s="635">
        <f>'Budget Filing Data'!B278</f>
        <v>2031</v>
      </c>
      <c r="L314" s="636">
        <f t="shared" si="59"/>
        <v>0</v>
      </c>
      <c r="M314" s="637">
        <f>'Budget Filing Data'!AQ278</f>
        <v>0</v>
      </c>
      <c r="N314" s="637">
        <f>'Budget Filing Data'!AR278</f>
        <v>0</v>
      </c>
      <c r="O314" s="637">
        <f>'Budget Filing Data'!AS278</f>
        <v>0</v>
      </c>
      <c r="P314" s="638">
        <f>'Budget Filing Data'!AT278</f>
        <v>0</v>
      </c>
    </row>
    <row r="315" spans="3:16">
      <c r="C315" s="632" t="str">
        <f>'Budget Filing Data'!D279</f>
        <v>SDGE_SW_NC_NonRes_Res_mixed_PA</v>
      </c>
      <c r="D315" s="632" t="str">
        <f>'Budget Filing Data'!E279</f>
        <v>SW New Construction NonResidential - Residential - Mixed Fuel (Utility)</v>
      </c>
      <c r="E315" s="633" t="str">
        <f>'Budget Filing Data'!J279</f>
        <v>IOU Core</v>
      </c>
      <c r="F315" s="633" t="str">
        <f>IF('Budget Filing Data'!H279="","",'Budget Filing Data'!H279)</f>
        <v>SW_NC_NonRes_Res_mixed - New Construction - NonResidential - Mixed Fuel</v>
      </c>
      <c r="G315" s="634" t="s">
        <v>24</v>
      </c>
      <c r="H315" s="633" t="str">
        <f>'Budget Filing Data'!G279</f>
        <v>Residential</v>
      </c>
      <c r="I315" s="633" t="str">
        <f>'Budget Filing Data'!I279</f>
        <v>New Construction</v>
      </c>
      <c r="J315" s="633" t="str">
        <f>'Budget Filing Data'!L279</f>
        <v>Market Support</v>
      </c>
      <c r="K315" s="635">
        <f>'Budget Filing Data'!B279</f>
        <v>2031</v>
      </c>
      <c r="L315" s="636">
        <f t="shared" si="59"/>
        <v>0</v>
      </c>
      <c r="M315" s="637">
        <f>'Budget Filing Data'!AQ279</f>
        <v>0</v>
      </c>
      <c r="N315" s="637">
        <f>'Budget Filing Data'!AR279</f>
        <v>0</v>
      </c>
      <c r="O315" s="637">
        <f>'Budget Filing Data'!AS279</f>
        <v>0</v>
      </c>
      <c r="P315" s="638">
        <f>'Budget Filing Data'!AT279</f>
        <v>0</v>
      </c>
    </row>
    <row r="316" spans="3:16">
      <c r="C316" s="632" t="str">
        <f>'Budget Filing Data'!D280</f>
        <v>SDGE_SW_NC_Res_electric</v>
      </c>
      <c r="D316" s="632" t="str">
        <f>'Budget Filing Data'!E280</f>
        <v>SW New Construction Residential - All Electric</v>
      </c>
      <c r="E316" s="633" t="str">
        <f>'Budget Filing Data'!J280</f>
        <v>Third-Party Solicited</v>
      </c>
      <c r="F316" s="633" t="str">
        <f>IF('Budget Filing Data'!H280="","",'Budget Filing Data'!H280)</f>
        <v>SW_NC_Res_electric - New Construction - Residential - All Electric</v>
      </c>
      <c r="G316" s="634" t="s">
        <v>24</v>
      </c>
      <c r="H316" s="633" t="str">
        <f>'Budget Filing Data'!G280</f>
        <v>Residential</v>
      </c>
      <c r="I316" s="633" t="str">
        <f>'Budget Filing Data'!I280</f>
        <v>New Construction</v>
      </c>
      <c r="J316" s="633" t="str">
        <f>'Budget Filing Data'!L280</f>
        <v>Market Support</v>
      </c>
      <c r="K316" s="635">
        <f>'Budget Filing Data'!B280</f>
        <v>2031</v>
      </c>
      <c r="L316" s="636">
        <f t="shared" si="59"/>
        <v>996423.9738830002</v>
      </c>
      <c r="M316" s="637">
        <f>'Budget Filing Data'!AQ280</f>
        <v>31889.858</v>
      </c>
      <c r="N316" s="637">
        <f>'Budget Filing Data'!AR280</f>
        <v>20020</v>
      </c>
      <c r="O316" s="637">
        <f>'Budget Filing Data'!AS280</f>
        <v>324899.66600000003</v>
      </c>
      <c r="P316" s="638">
        <f>'Budget Filing Data'!AT280</f>
        <v>619614.44988300011</v>
      </c>
    </row>
    <row r="317" spans="3:16">
      <c r="C317" s="632" t="str">
        <f>'Budget Filing Data'!D281</f>
        <v>SDGE_SW_NC_Res_electric_PA</v>
      </c>
      <c r="D317" s="632" t="str">
        <f>'Budget Filing Data'!E281</f>
        <v>SW New Construction Residential - All Electric (Utility)</v>
      </c>
      <c r="E317" s="633" t="str">
        <f>'Budget Filing Data'!J281</f>
        <v>IOU Core</v>
      </c>
      <c r="F317" s="633" t="str">
        <f>IF('Budget Filing Data'!H281="","",'Budget Filing Data'!H281)</f>
        <v>SW_NC_Res_electric - New Construction - Residential - All Electric</v>
      </c>
      <c r="G317" s="634" t="s">
        <v>24</v>
      </c>
      <c r="H317" s="633" t="str">
        <f>'Budget Filing Data'!G281</f>
        <v>Residential</v>
      </c>
      <c r="I317" s="633" t="str">
        <f>'Budget Filing Data'!I281</f>
        <v>New Construction</v>
      </c>
      <c r="J317" s="633" t="str">
        <f>'Budget Filing Data'!L281</f>
        <v>Market Support</v>
      </c>
      <c r="K317" s="635">
        <f>'Budget Filing Data'!B281</f>
        <v>2031</v>
      </c>
      <c r="L317" s="636">
        <f t="shared" si="59"/>
        <v>7901.1320999999998</v>
      </c>
      <c r="M317" s="637">
        <f>'Budget Filing Data'!AQ281</f>
        <v>7901.1320999999998</v>
      </c>
      <c r="N317" s="637">
        <f>'Budget Filing Data'!AR281</f>
        <v>0</v>
      </c>
      <c r="O317" s="637">
        <f>'Budget Filing Data'!AS281</f>
        <v>0</v>
      </c>
      <c r="P317" s="638">
        <f>'Budget Filing Data'!AT281</f>
        <v>0</v>
      </c>
    </row>
    <row r="318" spans="3:16">
      <c r="C318" s="645" t="str">
        <f>'Budget Filing Data'!D282</f>
        <v>SDGE4168</v>
      </c>
      <c r="D318" s="645" t="str">
        <f>'Budget Filing Data'!E282</f>
        <v>Lodging (Hotels/Motels)</v>
      </c>
      <c r="E318" s="646" t="str">
        <f>'Budget Filing Data'!J282</f>
        <v>Third-Party Solicited</v>
      </c>
      <c r="F318" s="646" t="str">
        <f>IF('Budget Filing Data'!H282="","",'Budget Filing Data'!H282)</f>
        <v/>
      </c>
      <c r="G318" s="634" t="s">
        <v>24</v>
      </c>
      <c r="H318" s="646" t="str">
        <f>'Budget Filing Data'!G282</f>
        <v>Commercial</v>
      </c>
      <c r="I318" s="646" t="str">
        <f>'Budget Filing Data'!I282</f>
        <v>Other</v>
      </c>
      <c r="J318" s="646" t="str">
        <f>'Budget Filing Data'!L282</f>
        <v>Resource Acquisition</v>
      </c>
      <c r="K318" s="647">
        <f>'Budget Filing Data'!B282</f>
        <v>2031</v>
      </c>
      <c r="L318" s="636">
        <f t="shared" si="59"/>
        <v>1649502.777</v>
      </c>
      <c r="M318" s="648">
        <v>148675</v>
      </c>
      <c r="N318" s="648">
        <v>99117</v>
      </c>
      <c r="O318" s="648">
        <v>512714</v>
      </c>
      <c r="P318" s="649">
        <v>888996.777</v>
      </c>
    </row>
    <row r="319" spans="3:16">
      <c r="C319" s="645" t="s">
        <v>1387</v>
      </c>
      <c r="D319" s="645" t="s">
        <v>1388</v>
      </c>
      <c r="E319" s="646" t="s">
        <v>17</v>
      </c>
      <c r="F319" s="646"/>
      <c r="G319" s="634" t="s">
        <v>24</v>
      </c>
      <c r="H319" s="646" t="str">
        <f>H318</f>
        <v>Commercial</v>
      </c>
      <c r="I319" s="646" t="str">
        <f t="shared" ref="I319:K319" si="60">I318</f>
        <v>Other</v>
      </c>
      <c r="J319" s="646" t="str">
        <f t="shared" si="60"/>
        <v>Resource Acquisition</v>
      </c>
      <c r="K319" s="647">
        <f t="shared" si="60"/>
        <v>2031</v>
      </c>
      <c r="L319" s="636">
        <f t="shared" si="59"/>
        <v>188250.44099999999</v>
      </c>
      <c r="M319" s="648">
        <v>102330.738</v>
      </c>
      <c r="N319" s="648">
        <v>796.30359999999996</v>
      </c>
      <c r="O319" s="648">
        <v>85123.399399999995</v>
      </c>
      <c r="P319" s="649">
        <v>0</v>
      </c>
    </row>
    <row r="320" spans="3:16">
      <c r="C320" s="645" t="str">
        <f>'Budget Filing Data'!D283</f>
        <v>SDGE4169</v>
      </c>
      <c r="D320" s="645" t="str">
        <f>'Budget Filing Data'!E283</f>
        <v>Groceries, Restaurants and Food Storage</v>
      </c>
      <c r="E320" s="646" t="str">
        <f>'Budget Filing Data'!J283</f>
        <v>Third-Party Solicited</v>
      </c>
      <c r="F320" s="646" t="str">
        <f>IF('Budget Filing Data'!H283="","",'Budget Filing Data'!H283)</f>
        <v/>
      </c>
      <c r="G320" s="634" t="s">
        <v>24</v>
      </c>
      <c r="H320" s="646" t="str">
        <f>'Budget Filing Data'!G283</f>
        <v>Commercial</v>
      </c>
      <c r="I320" s="646" t="str">
        <f>'Budget Filing Data'!I283</f>
        <v>Other</v>
      </c>
      <c r="J320" s="646" t="str">
        <f>'Budget Filing Data'!L283</f>
        <v>Resource Acquisition</v>
      </c>
      <c r="K320" s="647">
        <f>'Budget Filing Data'!B283</f>
        <v>2031</v>
      </c>
      <c r="L320" s="636">
        <f t="shared" si="59"/>
        <v>1704484.2955</v>
      </c>
      <c r="M320" s="648">
        <v>91200</v>
      </c>
      <c r="N320" s="648">
        <v>110652</v>
      </c>
      <c r="O320" s="648">
        <v>702484.47860000003</v>
      </c>
      <c r="P320" s="649">
        <v>800147.81689999998</v>
      </c>
    </row>
    <row r="321" spans="3:16">
      <c r="C321" s="645" t="s">
        <v>1389</v>
      </c>
      <c r="D321" s="645" t="s">
        <v>1390</v>
      </c>
      <c r="E321" s="646" t="s">
        <v>17</v>
      </c>
      <c r="F321" s="646"/>
      <c r="G321" s="634" t="s">
        <v>24</v>
      </c>
      <c r="H321" s="646" t="str">
        <f>H320</f>
        <v>Commercial</v>
      </c>
      <c r="I321" s="646" t="str">
        <f t="shared" ref="I321:K321" si="61">I320</f>
        <v>Other</v>
      </c>
      <c r="J321" s="646" t="str">
        <f t="shared" si="61"/>
        <v>Resource Acquisition</v>
      </c>
      <c r="K321" s="647">
        <f t="shared" si="61"/>
        <v>2031</v>
      </c>
      <c r="L321" s="636">
        <f t="shared" si="59"/>
        <v>295671.03389999998</v>
      </c>
      <c r="M321" s="648">
        <v>94128.773400000005</v>
      </c>
      <c r="N321" s="648">
        <v>796.30359999999996</v>
      </c>
      <c r="O321" s="648">
        <v>200745.95689999999</v>
      </c>
      <c r="P321" s="649">
        <v>0</v>
      </c>
    </row>
    <row r="322" spans="3:16">
      <c r="C322" s="645" t="str">
        <f>'Budget Filing Data'!D284</f>
        <v>SDGE4170</v>
      </c>
      <c r="D322" s="645" t="str">
        <f>'Budget Filing Data'!E284</f>
        <v>Wholesale/Retail/Office, including Entertainment Services</v>
      </c>
      <c r="E322" s="646" t="str">
        <f>'Budget Filing Data'!J284</f>
        <v>Third-Party Solicited</v>
      </c>
      <c r="F322" s="646" t="str">
        <f>IF('Budget Filing Data'!H284="","",'Budget Filing Data'!H284)</f>
        <v/>
      </c>
      <c r="G322" s="634" t="s">
        <v>24</v>
      </c>
      <c r="H322" s="646" t="str">
        <f>'Budget Filing Data'!G284</f>
        <v>Commercial</v>
      </c>
      <c r="I322" s="646" t="str">
        <f>'Budget Filing Data'!I284</f>
        <v>Other</v>
      </c>
      <c r="J322" s="646" t="str">
        <f>'Budget Filing Data'!L284</f>
        <v>Resource Acquisition</v>
      </c>
      <c r="K322" s="647">
        <f>'Budget Filing Data'!B284</f>
        <v>2031</v>
      </c>
      <c r="L322" s="636">
        <f t="shared" si="59"/>
        <v>5480220.7000000002</v>
      </c>
      <c r="M322" s="648">
        <v>155880</v>
      </c>
      <c r="N322" s="648">
        <v>93600</v>
      </c>
      <c r="O322" s="648">
        <v>2647826.7400000002</v>
      </c>
      <c r="P322" s="649">
        <v>2582913.96</v>
      </c>
    </row>
    <row r="323" spans="3:16">
      <c r="C323" s="645" t="s">
        <v>1391</v>
      </c>
      <c r="D323" s="645" t="s">
        <v>1392</v>
      </c>
      <c r="E323" s="646" t="s">
        <v>17</v>
      </c>
      <c r="F323" s="646"/>
      <c r="G323" s="634" t="s">
        <v>24</v>
      </c>
      <c r="H323" s="646" t="str">
        <f>H322</f>
        <v>Commercial</v>
      </c>
      <c r="I323" s="646" t="str">
        <f t="shared" ref="I323:K323" si="62">I322</f>
        <v>Other</v>
      </c>
      <c r="J323" s="646" t="str">
        <f t="shared" si="62"/>
        <v>Resource Acquisition</v>
      </c>
      <c r="K323" s="647">
        <f t="shared" si="62"/>
        <v>2031</v>
      </c>
      <c r="L323" s="636">
        <f t="shared" si="59"/>
        <v>703749.39199999999</v>
      </c>
      <c r="M323" s="648">
        <v>260204.32190000001</v>
      </c>
      <c r="N323" s="648">
        <v>796.30359999999996</v>
      </c>
      <c r="O323" s="648">
        <v>442748.76650000003</v>
      </c>
      <c r="P323" s="649">
        <v>0</v>
      </c>
    </row>
    <row r="324" spans="3:16">
      <c r="C324" s="645" t="str">
        <f>'Budget Filing Data'!D285</f>
        <v>SDGE4171</v>
      </c>
      <c r="D324" s="645" t="str">
        <f>'Budget Filing Data'!E285</f>
        <v>Private Institutions/Healthcare</v>
      </c>
      <c r="E324" s="646" t="str">
        <f>'Budget Filing Data'!J285</f>
        <v>Third-Party Solicited</v>
      </c>
      <c r="F324" s="646" t="str">
        <f>IF('Budget Filing Data'!H285="","",'Budget Filing Data'!H285)</f>
        <v/>
      </c>
      <c r="G324" s="634" t="s">
        <v>24</v>
      </c>
      <c r="H324" s="646" t="str">
        <f>'Budget Filing Data'!G285</f>
        <v>Commercial</v>
      </c>
      <c r="I324" s="646" t="str">
        <f>'Budget Filing Data'!I285</f>
        <v>Other</v>
      </c>
      <c r="J324" s="646" t="str">
        <f>'Budget Filing Data'!L285</f>
        <v>Resource Acquisition</v>
      </c>
      <c r="K324" s="647">
        <f>'Budget Filing Data'!B285</f>
        <v>2031</v>
      </c>
      <c r="L324" s="636">
        <f t="shared" si="59"/>
        <v>1527614.8199999998</v>
      </c>
      <c r="M324" s="648">
        <v>137485</v>
      </c>
      <c r="N324" s="648">
        <v>91657</v>
      </c>
      <c r="O324" s="648">
        <v>407410</v>
      </c>
      <c r="P324" s="649">
        <v>891062.82</v>
      </c>
    </row>
    <row r="325" spans="3:16">
      <c r="C325" s="645" t="s">
        <v>1393</v>
      </c>
      <c r="D325" s="645" t="s">
        <v>1394</v>
      </c>
      <c r="E325" s="646" t="s">
        <v>17</v>
      </c>
      <c r="F325" s="646"/>
      <c r="G325" s="634" t="s">
        <v>24</v>
      </c>
      <c r="H325" s="646" t="str">
        <f>H324</f>
        <v>Commercial</v>
      </c>
      <c r="I325" s="646" t="str">
        <f t="shared" ref="I325:K325" si="63">I324</f>
        <v>Other</v>
      </c>
      <c r="J325" s="646" t="str">
        <f t="shared" si="63"/>
        <v>Resource Acquisition</v>
      </c>
      <c r="K325" s="647">
        <f t="shared" si="63"/>
        <v>2031</v>
      </c>
      <c r="L325" s="636">
        <f t="shared" si="59"/>
        <v>174887.1581</v>
      </c>
      <c r="M325" s="648">
        <v>95518.566900000005</v>
      </c>
      <c r="N325" s="648">
        <v>796.30359999999996</v>
      </c>
      <c r="O325" s="648">
        <v>78572.287599999996</v>
      </c>
      <c r="P325" s="649">
        <v>0</v>
      </c>
    </row>
    <row r="326" spans="3:16">
      <c r="C326" s="645" t="str">
        <f>'Budget Filing Data'!D286</f>
        <v>SDGE4175</v>
      </c>
      <c r="D326" s="645" t="str">
        <f>'Budget Filing Data'!E286</f>
        <v>Local Residential Fuel-Substitution</v>
      </c>
      <c r="E326" s="646" t="s">
        <v>17</v>
      </c>
      <c r="F326" s="646" t="str">
        <f>IF('Budget Filing Data'!H286="","",'Budget Filing Data'!H286)</f>
        <v/>
      </c>
      <c r="G326" s="634" t="s">
        <v>15</v>
      </c>
      <c r="H326" s="646" t="str">
        <f>'Budget Filing Data'!G286</f>
        <v>Residential</v>
      </c>
      <c r="I326" s="646" t="str">
        <f>'Budget Filing Data'!I286</f>
        <v>Other</v>
      </c>
      <c r="J326" s="646" t="str">
        <f>'Budget Filing Data'!L286</f>
        <v>Market Support</v>
      </c>
      <c r="K326" s="647">
        <f>'Budget Filing Data'!B286</f>
        <v>2031</v>
      </c>
      <c r="L326" s="636">
        <f t="shared" si="59"/>
        <v>900000</v>
      </c>
      <c r="M326" s="648">
        <v>90000</v>
      </c>
      <c r="N326" s="648">
        <v>100556</v>
      </c>
      <c r="O326" s="648">
        <v>643444</v>
      </c>
      <c r="P326" s="649">
        <v>66000</v>
      </c>
    </row>
    <row r="327" spans="3:16">
      <c r="C327" s="645" t="s">
        <v>1395</v>
      </c>
      <c r="D327" s="645" t="s">
        <v>1396</v>
      </c>
      <c r="E327" s="646" t="s">
        <v>17</v>
      </c>
      <c r="F327" s="646"/>
      <c r="G327" s="634" t="s">
        <v>15</v>
      </c>
      <c r="H327" s="646" t="str">
        <f>H326</f>
        <v>Residential</v>
      </c>
      <c r="I327" s="646" t="str">
        <f t="shared" ref="I327:K327" si="64">I326</f>
        <v>Other</v>
      </c>
      <c r="J327" s="646" t="str">
        <f t="shared" si="64"/>
        <v>Market Support</v>
      </c>
      <c r="K327" s="647">
        <f t="shared" si="64"/>
        <v>2031</v>
      </c>
      <c r="L327" s="636">
        <f t="shared" si="59"/>
        <v>176048.96679999997</v>
      </c>
      <c r="M327" s="648">
        <v>163623.71479999999</v>
      </c>
      <c r="N327" s="648">
        <v>3981.5182</v>
      </c>
      <c r="O327" s="648">
        <v>8443.7338</v>
      </c>
      <c r="P327" s="649">
        <v>0</v>
      </c>
    </row>
    <row r="328" spans="3:16">
      <c r="C328" s="632" t="str">
        <f>'Budget Filing Data'!D287</f>
        <v>SDGE_CS_PortfolioSupport</v>
      </c>
      <c r="D328" s="632" t="str">
        <f>'Budget Filing Data'!E287</f>
        <v>Codes &amp; Standards Portfolio Support PA Costs</v>
      </c>
      <c r="E328" s="633" t="str">
        <f>'Budget Filing Data'!J287</f>
        <v>IOU Core</v>
      </c>
      <c r="F328" s="633" t="str">
        <f>IF('Budget Filing Data'!H287="","",'Budget Filing Data'!H287)</f>
        <v/>
      </c>
      <c r="G328" s="634" t="s">
        <v>24</v>
      </c>
      <c r="H328" s="633" t="str">
        <f>'Budget Filing Data'!G287</f>
        <v>Portfolio Support</v>
      </c>
      <c r="I328" s="633" t="str">
        <f>'Budget Filing Data'!I287</f>
        <v>Other</v>
      </c>
      <c r="J328" s="633" t="str">
        <f>'Budget Filing Data'!L287</f>
        <v>Codes and Standards</v>
      </c>
      <c r="K328" s="635">
        <f>'Budget Filing Data'!B287</f>
        <v>2031</v>
      </c>
      <c r="L328" s="636">
        <f t="shared" si="59"/>
        <v>163795.3651</v>
      </c>
      <c r="M328" s="637">
        <f>'Budget Filing Data'!AQ287</f>
        <v>163795.3651</v>
      </c>
      <c r="N328" s="637">
        <f>'Budget Filing Data'!AR287</f>
        <v>0</v>
      </c>
      <c r="O328" s="637">
        <f>'Budget Filing Data'!AS287</f>
        <v>0</v>
      </c>
      <c r="P328" s="638">
        <f>'Budget Filing Data'!AT287</f>
        <v>0</v>
      </c>
    </row>
    <row r="329" spans="3:16">
      <c r="C329" s="632" t="str">
        <f>'Budget Filing Data'!D288</f>
        <v>SDGE_Equity_PortfolioSupport</v>
      </c>
      <c r="D329" s="632" t="str">
        <f>'Budget Filing Data'!E288</f>
        <v>Equity Portfolio Support PA Costs</v>
      </c>
      <c r="E329" s="633" t="str">
        <f>'Budget Filing Data'!J288</f>
        <v>IOU Core</v>
      </c>
      <c r="F329" s="633" t="str">
        <f>IF('Budget Filing Data'!H288="","",'Budget Filing Data'!H288)</f>
        <v/>
      </c>
      <c r="G329" s="634" t="s">
        <v>24</v>
      </c>
      <c r="H329" s="633" t="str">
        <f>'Budget Filing Data'!G288</f>
        <v>Portfolio Support</v>
      </c>
      <c r="I329" s="633" t="str">
        <f>'Budget Filing Data'!I288</f>
        <v>Other</v>
      </c>
      <c r="J329" s="633" t="str">
        <f>'Budget Filing Data'!L288</f>
        <v>Equity</v>
      </c>
      <c r="K329" s="635">
        <f>'Budget Filing Data'!B288</f>
        <v>2031</v>
      </c>
      <c r="L329" s="636">
        <f t="shared" si="59"/>
        <v>9368.5105999999996</v>
      </c>
      <c r="M329" s="637">
        <f>'Budget Filing Data'!AQ288</f>
        <v>9368.5105999999996</v>
      </c>
      <c r="N329" s="637">
        <f>'Budget Filing Data'!AR288</f>
        <v>0</v>
      </c>
      <c r="O329" s="637">
        <f>'Budget Filing Data'!AS288</f>
        <v>0</v>
      </c>
      <c r="P329" s="638">
        <f>'Budget Filing Data'!AT288</f>
        <v>0</v>
      </c>
    </row>
    <row r="330" spans="3:16">
      <c r="C330" s="632" t="str">
        <f>'Budget Filing Data'!D289</f>
        <v>SDGE_MS_PortfolioSupport</v>
      </c>
      <c r="D330" s="632" t="str">
        <f>'Budget Filing Data'!E289</f>
        <v>Market Support Portfolio Support PA Costs</v>
      </c>
      <c r="E330" s="633" t="str">
        <f>'Budget Filing Data'!J289</f>
        <v>IOU Core</v>
      </c>
      <c r="F330" s="633" t="str">
        <f>IF('Budget Filing Data'!H289="","",'Budget Filing Data'!H289)</f>
        <v/>
      </c>
      <c r="G330" s="634" t="s">
        <v>24</v>
      </c>
      <c r="H330" s="633" t="str">
        <f>'Budget Filing Data'!G289</f>
        <v>Portfolio Support</v>
      </c>
      <c r="I330" s="633" t="str">
        <f>'Budget Filing Data'!I289</f>
        <v>Other</v>
      </c>
      <c r="J330" s="633" t="str">
        <f>'Budget Filing Data'!L289</f>
        <v>Market Support</v>
      </c>
      <c r="K330" s="635">
        <f>'Budget Filing Data'!B289</f>
        <v>2031</v>
      </c>
      <c r="L330" s="636">
        <f t="shared" si="59"/>
        <v>363396.40279999998</v>
      </c>
      <c r="M330" s="637">
        <f>'Budget Filing Data'!AQ289</f>
        <v>363396.40279999998</v>
      </c>
      <c r="N330" s="637">
        <f>'Budget Filing Data'!AR289</f>
        <v>0</v>
      </c>
      <c r="O330" s="637">
        <f>'Budget Filing Data'!AS289</f>
        <v>0</v>
      </c>
      <c r="P330" s="638">
        <f>'Budget Filing Data'!AT289</f>
        <v>0</v>
      </c>
    </row>
    <row r="331" spans="3:16">
      <c r="C331" s="632" t="str">
        <f>'Budget Filing Data'!D290</f>
        <v>SDGE_RA_PortfolioSupport</v>
      </c>
      <c r="D331" s="632" t="str">
        <f>'Budget Filing Data'!E290</f>
        <v>Resource Acquisition Portfolio Support PA Costs</v>
      </c>
      <c r="E331" s="633" t="str">
        <f>'Budget Filing Data'!J290</f>
        <v>IOU Core</v>
      </c>
      <c r="F331" s="633" t="str">
        <f>IF('Budget Filing Data'!H290="","",'Budget Filing Data'!H290)</f>
        <v/>
      </c>
      <c r="G331" s="634" t="s">
        <v>24</v>
      </c>
      <c r="H331" s="633" t="str">
        <f>'Budget Filing Data'!G290</f>
        <v>Portfolio Support</v>
      </c>
      <c r="I331" s="633" t="str">
        <f>'Budget Filing Data'!I290</f>
        <v>Other</v>
      </c>
      <c r="J331" s="633" t="str">
        <f>'Budget Filing Data'!L290</f>
        <v>Resource Acquisition</v>
      </c>
      <c r="K331" s="635">
        <f>'Budget Filing Data'!B290</f>
        <v>2031</v>
      </c>
      <c r="L331" s="636">
        <f t="shared" si="59"/>
        <v>2261937.6878</v>
      </c>
      <c r="M331" s="637">
        <f>'Budget Filing Data'!AQ290</f>
        <v>2261937.6878</v>
      </c>
      <c r="N331" s="637">
        <f>'Budget Filing Data'!AR290</f>
        <v>0</v>
      </c>
      <c r="O331" s="637">
        <f>'Budget Filing Data'!AS290</f>
        <v>0</v>
      </c>
      <c r="P331" s="638">
        <f>'Budget Filing Data'!AT290</f>
        <v>0</v>
      </c>
    </row>
    <row r="332" spans="3:16">
      <c r="C332" s="632" t="str">
        <f>'Budget Filing Data'!D291</f>
        <v>SDGE_SW_HESC</v>
      </c>
      <c r="D332" s="632" t="str">
        <f>'Budget Filing Data'!E291</f>
        <v>SW Home Energy Score California</v>
      </c>
      <c r="E332" s="633" t="str">
        <f>'Budget Filing Data'!J291</f>
        <v>REN/CCA</v>
      </c>
      <c r="F332" s="633" t="str">
        <f>IF('Budget Filing Data'!H291="","",'Budget Filing Data'!H291)</f>
        <v>SW_HESC - SW Home Energy Score California</v>
      </c>
      <c r="G332" s="634" t="s">
        <v>15</v>
      </c>
      <c r="H332" s="633" t="str">
        <f>'Budget Filing Data'!G291</f>
        <v>Residential</v>
      </c>
      <c r="I332" s="633" t="str">
        <f>'Budget Filing Data'!I291</f>
        <v>Market Transformation</v>
      </c>
      <c r="J332" s="633" t="str">
        <f>'Budget Filing Data'!L291</f>
        <v>Market Support</v>
      </c>
      <c r="K332" s="635">
        <f>'Budget Filing Data'!B291</f>
        <v>2031</v>
      </c>
      <c r="L332" s="636">
        <f t="shared" si="59"/>
        <v>648377.25120000006</v>
      </c>
      <c r="M332" s="637">
        <f>'Budget Filing Data'!AQ291</f>
        <v>16754.284800000001</v>
      </c>
      <c r="N332" s="637">
        <f>'Budget Filing Data'!AR291</f>
        <v>34720</v>
      </c>
      <c r="O332" s="637">
        <f>'Budget Filing Data'!AS291</f>
        <v>138102.9664</v>
      </c>
      <c r="P332" s="638">
        <f>'Budget Filing Data'!AT291</f>
        <v>458800</v>
      </c>
    </row>
    <row r="333" spans="3:16">
      <c r="C333" s="632" t="str">
        <f>'Budget Filing Data'!D292</f>
        <v>SDGE_SW_HESC_PA</v>
      </c>
      <c r="D333" s="632" t="str">
        <f>'Budget Filing Data'!E292</f>
        <v>SW Home Energy Score California (Utility)</v>
      </c>
      <c r="E333" s="633" t="str">
        <f>'Budget Filing Data'!J292</f>
        <v>IOU Core</v>
      </c>
      <c r="F333" s="633" t="str">
        <f>IF('Budget Filing Data'!H292="","",'Budget Filing Data'!H292)</f>
        <v>SW_HESC - SW Home Energy Score California</v>
      </c>
      <c r="G333" s="634" t="s">
        <v>15</v>
      </c>
      <c r="H333" s="633" t="str">
        <f>'Budget Filing Data'!G292</f>
        <v>Residential</v>
      </c>
      <c r="I333" s="633" t="str">
        <f>'Budget Filing Data'!I292</f>
        <v>Market Transformation</v>
      </c>
      <c r="J333" s="633" t="str">
        <f>'Budget Filing Data'!L292</f>
        <v>Market Support</v>
      </c>
      <c r="K333" s="635">
        <f>'Budget Filing Data'!B292</f>
        <v>2031</v>
      </c>
      <c r="L333" s="636">
        <f>SUM(M333:P333)</f>
        <v>5889.1121000000003</v>
      </c>
      <c r="M333" s="637">
        <f>'Budget Filing Data'!AQ292</f>
        <v>5889.1121000000003</v>
      </c>
      <c r="N333" s="637">
        <f>'Budget Filing Data'!AR292</f>
        <v>0</v>
      </c>
      <c r="O333" s="637">
        <f>'Budget Filing Data'!AS292</f>
        <v>0</v>
      </c>
      <c r="P333" s="638">
        <f>'Budget Filing Data'!AT292</f>
        <v>0</v>
      </c>
    </row>
    <row r="334" spans="3:16">
      <c r="C334" s="645" t="str">
        <f>'Budget Filing Data'!D293</f>
        <v>SDGE4201</v>
      </c>
      <c r="D334" s="645" t="str">
        <f>'Budget Filing Data'!E293</f>
        <v>Market Access Program - Residential</v>
      </c>
      <c r="E334" s="646" t="str">
        <f>'Budget Filing Data'!J293</f>
        <v>Third-Party Solicited</v>
      </c>
      <c r="F334" s="646" t="str">
        <f>IF('Budget Filing Data'!H293="","",'Budget Filing Data'!H293)</f>
        <v/>
      </c>
      <c r="G334" s="634" t="s">
        <v>24</v>
      </c>
      <c r="H334" s="646" t="str">
        <f>'Budget Filing Data'!G293</f>
        <v>Residential</v>
      </c>
      <c r="I334" s="646" t="str">
        <f>'Budget Filing Data'!I293</f>
        <v>Other</v>
      </c>
      <c r="J334" s="646" t="str">
        <f>'Budget Filing Data'!L293</f>
        <v>Resource Acquisition</v>
      </c>
      <c r="K334" s="647">
        <f>'Budget Filing Data'!B293</f>
        <v>2031</v>
      </c>
      <c r="L334" s="636">
        <f t="shared" si="59"/>
        <v>287384.70030000003</v>
      </c>
      <c r="M334" s="648">
        <v>25412</v>
      </c>
      <c r="N334" s="648">
        <v>16941</v>
      </c>
      <c r="O334" s="648">
        <v>67734</v>
      </c>
      <c r="P334" s="649">
        <v>177297.7003</v>
      </c>
    </row>
    <row r="335" spans="3:16">
      <c r="C335" s="645" t="s">
        <v>1397</v>
      </c>
      <c r="D335" s="645" t="s">
        <v>1398</v>
      </c>
      <c r="E335" s="646" t="s">
        <v>17</v>
      </c>
      <c r="F335" s="646"/>
      <c r="G335" s="634" t="s">
        <v>24</v>
      </c>
      <c r="H335" s="646" t="str">
        <f>H334</f>
        <v>Residential</v>
      </c>
      <c r="I335" s="646" t="str">
        <f t="shared" ref="I335:K335" si="65">I334</f>
        <v>Other</v>
      </c>
      <c r="J335" s="646" t="str">
        <f t="shared" si="65"/>
        <v>Resource Acquisition</v>
      </c>
      <c r="K335" s="647">
        <f t="shared" si="65"/>
        <v>2031</v>
      </c>
      <c r="L335" s="636">
        <f t="shared" si="59"/>
        <v>39944.411599999999</v>
      </c>
      <c r="M335" s="648">
        <v>20646.2225</v>
      </c>
      <c r="N335" s="648">
        <v>796.30359999999996</v>
      </c>
      <c r="O335" s="648">
        <v>18501.8855</v>
      </c>
      <c r="P335" s="649">
        <v>0</v>
      </c>
    </row>
    <row r="336" spans="3:16">
      <c r="C336" s="645" t="str">
        <f>'Budget Filing Data'!D294</f>
        <v>SDGE4202</v>
      </c>
      <c r="D336" s="645" t="str">
        <f>'Budget Filing Data'!E294</f>
        <v>Market Access Program - Commercial</v>
      </c>
      <c r="E336" s="646" t="str">
        <f>'Budget Filing Data'!J294</f>
        <v>Third-Party Solicited</v>
      </c>
      <c r="F336" s="646" t="str">
        <f>IF('Budget Filing Data'!H294="","",'Budget Filing Data'!H294)</f>
        <v/>
      </c>
      <c r="G336" s="634" t="s">
        <v>24</v>
      </c>
      <c r="H336" s="646" t="str">
        <f>'Budget Filing Data'!G294</f>
        <v>Commercial</v>
      </c>
      <c r="I336" s="646" t="str">
        <f>'Budget Filing Data'!I294</f>
        <v>Other</v>
      </c>
      <c r="J336" s="646" t="str">
        <f>'Budget Filing Data'!L294</f>
        <v>Resource Acquisition</v>
      </c>
      <c r="K336" s="647">
        <f>'Budget Filing Data'!B294</f>
        <v>2031</v>
      </c>
      <c r="L336" s="636">
        <f t="shared" si="59"/>
        <v>1857580.9939999999</v>
      </c>
      <c r="M336" s="648">
        <v>162385</v>
      </c>
      <c r="N336" s="648">
        <v>108257</v>
      </c>
      <c r="O336" s="648">
        <v>432830</v>
      </c>
      <c r="P336" s="649">
        <v>1154108.9939999999</v>
      </c>
    </row>
    <row r="337" spans="2:16">
      <c r="C337" s="645" t="s">
        <v>1399</v>
      </c>
      <c r="D337" s="645" t="s">
        <v>1400</v>
      </c>
      <c r="E337" s="646" t="s">
        <v>17</v>
      </c>
      <c r="F337" s="646"/>
      <c r="G337" s="634" t="s">
        <v>24</v>
      </c>
      <c r="H337" s="646" t="str">
        <f>H336</f>
        <v>Commercial</v>
      </c>
      <c r="I337" s="646" t="str">
        <f t="shared" ref="I337:K337" si="66">I336</f>
        <v>Other</v>
      </c>
      <c r="J337" s="646" t="str">
        <f t="shared" si="66"/>
        <v>Resource Acquisition</v>
      </c>
      <c r="K337" s="647">
        <f t="shared" si="66"/>
        <v>2031</v>
      </c>
      <c r="L337" s="636">
        <f t="shared" si="59"/>
        <v>215941.8762</v>
      </c>
      <c r="M337" s="648">
        <v>116507.6495</v>
      </c>
      <c r="N337" s="648">
        <v>796.30359999999996</v>
      </c>
      <c r="O337" s="648">
        <v>98637.9231</v>
      </c>
      <c r="P337" s="649">
        <v>0</v>
      </c>
    </row>
    <row r="338" spans="2:16">
      <c r="C338" s="632" t="str">
        <f>'Budget Filing Data'!D295</f>
        <v>SDGE_SW_HVAC_AE_NonRes</v>
      </c>
      <c r="D338" s="632" t="str">
        <f>'Budget Filing Data'!E295</f>
        <v>SW HVAC All Electric Non-Residential</v>
      </c>
      <c r="E338" s="633" t="str">
        <f>'Budget Filing Data'!J295</f>
        <v>Third-Party Solicited</v>
      </c>
      <c r="F338" s="633" t="str">
        <f>IF('Budget Filing Data'!H295="","",'Budget Filing Data'!H295)</f>
        <v>SW_HVAC_AE_NonRes - SW HVAC All Electric Non-Residential</v>
      </c>
      <c r="G338" s="634" t="s">
        <v>24</v>
      </c>
      <c r="H338" s="633" t="str">
        <f>'Budget Filing Data'!G295</f>
        <v>Commercial</v>
      </c>
      <c r="I338" s="633" t="str">
        <f>'Budget Filing Data'!I295</f>
        <v>Market Transformation</v>
      </c>
      <c r="J338" s="633" t="str">
        <f>'Budget Filing Data'!L295</f>
        <v>Resource Acquisition</v>
      </c>
      <c r="K338" s="635">
        <f>'Budget Filing Data'!B295</f>
        <v>2031</v>
      </c>
      <c r="L338" s="636">
        <f t="shared" si="59"/>
        <v>711383.22950000002</v>
      </c>
      <c r="M338" s="637">
        <f>'Budget Filing Data'!AQ295</f>
        <v>85365.986699999994</v>
      </c>
      <c r="N338" s="637">
        <f>'Budget Filing Data'!AR295</f>
        <v>56910.6584</v>
      </c>
      <c r="O338" s="637">
        <f>'Budget Filing Data'!AS295</f>
        <v>377030.5184</v>
      </c>
      <c r="P338" s="638">
        <f>'Budget Filing Data'!AT295</f>
        <v>192076.06599999999</v>
      </c>
    </row>
    <row r="339" spans="2:16">
      <c r="C339" s="632" t="str">
        <f>'Budget Filing Data'!D296</f>
        <v>SDGE_SW_HVAC_AE_NonRes_PA</v>
      </c>
      <c r="D339" s="632" t="str">
        <f>'Budget Filing Data'!E296</f>
        <v>SW HVAC All Electric Non-Residential (Utility)</v>
      </c>
      <c r="E339" s="633" t="str">
        <f>'Budget Filing Data'!J296</f>
        <v>IOU Core</v>
      </c>
      <c r="F339" s="633" t="str">
        <f>IF('Budget Filing Data'!H296="","",'Budget Filing Data'!H296)</f>
        <v>SW_HVAC_AE_NonRes - SW HVAC All Electric Non-Residential</v>
      </c>
      <c r="G339" s="634" t="s">
        <v>24</v>
      </c>
      <c r="H339" s="633" t="str">
        <f>'Budget Filing Data'!G296</f>
        <v>Commercial</v>
      </c>
      <c r="I339" s="633" t="str">
        <f>'Budget Filing Data'!I296</f>
        <v>Market Transformation</v>
      </c>
      <c r="J339" s="633" t="str">
        <f>'Budget Filing Data'!L296</f>
        <v>Resource Acquisition</v>
      </c>
      <c r="K339" s="635">
        <f>'Budget Filing Data'!B296</f>
        <v>2031</v>
      </c>
      <c r="L339" s="636">
        <f t="shared" si="59"/>
        <v>6195.6921000000002</v>
      </c>
      <c r="M339" s="637">
        <f>'Budget Filing Data'!AQ296</f>
        <v>6195.6921000000002</v>
      </c>
      <c r="N339" s="637">
        <f>'Budget Filing Data'!AR296</f>
        <v>0</v>
      </c>
      <c r="O339" s="637">
        <f>'Budget Filing Data'!AS296</f>
        <v>0</v>
      </c>
      <c r="P339" s="638">
        <f>'Budget Filing Data'!AT296</f>
        <v>0</v>
      </c>
    </row>
    <row r="340" spans="2:16" ht="13.5" thickBot="1">
      <c r="C340" s="632" t="str">
        <f>'Budget Filing Data'!D297</f>
        <v>SDGE_OtherPA_Admin</v>
      </c>
      <c r="D340" s="632" t="str">
        <f>'Budget Filing Data'!E297</f>
        <v>Other PA Collaboration</v>
      </c>
      <c r="E340" s="633" t="str">
        <f>'Budget Filing Data'!J297</f>
        <v>Non-Program</v>
      </c>
      <c r="F340" s="633" t="str">
        <f>IF('Budget Filing Data'!H297="","",'Budget Filing Data'!H297)</f>
        <v/>
      </c>
      <c r="G340" s="634" t="s">
        <v>15</v>
      </c>
      <c r="H340" s="633" t="str">
        <f>'Budget Filing Data'!G297</f>
        <v>Cross Cutting</v>
      </c>
      <c r="I340" s="633" t="str">
        <f>'Budget Filing Data'!I297</f>
        <v>Other</v>
      </c>
      <c r="J340" s="633" t="str">
        <f>'Budget Filing Data'!L297</f>
        <v>Market Support</v>
      </c>
      <c r="K340" s="653">
        <f>'Budget Filing Data'!B297</f>
        <v>2031</v>
      </c>
      <c r="L340" s="654">
        <f t="shared" si="59"/>
        <v>137301.83499999999</v>
      </c>
      <c r="M340" s="655">
        <f>'Budget Filing Data'!AQ297</f>
        <v>137301.83499999999</v>
      </c>
      <c r="N340" s="655">
        <f>'Budget Filing Data'!AR297</f>
        <v>0</v>
      </c>
      <c r="O340" s="655">
        <f>'Budget Filing Data'!AS297</f>
        <v>0</v>
      </c>
      <c r="P340" s="656">
        <f>'Budget Filing Data'!AT297</f>
        <v>0</v>
      </c>
    </row>
    <row r="341" spans="2:16" ht="13.5" thickBot="1">
      <c r="C341" s="101" t="s">
        <v>332</v>
      </c>
      <c r="D341" s="102"/>
      <c r="E341" s="102"/>
      <c r="F341" s="102"/>
      <c r="G341" s="102"/>
      <c r="H341" s="102"/>
      <c r="I341" s="102"/>
      <c r="J341" s="102"/>
      <c r="K341" s="303" t="s">
        <v>1401</v>
      </c>
      <c r="L341" s="319">
        <f>SUM(L9:L340)</f>
        <v>276797597.33449602</v>
      </c>
      <c r="M341" s="319">
        <f>SUM(M9:M340)</f>
        <v>44787786.349899977</v>
      </c>
      <c r="N341" s="319">
        <f>SUM(N9:N340)</f>
        <v>8736851.5608000048</v>
      </c>
      <c r="O341" s="320">
        <f>SUM(O9:O340)</f>
        <v>110386188.3951</v>
      </c>
      <c r="P341" s="321">
        <f>SUM(P9:P340)</f>
        <v>112886771.02869594</v>
      </c>
    </row>
    <row r="342" spans="2:16" s="109" customFormat="1" ht="15">
      <c r="B342" s="19"/>
      <c r="C342" s="417" t="s">
        <v>1402</v>
      </c>
      <c r="D342" s="19"/>
      <c r="J342" s="19"/>
      <c r="L342" s="19"/>
      <c r="M342" s="110"/>
      <c r="N342" s="110"/>
      <c r="O342" s="110"/>
      <c r="P342" s="110"/>
    </row>
    <row r="343" spans="2:16" s="109" customFormat="1">
      <c r="B343" s="19"/>
      <c r="C343" s="19"/>
      <c r="D343" s="19"/>
      <c r="J343" s="19"/>
      <c r="L343" s="19"/>
      <c r="M343" s="110"/>
      <c r="N343" s="110"/>
      <c r="O343" s="110"/>
      <c r="P343" s="110"/>
    </row>
  </sheetData>
  <autoFilter ref="C8:P341" xr:uid="{3CD49052-CFB5-4B0E-8569-A5044E6EDFD3}"/>
  <mergeCells count="7">
    <mergeCell ref="S36:T36"/>
    <mergeCell ref="S9:T9"/>
    <mergeCell ref="S18:T18"/>
    <mergeCell ref="S27:T27"/>
    <mergeCell ref="C2:D2"/>
    <mergeCell ref="C4:D4"/>
    <mergeCell ref="C5:D5"/>
  </mergeCells>
  <pageMargins left="0.25" right="0.25" top="0.75" bottom="0.75" header="0.3" footer="0.3"/>
  <pageSetup paperSize="17" scale="28" fitToHeight="0" orientation="landscape" r:id="rId1"/>
  <headerFooter>
    <oddFooter>&amp;C&amp;A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67783D8-DCD7-4222-BAF5-294DEACF479C}">
          <x14:formula1>
            <xm:f>'Read Me'!$F$10:$F$11</xm:f>
          </x14:formula1>
          <xm:sqref>G9:G340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A024-44C6-499D-8D5C-8F93E440FE7A}">
  <sheetPr>
    <tabColor theme="4"/>
  </sheetPr>
  <dimension ref="B1:AJ106"/>
  <sheetViews>
    <sheetView showGridLines="0" zoomScaleNormal="100" workbookViewId="0"/>
  </sheetViews>
  <sheetFormatPr defaultColWidth="8.625" defaultRowHeight="15"/>
  <cols>
    <col min="1" max="1" width="8.625" style="408"/>
    <col min="2" max="2" width="11.625" style="408" customWidth="1"/>
    <col min="3" max="3" width="29.375" style="408" bestFit="1" customWidth="1"/>
    <col min="4" max="4" width="57.625" style="408" bestFit="1" customWidth="1"/>
    <col min="5" max="5" width="14.375" style="408" bestFit="1" customWidth="1"/>
    <col min="6" max="6" width="22.125" style="408" bestFit="1" customWidth="1"/>
    <col min="7" max="7" width="20.375" style="408" customWidth="1"/>
    <col min="8" max="8" width="23.75" style="408" bestFit="1" customWidth="1"/>
    <col min="9" max="9" width="20.375" style="408" customWidth="1"/>
    <col min="10" max="10" width="21.375" style="408" bestFit="1" customWidth="1"/>
    <col min="11" max="11" width="16.875" style="408" customWidth="1"/>
    <col min="12" max="12" width="22.875" style="408" bestFit="1" customWidth="1"/>
    <col min="13" max="13" width="16.875" style="408" customWidth="1"/>
    <col min="14" max="14" width="11.875" style="408" bestFit="1" customWidth="1"/>
    <col min="15" max="15" width="19.875" style="408" bestFit="1" customWidth="1"/>
    <col min="16" max="16" width="16.875" style="408" bestFit="1" customWidth="1"/>
    <col min="17" max="17" width="18.625" style="408" bestFit="1" customWidth="1"/>
    <col min="18" max="18" width="25" style="408" bestFit="1" customWidth="1"/>
    <col min="19" max="19" width="22.25" style="408" customWidth="1"/>
    <col min="20" max="20" width="18.875" style="408" customWidth="1"/>
    <col min="21" max="21" width="14.625" style="408" customWidth="1"/>
    <col min="22" max="22" width="13.125" style="408" customWidth="1"/>
    <col min="23" max="23" width="14.625" style="408" customWidth="1"/>
    <col min="24" max="24" width="14.375" style="408" customWidth="1"/>
    <col min="25" max="25" width="12.875" style="408" customWidth="1"/>
    <col min="26" max="27" width="14.375" style="408" customWidth="1"/>
    <col min="28" max="28" width="18.625" style="408" customWidth="1"/>
    <col min="29" max="29" width="15.625" style="408" customWidth="1"/>
    <col min="30" max="30" width="17.125" style="408" customWidth="1"/>
    <col min="31" max="31" width="16.25" style="408" customWidth="1"/>
    <col min="32" max="32" width="22.375" style="408" customWidth="1"/>
    <col min="33" max="36" width="14.375" style="408" customWidth="1"/>
    <col min="37" max="16384" width="8.625" style="408"/>
  </cols>
  <sheetData>
    <row r="1" spans="2:36" ht="15.75" thickBot="1">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row>
    <row r="2" spans="2:36" ht="74.45" customHeight="1">
      <c r="B2" s="224" t="s">
        <v>58</v>
      </c>
      <c r="C2" s="879" t="s">
        <v>1403</v>
      </c>
      <c r="D2" s="880"/>
      <c r="E2" s="880"/>
      <c r="F2" s="880"/>
      <c r="G2" s="880"/>
      <c r="H2" s="880"/>
      <c r="I2" s="880"/>
      <c r="J2" s="881"/>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row>
    <row r="7" spans="2:36" ht="45">
      <c r="B7" s="409" t="s">
        <v>186</v>
      </c>
      <c r="C7" s="409" t="s">
        <v>289</v>
      </c>
      <c r="D7" s="409" t="s">
        <v>290</v>
      </c>
      <c r="E7" s="409" t="s">
        <v>420</v>
      </c>
      <c r="F7" s="409" t="s">
        <v>1404</v>
      </c>
      <c r="G7" s="409" t="s">
        <v>1405</v>
      </c>
      <c r="H7" s="409" t="s">
        <v>1406</v>
      </c>
      <c r="I7" s="409" t="s">
        <v>1407</v>
      </c>
      <c r="J7" s="409" t="s">
        <v>1408</v>
      </c>
      <c r="K7" s="409" t="s">
        <v>1409</v>
      </c>
      <c r="L7" s="409" t="s">
        <v>1410</v>
      </c>
      <c r="M7" s="409" t="s">
        <v>1411</v>
      </c>
      <c r="N7" s="409" t="s">
        <v>438</v>
      </c>
      <c r="O7" s="409" t="s">
        <v>442</v>
      </c>
      <c r="P7" s="409" t="s">
        <v>443</v>
      </c>
      <c r="Q7" s="409" t="s">
        <v>444</v>
      </c>
      <c r="R7" s="409" t="s">
        <v>460</v>
      </c>
      <c r="S7" s="409" t="s">
        <v>1412</v>
      </c>
      <c r="T7" s="409" t="s">
        <v>1413</v>
      </c>
      <c r="U7" s="409" t="s">
        <v>456</v>
      </c>
      <c r="V7" s="409" t="s">
        <v>457</v>
      </c>
      <c r="W7" s="409" t="s">
        <v>458</v>
      </c>
      <c r="X7" s="409" t="s">
        <v>459</v>
      </c>
      <c r="Y7" s="411" t="s">
        <v>1414</v>
      </c>
      <c r="Z7" s="410" t="s">
        <v>462</v>
      </c>
      <c r="AA7" s="410" t="s">
        <v>463</v>
      </c>
      <c r="AB7" s="410" t="s">
        <v>464</v>
      </c>
      <c r="AC7" s="410" t="s">
        <v>465</v>
      </c>
      <c r="AD7" s="410" t="s">
        <v>466</v>
      </c>
      <c r="AE7" s="410" t="s">
        <v>467</v>
      </c>
      <c r="AF7" s="410" t="s">
        <v>468</v>
      </c>
      <c r="AG7" s="410" t="s">
        <v>1415</v>
      </c>
      <c r="AH7" s="410" t="s">
        <v>1416</v>
      </c>
      <c r="AI7" s="410" t="s">
        <v>1417</v>
      </c>
      <c r="AJ7" s="410" t="s">
        <v>1418</v>
      </c>
    </row>
    <row r="8" spans="2:36">
      <c r="B8" s="790">
        <v>2024</v>
      </c>
      <c r="C8" s="790" t="s">
        <v>627</v>
      </c>
      <c r="D8" s="790" t="s">
        <v>628</v>
      </c>
      <c r="E8" s="790" t="s">
        <v>54</v>
      </c>
      <c r="F8" s="820">
        <v>0</v>
      </c>
      <c r="G8" s="820">
        <v>0</v>
      </c>
      <c r="H8" s="820">
        <v>0</v>
      </c>
      <c r="I8" s="820">
        <v>0</v>
      </c>
      <c r="J8" s="820">
        <v>0</v>
      </c>
      <c r="K8" s="820">
        <v>0</v>
      </c>
      <c r="L8" s="820">
        <v>0</v>
      </c>
      <c r="M8" s="820">
        <v>0</v>
      </c>
      <c r="N8" s="820">
        <v>0</v>
      </c>
      <c r="O8" s="820">
        <v>0</v>
      </c>
      <c r="P8" s="820">
        <v>0</v>
      </c>
      <c r="Q8" s="820">
        <v>0</v>
      </c>
      <c r="R8" s="820">
        <v>0</v>
      </c>
      <c r="S8" s="821">
        <v>0.32888999999999996</v>
      </c>
      <c r="T8" s="821">
        <v>0.4428334525017909</v>
      </c>
      <c r="U8" s="820">
        <f>J8*S8</f>
        <v>0</v>
      </c>
      <c r="V8" s="820">
        <f>L8*T8</f>
        <v>0</v>
      </c>
      <c r="W8" s="820">
        <f>K8*S8</f>
        <v>0</v>
      </c>
      <c r="X8" s="820">
        <f>M8*T8</f>
        <v>0</v>
      </c>
      <c r="Y8" s="822">
        <v>0.67</v>
      </c>
      <c r="Z8" s="820">
        <f>IF(AF8=0,0,($U8-$W8)/$AF8)</f>
        <v>0</v>
      </c>
      <c r="AA8" s="820">
        <f>IF(AF8=0,0,($V8-$X8)/$AF8)</f>
        <v>0</v>
      </c>
      <c r="AB8" s="820">
        <f>O8+R8+W8+Y8*Q8</f>
        <v>0</v>
      </c>
      <c r="AC8" s="820">
        <f>P8+X8+(1-Y8)*Q8</f>
        <v>0</v>
      </c>
      <c r="AD8" s="820">
        <f>N8*Y8+U8</f>
        <v>0</v>
      </c>
      <c r="AE8" s="820">
        <f>N8*(1-Y8)+V8</f>
        <v>0</v>
      </c>
      <c r="AF8" s="820">
        <f>IFERROR(($L8*99976.1+$J8*3412.14)/($H8*99976.1+$F8*3412.14),1)</f>
        <v>1</v>
      </c>
      <c r="AG8" s="820">
        <f>IF($AF8=0,0,AB8/$AF8)</f>
        <v>0</v>
      </c>
      <c r="AH8" s="820">
        <f t="shared" ref="AH8:AI23" si="0">IF($AF8=0,0,AC8/$AF8)</f>
        <v>0</v>
      </c>
      <c r="AI8" s="820">
        <f>IF($AF8=0,0,AD8/$AF8)</f>
        <v>0</v>
      </c>
      <c r="AJ8" s="820">
        <f t="shared" ref="AJ8:AJ71" si="1">IF($AF8=0,0,AE8/$AF8)</f>
        <v>0</v>
      </c>
    </row>
    <row r="9" spans="2:36">
      <c r="B9" s="723">
        <v>2024</v>
      </c>
      <c r="C9" s="723" t="s">
        <v>629</v>
      </c>
      <c r="D9" s="723" t="s">
        <v>630</v>
      </c>
      <c r="E9" s="723" t="s">
        <v>54</v>
      </c>
      <c r="F9" s="762">
        <v>0</v>
      </c>
      <c r="G9" s="762">
        <v>0</v>
      </c>
      <c r="H9" s="762">
        <v>0</v>
      </c>
      <c r="I9" s="762">
        <v>0</v>
      </c>
      <c r="J9" s="762">
        <v>0</v>
      </c>
      <c r="K9" s="762">
        <v>0</v>
      </c>
      <c r="L9" s="762">
        <v>0</v>
      </c>
      <c r="M9" s="762">
        <v>0</v>
      </c>
      <c r="N9" s="762">
        <v>0</v>
      </c>
      <c r="O9" s="762">
        <v>0</v>
      </c>
      <c r="P9" s="762">
        <v>0</v>
      </c>
      <c r="Q9" s="762">
        <v>0</v>
      </c>
      <c r="R9" s="762">
        <v>0</v>
      </c>
      <c r="S9" s="823">
        <v>0.32888999999999996</v>
      </c>
      <c r="T9" s="823">
        <v>0.4428334525017909</v>
      </c>
      <c r="U9" s="762">
        <f t="shared" ref="U9:U72" si="2">J9*S9</f>
        <v>0</v>
      </c>
      <c r="V9" s="762">
        <f t="shared" ref="V9:V72" si="3">L9*T9</f>
        <v>0</v>
      </c>
      <c r="W9" s="762">
        <f t="shared" ref="W9:W72" si="4">K9*S9</f>
        <v>0</v>
      </c>
      <c r="X9" s="762">
        <f t="shared" ref="X9:X72" si="5">M9*T9</f>
        <v>0</v>
      </c>
      <c r="Y9" s="758">
        <v>0.67</v>
      </c>
      <c r="Z9" s="762">
        <f t="shared" ref="Z9:Z72" si="6">IF(AF9=0,0,($U9-$W9)/$AF9)</f>
        <v>0</v>
      </c>
      <c r="AA9" s="762">
        <f t="shared" ref="AA9:AA72" si="7">IF(AF9=0,0,($V9-$X9)/$AF9)</f>
        <v>0</v>
      </c>
      <c r="AB9" s="762">
        <f t="shared" ref="AB9:AB72" si="8">O9+R9+W9+Y9*Q9</f>
        <v>0</v>
      </c>
      <c r="AC9" s="762">
        <f t="shared" ref="AC9:AC72" si="9">P9+X9+(1-Y9)*Q9</f>
        <v>0</v>
      </c>
      <c r="AD9" s="762">
        <f t="shared" ref="AD9:AD72" si="10">N9*Y9+U9</f>
        <v>0</v>
      </c>
      <c r="AE9" s="762">
        <f t="shared" ref="AE9:AE72" si="11">N9*(1-Y9)+V9</f>
        <v>0</v>
      </c>
      <c r="AF9" s="762">
        <f t="shared" ref="AF9:AF72" si="12">IFERROR(($L9*99976.1+$J9*3412.14)/($H9*99976.1+$F9*3412.14),1)</f>
        <v>1</v>
      </c>
      <c r="AG9" s="762">
        <f t="shared" ref="AG9:AJ72" si="13">IF($AF9=0,0,AB9/$AF9)</f>
        <v>0</v>
      </c>
      <c r="AH9" s="762">
        <f t="shared" si="0"/>
        <v>0</v>
      </c>
      <c r="AI9" s="762">
        <f t="shared" si="0"/>
        <v>0</v>
      </c>
      <c r="AJ9" s="762">
        <f t="shared" si="1"/>
        <v>0</v>
      </c>
    </row>
    <row r="10" spans="2:36">
      <c r="B10" s="723">
        <v>2024</v>
      </c>
      <c r="C10" s="723" t="s">
        <v>631</v>
      </c>
      <c r="D10" s="723" t="s">
        <v>632</v>
      </c>
      <c r="E10" s="723" t="s">
        <v>54</v>
      </c>
      <c r="F10" s="762">
        <v>0</v>
      </c>
      <c r="G10" s="762">
        <v>0</v>
      </c>
      <c r="H10" s="762">
        <v>0</v>
      </c>
      <c r="I10" s="762">
        <v>0</v>
      </c>
      <c r="J10" s="762">
        <v>0</v>
      </c>
      <c r="K10" s="762">
        <v>0</v>
      </c>
      <c r="L10" s="762">
        <v>0</v>
      </c>
      <c r="M10" s="762">
        <v>0</v>
      </c>
      <c r="N10" s="762">
        <v>0</v>
      </c>
      <c r="O10" s="762">
        <v>0</v>
      </c>
      <c r="P10" s="762">
        <v>0</v>
      </c>
      <c r="Q10" s="762">
        <v>0</v>
      </c>
      <c r="R10" s="762">
        <v>0</v>
      </c>
      <c r="S10" s="823">
        <v>0.32888999999999996</v>
      </c>
      <c r="T10" s="823">
        <v>0.4428334525017909</v>
      </c>
      <c r="U10" s="762">
        <f t="shared" si="2"/>
        <v>0</v>
      </c>
      <c r="V10" s="762">
        <f t="shared" si="3"/>
        <v>0</v>
      </c>
      <c r="W10" s="762">
        <f t="shared" si="4"/>
        <v>0</v>
      </c>
      <c r="X10" s="762">
        <f t="shared" si="5"/>
        <v>0</v>
      </c>
      <c r="Y10" s="758">
        <v>0.67</v>
      </c>
      <c r="Z10" s="762">
        <f t="shared" si="6"/>
        <v>0</v>
      </c>
      <c r="AA10" s="762">
        <f t="shared" si="7"/>
        <v>0</v>
      </c>
      <c r="AB10" s="762">
        <f t="shared" si="8"/>
        <v>0</v>
      </c>
      <c r="AC10" s="762">
        <f t="shared" si="9"/>
        <v>0</v>
      </c>
      <c r="AD10" s="762">
        <f t="shared" si="10"/>
        <v>0</v>
      </c>
      <c r="AE10" s="762">
        <f t="shared" si="11"/>
        <v>0</v>
      </c>
      <c r="AF10" s="762">
        <f t="shared" si="12"/>
        <v>1</v>
      </c>
      <c r="AG10" s="762">
        <f t="shared" si="13"/>
        <v>0</v>
      </c>
      <c r="AH10" s="762">
        <f t="shared" si="0"/>
        <v>0</v>
      </c>
      <c r="AI10" s="762">
        <f t="shared" si="0"/>
        <v>0</v>
      </c>
      <c r="AJ10" s="762">
        <f t="shared" si="1"/>
        <v>0</v>
      </c>
    </row>
    <row r="11" spans="2:36">
      <c r="B11" s="723">
        <v>2024</v>
      </c>
      <c r="C11" s="723" t="s">
        <v>1419</v>
      </c>
      <c r="D11" s="723" t="s">
        <v>802</v>
      </c>
      <c r="E11" s="723" t="s">
        <v>54</v>
      </c>
      <c r="F11" s="762">
        <v>0</v>
      </c>
      <c r="G11" s="762">
        <v>0</v>
      </c>
      <c r="H11" s="762">
        <v>0</v>
      </c>
      <c r="I11" s="762">
        <v>0</v>
      </c>
      <c r="J11" s="762">
        <v>0</v>
      </c>
      <c r="K11" s="762">
        <v>0</v>
      </c>
      <c r="L11" s="762">
        <v>0</v>
      </c>
      <c r="M11" s="762">
        <v>0</v>
      </c>
      <c r="N11" s="762">
        <v>0</v>
      </c>
      <c r="O11" s="762">
        <v>0</v>
      </c>
      <c r="P11" s="762">
        <v>0</v>
      </c>
      <c r="Q11" s="762">
        <v>0</v>
      </c>
      <c r="R11" s="762">
        <v>0</v>
      </c>
      <c r="S11" s="823">
        <v>0.32888999999999996</v>
      </c>
      <c r="T11" s="823">
        <v>0.4428334525017909</v>
      </c>
      <c r="U11" s="762">
        <f t="shared" si="2"/>
        <v>0</v>
      </c>
      <c r="V11" s="762">
        <f t="shared" si="3"/>
        <v>0</v>
      </c>
      <c r="W11" s="762">
        <f t="shared" si="4"/>
        <v>0</v>
      </c>
      <c r="X11" s="762">
        <f t="shared" si="5"/>
        <v>0</v>
      </c>
      <c r="Y11" s="758">
        <v>0.67</v>
      </c>
      <c r="Z11" s="762">
        <f t="shared" si="6"/>
        <v>0</v>
      </c>
      <c r="AA11" s="762">
        <f t="shared" si="7"/>
        <v>0</v>
      </c>
      <c r="AB11" s="762">
        <f t="shared" si="8"/>
        <v>0</v>
      </c>
      <c r="AC11" s="762">
        <f t="shared" si="9"/>
        <v>0</v>
      </c>
      <c r="AD11" s="762">
        <f t="shared" si="10"/>
        <v>0</v>
      </c>
      <c r="AE11" s="762">
        <f t="shared" si="11"/>
        <v>0</v>
      </c>
      <c r="AF11" s="762">
        <f t="shared" si="12"/>
        <v>1</v>
      </c>
      <c r="AG11" s="762">
        <f t="shared" si="13"/>
        <v>0</v>
      </c>
      <c r="AH11" s="762">
        <f t="shared" si="0"/>
        <v>0</v>
      </c>
      <c r="AI11" s="762">
        <f t="shared" si="0"/>
        <v>0</v>
      </c>
      <c r="AJ11" s="762">
        <f t="shared" si="1"/>
        <v>0</v>
      </c>
    </row>
    <row r="12" spans="2:36">
      <c r="B12" s="723">
        <v>2024</v>
      </c>
      <c r="C12" s="723" t="s">
        <v>633</v>
      </c>
      <c r="D12" s="723" t="s">
        <v>634</v>
      </c>
      <c r="E12" s="723" t="s">
        <v>54</v>
      </c>
      <c r="F12" s="762">
        <v>0</v>
      </c>
      <c r="G12" s="762">
        <v>0</v>
      </c>
      <c r="H12" s="762">
        <v>0</v>
      </c>
      <c r="I12" s="762">
        <v>0</v>
      </c>
      <c r="J12" s="762">
        <v>0</v>
      </c>
      <c r="K12" s="762">
        <v>0</v>
      </c>
      <c r="L12" s="762">
        <v>0</v>
      </c>
      <c r="M12" s="762">
        <v>0</v>
      </c>
      <c r="N12" s="762">
        <v>0</v>
      </c>
      <c r="O12" s="762">
        <v>0</v>
      </c>
      <c r="P12" s="762">
        <v>0</v>
      </c>
      <c r="Q12" s="762">
        <v>0</v>
      </c>
      <c r="R12" s="762">
        <v>0</v>
      </c>
      <c r="S12" s="823">
        <v>0.32888999999999996</v>
      </c>
      <c r="T12" s="823">
        <v>0.4428334525017909</v>
      </c>
      <c r="U12" s="762">
        <f t="shared" si="2"/>
        <v>0</v>
      </c>
      <c r="V12" s="762">
        <f t="shared" si="3"/>
        <v>0</v>
      </c>
      <c r="W12" s="762">
        <f t="shared" si="4"/>
        <v>0</v>
      </c>
      <c r="X12" s="762">
        <f t="shared" si="5"/>
        <v>0</v>
      </c>
      <c r="Y12" s="758">
        <v>0.67</v>
      </c>
      <c r="Z12" s="762">
        <f t="shared" si="6"/>
        <v>0</v>
      </c>
      <c r="AA12" s="762">
        <f t="shared" si="7"/>
        <v>0</v>
      </c>
      <c r="AB12" s="762">
        <f t="shared" si="8"/>
        <v>0</v>
      </c>
      <c r="AC12" s="762">
        <f t="shared" si="9"/>
        <v>0</v>
      </c>
      <c r="AD12" s="762">
        <f t="shared" si="10"/>
        <v>0</v>
      </c>
      <c r="AE12" s="762">
        <f t="shared" si="11"/>
        <v>0</v>
      </c>
      <c r="AF12" s="762">
        <f t="shared" si="12"/>
        <v>1</v>
      </c>
      <c r="AG12" s="762">
        <f t="shared" si="13"/>
        <v>0</v>
      </c>
      <c r="AH12" s="762">
        <f t="shared" si="0"/>
        <v>0</v>
      </c>
      <c r="AI12" s="762">
        <f t="shared" si="0"/>
        <v>0</v>
      </c>
      <c r="AJ12" s="762">
        <f t="shared" si="1"/>
        <v>0</v>
      </c>
    </row>
    <row r="13" spans="2:36">
      <c r="B13" s="723">
        <v>2024</v>
      </c>
      <c r="C13" s="723" t="s">
        <v>502</v>
      </c>
      <c r="D13" s="723" t="s">
        <v>503</v>
      </c>
      <c r="E13" s="723" t="s">
        <v>230</v>
      </c>
      <c r="F13" s="762">
        <v>69330007.684667945</v>
      </c>
      <c r="G13" s="762">
        <v>0</v>
      </c>
      <c r="H13" s="762">
        <v>801325.33630246215</v>
      </c>
      <c r="I13" s="762">
        <v>0</v>
      </c>
      <c r="J13" s="762">
        <v>773326188.32113671</v>
      </c>
      <c r="K13" s="762">
        <v>0</v>
      </c>
      <c r="L13" s="762">
        <v>8470143.37774086</v>
      </c>
      <c r="M13" s="762">
        <v>0</v>
      </c>
      <c r="N13" s="762">
        <v>41681.989499470692</v>
      </c>
      <c r="O13" s="762">
        <v>36105445.554017007</v>
      </c>
      <c r="P13" s="762">
        <v>21308583.858402167</v>
      </c>
      <c r="Q13" s="762">
        <v>0</v>
      </c>
      <c r="R13" s="762">
        <v>0</v>
      </c>
      <c r="S13" s="823">
        <v>0.32888999999999996</v>
      </c>
      <c r="T13" s="823">
        <v>0.4428334525017909</v>
      </c>
      <c r="U13" s="762">
        <f t="shared" si="2"/>
        <v>254339250.07693863</v>
      </c>
      <c r="V13" s="762">
        <f t="shared" si="3"/>
        <v>3750862.8351501659</v>
      </c>
      <c r="W13" s="762">
        <f t="shared" si="4"/>
        <v>0</v>
      </c>
      <c r="X13" s="762">
        <f t="shared" si="5"/>
        <v>0</v>
      </c>
      <c r="Y13" s="758">
        <v>0.67</v>
      </c>
      <c r="Z13" s="762">
        <f t="shared" si="6"/>
        <v>23108075.980918314</v>
      </c>
      <c r="AA13" s="762">
        <f t="shared" si="7"/>
        <v>340785.87305118312</v>
      </c>
      <c r="AB13" s="762">
        <f t="shared" si="8"/>
        <v>36105445.554017007</v>
      </c>
      <c r="AC13" s="762">
        <f>P13+X13+(1-Y13)*Q13</f>
        <v>21308583.858402167</v>
      </c>
      <c r="AD13" s="762">
        <f t="shared" si="10"/>
        <v>254367177.00990328</v>
      </c>
      <c r="AE13" s="762">
        <f t="shared" si="11"/>
        <v>3764617.8916849913</v>
      </c>
      <c r="AF13" s="762">
        <f t="shared" si="12"/>
        <v>11.006509165322175</v>
      </c>
      <c r="AG13" s="762">
        <f t="shared" si="13"/>
        <v>3280372.0972470706</v>
      </c>
      <c r="AH13" s="762">
        <f t="shared" si="0"/>
        <v>1935998.3749923527</v>
      </c>
      <c r="AI13" s="762">
        <f t="shared" si="0"/>
        <v>23110613.291571964</v>
      </c>
      <c r="AJ13" s="762">
        <f t="shared" si="1"/>
        <v>342035.59322387533</v>
      </c>
    </row>
    <row r="14" spans="2:36">
      <c r="B14" s="723">
        <v>2024</v>
      </c>
      <c r="C14" s="723" t="s">
        <v>505</v>
      </c>
      <c r="D14" s="723" t="s">
        <v>506</v>
      </c>
      <c r="E14" s="723" t="s">
        <v>230</v>
      </c>
      <c r="F14" s="762">
        <v>0</v>
      </c>
      <c r="G14" s="762">
        <v>0</v>
      </c>
      <c r="H14" s="762">
        <v>0</v>
      </c>
      <c r="I14" s="762">
        <v>0</v>
      </c>
      <c r="J14" s="762">
        <v>0</v>
      </c>
      <c r="K14" s="762">
        <v>0</v>
      </c>
      <c r="L14" s="762">
        <v>0</v>
      </c>
      <c r="M14" s="762">
        <v>0</v>
      </c>
      <c r="N14" s="762">
        <v>0</v>
      </c>
      <c r="O14" s="762">
        <v>0</v>
      </c>
      <c r="P14" s="762">
        <v>0</v>
      </c>
      <c r="Q14" s="762">
        <v>0</v>
      </c>
      <c r="R14" s="762">
        <v>0</v>
      </c>
      <c r="S14" s="823">
        <v>0.32888999999999996</v>
      </c>
      <c r="T14" s="823">
        <v>0.4428334525017909</v>
      </c>
      <c r="U14" s="762">
        <f t="shared" si="2"/>
        <v>0</v>
      </c>
      <c r="V14" s="762">
        <f t="shared" si="3"/>
        <v>0</v>
      </c>
      <c r="W14" s="762">
        <f t="shared" si="4"/>
        <v>0</v>
      </c>
      <c r="X14" s="762">
        <f t="shared" si="5"/>
        <v>0</v>
      </c>
      <c r="Y14" s="758">
        <v>0.67</v>
      </c>
      <c r="Z14" s="762">
        <f t="shared" si="6"/>
        <v>0</v>
      </c>
      <c r="AA14" s="762">
        <f t="shared" si="7"/>
        <v>0</v>
      </c>
      <c r="AB14" s="762">
        <f t="shared" si="8"/>
        <v>0</v>
      </c>
      <c r="AC14" s="762">
        <f t="shared" si="9"/>
        <v>0</v>
      </c>
      <c r="AD14" s="762">
        <f t="shared" si="10"/>
        <v>0</v>
      </c>
      <c r="AE14" s="762">
        <f t="shared" si="11"/>
        <v>0</v>
      </c>
      <c r="AF14" s="762">
        <f t="shared" si="12"/>
        <v>1</v>
      </c>
      <c r="AG14" s="762">
        <f t="shared" si="13"/>
        <v>0</v>
      </c>
      <c r="AH14" s="762">
        <f t="shared" si="0"/>
        <v>0</v>
      </c>
      <c r="AI14" s="762">
        <f t="shared" si="0"/>
        <v>0</v>
      </c>
      <c r="AJ14" s="762">
        <f t="shared" si="1"/>
        <v>0</v>
      </c>
    </row>
    <row r="15" spans="2:36">
      <c r="B15" s="723">
        <v>2024</v>
      </c>
      <c r="C15" s="723" t="s">
        <v>507</v>
      </c>
      <c r="D15" s="723" t="s">
        <v>508</v>
      </c>
      <c r="E15" s="723" t="s">
        <v>230</v>
      </c>
      <c r="F15" s="762">
        <v>115278883.22997721</v>
      </c>
      <c r="G15" s="762">
        <v>0</v>
      </c>
      <c r="H15" s="762">
        <v>1529478.5228331853</v>
      </c>
      <c r="I15" s="762">
        <v>0</v>
      </c>
      <c r="J15" s="762">
        <v>1780368778.2116334</v>
      </c>
      <c r="K15" s="762">
        <v>0</v>
      </c>
      <c r="L15" s="762">
        <v>25348569.048163157</v>
      </c>
      <c r="M15" s="762">
        <v>0</v>
      </c>
      <c r="N15" s="762">
        <v>182252.01754742031</v>
      </c>
      <c r="O15" s="762">
        <v>80129613.124162361</v>
      </c>
      <c r="P15" s="762">
        <v>59984027.572370343</v>
      </c>
      <c r="Q15" s="762">
        <v>0</v>
      </c>
      <c r="R15" s="762">
        <v>0</v>
      </c>
      <c r="S15" s="823">
        <v>0.32888999999999996</v>
      </c>
      <c r="T15" s="823">
        <v>0.4428334525017909</v>
      </c>
      <c r="U15" s="762">
        <f t="shared" si="2"/>
        <v>585545487.46602404</v>
      </c>
      <c r="V15" s="762">
        <f t="shared" si="3"/>
        <v>11225194.347578127</v>
      </c>
      <c r="W15" s="762">
        <f t="shared" si="4"/>
        <v>0</v>
      </c>
      <c r="X15" s="762">
        <f t="shared" si="5"/>
        <v>0</v>
      </c>
      <c r="Y15" s="758">
        <v>0.67</v>
      </c>
      <c r="Z15" s="762">
        <f t="shared" si="6"/>
        <v>37153569.306425743</v>
      </c>
      <c r="AA15" s="762">
        <f t="shared" si="7"/>
        <v>712252.15649030497</v>
      </c>
      <c r="AB15" s="762">
        <f t="shared" si="8"/>
        <v>80129613.124162361</v>
      </c>
      <c r="AC15" s="762">
        <f t="shared" si="9"/>
        <v>59984027.572370343</v>
      </c>
      <c r="AD15" s="762">
        <f t="shared" si="10"/>
        <v>585667596.31778085</v>
      </c>
      <c r="AE15" s="762">
        <f t="shared" si="11"/>
        <v>11285337.513368776</v>
      </c>
      <c r="AF15" s="762">
        <f t="shared" si="12"/>
        <v>15.760140906966734</v>
      </c>
      <c r="AG15" s="762">
        <f t="shared" si="13"/>
        <v>5084320.8571023149</v>
      </c>
      <c r="AH15" s="762">
        <f t="shared" si="0"/>
        <v>3806059.0908711064</v>
      </c>
      <c r="AI15" s="762">
        <f t="shared" si="0"/>
        <v>37161317.260741487</v>
      </c>
      <c r="AJ15" s="762">
        <f t="shared" si="1"/>
        <v>716068.31309357891</v>
      </c>
    </row>
    <row r="16" spans="2:36">
      <c r="B16" s="723">
        <v>2024</v>
      </c>
      <c r="C16" s="723" t="s">
        <v>510</v>
      </c>
      <c r="D16" s="723" t="s">
        <v>511</v>
      </c>
      <c r="E16" s="723" t="s">
        <v>230</v>
      </c>
      <c r="F16" s="762">
        <v>0</v>
      </c>
      <c r="G16" s="762">
        <v>0</v>
      </c>
      <c r="H16" s="762">
        <v>0</v>
      </c>
      <c r="I16" s="762">
        <v>0</v>
      </c>
      <c r="J16" s="762">
        <v>0</v>
      </c>
      <c r="K16" s="762">
        <v>0</v>
      </c>
      <c r="L16" s="762">
        <v>0</v>
      </c>
      <c r="M16" s="762">
        <v>0</v>
      </c>
      <c r="N16" s="762">
        <v>0</v>
      </c>
      <c r="O16" s="762">
        <v>0</v>
      </c>
      <c r="P16" s="762">
        <v>0</v>
      </c>
      <c r="Q16" s="762">
        <v>0</v>
      </c>
      <c r="R16" s="762">
        <v>0</v>
      </c>
      <c r="S16" s="823">
        <v>0.32888999999999996</v>
      </c>
      <c r="T16" s="823">
        <v>0.4428334525017909</v>
      </c>
      <c r="U16" s="762">
        <f t="shared" si="2"/>
        <v>0</v>
      </c>
      <c r="V16" s="762">
        <f t="shared" si="3"/>
        <v>0</v>
      </c>
      <c r="W16" s="762">
        <f t="shared" si="4"/>
        <v>0</v>
      </c>
      <c r="X16" s="762">
        <f t="shared" si="5"/>
        <v>0</v>
      </c>
      <c r="Y16" s="758">
        <v>0.67</v>
      </c>
      <c r="Z16" s="762">
        <f t="shared" si="6"/>
        <v>0</v>
      </c>
      <c r="AA16" s="762">
        <f t="shared" si="7"/>
        <v>0</v>
      </c>
      <c r="AB16" s="762">
        <f t="shared" si="8"/>
        <v>0</v>
      </c>
      <c r="AC16" s="762">
        <f t="shared" si="9"/>
        <v>0</v>
      </c>
      <c r="AD16" s="762">
        <f t="shared" si="10"/>
        <v>0</v>
      </c>
      <c r="AE16" s="762">
        <f t="shared" si="11"/>
        <v>0</v>
      </c>
      <c r="AF16" s="762">
        <f t="shared" si="12"/>
        <v>1</v>
      </c>
      <c r="AG16" s="762">
        <f t="shared" si="13"/>
        <v>0</v>
      </c>
      <c r="AH16" s="762">
        <f t="shared" si="0"/>
        <v>0</v>
      </c>
      <c r="AI16" s="762">
        <f t="shared" si="0"/>
        <v>0</v>
      </c>
      <c r="AJ16" s="762">
        <f t="shared" si="1"/>
        <v>0</v>
      </c>
    </row>
    <row r="17" spans="2:36">
      <c r="B17" s="723">
        <v>2024</v>
      </c>
      <c r="C17" s="723" t="s">
        <v>497</v>
      </c>
      <c r="D17" s="723" t="s">
        <v>498</v>
      </c>
      <c r="E17" s="723" t="s">
        <v>230</v>
      </c>
      <c r="F17" s="762">
        <v>66024817.679682218</v>
      </c>
      <c r="G17" s="762">
        <v>0</v>
      </c>
      <c r="H17" s="762">
        <v>206956.40301504126</v>
      </c>
      <c r="I17" s="762">
        <v>0</v>
      </c>
      <c r="J17" s="762">
        <v>817727478.69821596</v>
      </c>
      <c r="K17" s="762">
        <v>0</v>
      </c>
      <c r="L17" s="762">
        <v>3288484.1415162738</v>
      </c>
      <c r="M17" s="762">
        <v>0</v>
      </c>
      <c r="N17" s="762">
        <v>13899.098932445679</v>
      </c>
      <c r="O17" s="762">
        <v>37225138.98067984</v>
      </c>
      <c r="P17" s="762">
        <v>8170455.2935337704</v>
      </c>
      <c r="Q17" s="762">
        <v>0</v>
      </c>
      <c r="R17" s="762">
        <v>0</v>
      </c>
      <c r="S17" s="823">
        <v>0.32888999999999996</v>
      </c>
      <c r="T17" s="823">
        <v>0.4428334525017909</v>
      </c>
      <c r="U17" s="762">
        <f t="shared" si="2"/>
        <v>268942390.46905619</v>
      </c>
      <c r="V17" s="762">
        <f t="shared" si="3"/>
        <v>1456250.7858850395</v>
      </c>
      <c r="W17" s="762">
        <f t="shared" si="4"/>
        <v>0</v>
      </c>
      <c r="X17" s="762">
        <f t="shared" si="5"/>
        <v>0</v>
      </c>
      <c r="Y17" s="758">
        <v>0.67</v>
      </c>
      <c r="Z17" s="762">
        <f t="shared" si="6"/>
        <v>21210056.278326023</v>
      </c>
      <c r="AA17" s="762">
        <f t="shared" si="7"/>
        <v>114846.75610307697</v>
      </c>
      <c r="AB17" s="762">
        <f t="shared" si="8"/>
        <v>37225138.98067984</v>
      </c>
      <c r="AC17" s="762">
        <f t="shared" si="9"/>
        <v>8170455.2935337704</v>
      </c>
      <c r="AD17" s="762">
        <f t="shared" si="10"/>
        <v>268951702.86534095</v>
      </c>
      <c r="AE17" s="762">
        <f t="shared" si="11"/>
        <v>1460837.4885327464</v>
      </c>
      <c r="AF17" s="762">
        <f t="shared" si="12"/>
        <v>12.679947046811048</v>
      </c>
      <c r="AG17" s="762">
        <f t="shared" si="13"/>
        <v>2935748.7727081482</v>
      </c>
      <c r="AH17" s="762">
        <f t="shared" si="0"/>
        <v>644360.36391718255</v>
      </c>
      <c r="AI17" s="762">
        <f t="shared" si="0"/>
        <v>21210790.697503831</v>
      </c>
      <c r="AJ17" s="762">
        <f t="shared" si="1"/>
        <v>115208.48495184693</v>
      </c>
    </row>
    <row r="18" spans="2:36">
      <c r="B18" s="723">
        <v>2024</v>
      </c>
      <c r="C18" s="723" t="s">
        <v>500</v>
      </c>
      <c r="D18" s="723" t="s">
        <v>501</v>
      </c>
      <c r="E18" s="723" t="s">
        <v>230</v>
      </c>
      <c r="F18" s="762">
        <v>0</v>
      </c>
      <c r="G18" s="762">
        <v>0</v>
      </c>
      <c r="H18" s="762">
        <v>0</v>
      </c>
      <c r="I18" s="762">
        <v>0</v>
      </c>
      <c r="J18" s="762">
        <v>0</v>
      </c>
      <c r="K18" s="762">
        <v>0</v>
      </c>
      <c r="L18" s="762">
        <v>0</v>
      </c>
      <c r="M18" s="762">
        <v>0</v>
      </c>
      <c r="N18" s="762">
        <v>0</v>
      </c>
      <c r="O18" s="762">
        <v>0</v>
      </c>
      <c r="P18" s="762">
        <v>0</v>
      </c>
      <c r="Q18" s="762">
        <v>0</v>
      </c>
      <c r="R18" s="762">
        <v>0</v>
      </c>
      <c r="S18" s="823">
        <v>0.32888999999999996</v>
      </c>
      <c r="T18" s="823">
        <v>0.4428334525017909</v>
      </c>
      <c r="U18" s="762">
        <f t="shared" si="2"/>
        <v>0</v>
      </c>
      <c r="V18" s="762">
        <f t="shared" si="3"/>
        <v>0</v>
      </c>
      <c r="W18" s="762">
        <f t="shared" si="4"/>
        <v>0</v>
      </c>
      <c r="X18" s="762">
        <f t="shared" si="5"/>
        <v>0</v>
      </c>
      <c r="Y18" s="758">
        <v>0.67</v>
      </c>
      <c r="Z18" s="762">
        <f t="shared" si="6"/>
        <v>0</v>
      </c>
      <c r="AA18" s="762">
        <f t="shared" si="7"/>
        <v>0</v>
      </c>
      <c r="AB18" s="762">
        <f t="shared" si="8"/>
        <v>0</v>
      </c>
      <c r="AC18" s="762">
        <f t="shared" si="9"/>
        <v>0</v>
      </c>
      <c r="AD18" s="762">
        <f t="shared" si="10"/>
        <v>0</v>
      </c>
      <c r="AE18" s="762">
        <f t="shared" si="11"/>
        <v>0</v>
      </c>
      <c r="AF18" s="762">
        <f t="shared" si="12"/>
        <v>1</v>
      </c>
      <c r="AG18" s="762">
        <f t="shared" si="13"/>
        <v>0</v>
      </c>
      <c r="AH18" s="762">
        <f t="shared" si="0"/>
        <v>0</v>
      </c>
      <c r="AI18" s="762">
        <f t="shared" si="0"/>
        <v>0</v>
      </c>
      <c r="AJ18" s="762">
        <f t="shared" si="1"/>
        <v>0</v>
      </c>
    </row>
    <row r="19" spans="2:36">
      <c r="B19" s="723">
        <v>2024</v>
      </c>
      <c r="C19" s="723" t="s">
        <v>512</v>
      </c>
      <c r="D19" s="723" t="s">
        <v>513</v>
      </c>
      <c r="E19" s="723" t="s">
        <v>230</v>
      </c>
      <c r="F19" s="762">
        <v>0</v>
      </c>
      <c r="G19" s="762">
        <v>0</v>
      </c>
      <c r="H19" s="762">
        <v>0</v>
      </c>
      <c r="I19" s="762">
        <v>0</v>
      </c>
      <c r="J19" s="762">
        <v>0</v>
      </c>
      <c r="K19" s="762">
        <v>0</v>
      </c>
      <c r="L19" s="762">
        <v>0</v>
      </c>
      <c r="M19" s="762">
        <v>0</v>
      </c>
      <c r="N19" s="762">
        <v>0</v>
      </c>
      <c r="O19" s="762">
        <v>0</v>
      </c>
      <c r="P19" s="762">
        <v>0</v>
      </c>
      <c r="Q19" s="762">
        <v>0</v>
      </c>
      <c r="R19" s="762">
        <v>0</v>
      </c>
      <c r="S19" s="823">
        <v>0.32888999999999996</v>
      </c>
      <c r="T19" s="823">
        <v>0.4428334525017909</v>
      </c>
      <c r="U19" s="762">
        <f t="shared" si="2"/>
        <v>0</v>
      </c>
      <c r="V19" s="762">
        <f t="shared" si="3"/>
        <v>0</v>
      </c>
      <c r="W19" s="762">
        <f t="shared" si="4"/>
        <v>0</v>
      </c>
      <c r="X19" s="762">
        <f t="shared" si="5"/>
        <v>0</v>
      </c>
      <c r="Y19" s="758">
        <v>0.67</v>
      </c>
      <c r="Z19" s="762">
        <f t="shared" si="6"/>
        <v>0</v>
      </c>
      <c r="AA19" s="762">
        <f t="shared" si="7"/>
        <v>0</v>
      </c>
      <c r="AB19" s="762">
        <f t="shared" si="8"/>
        <v>0</v>
      </c>
      <c r="AC19" s="762">
        <f t="shared" si="9"/>
        <v>0</v>
      </c>
      <c r="AD19" s="762">
        <f t="shared" si="10"/>
        <v>0</v>
      </c>
      <c r="AE19" s="762">
        <f t="shared" si="11"/>
        <v>0</v>
      </c>
      <c r="AF19" s="762">
        <f t="shared" si="12"/>
        <v>1</v>
      </c>
      <c r="AG19" s="762">
        <f t="shared" si="13"/>
        <v>0</v>
      </c>
      <c r="AH19" s="762">
        <f t="shared" si="0"/>
        <v>0</v>
      </c>
      <c r="AI19" s="762">
        <f t="shared" si="0"/>
        <v>0</v>
      </c>
      <c r="AJ19" s="762">
        <f t="shared" si="1"/>
        <v>0</v>
      </c>
    </row>
    <row r="20" spans="2:36">
      <c r="B20" s="723">
        <v>2024</v>
      </c>
      <c r="C20" s="723" t="s">
        <v>516</v>
      </c>
      <c r="D20" s="723" t="s">
        <v>517</v>
      </c>
      <c r="E20" s="723" t="s">
        <v>230</v>
      </c>
      <c r="F20" s="762">
        <v>0</v>
      </c>
      <c r="G20" s="762">
        <v>0</v>
      </c>
      <c r="H20" s="762">
        <v>0</v>
      </c>
      <c r="I20" s="762">
        <v>0</v>
      </c>
      <c r="J20" s="762">
        <v>0</v>
      </c>
      <c r="K20" s="762">
        <v>0</v>
      </c>
      <c r="L20" s="762">
        <v>0</v>
      </c>
      <c r="M20" s="762">
        <v>0</v>
      </c>
      <c r="N20" s="762">
        <v>0</v>
      </c>
      <c r="O20" s="762">
        <v>0</v>
      </c>
      <c r="P20" s="762">
        <v>0</v>
      </c>
      <c r="Q20" s="762">
        <v>0</v>
      </c>
      <c r="R20" s="762">
        <v>0</v>
      </c>
      <c r="S20" s="823">
        <v>0.32888999999999996</v>
      </c>
      <c r="T20" s="823">
        <v>0.4428334525017909</v>
      </c>
      <c r="U20" s="762">
        <f t="shared" si="2"/>
        <v>0</v>
      </c>
      <c r="V20" s="762">
        <f t="shared" si="3"/>
        <v>0</v>
      </c>
      <c r="W20" s="762">
        <f t="shared" si="4"/>
        <v>0</v>
      </c>
      <c r="X20" s="762">
        <f t="shared" si="5"/>
        <v>0</v>
      </c>
      <c r="Y20" s="758">
        <v>0.67</v>
      </c>
      <c r="Z20" s="762">
        <f t="shared" si="6"/>
        <v>0</v>
      </c>
      <c r="AA20" s="762">
        <f t="shared" si="7"/>
        <v>0</v>
      </c>
      <c r="AB20" s="762">
        <f t="shared" si="8"/>
        <v>0</v>
      </c>
      <c r="AC20" s="762">
        <f t="shared" si="9"/>
        <v>0</v>
      </c>
      <c r="AD20" s="762">
        <f t="shared" si="10"/>
        <v>0</v>
      </c>
      <c r="AE20" s="762">
        <f t="shared" si="11"/>
        <v>0</v>
      </c>
      <c r="AF20" s="762">
        <f t="shared" si="12"/>
        <v>1</v>
      </c>
      <c r="AG20" s="762">
        <f t="shared" si="13"/>
        <v>0</v>
      </c>
      <c r="AH20" s="762">
        <f t="shared" si="0"/>
        <v>0</v>
      </c>
      <c r="AI20" s="762">
        <f t="shared" si="0"/>
        <v>0</v>
      </c>
      <c r="AJ20" s="762">
        <f t="shared" si="1"/>
        <v>0</v>
      </c>
    </row>
    <row r="21" spans="2:36">
      <c r="B21" s="723">
        <v>2024</v>
      </c>
      <c r="C21" s="723" t="s">
        <v>556</v>
      </c>
      <c r="D21" s="723" t="s">
        <v>557</v>
      </c>
      <c r="E21" s="723" t="s">
        <v>230</v>
      </c>
      <c r="F21" s="762">
        <v>0</v>
      </c>
      <c r="G21" s="762">
        <v>0</v>
      </c>
      <c r="H21" s="762">
        <v>0</v>
      </c>
      <c r="I21" s="762">
        <v>0</v>
      </c>
      <c r="J21" s="762">
        <v>0</v>
      </c>
      <c r="K21" s="762">
        <v>0</v>
      </c>
      <c r="L21" s="762">
        <v>0</v>
      </c>
      <c r="M21" s="762">
        <v>0</v>
      </c>
      <c r="N21" s="762">
        <v>0</v>
      </c>
      <c r="O21" s="762">
        <v>0</v>
      </c>
      <c r="P21" s="762">
        <v>0</v>
      </c>
      <c r="Q21" s="762">
        <v>0</v>
      </c>
      <c r="R21" s="762">
        <v>0</v>
      </c>
      <c r="S21" s="823">
        <v>0.32888999999999996</v>
      </c>
      <c r="T21" s="823">
        <v>0.4428334525017909</v>
      </c>
      <c r="U21" s="762">
        <f t="shared" si="2"/>
        <v>0</v>
      </c>
      <c r="V21" s="762">
        <f t="shared" si="3"/>
        <v>0</v>
      </c>
      <c r="W21" s="762">
        <f t="shared" si="4"/>
        <v>0</v>
      </c>
      <c r="X21" s="762">
        <f t="shared" si="5"/>
        <v>0</v>
      </c>
      <c r="Y21" s="758">
        <v>0.67</v>
      </c>
      <c r="Z21" s="762">
        <f t="shared" si="6"/>
        <v>0</v>
      </c>
      <c r="AA21" s="762">
        <f t="shared" si="7"/>
        <v>0</v>
      </c>
      <c r="AB21" s="762">
        <f t="shared" si="8"/>
        <v>0</v>
      </c>
      <c r="AC21" s="762">
        <f t="shared" si="9"/>
        <v>0</v>
      </c>
      <c r="AD21" s="762">
        <f t="shared" si="10"/>
        <v>0</v>
      </c>
      <c r="AE21" s="762">
        <f t="shared" si="11"/>
        <v>0</v>
      </c>
      <c r="AF21" s="762">
        <f t="shared" si="12"/>
        <v>1</v>
      </c>
      <c r="AG21" s="762">
        <f t="shared" si="13"/>
        <v>0</v>
      </c>
      <c r="AH21" s="762">
        <f t="shared" si="0"/>
        <v>0</v>
      </c>
      <c r="AI21" s="762">
        <f t="shared" si="0"/>
        <v>0</v>
      </c>
      <c r="AJ21" s="762">
        <f t="shared" si="1"/>
        <v>0</v>
      </c>
    </row>
    <row r="22" spans="2:36">
      <c r="B22" s="723">
        <v>2024</v>
      </c>
      <c r="C22" s="723" t="s">
        <v>559</v>
      </c>
      <c r="D22" s="723" t="s">
        <v>560</v>
      </c>
      <c r="E22" s="723" t="s">
        <v>230</v>
      </c>
      <c r="F22" s="762">
        <v>0</v>
      </c>
      <c r="G22" s="762">
        <v>0</v>
      </c>
      <c r="H22" s="762">
        <v>0</v>
      </c>
      <c r="I22" s="762">
        <v>0</v>
      </c>
      <c r="J22" s="762">
        <v>0</v>
      </c>
      <c r="K22" s="762">
        <v>0</v>
      </c>
      <c r="L22" s="762">
        <v>0</v>
      </c>
      <c r="M22" s="762">
        <v>0</v>
      </c>
      <c r="N22" s="762">
        <v>0</v>
      </c>
      <c r="O22" s="762">
        <v>0</v>
      </c>
      <c r="P22" s="762">
        <v>0</v>
      </c>
      <c r="Q22" s="762">
        <v>0</v>
      </c>
      <c r="R22" s="762">
        <v>0</v>
      </c>
      <c r="S22" s="823">
        <v>0.32888999999999996</v>
      </c>
      <c r="T22" s="823">
        <v>0.4428334525017909</v>
      </c>
      <c r="U22" s="762">
        <f t="shared" si="2"/>
        <v>0</v>
      </c>
      <c r="V22" s="762">
        <f t="shared" si="3"/>
        <v>0</v>
      </c>
      <c r="W22" s="762">
        <f t="shared" si="4"/>
        <v>0</v>
      </c>
      <c r="X22" s="762">
        <f t="shared" si="5"/>
        <v>0</v>
      </c>
      <c r="Y22" s="758">
        <v>0.67</v>
      </c>
      <c r="Z22" s="762">
        <f t="shared" si="6"/>
        <v>0</v>
      </c>
      <c r="AA22" s="762">
        <f t="shared" si="7"/>
        <v>0</v>
      </c>
      <c r="AB22" s="762">
        <f t="shared" si="8"/>
        <v>0</v>
      </c>
      <c r="AC22" s="762">
        <f t="shared" si="9"/>
        <v>0</v>
      </c>
      <c r="AD22" s="762">
        <f t="shared" si="10"/>
        <v>0</v>
      </c>
      <c r="AE22" s="762">
        <f t="shared" si="11"/>
        <v>0</v>
      </c>
      <c r="AF22" s="762">
        <f t="shared" si="12"/>
        <v>1</v>
      </c>
      <c r="AG22" s="762">
        <f t="shared" si="13"/>
        <v>0</v>
      </c>
      <c r="AH22" s="762">
        <f t="shared" si="0"/>
        <v>0</v>
      </c>
      <c r="AI22" s="762">
        <f t="shared" si="0"/>
        <v>0</v>
      </c>
      <c r="AJ22" s="762">
        <f t="shared" si="1"/>
        <v>0</v>
      </c>
    </row>
    <row r="23" spans="2:36">
      <c r="B23" s="723">
        <v>2024</v>
      </c>
      <c r="C23" s="723" t="s">
        <v>534</v>
      </c>
      <c r="D23" s="723" t="s">
        <v>535</v>
      </c>
      <c r="E23" s="723" t="s">
        <v>27</v>
      </c>
      <c r="F23" s="762">
        <v>602365.53022099845</v>
      </c>
      <c r="G23" s="762">
        <v>0</v>
      </c>
      <c r="H23" s="762">
        <v>229332.8522627881</v>
      </c>
      <c r="I23" s="762">
        <v>0</v>
      </c>
      <c r="J23" s="762">
        <v>7109731.2497120071</v>
      </c>
      <c r="K23" s="762">
        <v>0</v>
      </c>
      <c r="L23" s="762">
        <v>2588976.5008535557</v>
      </c>
      <c r="M23" s="762">
        <v>0</v>
      </c>
      <c r="N23" s="762">
        <v>15670.870990668167</v>
      </c>
      <c r="O23" s="762">
        <v>578182.32411362149</v>
      </c>
      <c r="P23" s="762">
        <v>3057981.4182561561</v>
      </c>
      <c r="Q23" s="762">
        <v>0</v>
      </c>
      <c r="R23" s="762">
        <v>14099.740169908258</v>
      </c>
      <c r="S23" s="823">
        <v>0.34503333333333325</v>
      </c>
      <c r="T23" s="823">
        <v>0.70556354610838379</v>
      </c>
      <c r="U23" s="762">
        <f t="shared" si="2"/>
        <v>2453094.2721922989</v>
      </c>
      <c r="V23" s="762">
        <f t="shared" si="3"/>
        <v>1826687.4407335098</v>
      </c>
      <c r="W23" s="762">
        <f t="shared" si="4"/>
        <v>0</v>
      </c>
      <c r="X23" s="762">
        <f t="shared" si="5"/>
        <v>0</v>
      </c>
      <c r="Y23" s="758">
        <v>0.67</v>
      </c>
      <c r="Z23" s="762">
        <f t="shared" si="6"/>
        <v>216485.6628309323</v>
      </c>
      <c r="AA23" s="762">
        <f t="shared" si="7"/>
        <v>161205.2361276451</v>
      </c>
      <c r="AB23" s="762">
        <f t="shared" si="8"/>
        <v>592282.06428352976</v>
      </c>
      <c r="AC23" s="762">
        <f t="shared" si="9"/>
        <v>3057981.4182561561</v>
      </c>
      <c r="AD23" s="762">
        <f t="shared" si="10"/>
        <v>2463593.7557560466</v>
      </c>
      <c r="AE23" s="762">
        <f t="shared" si="11"/>
        <v>1831858.8281604303</v>
      </c>
      <c r="AF23" s="762">
        <f t="shared" si="12"/>
        <v>11.331439875111172</v>
      </c>
      <c r="AG23" s="762">
        <f t="shared" si="13"/>
        <v>52268.914702044334</v>
      </c>
      <c r="AH23" s="762">
        <f t="shared" si="0"/>
        <v>269866.97647955833</v>
      </c>
      <c r="AI23" s="762">
        <f t="shared" si="0"/>
        <v>217412.2426548088</v>
      </c>
      <c r="AJ23" s="762">
        <f t="shared" si="1"/>
        <v>161661.6112647783</v>
      </c>
    </row>
    <row r="24" spans="2:36">
      <c r="B24" s="723">
        <v>2024</v>
      </c>
      <c r="C24" s="723" t="s">
        <v>537</v>
      </c>
      <c r="D24" s="723" t="s">
        <v>538</v>
      </c>
      <c r="E24" s="723" t="s">
        <v>27</v>
      </c>
      <c r="F24" s="762">
        <v>0</v>
      </c>
      <c r="G24" s="762">
        <v>0</v>
      </c>
      <c r="H24" s="762">
        <v>0</v>
      </c>
      <c r="I24" s="762">
        <v>0</v>
      </c>
      <c r="J24" s="762">
        <v>0</v>
      </c>
      <c r="K24" s="762">
        <v>0</v>
      </c>
      <c r="L24" s="762">
        <v>0</v>
      </c>
      <c r="M24" s="762">
        <v>0</v>
      </c>
      <c r="N24" s="762">
        <v>0</v>
      </c>
      <c r="O24" s="762">
        <v>0</v>
      </c>
      <c r="P24" s="762">
        <v>0</v>
      </c>
      <c r="Q24" s="762">
        <v>0</v>
      </c>
      <c r="R24" s="762">
        <v>0</v>
      </c>
      <c r="S24" s="823">
        <v>0.34503333333333325</v>
      </c>
      <c r="T24" s="823">
        <v>0.70556354610838379</v>
      </c>
      <c r="U24" s="762">
        <f t="shared" si="2"/>
        <v>0</v>
      </c>
      <c r="V24" s="762">
        <f t="shared" si="3"/>
        <v>0</v>
      </c>
      <c r="W24" s="762">
        <f t="shared" si="4"/>
        <v>0</v>
      </c>
      <c r="X24" s="762">
        <f t="shared" si="5"/>
        <v>0</v>
      </c>
      <c r="Y24" s="758">
        <v>0.67</v>
      </c>
      <c r="Z24" s="762">
        <f t="shared" si="6"/>
        <v>0</v>
      </c>
      <c r="AA24" s="762">
        <f t="shared" si="7"/>
        <v>0</v>
      </c>
      <c r="AB24" s="762">
        <f t="shared" si="8"/>
        <v>0</v>
      </c>
      <c r="AC24" s="762">
        <f t="shared" si="9"/>
        <v>0</v>
      </c>
      <c r="AD24" s="762">
        <f t="shared" si="10"/>
        <v>0</v>
      </c>
      <c r="AE24" s="762">
        <f t="shared" si="11"/>
        <v>0</v>
      </c>
      <c r="AF24" s="762">
        <f t="shared" si="12"/>
        <v>1</v>
      </c>
      <c r="AG24" s="762">
        <f t="shared" si="13"/>
        <v>0</v>
      </c>
      <c r="AH24" s="762">
        <f t="shared" si="13"/>
        <v>0</v>
      </c>
      <c r="AI24" s="762">
        <f t="shared" si="13"/>
        <v>0</v>
      </c>
      <c r="AJ24" s="762">
        <f t="shared" si="1"/>
        <v>0</v>
      </c>
    </row>
    <row r="25" spans="2:36">
      <c r="B25" s="723">
        <v>2024</v>
      </c>
      <c r="C25" s="723" t="s">
        <v>639</v>
      </c>
      <c r="D25" s="723" t="s">
        <v>640</v>
      </c>
      <c r="E25" s="723" t="s">
        <v>18</v>
      </c>
      <c r="F25" s="762">
        <v>0</v>
      </c>
      <c r="G25" s="762">
        <v>0</v>
      </c>
      <c r="H25" s="762">
        <v>0</v>
      </c>
      <c r="I25" s="762">
        <v>0</v>
      </c>
      <c r="J25" s="762">
        <v>0</v>
      </c>
      <c r="K25" s="762">
        <v>0</v>
      </c>
      <c r="L25" s="762">
        <v>0</v>
      </c>
      <c r="M25" s="762">
        <v>0</v>
      </c>
      <c r="N25" s="762">
        <v>0</v>
      </c>
      <c r="O25" s="762">
        <v>0</v>
      </c>
      <c r="P25" s="762">
        <v>0</v>
      </c>
      <c r="Q25" s="762">
        <v>0</v>
      </c>
      <c r="R25" s="762">
        <v>0</v>
      </c>
      <c r="S25" s="823">
        <v>0.34383333333333327</v>
      </c>
      <c r="T25" s="823">
        <v>0.56358896834016425</v>
      </c>
      <c r="U25" s="762">
        <f t="shared" si="2"/>
        <v>0</v>
      </c>
      <c r="V25" s="762">
        <f t="shared" si="3"/>
        <v>0</v>
      </c>
      <c r="W25" s="762">
        <f t="shared" si="4"/>
        <v>0</v>
      </c>
      <c r="X25" s="762">
        <f t="shared" si="5"/>
        <v>0</v>
      </c>
      <c r="Y25" s="758">
        <v>0.67</v>
      </c>
      <c r="Z25" s="762">
        <f t="shared" si="6"/>
        <v>0</v>
      </c>
      <c r="AA25" s="762">
        <f t="shared" si="7"/>
        <v>0</v>
      </c>
      <c r="AB25" s="762">
        <f t="shared" si="8"/>
        <v>0</v>
      </c>
      <c r="AC25" s="762">
        <f t="shared" si="9"/>
        <v>0</v>
      </c>
      <c r="AD25" s="762">
        <f t="shared" si="10"/>
        <v>0</v>
      </c>
      <c r="AE25" s="762">
        <f t="shared" si="11"/>
        <v>0</v>
      </c>
      <c r="AF25" s="762">
        <f t="shared" si="12"/>
        <v>1</v>
      </c>
      <c r="AG25" s="762">
        <f t="shared" si="13"/>
        <v>0</v>
      </c>
      <c r="AH25" s="762">
        <f t="shared" si="13"/>
        <v>0</v>
      </c>
      <c r="AI25" s="762">
        <f t="shared" si="13"/>
        <v>0</v>
      </c>
      <c r="AJ25" s="762">
        <f t="shared" si="1"/>
        <v>0</v>
      </c>
    </row>
    <row r="26" spans="2:36">
      <c r="B26" s="723">
        <v>2024</v>
      </c>
      <c r="C26" s="723" t="s">
        <v>550</v>
      </c>
      <c r="D26" s="723" t="s">
        <v>551</v>
      </c>
      <c r="E26" s="723" t="s">
        <v>18</v>
      </c>
      <c r="F26" s="762">
        <v>0</v>
      </c>
      <c r="G26" s="762">
        <v>0</v>
      </c>
      <c r="H26" s="762">
        <v>0</v>
      </c>
      <c r="I26" s="762">
        <v>0</v>
      </c>
      <c r="J26" s="762">
        <v>0</v>
      </c>
      <c r="K26" s="762">
        <v>0</v>
      </c>
      <c r="L26" s="762">
        <v>0</v>
      </c>
      <c r="M26" s="762">
        <v>0</v>
      </c>
      <c r="N26" s="762">
        <v>0</v>
      </c>
      <c r="O26" s="762">
        <v>0</v>
      </c>
      <c r="P26" s="762">
        <v>0</v>
      </c>
      <c r="Q26" s="762">
        <v>0</v>
      </c>
      <c r="R26" s="762">
        <v>0</v>
      </c>
      <c r="S26" s="823">
        <v>0.34383333333333327</v>
      </c>
      <c r="T26" s="823">
        <v>0.56358896834016425</v>
      </c>
      <c r="U26" s="762">
        <f t="shared" si="2"/>
        <v>0</v>
      </c>
      <c r="V26" s="762">
        <f t="shared" si="3"/>
        <v>0</v>
      </c>
      <c r="W26" s="762">
        <f t="shared" si="4"/>
        <v>0</v>
      </c>
      <c r="X26" s="762">
        <f t="shared" si="5"/>
        <v>0</v>
      </c>
      <c r="Y26" s="758">
        <v>0.67</v>
      </c>
      <c r="Z26" s="762">
        <f t="shared" si="6"/>
        <v>0</v>
      </c>
      <c r="AA26" s="762">
        <f t="shared" si="7"/>
        <v>0</v>
      </c>
      <c r="AB26" s="762">
        <f t="shared" si="8"/>
        <v>0</v>
      </c>
      <c r="AC26" s="762">
        <f t="shared" si="9"/>
        <v>0</v>
      </c>
      <c r="AD26" s="762">
        <f t="shared" si="10"/>
        <v>0</v>
      </c>
      <c r="AE26" s="762">
        <f t="shared" si="11"/>
        <v>0</v>
      </c>
      <c r="AF26" s="762">
        <f t="shared" si="12"/>
        <v>1</v>
      </c>
      <c r="AG26" s="762">
        <f t="shared" si="13"/>
        <v>0</v>
      </c>
      <c r="AH26" s="762">
        <f t="shared" si="13"/>
        <v>0</v>
      </c>
      <c r="AI26" s="762">
        <f t="shared" si="13"/>
        <v>0</v>
      </c>
      <c r="AJ26" s="762">
        <f t="shared" si="1"/>
        <v>0</v>
      </c>
    </row>
    <row r="27" spans="2:36">
      <c r="B27" s="723">
        <v>2024</v>
      </c>
      <c r="C27" s="723" t="s">
        <v>554</v>
      </c>
      <c r="D27" s="723" t="s">
        <v>555</v>
      </c>
      <c r="E27" s="723" t="s">
        <v>18</v>
      </c>
      <c r="F27" s="762">
        <v>0</v>
      </c>
      <c r="G27" s="762">
        <v>0</v>
      </c>
      <c r="H27" s="762">
        <v>0</v>
      </c>
      <c r="I27" s="762">
        <v>0</v>
      </c>
      <c r="J27" s="762">
        <v>0</v>
      </c>
      <c r="K27" s="762">
        <v>0</v>
      </c>
      <c r="L27" s="762">
        <v>0</v>
      </c>
      <c r="M27" s="762">
        <v>0</v>
      </c>
      <c r="N27" s="762">
        <v>0</v>
      </c>
      <c r="O27" s="762">
        <v>0</v>
      </c>
      <c r="P27" s="762">
        <v>0</v>
      </c>
      <c r="Q27" s="762">
        <v>0</v>
      </c>
      <c r="R27" s="762">
        <v>0</v>
      </c>
      <c r="S27" s="823">
        <v>0.34383333333333327</v>
      </c>
      <c r="T27" s="823">
        <v>0.56358896834016425</v>
      </c>
      <c r="U27" s="762">
        <f t="shared" si="2"/>
        <v>0</v>
      </c>
      <c r="V27" s="762">
        <f t="shared" si="3"/>
        <v>0</v>
      </c>
      <c r="W27" s="762">
        <f t="shared" si="4"/>
        <v>0</v>
      </c>
      <c r="X27" s="762">
        <f t="shared" si="5"/>
        <v>0</v>
      </c>
      <c r="Y27" s="758">
        <v>0.67</v>
      </c>
      <c r="Z27" s="762">
        <f t="shared" si="6"/>
        <v>0</v>
      </c>
      <c r="AA27" s="762">
        <f t="shared" si="7"/>
        <v>0</v>
      </c>
      <c r="AB27" s="762">
        <f t="shared" si="8"/>
        <v>0</v>
      </c>
      <c r="AC27" s="762">
        <f t="shared" si="9"/>
        <v>0</v>
      </c>
      <c r="AD27" s="762">
        <f t="shared" si="10"/>
        <v>0</v>
      </c>
      <c r="AE27" s="762">
        <f t="shared" si="11"/>
        <v>0</v>
      </c>
      <c r="AF27" s="762">
        <f t="shared" si="12"/>
        <v>1</v>
      </c>
      <c r="AG27" s="762">
        <f t="shared" si="13"/>
        <v>0</v>
      </c>
      <c r="AH27" s="762">
        <f t="shared" si="13"/>
        <v>0</v>
      </c>
      <c r="AI27" s="762">
        <f t="shared" si="13"/>
        <v>0</v>
      </c>
      <c r="AJ27" s="762">
        <f t="shared" si="1"/>
        <v>0</v>
      </c>
    </row>
    <row r="28" spans="2:36">
      <c r="B28" s="723">
        <v>2024</v>
      </c>
      <c r="C28" s="723" t="s">
        <v>1420</v>
      </c>
      <c r="D28" s="723" t="s">
        <v>1421</v>
      </c>
      <c r="E28" s="723" t="s">
        <v>27</v>
      </c>
      <c r="F28" s="762">
        <v>192055.59605050061</v>
      </c>
      <c r="G28" s="762">
        <v>527.26878749999992</v>
      </c>
      <c r="H28" s="762">
        <v>13076.689010549893</v>
      </c>
      <c r="I28" s="762">
        <v>0</v>
      </c>
      <c r="J28" s="762">
        <v>2926333.1561100106</v>
      </c>
      <c r="K28" s="762">
        <v>7909.0318125000003</v>
      </c>
      <c r="L28" s="762">
        <v>241709.22485324604</v>
      </c>
      <c r="M28" s="762">
        <v>0</v>
      </c>
      <c r="N28" s="762">
        <v>3443.3311247527358</v>
      </c>
      <c r="O28" s="762">
        <v>227322.20304195143</v>
      </c>
      <c r="P28" s="762">
        <v>235571.72910456406</v>
      </c>
      <c r="Q28" s="762">
        <v>0</v>
      </c>
      <c r="R28" s="762">
        <v>0</v>
      </c>
      <c r="S28" s="823">
        <v>0.34503333333333325</v>
      </c>
      <c r="T28" s="823">
        <v>0.70556354610838379</v>
      </c>
      <c r="U28" s="762">
        <f t="shared" si="2"/>
        <v>1009682.4832964904</v>
      </c>
      <c r="V28" s="762">
        <f t="shared" si="3"/>
        <v>170541.21781456497</v>
      </c>
      <c r="W28" s="762">
        <f t="shared" si="4"/>
        <v>2728.8796097062495</v>
      </c>
      <c r="X28" s="762">
        <f t="shared" si="5"/>
        <v>0</v>
      </c>
      <c r="Y28" s="758">
        <v>0.67</v>
      </c>
      <c r="Z28" s="762">
        <f t="shared" si="6"/>
        <v>57871.53202560934</v>
      </c>
      <c r="AA28" s="762">
        <f t="shared" si="7"/>
        <v>9801.3270048457416</v>
      </c>
      <c r="AB28" s="762">
        <f t="shared" si="8"/>
        <v>230051.08265165769</v>
      </c>
      <c r="AC28" s="762">
        <f t="shared" si="9"/>
        <v>235571.72910456406</v>
      </c>
      <c r="AD28" s="762">
        <f t="shared" si="10"/>
        <v>1011989.5151500747</v>
      </c>
      <c r="AE28" s="762">
        <f t="shared" si="11"/>
        <v>171677.51708573336</v>
      </c>
      <c r="AF28" s="762">
        <f t="shared" si="12"/>
        <v>17.399808998337672</v>
      </c>
      <c r="AG28" s="762">
        <f t="shared" si="13"/>
        <v>13221.471722685928</v>
      </c>
      <c r="AH28" s="762">
        <f t="shared" si="13"/>
        <v>13538.753737300789</v>
      </c>
      <c r="AI28" s="762">
        <f t="shared" si="13"/>
        <v>58160.955401680403</v>
      </c>
      <c r="AJ28" s="762">
        <f t="shared" si="1"/>
        <v>9866.6322775229855</v>
      </c>
    </row>
    <row r="29" spans="2:36">
      <c r="B29" s="723">
        <v>2024</v>
      </c>
      <c r="C29" s="723" t="s">
        <v>1422</v>
      </c>
      <c r="D29" s="723" t="s">
        <v>1423</v>
      </c>
      <c r="E29" s="723" t="s">
        <v>27</v>
      </c>
      <c r="F29" s="762">
        <v>0</v>
      </c>
      <c r="G29" s="762">
        <v>0</v>
      </c>
      <c r="H29" s="762">
        <v>0</v>
      </c>
      <c r="I29" s="762">
        <v>0</v>
      </c>
      <c r="J29" s="762">
        <v>0</v>
      </c>
      <c r="K29" s="762">
        <v>0</v>
      </c>
      <c r="L29" s="762">
        <v>0</v>
      </c>
      <c r="M29" s="762">
        <v>0</v>
      </c>
      <c r="N29" s="762">
        <v>0</v>
      </c>
      <c r="O29" s="762">
        <v>0</v>
      </c>
      <c r="P29" s="762">
        <v>0</v>
      </c>
      <c r="Q29" s="762">
        <v>0</v>
      </c>
      <c r="R29" s="762">
        <v>0</v>
      </c>
      <c r="S29" s="823">
        <v>0.34503333333333325</v>
      </c>
      <c r="T29" s="823">
        <v>0.70556354610838379</v>
      </c>
      <c r="U29" s="762">
        <f t="shared" si="2"/>
        <v>0</v>
      </c>
      <c r="V29" s="762">
        <f t="shared" si="3"/>
        <v>0</v>
      </c>
      <c r="W29" s="762">
        <f t="shared" si="4"/>
        <v>0</v>
      </c>
      <c r="X29" s="762">
        <f t="shared" si="5"/>
        <v>0</v>
      </c>
      <c r="Y29" s="758">
        <v>0.67</v>
      </c>
      <c r="Z29" s="762">
        <f t="shared" si="6"/>
        <v>0</v>
      </c>
      <c r="AA29" s="762">
        <f t="shared" si="7"/>
        <v>0</v>
      </c>
      <c r="AB29" s="762">
        <f t="shared" si="8"/>
        <v>0</v>
      </c>
      <c r="AC29" s="762">
        <f t="shared" si="9"/>
        <v>0</v>
      </c>
      <c r="AD29" s="762">
        <f t="shared" si="10"/>
        <v>0</v>
      </c>
      <c r="AE29" s="762">
        <f t="shared" si="11"/>
        <v>0</v>
      </c>
      <c r="AF29" s="762">
        <f t="shared" si="12"/>
        <v>1</v>
      </c>
      <c r="AG29" s="762">
        <f t="shared" si="13"/>
        <v>0</v>
      </c>
      <c r="AH29" s="762">
        <f t="shared" si="13"/>
        <v>0</v>
      </c>
      <c r="AI29" s="762">
        <f t="shared" si="13"/>
        <v>0</v>
      </c>
      <c r="AJ29" s="762">
        <f t="shared" si="1"/>
        <v>0</v>
      </c>
    </row>
    <row r="30" spans="2:36">
      <c r="B30" s="723">
        <v>2024</v>
      </c>
      <c r="C30" s="723" t="s">
        <v>1424</v>
      </c>
      <c r="D30" s="723" t="s">
        <v>1425</v>
      </c>
      <c r="E30" s="723" t="s">
        <v>27</v>
      </c>
      <c r="F30" s="762">
        <v>0</v>
      </c>
      <c r="G30" s="762">
        <v>0</v>
      </c>
      <c r="H30" s="762">
        <v>0</v>
      </c>
      <c r="I30" s="762">
        <v>0</v>
      </c>
      <c r="J30" s="762">
        <v>0</v>
      </c>
      <c r="K30" s="762">
        <v>0</v>
      </c>
      <c r="L30" s="762">
        <v>0</v>
      </c>
      <c r="M30" s="762">
        <v>0</v>
      </c>
      <c r="N30" s="762">
        <v>0</v>
      </c>
      <c r="O30" s="762">
        <v>0</v>
      </c>
      <c r="P30" s="762">
        <v>0</v>
      </c>
      <c r="Q30" s="762">
        <v>0</v>
      </c>
      <c r="R30" s="762">
        <v>0</v>
      </c>
      <c r="S30" s="823">
        <v>0.34503333333333325</v>
      </c>
      <c r="T30" s="823">
        <v>0.70556354610838379</v>
      </c>
      <c r="U30" s="762">
        <f t="shared" si="2"/>
        <v>0</v>
      </c>
      <c r="V30" s="762">
        <f t="shared" si="3"/>
        <v>0</v>
      </c>
      <c r="W30" s="762">
        <f t="shared" si="4"/>
        <v>0</v>
      </c>
      <c r="X30" s="762">
        <f t="shared" si="5"/>
        <v>0</v>
      </c>
      <c r="Y30" s="758">
        <v>0.67</v>
      </c>
      <c r="Z30" s="762">
        <f t="shared" si="6"/>
        <v>0</v>
      </c>
      <c r="AA30" s="762">
        <f t="shared" si="7"/>
        <v>0</v>
      </c>
      <c r="AB30" s="762">
        <f t="shared" si="8"/>
        <v>0</v>
      </c>
      <c r="AC30" s="762">
        <f t="shared" si="9"/>
        <v>0</v>
      </c>
      <c r="AD30" s="762">
        <f t="shared" si="10"/>
        <v>0</v>
      </c>
      <c r="AE30" s="762">
        <f t="shared" si="11"/>
        <v>0</v>
      </c>
      <c r="AF30" s="762">
        <f t="shared" si="12"/>
        <v>1</v>
      </c>
      <c r="AG30" s="762">
        <f t="shared" si="13"/>
        <v>0</v>
      </c>
      <c r="AH30" s="762">
        <f t="shared" si="13"/>
        <v>0</v>
      </c>
      <c r="AI30" s="762">
        <f t="shared" si="13"/>
        <v>0</v>
      </c>
      <c r="AJ30" s="762">
        <f t="shared" si="1"/>
        <v>0</v>
      </c>
    </row>
    <row r="31" spans="2:36">
      <c r="B31" s="723">
        <v>2024</v>
      </c>
      <c r="C31" s="723" t="s">
        <v>1426</v>
      </c>
      <c r="D31" s="723" t="s">
        <v>1427</v>
      </c>
      <c r="E31" s="723" t="s">
        <v>18</v>
      </c>
      <c r="F31" s="762">
        <v>17069.23763999957</v>
      </c>
      <c r="G31" s="762">
        <v>266187.22193699836</v>
      </c>
      <c r="H31" s="762">
        <v>1591.3930032001881</v>
      </c>
      <c r="I31" s="762">
        <v>0</v>
      </c>
      <c r="J31" s="762">
        <v>341384.75280000875</v>
      </c>
      <c r="K31" s="762">
        <v>3992808.3290550541</v>
      </c>
      <c r="L31" s="762">
        <v>31827.860064002685</v>
      </c>
      <c r="M31" s="762">
        <v>0</v>
      </c>
      <c r="N31" s="762">
        <v>5882.4569178113989</v>
      </c>
      <c r="O31" s="762">
        <v>34614.843314748257</v>
      </c>
      <c r="P31" s="762">
        <v>979093.35144929332</v>
      </c>
      <c r="Q31" s="762">
        <v>0</v>
      </c>
      <c r="R31" s="762">
        <v>0</v>
      </c>
      <c r="S31" s="823">
        <v>0.34383333333333327</v>
      </c>
      <c r="T31" s="823">
        <v>0.56358896834016425</v>
      </c>
      <c r="U31" s="762">
        <f t="shared" si="2"/>
        <v>117379.45750440299</v>
      </c>
      <c r="V31" s="762">
        <f t="shared" si="3"/>
        <v>17937.830817946389</v>
      </c>
      <c r="W31" s="762">
        <f t="shared" si="4"/>
        <v>1372860.5971400959</v>
      </c>
      <c r="X31" s="762">
        <f t="shared" si="5"/>
        <v>0</v>
      </c>
      <c r="Y31" s="758">
        <v>0.67</v>
      </c>
      <c r="Z31" s="762">
        <f t="shared" si="6"/>
        <v>-62774.056981785332</v>
      </c>
      <c r="AA31" s="762">
        <f t="shared" si="7"/>
        <v>896.89154089732938</v>
      </c>
      <c r="AB31" s="762">
        <f t="shared" si="8"/>
        <v>1407475.4404548442</v>
      </c>
      <c r="AC31" s="762">
        <f t="shared" si="9"/>
        <v>979093.35144929332</v>
      </c>
      <c r="AD31" s="762">
        <f t="shared" si="10"/>
        <v>121320.70363933663</v>
      </c>
      <c r="AE31" s="762">
        <f t="shared" si="11"/>
        <v>19879.041600824152</v>
      </c>
      <c r="AF31" s="762">
        <f t="shared" si="12"/>
        <v>19.99999999999978</v>
      </c>
      <c r="AG31" s="762">
        <f t="shared" si="13"/>
        <v>70373.772022742982</v>
      </c>
      <c r="AH31" s="762">
        <f t="shared" si="13"/>
        <v>48954.667572465209</v>
      </c>
      <c r="AI31" s="762">
        <f t="shared" si="13"/>
        <v>6066.0351819668986</v>
      </c>
      <c r="AJ31" s="762">
        <f t="shared" si="1"/>
        <v>993.95208004121855</v>
      </c>
    </row>
    <row r="32" spans="2:36">
      <c r="B32" s="723">
        <v>2024</v>
      </c>
      <c r="C32" s="723" t="s">
        <v>1428</v>
      </c>
      <c r="D32" s="723" t="s">
        <v>1429</v>
      </c>
      <c r="E32" s="723" t="s">
        <v>18</v>
      </c>
      <c r="F32" s="762">
        <v>0</v>
      </c>
      <c r="G32" s="762">
        <v>0</v>
      </c>
      <c r="H32" s="762">
        <v>0</v>
      </c>
      <c r="I32" s="762">
        <v>0</v>
      </c>
      <c r="J32" s="762">
        <v>0</v>
      </c>
      <c r="K32" s="762">
        <v>0</v>
      </c>
      <c r="L32" s="762">
        <v>0</v>
      </c>
      <c r="M32" s="762">
        <v>0</v>
      </c>
      <c r="N32" s="762">
        <v>0</v>
      </c>
      <c r="O32" s="762">
        <v>0</v>
      </c>
      <c r="P32" s="762">
        <v>0</v>
      </c>
      <c r="Q32" s="762">
        <v>0</v>
      </c>
      <c r="R32" s="762">
        <v>0</v>
      </c>
      <c r="S32" s="823">
        <v>0.34383333333333327</v>
      </c>
      <c r="T32" s="823">
        <v>0.56358896834016425</v>
      </c>
      <c r="U32" s="762">
        <f t="shared" si="2"/>
        <v>0</v>
      </c>
      <c r="V32" s="762">
        <f t="shared" si="3"/>
        <v>0</v>
      </c>
      <c r="W32" s="762">
        <f t="shared" si="4"/>
        <v>0</v>
      </c>
      <c r="X32" s="762">
        <f t="shared" si="5"/>
        <v>0</v>
      </c>
      <c r="Y32" s="758">
        <v>0.67</v>
      </c>
      <c r="Z32" s="762">
        <f t="shared" si="6"/>
        <v>0</v>
      </c>
      <c r="AA32" s="762">
        <f t="shared" si="7"/>
        <v>0</v>
      </c>
      <c r="AB32" s="762">
        <f t="shared" si="8"/>
        <v>0</v>
      </c>
      <c r="AC32" s="762">
        <f t="shared" si="9"/>
        <v>0</v>
      </c>
      <c r="AD32" s="762">
        <f t="shared" si="10"/>
        <v>0</v>
      </c>
      <c r="AE32" s="762">
        <f t="shared" si="11"/>
        <v>0</v>
      </c>
      <c r="AF32" s="762">
        <f t="shared" si="12"/>
        <v>1</v>
      </c>
      <c r="AG32" s="762">
        <f t="shared" si="13"/>
        <v>0</v>
      </c>
      <c r="AH32" s="762">
        <f t="shared" si="13"/>
        <v>0</v>
      </c>
      <c r="AI32" s="762">
        <f t="shared" si="13"/>
        <v>0</v>
      </c>
      <c r="AJ32" s="762">
        <f t="shared" si="1"/>
        <v>0</v>
      </c>
    </row>
    <row r="33" spans="2:36">
      <c r="B33" s="723">
        <v>2024</v>
      </c>
      <c r="C33" s="723" t="s">
        <v>524</v>
      </c>
      <c r="D33" s="723" t="s">
        <v>525</v>
      </c>
      <c r="E33" s="723" t="s">
        <v>45</v>
      </c>
      <c r="F33" s="762">
        <v>116283.16645855</v>
      </c>
      <c r="G33" s="762">
        <v>0</v>
      </c>
      <c r="H33" s="762">
        <v>64923.921783599995</v>
      </c>
      <c r="I33" s="762">
        <v>0</v>
      </c>
      <c r="J33" s="762">
        <v>581415.83229275013</v>
      </c>
      <c r="K33" s="762">
        <v>0</v>
      </c>
      <c r="L33" s="762">
        <v>324619.60891800001</v>
      </c>
      <c r="M33" s="762">
        <v>0</v>
      </c>
      <c r="N33" s="762">
        <v>37.890565639558716</v>
      </c>
      <c r="O33" s="762">
        <v>44022.740034791386</v>
      </c>
      <c r="P33" s="762">
        <v>348943.79676471156</v>
      </c>
      <c r="Q33" s="762">
        <v>0</v>
      </c>
      <c r="R33" s="762">
        <v>23.3342696738457</v>
      </c>
      <c r="S33" s="823">
        <v>0.32019166666666671</v>
      </c>
      <c r="T33" s="823">
        <v>5.9347843056824626E-2</v>
      </c>
      <c r="U33" s="762">
        <f t="shared" si="2"/>
        <v>186164.50436820285</v>
      </c>
      <c r="V33" s="762">
        <f t="shared" si="3"/>
        <v>19265.473603233251</v>
      </c>
      <c r="W33" s="762">
        <f t="shared" si="4"/>
        <v>0</v>
      </c>
      <c r="X33" s="762">
        <f t="shared" si="5"/>
        <v>0</v>
      </c>
      <c r="Y33" s="758">
        <v>0.67</v>
      </c>
      <c r="Z33" s="762">
        <f t="shared" si="6"/>
        <v>37232.900873640559</v>
      </c>
      <c r="AA33" s="762">
        <f t="shared" si="7"/>
        <v>3853.0947206466494</v>
      </c>
      <c r="AB33" s="762">
        <f t="shared" si="8"/>
        <v>44046.074304465234</v>
      </c>
      <c r="AC33" s="762">
        <f t="shared" si="9"/>
        <v>348943.79676471156</v>
      </c>
      <c r="AD33" s="762">
        <f t="shared" si="10"/>
        <v>186189.89104718136</v>
      </c>
      <c r="AE33" s="762">
        <f t="shared" si="11"/>
        <v>19277.977489894307</v>
      </c>
      <c r="AF33" s="762">
        <f t="shared" si="12"/>
        <v>5.0000000000000009</v>
      </c>
      <c r="AG33" s="762">
        <f t="shared" si="13"/>
        <v>8809.2148608930456</v>
      </c>
      <c r="AH33" s="762">
        <f t="shared" si="13"/>
        <v>69788.759352942303</v>
      </c>
      <c r="AI33" s="762">
        <f t="shared" si="13"/>
        <v>37237.978209436267</v>
      </c>
      <c r="AJ33" s="762">
        <f t="shared" si="1"/>
        <v>3855.5954979788607</v>
      </c>
    </row>
    <row r="34" spans="2:36">
      <c r="B34" s="723">
        <v>2024</v>
      </c>
      <c r="C34" s="723" t="s">
        <v>527</v>
      </c>
      <c r="D34" s="723" t="s">
        <v>528</v>
      </c>
      <c r="E34" s="723" t="s">
        <v>45</v>
      </c>
      <c r="F34" s="762">
        <v>0</v>
      </c>
      <c r="G34" s="762">
        <v>0</v>
      </c>
      <c r="H34" s="762">
        <v>0</v>
      </c>
      <c r="I34" s="762">
        <v>0</v>
      </c>
      <c r="J34" s="762">
        <v>0</v>
      </c>
      <c r="K34" s="762">
        <v>0</v>
      </c>
      <c r="L34" s="762">
        <v>0</v>
      </c>
      <c r="M34" s="762">
        <v>0</v>
      </c>
      <c r="N34" s="762">
        <v>0</v>
      </c>
      <c r="O34" s="762">
        <v>0</v>
      </c>
      <c r="P34" s="762">
        <v>0</v>
      </c>
      <c r="Q34" s="762">
        <v>0</v>
      </c>
      <c r="R34" s="762">
        <v>0</v>
      </c>
      <c r="S34" s="823">
        <v>0.32019166666666671</v>
      </c>
      <c r="T34" s="823">
        <v>5.9347843056824626E-2</v>
      </c>
      <c r="U34" s="762">
        <f t="shared" si="2"/>
        <v>0</v>
      </c>
      <c r="V34" s="762">
        <f t="shared" si="3"/>
        <v>0</v>
      </c>
      <c r="W34" s="762">
        <f t="shared" si="4"/>
        <v>0</v>
      </c>
      <c r="X34" s="762">
        <f t="shared" si="5"/>
        <v>0</v>
      </c>
      <c r="Y34" s="758">
        <v>0.67</v>
      </c>
      <c r="Z34" s="762">
        <f t="shared" si="6"/>
        <v>0</v>
      </c>
      <c r="AA34" s="762">
        <f t="shared" si="7"/>
        <v>0</v>
      </c>
      <c r="AB34" s="762">
        <f t="shared" si="8"/>
        <v>0</v>
      </c>
      <c r="AC34" s="762">
        <f t="shared" si="9"/>
        <v>0</v>
      </c>
      <c r="AD34" s="762">
        <f t="shared" si="10"/>
        <v>0</v>
      </c>
      <c r="AE34" s="762">
        <f t="shared" si="11"/>
        <v>0</v>
      </c>
      <c r="AF34" s="762">
        <f t="shared" si="12"/>
        <v>1</v>
      </c>
      <c r="AG34" s="762">
        <f t="shared" si="13"/>
        <v>0</v>
      </c>
      <c r="AH34" s="762">
        <f t="shared" si="13"/>
        <v>0</v>
      </c>
      <c r="AI34" s="762">
        <f t="shared" si="13"/>
        <v>0</v>
      </c>
      <c r="AJ34" s="762">
        <f t="shared" si="1"/>
        <v>0</v>
      </c>
    </row>
    <row r="35" spans="2:36">
      <c r="B35" s="723">
        <v>2024</v>
      </c>
      <c r="C35" s="723" t="s">
        <v>518</v>
      </c>
      <c r="D35" s="723" t="s">
        <v>519</v>
      </c>
      <c r="E35" s="723" t="s">
        <v>45</v>
      </c>
      <c r="F35" s="762">
        <v>170380.23874535301</v>
      </c>
      <c r="G35" s="762">
        <v>0</v>
      </c>
      <c r="H35" s="762">
        <v>6381.79200375852</v>
      </c>
      <c r="I35" s="762">
        <v>0</v>
      </c>
      <c r="J35" s="762">
        <v>1687909.7381262789</v>
      </c>
      <c r="K35" s="762">
        <v>0</v>
      </c>
      <c r="L35" s="762">
        <v>24582.742852237276</v>
      </c>
      <c r="M35" s="762">
        <v>0</v>
      </c>
      <c r="N35" s="762">
        <v>9.9946925989099658</v>
      </c>
      <c r="O35" s="762">
        <v>96619.23447154944</v>
      </c>
      <c r="P35" s="762">
        <v>26456.699268857599</v>
      </c>
      <c r="Q35" s="762">
        <v>0</v>
      </c>
      <c r="R35" s="762">
        <v>0</v>
      </c>
      <c r="S35" s="823">
        <v>0.32019166666666671</v>
      </c>
      <c r="T35" s="823">
        <v>5.9347843056824626E-2</v>
      </c>
      <c r="U35" s="762">
        <f t="shared" si="2"/>
        <v>540454.63223355019</v>
      </c>
      <c r="V35" s="762">
        <f t="shared" si="3"/>
        <v>1458.9327647008552</v>
      </c>
      <c r="W35" s="762">
        <f t="shared" si="4"/>
        <v>0</v>
      </c>
      <c r="X35" s="762">
        <f t="shared" si="5"/>
        <v>0</v>
      </c>
      <c r="Y35" s="758">
        <v>0.67</v>
      </c>
      <c r="Z35" s="762">
        <f t="shared" si="6"/>
        <v>80201.793745116142</v>
      </c>
      <c r="AA35" s="762">
        <f t="shared" si="7"/>
        <v>216.50110426283879</v>
      </c>
      <c r="AB35" s="762">
        <f t="shared" si="8"/>
        <v>96619.23447154944</v>
      </c>
      <c r="AC35" s="762">
        <f t="shared" si="9"/>
        <v>26456.699268857599</v>
      </c>
      <c r="AD35" s="762">
        <f t="shared" si="10"/>
        <v>540461.3286775914</v>
      </c>
      <c r="AE35" s="762">
        <f t="shared" si="11"/>
        <v>1462.2310132584955</v>
      </c>
      <c r="AF35" s="762">
        <f t="shared" si="12"/>
        <v>6.7386850966342751</v>
      </c>
      <c r="AG35" s="762">
        <f t="shared" si="13"/>
        <v>14337.995185411941</v>
      </c>
      <c r="AH35" s="762">
        <f t="shared" si="13"/>
        <v>3926.0922404686553</v>
      </c>
      <c r="AI35" s="762">
        <f t="shared" si="13"/>
        <v>80202.787476674333</v>
      </c>
      <c r="AJ35" s="762">
        <f t="shared" si="1"/>
        <v>216.99055413478604</v>
      </c>
    </row>
    <row r="36" spans="2:36">
      <c r="B36" s="723">
        <v>2024</v>
      </c>
      <c r="C36" s="723" t="s">
        <v>522</v>
      </c>
      <c r="D36" s="723" t="s">
        <v>523</v>
      </c>
      <c r="E36" s="723" t="s">
        <v>45</v>
      </c>
      <c r="F36" s="762">
        <v>0</v>
      </c>
      <c r="G36" s="762">
        <v>0</v>
      </c>
      <c r="H36" s="762">
        <v>0</v>
      </c>
      <c r="I36" s="762">
        <v>0</v>
      </c>
      <c r="J36" s="762">
        <v>0</v>
      </c>
      <c r="K36" s="762">
        <v>0</v>
      </c>
      <c r="L36" s="762">
        <v>0</v>
      </c>
      <c r="M36" s="762">
        <v>0</v>
      </c>
      <c r="N36" s="762">
        <v>0</v>
      </c>
      <c r="O36" s="762">
        <v>0</v>
      </c>
      <c r="P36" s="762">
        <v>0</v>
      </c>
      <c r="Q36" s="762">
        <v>0</v>
      </c>
      <c r="R36" s="762">
        <v>0</v>
      </c>
      <c r="S36" s="823">
        <v>0.32019166666666671</v>
      </c>
      <c r="T36" s="823">
        <v>5.9347843056824626E-2</v>
      </c>
      <c r="U36" s="762">
        <f t="shared" si="2"/>
        <v>0</v>
      </c>
      <c r="V36" s="762">
        <f t="shared" si="3"/>
        <v>0</v>
      </c>
      <c r="W36" s="762">
        <f t="shared" si="4"/>
        <v>0</v>
      </c>
      <c r="X36" s="762">
        <f t="shared" si="5"/>
        <v>0</v>
      </c>
      <c r="Y36" s="758">
        <v>0.67</v>
      </c>
      <c r="Z36" s="762">
        <f t="shared" si="6"/>
        <v>0</v>
      </c>
      <c r="AA36" s="762">
        <f t="shared" si="7"/>
        <v>0</v>
      </c>
      <c r="AB36" s="762">
        <f t="shared" si="8"/>
        <v>0</v>
      </c>
      <c r="AC36" s="762">
        <f t="shared" si="9"/>
        <v>0</v>
      </c>
      <c r="AD36" s="762">
        <f t="shared" si="10"/>
        <v>0</v>
      </c>
      <c r="AE36" s="762">
        <f t="shared" si="11"/>
        <v>0</v>
      </c>
      <c r="AF36" s="762">
        <f t="shared" si="12"/>
        <v>1</v>
      </c>
      <c r="AG36" s="762">
        <f t="shared" si="13"/>
        <v>0</v>
      </c>
      <c r="AH36" s="762">
        <f t="shared" si="13"/>
        <v>0</v>
      </c>
      <c r="AI36" s="762">
        <f t="shared" si="13"/>
        <v>0</v>
      </c>
      <c r="AJ36" s="762">
        <f t="shared" si="1"/>
        <v>0</v>
      </c>
    </row>
    <row r="37" spans="2:36">
      <c r="B37" s="723">
        <v>2024</v>
      </c>
      <c r="C37" s="723" t="s">
        <v>529</v>
      </c>
      <c r="D37" s="723" t="s">
        <v>530</v>
      </c>
      <c r="E37" s="723" t="s">
        <v>27</v>
      </c>
      <c r="F37" s="762">
        <v>-17920.081687600134</v>
      </c>
      <c r="G37" s="762">
        <v>128476.53000000007</v>
      </c>
      <c r="H37" s="762">
        <v>550068.72880344547</v>
      </c>
      <c r="I37" s="762">
        <v>0</v>
      </c>
      <c r="J37" s="762">
        <v>-452474.92048668559</v>
      </c>
      <c r="K37" s="762">
        <v>1284765.3000000007</v>
      </c>
      <c r="L37" s="762">
        <v>10400953.286994604</v>
      </c>
      <c r="M37" s="762">
        <v>0</v>
      </c>
      <c r="N37" s="762">
        <v>27379.473564615764</v>
      </c>
      <c r="O37" s="762">
        <v>-30164.537624183493</v>
      </c>
      <c r="P37" s="762">
        <v>11855896.920909164</v>
      </c>
      <c r="Q37" s="762">
        <v>0</v>
      </c>
      <c r="R37" s="762">
        <v>0</v>
      </c>
      <c r="S37" s="823">
        <v>0.34503333333333325</v>
      </c>
      <c r="T37" s="823">
        <v>0.70556354610838379</v>
      </c>
      <c r="U37" s="762">
        <f t="shared" si="2"/>
        <v>-156118.93006525605</v>
      </c>
      <c r="V37" s="762">
        <f t="shared" si="3"/>
        <v>7338533.4840795631</v>
      </c>
      <c r="W37" s="762">
        <f t="shared" si="4"/>
        <v>443286.85401000013</v>
      </c>
      <c r="X37" s="762">
        <f t="shared" si="5"/>
        <v>0</v>
      </c>
      <c r="Y37" s="758">
        <v>0.67</v>
      </c>
      <c r="Z37" s="762">
        <f t="shared" si="6"/>
        <v>-31712.237723449885</v>
      </c>
      <c r="AA37" s="762">
        <f t="shared" si="7"/>
        <v>388253.37454436306</v>
      </c>
      <c r="AB37" s="762">
        <f t="shared" si="8"/>
        <v>413122.31638581661</v>
      </c>
      <c r="AC37" s="762">
        <f t="shared" si="9"/>
        <v>11855896.920909164</v>
      </c>
      <c r="AD37" s="762">
        <f t="shared" si="10"/>
        <v>-137774.68277696348</v>
      </c>
      <c r="AE37" s="762">
        <f t="shared" si="11"/>
        <v>7347568.7103558863</v>
      </c>
      <c r="AF37" s="762">
        <f t="shared" si="12"/>
        <v>18.901402963185422</v>
      </c>
      <c r="AG37" s="762">
        <f t="shared" si="13"/>
        <v>21856.701176651375</v>
      </c>
      <c r="AH37" s="762">
        <f t="shared" si="13"/>
        <v>627249.57210854092</v>
      </c>
      <c r="AI37" s="762">
        <f t="shared" si="13"/>
        <v>-7289.1246774278889</v>
      </c>
      <c r="AJ37" s="762">
        <f t="shared" si="1"/>
        <v>388731.39336095151</v>
      </c>
    </row>
    <row r="38" spans="2:36">
      <c r="B38" s="723">
        <v>2024</v>
      </c>
      <c r="C38" s="723" t="s">
        <v>532</v>
      </c>
      <c r="D38" s="723" t="s">
        <v>533</v>
      </c>
      <c r="E38" s="723" t="s">
        <v>27</v>
      </c>
      <c r="F38" s="762">
        <v>0</v>
      </c>
      <c r="G38" s="762">
        <v>0</v>
      </c>
      <c r="H38" s="762">
        <v>0</v>
      </c>
      <c r="I38" s="762">
        <v>0</v>
      </c>
      <c r="J38" s="762">
        <v>0</v>
      </c>
      <c r="K38" s="762">
        <v>0</v>
      </c>
      <c r="L38" s="762">
        <v>0</v>
      </c>
      <c r="M38" s="762">
        <v>0</v>
      </c>
      <c r="N38" s="762">
        <v>0</v>
      </c>
      <c r="O38" s="762">
        <v>0</v>
      </c>
      <c r="P38" s="762">
        <v>0</v>
      </c>
      <c r="Q38" s="762">
        <v>0</v>
      </c>
      <c r="R38" s="762">
        <v>0</v>
      </c>
      <c r="S38" s="823">
        <v>0.34503333333333325</v>
      </c>
      <c r="T38" s="823">
        <v>0.70556354610838379</v>
      </c>
      <c r="U38" s="762">
        <f t="shared" si="2"/>
        <v>0</v>
      </c>
      <c r="V38" s="762">
        <f t="shared" si="3"/>
        <v>0</v>
      </c>
      <c r="W38" s="762">
        <f t="shared" si="4"/>
        <v>0</v>
      </c>
      <c r="X38" s="762">
        <f t="shared" si="5"/>
        <v>0</v>
      </c>
      <c r="Y38" s="758">
        <v>0.67</v>
      </c>
      <c r="Z38" s="762">
        <f t="shared" si="6"/>
        <v>0</v>
      </c>
      <c r="AA38" s="762">
        <f t="shared" si="7"/>
        <v>0</v>
      </c>
      <c r="AB38" s="762">
        <f t="shared" si="8"/>
        <v>0</v>
      </c>
      <c r="AC38" s="762">
        <f t="shared" si="9"/>
        <v>0</v>
      </c>
      <c r="AD38" s="762">
        <f t="shared" si="10"/>
        <v>0</v>
      </c>
      <c r="AE38" s="762">
        <f t="shared" si="11"/>
        <v>0</v>
      </c>
      <c r="AF38" s="762">
        <f t="shared" si="12"/>
        <v>1</v>
      </c>
      <c r="AG38" s="762">
        <f t="shared" si="13"/>
        <v>0</v>
      </c>
      <c r="AH38" s="762">
        <f t="shared" si="13"/>
        <v>0</v>
      </c>
      <c r="AI38" s="762">
        <f t="shared" si="13"/>
        <v>0</v>
      </c>
      <c r="AJ38" s="762">
        <f t="shared" si="1"/>
        <v>0</v>
      </c>
    </row>
    <row r="39" spans="2:36">
      <c r="B39" s="723">
        <v>2024</v>
      </c>
      <c r="C39" s="723" t="s">
        <v>561</v>
      </c>
      <c r="D39" s="723" t="s">
        <v>562</v>
      </c>
      <c r="E39" s="723" t="s">
        <v>39</v>
      </c>
      <c r="F39" s="762">
        <v>0</v>
      </c>
      <c r="G39" s="762">
        <v>0</v>
      </c>
      <c r="H39" s="762">
        <v>0</v>
      </c>
      <c r="I39" s="762">
        <v>0</v>
      </c>
      <c r="J39" s="762">
        <v>0</v>
      </c>
      <c r="K39" s="762">
        <v>0</v>
      </c>
      <c r="L39" s="762">
        <v>0</v>
      </c>
      <c r="M39" s="762">
        <v>0</v>
      </c>
      <c r="N39" s="762">
        <v>0</v>
      </c>
      <c r="O39" s="762">
        <v>0</v>
      </c>
      <c r="P39" s="762">
        <v>0</v>
      </c>
      <c r="Q39" s="762">
        <v>0</v>
      </c>
      <c r="R39" s="762">
        <v>0</v>
      </c>
      <c r="S39" s="823">
        <v>0.24953166666666668</v>
      </c>
      <c r="T39" s="823">
        <v>5.9347843056824626E-2</v>
      </c>
      <c r="U39" s="762">
        <f t="shared" si="2"/>
        <v>0</v>
      </c>
      <c r="V39" s="762">
        <f t="shared" si="3"/>
        <v>0</v>
      </c>
      <c r="W39" s="762">
        <f t="shared" si="4"/>
        <v>0</v>
      </c>
      <c r="X39" s="762">
        <f t="shared" si="5"/>
        <v>0</v>
      </c>
      <c r="Y39" s="758">
        <v>0.67</v>
      </c>
      <c r="Z39" s="762">
        <f t="shared" si="6"/>
        <v>0</v>
      </c>
      <c r="AA39" s="762">
        <f t="shared" si="7"/>
        <v>0</v>
      </c>
      <c r="AB39" s="762">
        <f t="shared" si="8"/>
        <v>0</v>
      </c>
      <c r="AC39" s="762">
        <f t="shared" si="9"/>
        <v>0</v>
      </c>
      <c r="AD39" s="762">
        <f t="shared" si="10"/>
        <v>0</v>
      </c>
      <c r="AE39" s="762">
        <f t="shared" si="11"/>
        <v>0</v>
      </c>
      <c r="AF39" s="762">
        <f t="shared" si="12"/>
        <v>1</v>
      </c>
      <c r="AG39" s="762">
        <f t="shared" si="13"/>
        <v>0</v>
      </c>
      <c r="AH39" s="762">
        <f t="shared" si="13"/>
        <v>0</v>
      </c>
      <c r="AI39" s="762">
        <f t="shared" si="13"/>
        <v>0</v>
      </c>
      <c r="AJ39" s="762">
        <f t="shared" si="1"/>
        <v>0</v>
      </c>
    </row>
    <row r="40" spans="2:36">
      <c r="B40" s="723">
        <v>2024</v>
      </c>
      <c r="C40" s="723" t="s">
        <v>564</v>
      </c>
      <c r="D40" s="723" t="s">
        <v>565</v>
      </c>
      <c r="E40" s="723" t="s">
        <v>39</v>
      </c>
      <c r="F40" s="762">
        <v>0</v>
      </c>
      <c r="G40" s="762">
        <v>0</v>
      </c>
      <c r="H40" s="762">
        <v>0</v>
      </c>
      <c r="I40" s="762">
        <v>0</v>
      </c>
      <c r="J40" s="762">
        <v>0</v>
      </c>
      <c r="K40" s="762">
        <v>0</v>
      </c>
      <c r="L40" s="762">
        <v>0</v>
      </c>
      <c r="M40" s="762">
        <v>0</v>
      </c>
      <c r="N40" s="762">
        <v>0</v>
      </c>
      <c r="O40" s="762">
        <v>0</v>
      </c>
      <c r="P40" s="762">
        <v>0</v>
      </c>
      <c r="Q40" s="762">
        <v>0</v>
      </c>
      <c r="R40" s="762">
        <v>0</v>
      </c>
      <c r="S40" s="823">
        <v>0.24953166666666668</v>
      </c>
      <c r="T40" s="823">
        <v>5.9347843056824626E-2</v>
      </c>
      <c r="U40" s="762">
        <f t="shared" si="2"/>
        <v>0</v>
      </c>
      <c r="V40" s="762">
        <f t="shared" si="3"/>
        <v>0</v>
      </c>
      <c r="W40" s="762">
        <f t="shared" si="4"/>
        <v>0</v>
      </c>
      <c r="X40" s="762">
        <f t="shared" si="5"/>
        <v>0</v>
      </c>
      <c r="Y40" s="758">
        <v>0.67</v>
      </c>
      <c r="Z40" s="762">
        <f t="shared" si="6"/>
        <v>0</v>
      </c>
      <c r="AA40" s="762">
        <f t="shared" si="7"/>
        <v>0</v>
      </c>
      <c r="AB40" s="762">
        <f t="shared" si="8"/>
        <v>0</v>
      </c>
      <c r="AC40" s="762">
        <f t="shared" si="9"/>
        <v>0</v>
      </c>
      <c r="AD40" s="762">
        <f t="shared" si="10"/>
        <v>0</v>
      </c>
      <c r="AE40" s="762">
        <f t="shared" si="11"/>
        <v>0</v>
      </c>
      <c r="AF40" s="762">
        <f t="shared" si="12"/>
        <v>1</v>
      </c>
      <c r="AG40" s="762">
        <f t="shared" si="13"/>
        <v>0</v>
      </c>
      <c r="AH40" s="762">
        <f t="shared" si="13"/>
        <v>0</v>
      </c>
      <c r="AI40" s="762">
        <f t="shared" si="13"/>
        <v>0</v>
      </c>
      <c r="AJ40" s="762">
        <f t="shared" si="1"/>
        <v>0</v>
      </c>
    </row>
    <row r="41" spans="2:36">
      <c r="B41" s="723">
        <v>2024</v>
      </c>
      <c r="C41" s="723" t="s">
        <v>586</v>
      </c>
      <c r="D41" s="723" t="s">
        <v>587</v>
      </c>
      <c r="E41" s="723" t="s">
        <v>39</v>
      </c>
      <c r="F41" s="762">
        <v>0</v>
      </c>
      <c r="G41" s="762">
        <v>0</v>
      </c>
      <c r="H41" s="762">
        <v>3139.2123839999999</v>
      </c>
      <c r="I41" s="762">
        <v>0</v>
      </c>
      <c r="J41" s="762">
        <v>0</v>
      </c>
      <c r="K41" s="762">
        <v>0</v>
      </c>
      <c r="L41" s="762">
        <v>15696.06192</v>
      </c>
      <c r="M41" s="762">
        <v>0</v>
      </c>
      <c r="N41" s="762">
        <v>0.48942790827511101</v>
      </c>
      <c r="O41" s="762">
        <v>0</v>
      </c>
      <c r="P41" s="762">
        <v>17087.367862068899</v>
      </c>
      <c r="Q41" s="762">
        <v>0</v>
      </c>
      <c r="R41" s="762">
        <v>0</v>
      </c>
      <c r="S41" s="823">
        <v>0.24953166666666668</v>
      </c>
      <c r="T41" s="823">
        <v>5.9347843056824626E-2</v>
      </c>
      <c r="U41" s="762">
        <f t="shared" si="2"/>
        <v>0</v>
      </c>
      <c r="V41" s="762">
        <f t="shared" si="3"/>
        <v>931.52741943836145</v>
      </c>
      <c r="W41" s="762">
        <f t="shared" si="4"/>
        <v>0</v>
      </c>
      <c r="X41" s="762">
        <f t="shared" si="5"/>
        <v>0</v>
      </c>
      <c r="Y41" s="758">
        <v>0.67</v>
      </c>
      <c r="Z41" s="762">
        <f t="shared" si="6"/>
        <v>0</v>
      </c>
      <c r="AA41" s="762">
        <f t="shared" si="7"/>
        <v>186.30548388767227</v>
      </c>
      <c r="AB41" s="762">
        <f t="shared" si="8"/>
        <v>0</v>
      </c>
      <c r="AC41" s="762">
        <f t="shared" si="9"/>
        <v>17087.367862068899</v>
      </c>
      <c r="AD41" s="762">
        <f t="shared" si="10"/>
        <v>0.32791669854432443</v>
      </c>
      <c r="AE41" s="762">
        <f t="shared" si="11"/>
        <v>931.6889306480922</v>
      </c>
      <c r="AF41" s="762">
        <f t="shared" si="12"/>
        <v>5.0000000000000009</v>
      </c>
      <c r="AG41" s="762">
        <f t="shared" si="13"/>
        <v>0</v>
      </c>
      <c r="AH41" s="762">
        <f t="shared" si="13"/>
        <v>3417.473572413779</v>
      </c>
      <c r="AI41" s="762">
        <f t="shared" si="13"/>
        <v>6.5583339708864874E-2</v>
      </c>
      <c r="AJ41" s="762">
        <f t="shared" si="1"/>
        <v>186.33778612961839</v>
      </c>
    </row>
    <row r="42" spans="2:36">
      <c r="B42" s="723">
        <v>2024</v>
      </c>
      <c r="C42" s="723" t="s">
        <v>589</v>
      </c>
      <c r="D42" s="723" t="s">
        <v>590</v>
      </c>
      <c r="E42" s="723" t="s">
        <v>39</v>
      </c>
      <c r="F42" s="762">
        <v>0</v>
      </c>
      <c r="G42" s="762">
        <v>0</v>
      </c>
      <c r="H42" s="762">
        <v>0</v>
      </c>
      <c r="I42" s="762">
        <v>0</v>
      </c>
      <c r="J42" s="762">
        <v>0</v>
      </c>
      <c r="K42" s="762">
        <v>0</v>
      </c>
      <c r="L42" s="762">
        <v>0</v>
      </c>
      <c r="M42" s="762">
        <v>0</v>
      </c>
      <c r="N42" s="762">
        <v>0</v>
      </c>
      <c r="O42" s="762">
        <v>0</v>
      </c>
      <c r="P42" s="762">
        <v>0</v>
      </c>
      <c r="Q42" s="762">
        <v>0</v>
      </c>
      <c r="R42" s="762">
        <v>0</v>
      </c>
      <c r="S42" s="823">
        <v>0.24953166666666668</v>
      </c>
      <c r="T42" s="823">
        <v>5.9347843056824626E-2</v>
      </c>
      <c r="U42" s="762">
        <f t="shared" si="2"/>
        <v>0</v>
      </c>
      <c r="V42" s="762">
        <f t="shared" si="3"/>
        <v>0</v>
      </c>
      <c r="W42" s="762">
        <f t="shared" si="4"/>
        <v>0</v>
      </c>
      <c r="X42" s="762">
        <f t="shared" si="5"/>
        <v>0</v>
      </c>
      <c r="Y42" s="758">
        <v>0.67</v>
      </c>
      <c r="Z42" s="762">
        <f t="shared" si="6"/>
        <v>0</v>
      </c>
      <c r="AA42" s="762">
        <f t="shared" si="7"/>
        <v>0</v>
      </c>
      <c r="AB42" s="762">
        <f t="shared" si="8"/>
        <v>0</v>
      </c>
      <c r="AC42" s="762">
        <f t="shared" si="9"/>
        <v>0</v>
      </c>
      <c r="AD42" s="762">
        <f t="shared" si="10"/>
        <v>0</v>
      </c>
      <c r="AE42" s="762">
        <f t="shared" si="11"/>
        <v>0</v>
      </c>
      <c r="AF42" s="762">
        <f t="shared" si="12"/>
        <v>1</v>
      </c>
      <c r="AG42" s="762">
        <f t="shared" si="13"/>
        <v>0</v>
      </c>
      <c r="AH42" s="762">
        <f t="shared" si="13"/>
        <v>0</v>
      </c>
      <c r="AI42" s="762">
        <f t="shared" si="13"/>
        <v>0</v>
      </c>
      <c r="AJ42" s="762">
        <f t="shared" si="1"/>
        <v>0</v>
      </c>
    </row>
    <row r="43" spans="2:36">
      <c r="B43" s="723">
        <v>2024</v>
      </c>
      <c r="C43" s="723" t="s">
        <v>566</v>
      </c>
      <c r="D43" s="723" t="s">
        <v>567</v>
      </c>
      <c r="E43" s="723" t="s">
        <v>27</v>
      </c>
      <c r="F43" s="762">
        <v>0</v>
      </c>
      <c r="G43" s="762">
        <v>0</v>
      </c>
      <c r="H43" s="762">
        <v>0</v>
      </c>
      <c r="I43" s="762">
        <v>0</v>
      </c>
      <c r="J43" s="762">
        <v>0</v>
      </c>
      <c r="K43" s="762">
        <v>0</v>
      </c>
      <c r="L43" s="762">
        <v>0</v>
      </c>
      <c r="M43" s="762">
        <v>0</v>
      </c>
      <c r="N43" s="762">
        <v>0</v>
      </c>
      <c r="O43" s="762">
        <v>0</v>
      </c>
      <c r="P43" s="762">
        <v>0</v>
      </c>
      <c r="Q43" s="762">
        <v>0</v>
      </c>
      <c r="R43" s="762">
        <v>0</v>
      </c>
      <c r="S43" s="823">
        <v>0.34503333333333325</v>
      </c>
      <c r="T43" s="823">
        <v>0.70556354610838379</v>
      </c>
      <c r="U43" s="762">
        <f t="shared" si="2"/>
        <v>0</v>
      </c>
      <c r="V43" s="762">
        <f t="shared" si="3"/>
        <v>0</v>
      </c>
      <c r="W43" s="762">
        <f t="shared" si="4"/>
        <v>0</v>
      </c>
      <c r="X43" s="762">
        <f t="shared" si="5"/>
        <v>0</v>
      </c>
      <c r="Y43" s="758">
        <v>0.67</v>
      </c>
      <c r="Z43" s="762">
        <f t="shared" si="6"/>
        <v>0</v>
      </c>
      <c r="AA43" s="762">
        <f t="shared" si="7"/>
        <v>0</v>
      </c>
      <c r="AB43" s="762">
        <f t="shared" si="8"/>
        <v>0</v>
      </c>
      <c r="AC43" s="762">
        <f t="shared" si="9"/>
        <v>0</v>
      </c>
      <c r="AD43" s="762">
        <f t="shared" si="10"/>
        <v>0</v>
      </c>
      <c r="AE43" s="762">
        <f t="shared" si="11"/>
        <v>0</v>
      </c>
      <c r="AF43" s="762">
        <f t="shared" si="12"/>
        <v>1</v>
      </c>
      <c r="AG43" s="762">
        <f t="shared" si="13"/>
        <v>0</v>
      </c>
      <c r="AH43" s="762">
        <f t="shared" si="13"/>
        <v>0</v>
      </c>
      <c r="AI43" s="762">
        <f t="shared" si="13"/>
        <v>0</v>
      </c>
      <c r="AJ43" s="762">
        <f t="shared" si="1"/>
        <v>0</v>
      </c>
    </row>
    <row r="44" spans="2:36">
      <c r="B44" s="723">
        <v>2024</v>
      </c>
      <c r="C44" s="723" t="s">
        <v>569</v>
      </c>
      <c r="D44" s="723" t="s">
        <v>570</v>
      </c>
      <c r="E44" s="723" t="s">
        <v>27</v>
      </c>
      <c r="F44" s="762">
        <v>0</v>
      </c>
      <c r="G44" s="762">
        <v>0</v>
      </c>
      <c r="H44" s="762">
        <v>0</v>
      </c>
      <c r="I44" s="762">
        <v>0</v>
      </c>
      <c r="J44" s="762">
        <v>0</v>
      </c>
      <c r="K44" s="762">
        <v>0</v>
      </c>
      <c r="L44" s="762">
        <v>0</v>
      </c>
      <c r="M44" s="762">
        <v>0</v>
      </c>
      <c r="N44" s="762">
        <v>0</v>
      </c>
      <c r="O44" s="762">
        <v>0</v>
      </c>
      <c r="P44" s="762">
        <v>0</v>
      </c>
      <c r="Q44" s="762">
        <v>0</v>
      </c>
      <c r="R44" s="762">
        <v>0</v>
      </c>
      <c r="S44" s="823">
        <v>0.34503333333333325</v>
      </c>
      <c r="T44" s="823">
        <v>0.70556354610838379</v>
      </c>
      <c r="U44" s="762">
        <f t="shared" si="2"/>
        <v>0</v>
      </c>
      <c r="V44" s="762">
        <f t="shared" si="3"/>
        <v>0</v>
      </c>
      <c r="W44" s="762">
        <f t="shared" si="4"/>
        <v>0</v>
      </c>
      <c r="X44" s="762">
        <f t="shared" si="5"/>
        <v>0</v>
      </c>
      <c r="Y44" s="758">
        <v>0.67</v>
      </c>
      <c r="Z44" s="762">
        <f t="shared" si="6"/>
        <v>0</v>
      </c>
      <c r="AA44" s="762">
        <f t="shared" si="7"/>
        <v>0</v>
      </c>
      <c r="AB44" s="762">
        <f t="shared" si="8"/>
        <v>0</v>
      </c>
      <c r="AC44" s="762">
        <f t="shared" si="9"/>
        <v>0</v>
      </c>
      <c r="AD44" s="762">
        <f t="shared" si="10"/>
        <v>0</v>
      </c>
      <c r="AE44" s="762">
        <f t="shared" si="11"/>
        <v>0</v>
      </c>
      <c r="AF44" s="762">
        <f t="shared" si="12"/>
        <v>1</v>
      </c>
      <c r="AG44" s="762">
        <f t="shared" si="13"/>
        <v>0</v>
      </c>
      <c r="AH44" s="762">
        <f t="shared" si="13"/>
        <v>0</v>
      </c>
      <c r="AI44" s="762">
        <f t="shared" si="13"/>
        <v>0</v>
      </c>
      <c r="AJ44" s="762">
        <f t="shared" si="1"/>
        <v>0</v>
      </c>
    </row>
    <row r="45" spans="2:36">
      <c r="B45" s="723">
        <v>2024</v>
      </c>
      <c r="C45" s="723" t="s">
        <v>591</v>
      </c>
      <c r="D45" s="723" t="s">
        <v>592</v>
      </c>
      <c r="E45" s="723" t="s">
        <v>27</v>
      </c>
      <c r="F45" s="762">
        <v>14085.299864999999</v>
      </c>
      <c r="G45" s="762">
        <v>0</v>
      </c>
      <c r="H45" s="762">
        <v>-127.67875540200001</v>
      </c>
      <c r="I45" s="762">
        <v>0</v>
      </c>
      <c r="J45" s="762">
        <v>169098.686575</v>
      </c>
      <c r="K45" s="762">
        <v>0</v>
      </c>
      <c r="L45" s="762">
        <v>-1532.13924303</v>
      </c>
      <c r="M45" s="762">
        <v>0</v>
      </c>
      <c r="N45" s="762">
        <v>1.406465066828962</v>
      </c>
      <c r="O45" s="762">
        <v>13479.420731142705</v>
      </c>
      <c r="P45" s="762">
        <v>-1569.5157856581059</v>
      </c>
      <c r="Q45" s="762">
        <v>0</v>
      </c>
      <c r="R45" s="762">
        <v>0</v>
      </c>
      <c r="S45" s="823">
        <v>0.34503333333333325</v>
      </c>
      <c r="T45" s="823">
        <v>0.70556354610838379</v>
      </c>
      <c r="U45" s="762">
        <f t="shared" si="2"/>
        <v>58344.683491260817</v>
      </c>
      <c r="V45" s="762">
        <f t="shared" si="3"/>
        <v>-1081.0215974440616</v>
      </c>
      <c r="W45" s="762">
        <f t="shared" si="4"/>
        <v>0</v>
      </c>
      <c r="X45" s="762">
        <f t="shared" si="5"/>
        <v>0</v>
      </c>
      <c r="Y45" s="758">
        <v>0.67</v>
      </c>
      <c r="Z45" s="762">
        <f t="shared" si="6"/>
        <v>4859.1109645972856</v>
      </c>
      <c r="AA45" s="762">
        <f t="shared" si="7"/>
        <v>-90.030549191233618</v>
      </c>
      <c r="AB45" s="762">
        <f t="shared" si="8"/>
        <v>13479.420731142705</v>
      </c>
      <c r="AC45" s="762">
        <f t="shared" si="9"/>
        <v>-1569.5157856581059</v>
      </c>
      <c r="AD45" s="762">
        <f t="shared" si="10"/>
        <v>58345.625822855596</v>
      </c>
      <c r="AE45" s="762">
        <f t="shared" si="11"/>
        <v>-1080.557463972008</v>
      </c>
      <c r="AF45" s="762">
        <f t="shared" si="12"/>
        <v>12.007275387689427</v>
      </c>
      <c r="AG45" s="762">
        <f t="shared" si="13"/>
        <v>1122.6044457148546</v>
      </c>
      <c r="AH45" s="762">
        <f t="shared" si="13"/>
        <v>-130.71373271468954</v>
      </c>
      <c r="AI45" s="762">
        <f t="shared" si="13"/>
        <v>4859.1894446491169</v>
      </c>
      <c r="AJ45" s="762">
        <f t="shared" si="1"/>
        <v>-89.991894837346678</v>
      </c>
    </row>
    <row r="46" spans="2:36">
      <c r="B46" s="723">
        <v>2024</v>
      </c>
      <c r="C46" s="723" t="s">
        <v>594</v>
      </c>
      <c r="D46" s="723" t="s">
        <v>595</v>
      </c>
      <c r="E46" s="723" t="s">
        <v>27</v>
      </c>
      <c r="F46" s="762">
        <v>0</v>
      </c>
      <c r="G46" s="762">
        <v>0</v>
      </c>
      <c r="H46" s="762">
        <v>0</v>
      </c>
      <c r="I46" s="762">
        <v>0</v>
      </c>
      <c r="J46" s="762">
        <v>0</v>
      </c>
      <c r="K46" s="762">
        <v>0</v>
      </c>
      <c r="L46" s="762">
        <v>0</v>
      </c>
      <c r="M46" s="762">
        <v>0</v>
      </c>
      <c r="N46" s="762">
        <v>0</v>
      </c>
      <c r="O46" s="762">
        <v>0</v>
      </c>
      <c r="P46" s="762">
        <v>0</v>
      </c>
      <c r="Q46" s="762">
        <v>0</v>
      </c>
      <c r="R46" s="762">
        <v>0</v>
      </c>
      <c r="S46" s="823">
        <v>0.34503333333333325</v>
      </c>
      <c r="T46" s="823">
        <v>0.70556354610838379</v>
      </c>
      <c r="U46" s="762">
        <f t="shared" si="2"/>
        <v>0</v>
      </c>
      <c r="V46" s="762">
        <f t="shared" si="3"/>
        <v>0</v>
      </c>
      <c r="W46" s="762">
        <f t="shared" si="4"/>
        <v>0</v>
      </c>
      <c r="X46" s="762">
        <f t="shared" si="5"/>
        <v>0</v>
      </c>
      <c r="Y46" s="758">
        <v>0.67</v>
      </c>
      <c r="Z46" s="762">
        <f t="shared" si="6"/>
        <v>0</v>
      </c>
      <c r="AA46" s="762">
        <f t="shared" si="7"/>
        <v>0</v>
      </c>
      <c r="AB46" s="762">
        <f t="shared" si="8"/>
        <v>0</v>
      </c>
      <c r="AC46" s="762">
        <f t="shared" si="9"/>
        <v>0</v>
      </c>
      <c r="AD46" s="762">
        <f t="shared" si="10"/>
        <v>0</v>
      </c>
      <c r="AE46" s="762">
        <f t="shared" si="11"/>
        <v>0</v>
      </c>
      <c r="AF46" s="762">
        <f t="shared" si="12"/>
        <v>1</v>
      </c>
      <c r="AG46" s="762">
        <f t="shared" si="13"/>
        <v>0</v>
      </c>
      <c r="AH46" s="762">
        <f t="shared" si="13"/>
        <v>0</v>
      </c>
      <c r="AI46" s="762">
        <f t="shared" si="13"/>
        <v>0</v>
      </c>
      <c r="AJ46" s="762">
        <f t="shared" si="1"/>
        <v>0</v>
      </c>
    </row>
    <row r="47" spans="2:36">
      <c r="B47" s="723">
        <v>2024</v>
      </c>
      <c r="C47" s="723" t="s">
        <v>571</v>
      </c>
      <c r="D47" s="723" t="s">
        <v>572</v>
      </c>
      <c r="E47" s="723" t="s">
        <v>34</v>
      </c>
      <c r="F47" s="762">
        <v>0</v>
      </c>
      <c r="G47" s="762">
        <v>0</v>
      </c>
      <c r="H47" s="762">
        <v>0</v>
      </c>
      <c r="I47" s="762">
        <v>0</v>
      </c>
      <c r="J47" s="762">
        <v>0</v>
      </c>
      <c r="K47" s="762">
        <v>0</v>
      </c>
      <c r="L47" s="762">
        <v>0</v>
      </c>
      <c r="M47" s="762">
        <v>0</v>
      </c>
      <c r="N47" s="762">
        <v>0</v>
      </c>
      <c r="O47" s="762">
        <v>0</v>
      </c>
      <c r="P47" s="762">
        <v>0</v>
      </c>
      <c r="Q47" s="762">
        <v>0</v>
      </c>
      <c r="R47" s="762">
        <v>0</v>
      </c>
      <c r="S47" s="823">
        <v>0.32019166666666671</v>
      </c>
      <c r="T47" s="823">
        <v>5.9347843056824626E-2</v>
      </c>
      <c r="U47" s="762">
        <f t="shared" si="2"/>
        <v>0</v>
      </c>
      <c r="V47" s="762">
        <f t="shared" si="3"/>
        <v>0</v>
      </c>
      <c r="W47" s="762">
        <f t="shared" si="4"/>
        <v>0</v>
      </c>
      <c r="X47" s="762">
        <f t="shared" si="5"/>
        <v>0</v>
      </c>
      <c r="Y47" s="758">
        <v>0.67</v>
      </c>
      <c r="Z47" s="762">
        <f t="shared" si="6"/>
        <v>0</v>
      </c>
      <c r="AA47" s="762">
        <f t="shared" si="7"/>
        <v>0</v>
      </c>
      <c r="AB47" s="762">
        <f t="shared" si="8"/>
        <v>0</v>
      </c>
      <c r="AC47" s="762">
        <f t="shared" si="9"/>
        <v>0</v>
      </c>
      <c r="AD47" s="762">
        <f t="shared" si="10"/>
        <v>0</v>
      </c>
      <c r="AE47" s="762">
        <f t="shared" si="11"/>
        <v>0</v>
      </c>
      <c r="AF47" s="762">
        <f t="shared" si="12"/>
        <v>1</v>
      </c>
      <c r="AG47" s="762">
        <f t="shared" si="13"/>
        <v>0</v>
      </c>
      <c r="AH47" s="762">
        <f t="shared" si="13"/>
        <v>0</v>
      </c>
      <c r="AI47" s="762">
        <f t="shared" si="13"/>
        <v>0</v>
      </c>
      <c r="AJ47" s="762">
        <f t="shared" si="1"/>
        <v>0</v>
      </c>
    </row>
    <row r="48" spans="2:36">
      <c r="B48" s="723">
        <v>2024</v>
      </c>
      <c r="C48" s="723" t="s">
        <v>574</v>
      </c>
      <c r="D48" s="723" t="s">
        <v>575</v>
      </c>
      <c r="E48" s="723" t="s">
        <v>34</v>
      </c>
      <c r="F48" s="762">
        <v>0</v>
      </c>
      <c r="G48" s="762">
        <v>0</v>
      </c>
      <c r="H48" s="762">
        <v>0</v>
      </c>
      <c r="I48" s="762">
        <v>0</v>
      </c>
      <c r="J48" s="762">
        <v>0</v>
      </c>
      <c r="K48" s="762">
        <v>0</v>
      </c>
      <c r="L48" s="762">
        <v>0</v>
      </c>
      <c r="M48" s="762">
        <v>0</v>
      </c>
      <c r="N48" s="762">
        <v>0</v>
      </c>
      <c r="O48" s="762">
        <v>0</v>
      </c>
      <c r="P48" s="762">
        <v>0</v>
      </c>
      <c r="Q48" s="762">
        <v>0</v>
      </c>
      <c r="R48" s="762">
        <v>0</v>
      </c>
      <c r="S48" s="823">
        <v>0.32019166666666671</v>
      </c>
      <c r="T48" s="823">
        <v>5.9347843056824626E-2</v>
      </c>
      <c r="U48" s="762">
        <f t="shared" si="2"/>
        <v>0</v>
      </c>
      <c r="V48" s="762">
        <f t="shared" si="3"/>
        <v>0</v>
      </c>
      <c r="W48" s="762">
        <f t="shared" si="4"/>
        <v>0</v>
      </c>
      <c r="X48" s="762">
        <f t="shared" si="5"/>
        <v>0</v>
      </c>
      <c r="Y48" s="758">
        <v>0.67</v>
      </c>
      <c r="Z48" s="762">
        <f t="shared" si="6"/>
        <v>0</v>
      </c>
      <c r="AA48" s="762">
        <f t="shared" si="7"/>
        <v>0</v>
      </c>
      <c r="AB48" s="762">
        <f t="shared" si="8"/>
        <v>0</v>
      </c>
      <c r="AC48" s="762">
        <f t="shared" si="9"/>
        <v>0</v>
      </c>
      <c r="AD48" s="762">
        <f t="shared" si="10"/>
        <v>0</v>
      </c>
      <c r="AE48" s="762">
        <f t="shared" si="11"/>
        <v>0</v>
      </c>
      <c r="AF48" s="762">
        <f t="shared" si="12"/>
        <v>1</v>
      </c>
      <c r="AG48" s="762">
        <f t="shared" si="13"/>
        <v>0</v>
      </c>
      <c r="AH48" s="762">
        <f t="shared" si="13"/>
        <v>0</v>
      </c>
      <c r="AI48" s="762">
        <f t="shared" si="13"/>
        <v>0</v>
      </c>
      <c r="AJ48" s="762">
        <f t="shared" si="1"/>
        <v>0</v>
      </c>
    </row>
    <row r="49" spans="2:36">
      <c r="B49" s="723">
        <v>2024</v>
      </c>
      <c r="C49" s="723" t="s">
        <v>596</v>
      </c>
      <c r="D49" s="723" t="s">
        <v>597</v>
      </c>
      <c r="E49" s="723" t="s">
        <v>34</v>
      </c>
      <c r="F49" s="762">
        <v>0</v>
      </c>
      <c r="G49" s="762">
        <v>0</v>
      </c>
      <c r="H49" s="762">
        <v>0</v>
      </c>
      <c r="I49" s="762">
        <v>0</v>
      </c>
      <c r="J49" s="762">
        <v>0</v>
      </c>
      <c r="K49" s="762">
        <v>0</v>
      </c>
      <c r="L49" s="762">
        <v>0</v>
      </c>
      <c r="M49" s="762">
        <v>0</v>
      </c>
      <c r="N49" s="762">
        <v>0</v>
      </c>
      <c r="O49" s="762">
        <v>0</v>
      </c>
      <c r="P49" s="762">
        <v>0</v>
      </c>
      <c r="Q49" s="762">
        <v>0</v>
      </c>
      <c r="R49" s="762">
        <v>0</v>
      </c>
      <c r="S49" s="823">
        <v>0.32019166666666671</v>
      </c>
      <c r="T49" s="823">
        <v>5.9347843056824626E-2</v>
      </c>
      <c r="U49" s="762">
        <f t="shared" si="2"/>
        <v>0</v>
      </c>
      <c r="V49" s="762">
        <f t="shared" si="3"/>
        <v>0</v>
      </c>
      <c r="W49" s="762">
        <f t="shared" si="4"/>
        <v>0</v>
      </c>
      <c r="X49" s="762">
        <f t="shared" si="5"/>
        <v>0</v>
      </c>
      <c r="Y49" s="758">
        <v>0.67</v>
      </c>
      <c r="Z49" s="762">
        <f t="shared" si="6"/>
        <v>0</v>
      </c>
      <c r="AA49" s="762">
        <f t="shared" si="7"/>
        <v>0</v>
      </c>
      <c r="AB49" s="762">
        <f t="shared" si="8"/>
        <v>0</v>
      </c>
      <c r="AC49" s="762">
        <f t="shared" si="9"/>
        <v>0</v>
      </c>
      <c r="AD49" s="762">
        <f t="shared" si="10"/>
        <v>0</v>
      </c>
      <c r="AE49" s="762">
        <f t="shared" si="11"/>
        <v>0</v>
      </c>
      <c r="AF49" s="762">
        <f t="shared" si="12"/>
        <v>1</v>
      </c>
      <c r="AG49" s="762">
        <f t="shared" si="13"/>
        <v>0</v>
      </c>
      <c r="AH49" s="762">
        <f t="shared" si="13"/>
        <v>0</v>
      </c>
      <c r="AI49" s="762">
        <f t="shared" si="13"/>
        <v>0</v>
      </c>
      <c r="AJ49" s="762">
        <f t="shared" si="1"/>
        <v>0</v>
      </c>
    </row>
    <row r="50" spans="2:36">
      <c r="B50" s="723">
        <v>2024</v>
      </c>
      <c r="C50" s="723" t="s">
        <v>599</v>
      </c>
      <c r="D50" s="723" t="s">
        <v>600</v>
      </c>
      <c r="E50" s="723" t="s">
        <v>34</v>
      </c>
      <c r="F50" s="762">
        <v>0</v>
      </c>
      <c r="G50" s="762">
        <v>0</v>
      </c>
      <c r="H50" s="762">
        <v>0</v>
      </c>
      <c r="I50" s="762">
        <v>0</v>
      </c>
      <c r="J50" s="762">
        <v>0</v>
      </c>
      <c r="K50" s="762">
        <v>0</v>
      </c>
      <c r="L50" s="762">
        <v>0</v>
      </c>
      <c r="M50" s="762">
        <v>0</v>
      </c>
      <c r="N50" s="762">
        <v>0</v>
      </c>
      <c r="O50" s="762">
        <v>0</v>
      </c>
      <c r="P50" s="762">
        <v>0</v>
      </c>
      <c r="Q50" s="762">
        <v>0</v>
      </c>
      <c r="R50" s="762">
        <v>0</v>
      </c>
      <c r="S50" s="823">
        <v>0.32019166666666671</v>
      </c>
      <c r="T50" s="823">
        <v>5.9347843056824626E-2</v>
      </c>
      <c r="U50" s="762">
        <f t="shared" si="2"/>
        <v>0</v>
      </c>
      <c r="V50" s="762">
        <f t="shared" si="3"/>
        <v>0</v>
      </c>
      <c r="W50" s="762">
        <f t="shared" si="4"/>
        <v>0</v>
      </c>
      <c r="X50" s="762">
        <f t="shared" si="5"/>
        <v>0</v>
      </c>
      <c r="Y50" s="758">
        <v>0.67</v>
      </c>
      <c r="Z50" s="762">
        <f t="shared" si="6"/>
        <v>0</v>
      </c>
      <c r="AA50" s="762">
        <f t="shared" si="7"/>
        <v>0</v>
      </c>
      <c r="AB50" s="762">
        <f t="shared" si="8"/>
        <v>0</v>
      </c>
      <c r="AC50" s="762">
        <f t="shared" si="9"/>
        <v>0</v>
      </c>
      <c r="AD50" s="762">
        <f t="shared" si="10"/>
        <v>0</v>
      </c>
      <c r="AE50" s="762">
        <f t="shared" si="11"/>
        <v>0</v>
      </c>
      <c r="AF50" s="762">
        <f t="shared" si="12"/>
        <v>1</v>
      </c>
      <c r="AG50" s="762">
        <f t="shared" si="13"/>
        <v>0</v>
      </c>
      <c r="AH50" s="762">
        <f t="shared" si="13"/>
        <v>0</v>
      </c>
      <c r="AI50" s="762">
        <f t="shared" si="13"/>
        <v>0</v>
      </c>
      <c r="AJ50" s="762">
        <f t="shared" si="1"/>
        <v>0</v>
      </c>
    </row>
    <row r="51" spans="2:36">
      <c r="B51" s="723">
        <v>2024</v>
      </c>
      <c r="C51" s="723" t="s">
        <v>576</v>
      </c>
      <c r="D51" s="723" t="s">
        <v>577</v>
      </c>
      <c r="E51" s="723" t="s">
        <v>45</v>
      </c>
      <c r="F51" s="762">
        <v>0</v>
      </c>
      <c r="G51" s="762">
        <v>0</v>
      </c>
      <c r="H51" s="762">
        <v>0</v>
      </c>
      <c r="I51" s="762">
        <v>0</v>
      </c>
      <c r="J51" s="762">
        <v>0</v>
      </c>
      <c r="K51" s="762">
        <v>0</v>
      </c>
      <c r="L51" s="762">
        <v>0</v>
      </c>
      <c r="M51" s="762">
        <v>0</v>
      </c>
      <c r="N51" s="762">
        <v>0</v>
      </c>
      <c r="O51" s="762">
        <v>0</v>
      </c>
      <c r="P51" s="762">
        <v>0</v>
      </c>
      <c r="Q51" s="762">
        <v>0</v>
      </c>
      <c r="R51" s="762">
        <v>0</v>
      </c>
      <c r="S51" s="823">
        <v>0.32019166666666671</v>
      </c>
      <c r="T51" s="823">
        <v>5.9347843056824626E-2</v>
      </c>
      <c r="U51" s="762">
        <f t="shared" si="2"/>
        <v>0</v>
      </c>
      <c r="V51" s="762">
        <f t="shared" si="3"/>
        <v>0</v>
      </c>
      <c r="W51" s="762">
        <f t="shared" si="4"/>
        <v>0</v>
      </c>
      <c r="X51" s="762">
        <f t="shared" si="5"/>
        <v>0</v>
      </c>
      <c r="Y51" s="758">
        <v>0.67</v>
      </c>
      <c r="Z51" s="762">
        <f t="shared" si="6"/>
        <v>0</v>
      </c>
      <c r="AA51" s="762">
        <f t="shared" si="7"/>
        <v>0</v>
      </c>
      <c r="AB51" s="762">
        <f t="shared" si="8"/>
        <v>0</v>
      </c>
      <c r="AC51" s="762">
        <f t="shared" si="9"/>
        <v>0</v>
      </c>
      <c r="AD51" s="762">
        <f t="shared" si="10"/>
        <v>0</v>
      </c>
      <c r="AE51" s="762">
        <f t="shared" si="11"/>
        <v>0</v>
      </c>
      <c r="AF51" s="762">
        <f t="shared" si="12"/>
        <v>1</v>
      </c>
      <c r="AG51" s="762">
        <f t="shared" si="13"/>
        <v>0</v>
      </c>
      <c r="AH51" s="762">
        <f t="shared" si="13"/>
        <v>0</v>
      </c>
      <c r="AI51" s="762">
        <f t="shared" si="13"/>
        <v>0</v>
      </c>
      <c r="AJ51" s="762">
        <f t="shared" si="1"/>
        <v>0</v>
      </c>
    </row>
    <row r="52" spans="2:36">
      <c r="B52" s="723">
        <v>2024</v>
      </c>
      <c r="C52" s="723" t="s">
        <v>579</v>
      </c>
      <c r="D52" s="723" t="s">
        <v>580</v>
      </c>
      <c r="E52" s="723" t="s">
        <v>45</v>
      </c>
      <c r="F52" s="762">
        <v>0</v>
      </c>
      <c r="G52" s="762">
        <v>0</v>
      </c>
      <c r="H52" s="762">
        <v>0</v>
      </c>
      <c r="I52" s="762">
        <v>0</v>
      </c>
      <c r="J52" s="762">
        <v>0</v>
      </c>
      <c r="K52" s="762">
        <v>0</v>
      </c>
      <c r="L52" s="762">
        <v>0</v>
      </c>
      <c r="M52" s="762">
        <v>0</v>
      </c>
      <c r="N52" s="762">
        <v>0</v>
      </c>
      <c r="O52" s="762">
        <v>0</v>
      </c>
      <c r="P52" s="762">
        <v>0</v>
      </c>
      <c r="Q52" s="762">
        <v>0</v>
      </c>
      <c r="R52" s="762">
        <v>0</v>
      </c>
      <c r="S52" s="823">
        <v>0.32019166666666671</v>
      </c>
      <c r="T52" s="823">
        <v>5.9347843056824626E-2</v>
      </c>
      <c r="U52" s="762">
        <f t="shared" si="2"/>
        <v>0</v>
      </c>
      <c r="V52" s="762">
        <f t="shared" si="3"/>
        <v>0</v>
      </c>
      <c r="W52" s="762">
        <f t="shared" si="4"/>
        <v>0</v>
      </c>
      <c r="X52" s="762">
        <f t="shared" si="5"/>
        <v>0</v>
      </c>
      <c r="Y52" s="758">
        <v>0.67</v>
      </c>
      <c r="Z52" s="762">
        <f t="shared" si="6"/>
        <v>0</v>
      </c>
      <c r="AA52" s="762">
        <f t="shared" si="7"/>
        <v>0</v>
      </c>
      <c r="AB52" s="762">
        <f t="shared" si="8"/>
        <v>0</v>
      </c>
      <c r="AC52" s="762">
        <f t="shared" si="9"/>
        <v>0</v>
      </c>
      <c r="AD52" s="762">
        <f t="shared" si="10"/>
        <v>0</v>
      </c>
      <c r="AE52" s="762">
        <f t="shared" si="11"/>
        <v>0</v>
      </c>
      <c r="AF52" s="762">
        <f t="shared" si="12"/>
        <v>1</v>
      </c>
      <c r="AG52" s="762">
        <f t="shared" si="13"/>
        <v>0</v>
      </c>
      <c r="AH52" s="762">
        <f t="shared" si="13"/>
        <v>0</v>
      </c>
      <c r="AI52" s="762">
        <f t="shared" si="13"/>
        <v>0</v>
      </c>
      <c r="AJ52" s="762">
        <f t="shared" si="1"/>
        <v>0</v>
      </c>
    </row>
    <row r="53" spans="2:36">
      <c r="B53" s="723">
        <v>2024</v>
      </c>
      <c r="C53" s="723" t="s">
        <v>601</v>
      </c>
      <c r="D53" s="723" t="s">
        <v>602</v>
      </c>
      <c r="E53" s="723" t="s">
        <v>45</v>
      </c>
      <c r="F53" s="762">
        <v>0</v>
      </c>
      <c r="G53" s="762">
        <v>0</v>
      </c>
      <c r="H53" s="762">
        <v>0</v>
      </c>
      <c r="I53" s="762">
        <v>0</v>
      </c>
      <c r="J53" s="762">
        <v>0</v>
      </c>
      <c r="K53" s="762">
        <v>0</v>
      </c>
      <c r="L53" s="762">
        <v>0</v>
      </c>
      <c r="M53" s="762">
        <v>0</v>
      </c>
      <c r="N53" s="762">
        <v>0</v>
      </c>
      <c r="O53" s="762">
        <v>0</v>
      </c>
      <c r="P53" s="762">
        <v>0</v>
      </c>
      <c r="Q53" s="762">
        <v>0</v>
      </c>
      <c r="R53" s="762">
        <v>0</v>
      </c>
      <c r="S53" s="823">
        <v>0.32019166666666671</v>
      </c>
      <c r="T53" s="823">
        <v>5.9347843056824626E-2</v>
      </c>
      <c r="U53" s="762">
        <f t="shared" si="2"/>
        <v>0</v>
      </c>
      <c r="V53" s="762">
        <f t="shared" si="3"/>
        <v>0</v>
      </c>
      <c r="W53" s="762">
        <f t="shared" si="4"/>
        <v>0</v>
      </c>
      <c r="X53" s="762">
        <f t="shared" si="5"/>
        <v>0</v>
      </c>
      <c r="Y53" s="758">
        <v>0.67</v>
      </c>
      <c r="Z53" s="762">
        <f t="shared" si="6"/>
        <v>0</v>
      </c>
      <c r="AA53" s="762">
        <f t="shared" si="7"/>
        <v>0</v>
      </c>
      <c r="AB53" s="762">
        <f t="shared" si="8"/>
        <v>0</v>
      </c>
      <c r="AC53" s="762">
        <f t="shared" si="9"/>
        <v>0</v>
      </c>
      <c r="AD53" s="762">
        <f t="shared" si="10"/>
        <v>0</v>
      </c>
      <c r="AE53" s="762">
        <f t="shared" si="11"/>
        <v>0</v>
      </c>
      <c r="AF53" s="762">
        <f t="shared" si="12"/>
        <v>1</v>
      </c>
      <c r="AG53" s="762">
        <f t="shared" si="13"/>
        <v>0</v>
      </c>
      <c r="AH53" s="762">
        <f t="shared" si="13"/>
        <v>0</v>
      </c>
      <c r="AI53" s="762">
        <f t="shared" si="13"/>
        <v>0</v>
      </c>
      <c r="AJ53" s="762">
        <f t="shared" si="1"/>
        <v>0</v>
      </c>
    </row>
    <row r="54" spans="2:36">
      <c r="B54" s="723">
        <v>2024</v>
      </c>
      <c r="C54" s="723" t="s">
        <v>604</v>
      </c>
      <c r="D54" s="723" t="s">
        <v>605</v>
      </c>
      <c r="E54" s="723" t="s">
        <v>45</v>
      </c>
      <c r="F54" s="762">
        <v>0</v>
      </c>
      <c r="G54" s="762">
        <v>0</v>
      </c>
      <c r="H54" s="762">
        <v>0</v>
      </c>
      <c r="I54" s="762">
        <v>0</v>
      </c>
      <c r="J54" s="762">
        <v>0</v>
      </c>
      <c r="K54" s="762">
        <v>0</v>
      </c>
      <c r="L54" s="762">
        <v>0</v>
      </c>
      <c r="M54" s="762">
        <v>0</v>
      </c>
      <c r="N54" s="762">
        <v>0</v>
      </c>
      <c r="O54" s="762">
        <v>0</v>
      </c>
      <c r="P54" s="762">
        <v>0</v>
      </c>
      <c r="Q54" s="762">
        <v>0</v>
      </c>
      <c r="R54" s="762">
        <v>0</v>
      </c>
      <c r="S54" s="823">
        <v>0.32019166666666671</v>
      </c>
      <c r="T54" s="823">
        <v>5.9347843056824626E-2</v>
      </c>
      <c r="U54" s="762">
        <f t="shared" si="2"/>
        <v>0</v>
      </c>
      <c r="V54" s="762">
        <f t="shared" si="3"/>
        <v>0</v>
      </c>
      <c r="W54" s="762">
        <f t="shared" si="4"/>
        <v>0</v>
      </c>
      <c r="X54" s="762">
        <f t="shared" si="5"/>
        <v>0</v>
      </c>
      <c r="Y54" s="758">
        <v>0.67</v>
      </c>
      <c r="Z54" s="762">
        <f t="shared" si="6"/>
        <v>0</v>
      </c>
      <c r="AA54" s="762">
        <f t="shared" si="7"/>
        <v>0</v>
      </c>
      <c r="AB54" s="762">
        <f t="shared" si="8"/>
        <v>0</v>
      </c>
      <c r="AC54" s="762">
        <f t="shared" si="9"/>
        <v>0</v>
      </c>
      <c r="AD54" s="762">
        <f t="shared" si="10"/>
        <v>0</v>
      </c>
      <c r="AE54" s="762">
        <f t="shared" si="11"/>
        <v>0</v>
      </c>
      <c r="AF54" s="762">
        <f t="shared" si="12"/>
        <v>1</v>
      </c>
      <c r="AG54" s="762">
        <f t="shared" si="13"/>
        <v>0</v>
      </c>
      <c r="AH54" s="762">
        <f t="shared" si="13"/>
        <v>0</v>
      </c>
      <c r="AI54" s="762">
        <f t="shared" si="13"/>
        <v>0</v>
      </c>
      <c r="AJ54" s="762">
        <f t="shared" si="1"/>
        <v>0</v>
      </c>
    </row>
    <row r="55" spans="2:36">
      <c r="B55" s="723">
        <v>2024</v>
      </c>
      <c r="C55" s="723" t="s">
        <v>581</v>
      </c>
      <c r="D55" s="723" t="s">
        <v>582</v>
      </c>
      <c r="E55" s="723" t="s">
        <v>18</v>
      </c>
      <c r="F55" s="762">
        <v>15358.453565000002</v>
      </c>
      <c r="G55" s="762">
        <v>0</v>
      </c>
      <c r="H55" s="762">
        <v>70.511804999999995</v>
      </c>
      <c r="I55" s="762">
        <v>0</v>
      </c>
      <c r="J55" s="762">
        <v>221191.79491499995</v>
      </c>
      <c r="K55" s="762">
        <v>0</v>
      </c>
      <c r="L55" s="762">
        <v>771.752163</v>
      </c>
      <c r="M55" s="762">
        <v>0</v>
      </c>
      <c r="N55" s="762">
        <v>0.65850118912063094</v>
      </c>
      <c r="O55" s="762">
        <v>13258.33482434285</v>
      </c>
      <c r="P55" s="762">
        <v>1095.7698273767892</v>
      </c>
      <c r="Q55" s="762">
        <v>0</v>
      </c>
      <c r="R55" s="762">
        <v>0</v>
      </c>
      <c r="S55" s="823">
        <v>0.34383333333333327</v>
      </c>
      <c r="T55" s="823">
        <v>0.56358896834016425</v>
      </c>
      <c r="U55" s="762">
        <f t="shared" si="2"/>
        <v>76053.112151607464</v>
      </c>
      <c r="V55" s="762">
        <f t="shared" si="3"/>
        <v>434.95100535946028</v>
      </c>
      <c r="W55" s="762">
        <f t="shared" si="4"/>
        <v>0</v>
      </c>
      <c r="X55" s="762">
        <f t="shared" si="5"/>
        <v>0</v>
      </c>
      <c r="Y55" s="758">
        <v>0.67</v>
      </c>
      <c r="Z55" s="762">
        <f t="shared" si="6"/>
        <v>5435.4441274044621</v>
      </c>
      <c r="AA55" s="762">
        <f t="shared" si="7"/>
        <v>31.085537736798273</v>
      </c>
      <c r="AB55" s="762">
        <f t="shared" si="8"/>
        <v>13258.33482434285</v>
      </c>
      <c r="AC55" s="762">
        <f t="shared" si="9"/>
        <v>1095.7698273767892</v>
      </c>
      <c r="AD55" s="762">
        <f t="shared" si="10"/>
        <v>76053.553347404173</v>
      </c>
      <c r="AE55" s="762">
        <f t="shared" si="11"/>
        <v>435.16831075187008</v>
      </c>
      <c r="AF55" s="762">
        <f t="shared" si="12"/>
        <v>13.992069528994389</v>
      </c>
      <c r="AG55" s="762">
        <f t="shared" si="13"/>
        <v>947.56067334206045</v>
      </c>
      <c r="AH55" s="762">
        <f t="shared" si="13"/>
        <v>78.31363509923483</v>
      </c>
      <c r="AI55" s="762">
        <f t="shared" si="13"/>
        <v>5435.4756592515414</v>
      </c>
      <c r="AJ55" s="762">
        <f t="shared" si="1"/>
        <v>31.101068348046272</v>
      </c>
    </row>
    <row r="56" spans="2:36">
      <c r="B56" s="723">
        <v>2024</v>
      </c>
      <c r="C56" s="723" t="s">
        <v>584</v>
      </c>
      <c r="D56" s="723" t="s">
        <v>585</v>
      </c>
      <c r="E56" s="723" t="s">
        <v>18</v>
      </c>
      <c r="F56" s="762">
        <v>0</v>
      </c>
      <c r="G56" s="762">
        <v>0</v>
      </c>
      <c r="H56" s="762">
        <v>0</v>
      </c>
      <c r="I56" s="762">
        <v>0</v>
      </c>
      <c r="J56" s="762">
        <v>0</v>
      </c>
      <c r="K56" s="762">
        <v>0</v>
      </c>
      <c r="L56" s="762">
        <v>0</v>
      </c>
      <c r="M56" s="762">
        <v>0</v>
      </c>
      <c r="N56" s="762">
        <v>0</v>
      </c>
      <c r="O56" s="762">
        <v>0</v>
      </c>
      <c r="P56" s="762">
        <v>0</v>
      </c>
      <c r="Q56" s="762">
        <v>0</v>
      </c>
      <c r="R56" s="762">
        <v>0</v>
      </c>
      <c r="S56" s="823">
        <v>0.34383333333333327</v>
      </c>
      <c r="T56" s="823">
        <v>0.56358896834016425</v>
      </c>
      <c r="U56" s="762">
        <f t="shared" si="2"/>
        <v>0</v>
      </c>
      <c r="V56" s="762">
        <f t="shared" si="3"/>
        <v>0</v>
      </c>
      <c r="W56" s="762">
        <f t="shared" si="4"/>
        <v>0</v>
      </c>
      <c r="X56" s="762">
        <f t="shared" si="5"/>
        <v>0</v>
      </c>
      <c r="Y56" s="758">
        <v>0.67</v>
      </c>
      <c r="Z56" s="762">
        <f t="shared" si="6"/>
        <v>0</v>
      </c>
      <c r="AA56" s="762">
        <f t="shared" si="7"/>
        <v>0</v>
      </c>
      <c r="AB56" s="762">
        <f t="shared" si="8"/>
        <v>0</v>
      </c>
      <c r="AC56" s="762">
        <f t="shared" si="9"/>
        <v>0</v>
      </c>
      <c r="AD56" s="762">
        <f t="shared" si="10"/>
        <v>0</v>
      </c>
      <c r="AE56" s="762">
        <f t="shared" si="11"/>
        <v>0</v>
      </c>
      <c r="AF56" s="762">
        <f t="shared" si="12"/>
        <v>1</v>
      </c>
      <c r="AG56" s="762">
        <f t="shared" si="13"/>
        <v>0</v>
      </c>
      <c r="AH56" s="762">
        <f t="shared" si="13"/>
        <v>0</v>
      </c>
      <c r="AI56" s="762">
        <f t="shared" si="13"/>
        <v>0</v>
      </c>
      <c r="AJ56" s="762">
        <f t="shared" si="1"/>
        <v>0</v>
      </c>
    </row>
    <row r="57" spans="2:36">
      <c r="B57" s="723">
        <v>2024</v>
      </c>
      <c r="C57" s="723" t="s">
        <v>606</v>
      </c>
      <c r="D57" s="723" t="s">
        <v>607</v>
      </c>
      <c r="E57" s="723" t="s">
        <v>18</v>
      </c>
      <c r="F57" s="762">
        <v>0</v>
      </c>
      <c r="G57" s="762">
        <v>0</v>
      </c>
      <c r="H57" s="762">
        <v>0</v>
      </c>
      <c r="I57" s="762">
        <v>0</v>
      </c>
      <c r="J57" s="762">
        <v>0</v>
      </c>
      <c r="K57" s="762">
        <v>0</v>
      </c>
      <c r="L57" s="762">
        <v>0</v>
      </c>
      <c r="M57" s="762">
        <v>0</v>
      </c>
      <c r="N57" s="762">
        <v>0</v>
      </c>
      <c r="O57" s="762">
        <v>0</v>
      </c>
      <c r="P57" s="762">
        <v>0</v>
      </c>
      <c r="Q57" s="762">
        <v>0</v>
      </c>
      <c r="R57" s="762">
        <v>0</v>
      </c>
      <c r="S57" s="823">
        <v>0.34383333333333327</v>
      </c>
      <c r="T57" s="823">
        <v>0.56358896834016425</v>
      </c>
      <c r="U57" s="762">
        <f t="shared" si="2"/>
        <v>0</v>
      </c>
      <c r="V57" s="762">
        <f t="shared" si="3"/>
        <v>0</v>
      </c>
      <c r="W57" s="762">
        <f t="shared" si="4"/>
        <v>0</v>
      </c>
      <c r="X57" s="762">
        <f t="shared" si="5"/>
        <v>0</v>
      </c>
      <c r="Y57" s="758">
        <v>0.67</v>
      </c>
      <c r="Z57" s="762">
        <f t="shared" si="6"/>
        <v>0</v>
      </c>
      <c r="AA57" s="762">
        <f t="shared" si="7"/>
        <v>0</v>
      </c>
      <c r="AB57" s="762">
        <f t="shared" si="8"/>
        <v>0</v>
      </c>
      <c r="AC57" s="762">
        <f t="shared" si="9"/>
        <v>0</v>
      </c>
      <c r="AD57" s="762">
        <f t="shared" si="10"/>
        <v>0</v>
      </c>
      <c r="AE57" s="762">
        <f t="shared" si="11"/>
        <v>0</v>
      </c>
      <c r="AF57" s="762">
        <f t="shared" si="12"/>
        <v>1</v>
      </c>
      <c r="AG57" s="762">
        <f t="shared" si="13"/>
        <v>0</v>
      </c>
      <c r="AH57" s="762">
        <f t="shared" si="13"/>
        <v>0</v>
      </c>
      <c r="AI57" s="762">
        <f t="shared" si="13"/>
        <v>0</v>
      </c>
      <c r="AJ57" s="762">
        <f t="shared" si="1"/>
        <v>0</v>
      </c>
    </row>
    <row r="58" spans="2:36">
      <c r="B58" s="723">
        <v>2024</v>
      </c>
      <c r="C58" s="723" t="s">
        <v>609</v>
      </c>
      <c r="D58" s="723" t="s">
        <v>610</v>
      </c>
      <c r="E58" s="723" t="s">
        <v>18</v>
      </c>
      <c r="F58" s="762">
        <v>0</v>
      </c>
      <c r="G58" s="762">
        <v>0</v>
      </c>
      <c r="H58" s="762">
        <v>0</v>
      </c>
      <c r="I58" s="762">
        <v>0</v>
      </c>
      <c r="J58" s="762">
        <v>0</v>
      </c>
      <c r="K58" s="762">
        <v>0</v>
      </c>
      <c r="L58" s="762">
        <v>0</v>
      </c>
      <c r="M58" s="762">
        <v>0</v>
      </c>
      <c r="N58" s="762">
        <v>0</v>
      </c>
      <c r="O58" s="762">
        <v>0</v>
      </c>
      <c r="P58" s="762">
        <v>0</v>
      </c>
      <c r="Q58" s="762">
        <v>0</v>
      </c>
      <c r="R58" s="762">
        <v>0</v>
      </c>
      <c r="S58" s="823">
        <v>0.34383333333333327</v>
      </c>
      <c r="T58" s="823">
        <v>0.56358896834016425</v>
      </c>
      <c r="U58" s="762">
        <f t="shared" si="2"/>
        <v>0</v>
      </c>
      <c r="V58" s="762">
        <f t="shared" si="3"/>
        <v>0</v>
      </c>
      <c r="W58" s="762">
        <f t="shared" si="4"/>
        <v>0</v>
      </c>
      <c r="X58" s="762">
        <f t="shared" si="5"/>
        <v>0</v>
      </c>
      <c r="Y58" s="758">
        <v>0.67</v>
      </c>
      <c r="Z58" s="762">
        <f t="shared" si="6"/>
        <v>0</v>
      </c>
      <c r="AA58" s="762">
        <f t="shared" si="7"/>
        <v>0</v>
      </c>
      <c r="AB58" s="762">
        <f t="shared" si="8"/>
        <v>0</v>
      </c>
      <c r="AC58" s="762">
        <f t="shared" si="9"/>
        <v>0</v>
      </c>
      <c r="AD58" s="762">
        <f t="shared" si="10"/>
        <v>0</v>
      </c>
      <c r="AE58" s="762">
        <f t="shared" si="11"/>
        <v>0</v>
      </c>
      <c r="AF58" s="762">
        <f t="shared" si="12"/>
        <v>1</v>
      </c>
      <c r="AG58" s="762">
        <f t="shared" si="13"/>
        <v>0</v>
      </c>
      <c r="AH58" s="762">
        <f t="shared" si="13"/>
        <v>0</v>
      </c>
      <c r="AI58" s="762">
        <f t="shared" si="13"/>
        <v>0</v>
      </c>
      <c r="AJ58" s="762">
        <f t="shared" si="1"/>
        <v>0</v>
      </c>
    </row>
    <row r="59" spans="2:36">
      <c r="B59" s="723">
        <v>2024</v>
      </c>
      <c r="C59" s="723" t="s">
        <v>611</v>
      </c>
      <c r="D59" s="723" t="s">
        <v>612</v>
      </c>
      <c r="E59" s="723" t="s">
        <v>18</v>
      </c>
      <c r="F59" s="762">
        <v>-18574.214840999099</v>
      </c>
      <c r="G59" s="762">
        <v>37936.818464999989</v>
      </c>
      <c r="H59" s="762">
        <v>5226.8853818999769</v>
      </c>
      <c r="I59" s="762">
        <v>0</v>
      </c>
      <c r="J59" s="762">
        <v>-191467.47301499057</v>
      </c>
      <c r="K59" s="762">
        <v>506055.19691999932</v>
      </c>
      <c r="L59" s="762">
        <v>55858.272788499577</v>
      </c>
      <c r="M59" s="762">
        <v>0</v>
      </c>
      <c r="N59" s="762">
        <v>730.37342770073906</v>
      </c>
      <c r="O59" s="762">
        <v>30586.557066029352</v>
      </c>
      <c r="P59" s="762">
        <v>154594.97517500832</v>
      </c>
      <c r="Q59" s="762">
        <v>0</v>
      </c>
      <c r="R59" s="762">
        <v>0</v>
      </c>
      <c r="S59" s="823">
        <v>0.34383333333333327</v>
      </c>
      <c r="T59" s="823">
        <v>0.56358896834016425</v>
      </c>
      <c r="U59" s="762">
        <f t="shared" si="2"/>
        <v>-65832.899471654251</v>
      </c>
      <c r="V59" s="762">
        <f t="shared" si="3"/>
        <v>31481.106334133947</v>
      </c>
      <c r="W59" s="762">
        <f t="shared" si="4"/>
        <v>173998.64520765972</v>
      </c>
      <c r="X59" s="762">
        <f t="shared" si="5"/>
        <v>0</v>
      </c>
      <c r="Y59" s="758">
        <v>0.67</v>
      </c>
      <c r="Z59" s="762">
        <f t="shared" si="6"/>
        <v>-22332.843882373436</v>
      </c>
      <c r="AA59" s="762">
        <f t="shared" si="7"/>
        <v>2931.485238710768</v>
      </c>
      <c r="AB59" s="762">
        <f t="shared" si="8"/>
        <v>204585.20227368906</v>
      </c>
      <c r="AC59" s="762">
        <f t="shared" si="9"/>
        <v>154594.97517500832</v>
      </c>
      <c r="AD59" s="762">
        <f t="shared" si="10"/>
        <v>-65343.549275094752</v>
      </c>
      <c r="AE59" s="762">
        <f t="shared" si="11"/>
        <v>31722.129565275191</v>
      </c>
      <c r="AF59" s="762">
        <f t="shared" si="12"/>
        <v>10.738961233173038</v>
      </c>
      <c r="AG59" s="762">
        <f t="shared" si="13"/>
        <v>19050.744092614656</v>
      </c>
      <c r="AH59" s="762">
        <f t="shared" si="13"/>
        <v>14395.71033159696</v>
      </c>
      <c r="AI59" s="762">
        <f t="shared" si="13"/>
        <v>-6084.7178657509421</v>
      </c>
      <c r="AJ59" s="762">
        <f t="shared" si="1"/>
        <v>2953.9290510970827</v>
      </c>
    </row>
    <row r="60" spans="2:36">
      <c r="B60" s="723">
        <v>2024</v>
      </c>
      <c r="C60" s="723" t="s">
        <v>615</v>
      </c>
      <c r="D60" s="723" t="s">
        <v>616</v>
      </c>
      <c r="E60" s="723" t="s">
        <v>18</v>
      </c>
      <c r="F60" s="762">
        <v>0</v>
      </c>
      <c r="G60" s="762">
        <v>0</v>
      </c>
      <c r="H60" s="762">
        <v>0</v>
      </c>
      <c r="I60" s="762">
        <v>0</v>
      </c>
      <c r="J60" s="762">
        <v>0</v>
      </c>
      <c r="K60" s="762">
        <v>0</v>
      </c>
      <c r="L60" s="762">
        <v>0</v>
      </c>
      <c r="M60" s="762">
        <v>0</v>
      </c>
      <c r="N60" s="762">
        <v>0</v>
      </c>
      <c r="O60" s="762">
        <v>0</v>
      </c>
      <c r="P60" s="762">
        <v>0</v>
      </c>
      <c r="Q60" s="762">
        <v>0</v>
      </c>
      <c r="R60" s="762">
        <v>0</v>
      </c>
      <c r="S60" s="823">
        <v>0.34383333333333327</v>
      </c>
      <c r="T60" s="823">
        <v>0.56358896834016425</v>
      </c>
      <c r="U60" s="762">
        <f t="shared" si="2"/>
        <v>0</v>
      </c>
      <c r="V60" s="762">
        <f t="shared" si="3"/>
        <v>0</v>
      </c>
      <c r="W60" s="762">
        <f t="shared" si="4"/>
        <v>0</v>
      </c>
      <c r="X60" s="762">
        <f t="shared" si="5"/>
        <v>0</v>
      </c>
      <c r="Y60" s="758">
        <v>0.67</v>
      </c>
      <c r="Z60" s="762">
        <f t="shared" si="6"/>
        <v>0</v>
      </c>
      <c r="AA60" s="762">
        <f t="shared" si="7"/>
        <v>0</v>
      </c>
      <c r="AB60" s="762">
        <f t="shared" si="8"/>
        <v>0</v>
      </c>
      <c r="AC60" s="762">
        <f t="shared" si="9"/>
        <v>0</v>
      </c>
      <c r="AD60" s="762">
        <f t="shared" si="10"/>
        <v>0</v>
      </c>
      <c r="AE60" s="762">
        <f t="shared" si="11"/>
        <v>0</v>
      </c>
      <c r="AF60" s="762">
        <f t="shared" si="12"/>
        <v>1</v>
      </c>
      <c r="AG60" s="762">
        <f t="shared" si="13"/>
        <v>0</v>
      </c>
      <c r="AH60" s="762">
        <f t="shared" si="13"/>
        <v>0</v>
      </c>
      <c r="AI60" s="762">
        <f t="shared" si="13"/>
        <v>0</v>
      </c>
      <c r="AJ60" s="762">
        <f t="shared" si="1"/>
        <v>0</v>
      </c>
    </row>
    <row r="61" spans="2:36">
      <c r="B61" s="723">
        <v>2024</v>
      </c>
      <c r="C61" s="723" t="s">
        <v>1430</v>
      </c>
      <c r="D61" s="723" t="s">
        <v>1431</v>
      </c>
      <c r="E61" s="723" t="s">
        <v>18</v>
      </c>
      <c r="F61" s="762">
        <v>0</v>
      </c>
      <c r="G61" s="762">
        <v>0</v>
      </c>
      <c r="H61" s="762">
        <v>0</v>
      </c>
      <c r="I61" s="762">
        <v>0</v>
      </c>
      <c r="J61" s="762">
        <v>0</v>
      </c>
      <c r="K61" s="762">
        <v>0</v>
      </c>
      <c r="L61" s="762">
        <v>0</v>
      </c>
      <c r="M61" s="762">
        <v>0</v>
      </c>
      <c r="N61" s="762">
        <v>0</v>
      </c>
      <c r="O61" s="762">
        <v>0</v>
      </c>
      <c r="P61" s="762">
        <v>0</v>
      </c>
      <c r="Q61" s="762">
        <v>0</v>
      </c>
      <c r="R61" s="762">
        <v>0</v>
      </c>
      <c r="S61" s="823">
        <v>0.34383333333333327</v>
      </c>
      <c r="T61" s="823">
        <v>0.56358896834016425</v>
      </c>
      <c r="U61" s="762">
        <f t="shared" si="2"/>
        <v>0</v>
      </c>
      <c r="V61" s="762">
        <f t="shared" si="3"/>
        <v>0</v>
      </c>
      <c r="W61" s="762">
        <f t="shared" si="4"/>
        <v>0</v>
      </c>
      <c r="X61" s="762">
        <f t="shared" si="5"/>
        <v>0</v>
      </c>
      <c r="Y61" s="758">
        <v>0.67</v>
      </c>
      <c r="Z61" s="762">
        <f t="shared" si="6"/>
        <v>0</v>
      </c>
      <c r="AA61" s="762">
        <f t="shared" si="7"/>
        <v>0</v>
      </c>
      <c r="AB61" s="762">
        <f t="shared" si="8"/>
        <v>0</v>
      </c>
      <c r="AC61" s="762">
        <f t="shared" si="9"/>
        <v>0</v>
      </c>
      <c r="AD61" s="762">
        <f t="shared" si="10"/>
        <v>0</v>
      </c>
      <c r="AE61" s="762">
        <f t="shared" si="11"/>
        <v>0</v>
      </c>
      <c r="AF61" s="762">
        <f t="shared" si="12"/>
        <v>1</v>
      </c>
      <c r="AG61" s="762">
        <f t="shared" si="13"/>
        <v>0</v>
      </c>
      <c r="AH61" s="762">
        <f t="shared" si="13"/>
        <v>0</v>
      </c>
      <c r="AI61" s="762">
        <f t="shared" si="13"/>
        <v>0</v>
      </c>
      <c r="AJ61" s="762">
        <f t="shared" si="1"/>
        <v>0</v>
      </c>
    </row>
    <row r="62" spans="2:36">
      <c r="B62" s="723">
        <v>2024</v>
      </c>
      <c r="C62" s="723" t="s">
        <v>1432</v>
      </c>
      <c r="D62" s="723" t="s">
        <v>1433</v>
      </c>
      <c r="E62" s="723" t="s">
        <v>18</v>
      </c>
      <c r="F62" s="762">
        <v>79539.657106026774</v>
      </c>
      <c r="G62" s="762">
        <v>651446.2363499999</v>
      </c>
      <c r="H62" s="762">
        <v>6880.0662479982857</v>
      </c>
      <c r="I62" s="762">
        <v>0</v>
      </c>
      <c r="J62" s="762">
        <v>740284.13882151432</v>
      </c>
      <c r="K62" s="762">
        <v>6514462.3634999916</v>
      </c>
      <c r="L62" s="762">
        <v>63326.392456691246</v>
      </c>
      <c r="M62" s="762">
        <v>0</v>
      </c>
      <c r="N62" s="762">
        <v>11304.521505692945</v>
      </c>
      <c r="O62" s="762">
        <v>106879.85219855508</v>
      </c>
      <c r="P62" s="762">
        <v>1442645.9594155441</v>
      </c>
      <c r="Q62" s="762">
        <v>0</v>
      </c>
      <c r="R62" s="762">
        <v>0</v>
      </c>
      <c r="S62" s="823">
        <v>0.34383333333333327</v>
      </c>
      <c r="T62" s="823">
        <v>0.56358896834016425</v>
      </c>
      <c r="U62" s="762">
        <f t="shared" si="2"/>
        <v>254534.3630647973</v>
      </c>
      <c r="V62" s="762">
        <f t="shared" si="3"/>
        <v>35690.056193370976</v>
      </c>
      <c r="W62" s="762">
        <f t="shared" si="4"/>
        <v>2239889.3093167469</v>
      </c>
      <c r="X62" s="762">
        <f t="shared" si="5"/>
        <v>0</v>
      </c>
      <c r="Y62" s="758">
        <v>0.67</v>
      </c>
      <c r="Z62" s="762">
        <f t="shared" si="6"/>
        <v>-215018.64693732068</v>
      </c>
      <c r="AA62" s="762">
        <f t="shared" si="7"/>
        <v>3865.3176885589019</v>
      </c>
      <c r="AB62" s="762">
        <f t="shared" si="8"/>
        <v>2346769.161515302</v>
      </c>
      <c r="AC62" s="762">
        <f t="shared" si="9"/>
        <v>1442645.9594155441</v>
      </c>
      <c r="AD62" s="762">
        <f t="shared" si="10"/>
        <v>262108.39247361157</v>
      </c>
      <c r="AE62" s="762">
        <f t="shared" si="11"/>
        <v>39420.548290249644</v>
      </c>
      <c r="AF62" s="762">
        <f t="shared" si="12"/>
        <v>9.2334082393825749</v>
      </c>
      <c r="AG62" s="762">
        <f t="shared" si="13"/>
        <v>254160.66317806687</v>
      </c>
      <c r="AH62" s="762">
        <f t="shared" si="13"/>
        <v>156241.9771783005</v>
      </c>
      <c r="AI62" s="762">
        <f t="shared" si="13"/>
        <v>28386.960229448101</v>
      </c>
      <c r="AJ62" s="762">
        <f t="shared" si="1"/>
        <v>4269.3388257341521</v>
      </c>
    </row>
    <row r="63" spans="2:36">
      <c r="B63" s="723">
        <v>2024</v>
      </c>
      <c r="C63" s="723" t="s">
        <v>1434</v>
      </c>
      <c r="D63" s="723" t="s">
        <v>1435</v>
      </c>
      <c r="E63" s="723" t="s">
        <v>18</v>
      </c>
      <c r="F63" s="762">
        <v>0</v>
      </c>
      <c r="G63" s="762">
        <v>0</v>
      </c>
      <c r="H63" s="762">
        <v>0</v>
      </c>
      <c r="I63" s="762">
        <v>0</v>
      </c>
      <c r="J63" s="762">
        <v>0</v>
      </c>
      <c r="K63" s="762">
        <v>0</v>
      </c>
      <c r="L63" s="762">
        <v>0</v>
      </c>
      <c r="M63" s="762">
        <v>0</v>
      </c>
      <c r="N63" s="762">
        <v>0</v>
      </c>
      <c r="O63" s="762">
        <v>0</v>
      </c>
      <c r="P63" s="762">
        <v>0</v>
      </c>
      <c r="Q63" s="762">
        <v>0</v>
      </c>
      <c r="R63" s="762">
        <v>0</v>
      </c>
      <c r="S63" s="823">
        <v>0.34383333333333327</v>
      </c>
      <c r="T63" s="823">
        <v>0.56358896834016425</v>
      </c>
      <c r="U63" s="762">
        <f t="shared" si="2"/>
        <v>0</v>
      </c>
      <c r="V63" s="762">
        <f t="shared" si="3"/>
        <v>0</v>
      </c>
      <c r="W63" s="762">
        <f t="shared" si="4"/>
        <v>0</v>
      </c>
      <c r="X63" s="762">
        <f t="shared" si="5"/>
        <v>0</v>
      </c>
      <c r="Y63" s="758">
        <v>0.67</v>
      </c>
      <c r="Z63" s="762">
        <f t="shared" si="6"/>
        <v>0</v>
      </c>
      <c r="AA63" s="762">
        <f t="shared" si="7"/>
        <v>0</v>
      </c>
      <c r="AB63" s="762">
        <f t="shared" si="8"/>
        <v>0</v>
      </c>
      <c r="AC63" s="762">
        <f t="shared" si="9"/>
        <v>0</v>
      </c>
      <c r="AD63" s="762">
        <f t="shared" si="10"/>
        <v>0</v>
      </c>
      <c r="AE63" s="762">
        <f t="shared" si="11"/>
        <v>0</v>
      </c>
      <c r="AF63" s="762">
        <f t="shared" si="12"/>
        <v>1</v>
      </c>
      <c r="AG63" s="762">
        <f t="shared" si="13"/>
        <v>0</v>
      </c>
      <c r="AH63" s="762">
        <f t="shared" si="13"/>
        <v>0</v>
      </c>
      <c r="AI63" s="762">
        <f t="shared" si="13"/>
        <v>0</v>
      </c>
      <c r="AJ63" s="762">
        <f t="shared" si="1"/>
        <v>0</v>
      </c>
    </row>
    <row r="64" spans="2:36">
      <c r="B64" s="723">
        <v>2024</v>
      </c>
      <c r="C64" s="723" t="s">
        <v>1436</v>
      </c>
      <c r="D64" s="723" t="s">
        <v>1437</v>
      </c>
      <c r="E64" s="723" t="s">
        <v>27</v>
      </c>
      <c r="F64" s="762">
        <v>0</v>
      </c>
      <c r="G64" s="762">
        <v>0</v>
      </c>
      <c r="H64" s="762">
        <v>0</v>
      </c>
      <c r="I64" s="762">
        <v>0</v>
      </c>
      <c r="J64" s="762">
        <v>0</v>
      </c>
      <c r="K64" s="762">
        <v>0</v>
      </c>
      <c r="L64" s="762">
        <v>0</v>
      </c>
      <c r="M64" s="762">
        <v>0</v>
      </c>
      <c r="N64" s="762">
        <v>0</v>
      </c>
      <c r="O64" s="762">
        <v>0</v>
      </c>
      <c r="P64" s="762">
        <v>0</v>
      </c>
      <c r="Q64" s="762">
        <v>0</v>
      </c>
      <c r="R64" s="762">
        <v>0</v>
      </c>
      <c r="S64" s="823">
        <v>0.34503333333333325</v>
      </c>
      <c r="T64" s="823">
        <v>0.70556354610838379</v>
      </c>
      <c r="U64" s="762">
        <f t="shared" si="2"/>
        <v>0</v>
      </c>
      <c r="V64" s="762">
        <f t="shared" si="3"/>
        <v>0</v>
      </c>
      <c r="W64" s="762">
        <f t="shared" si="4"/>
        <v>0</v>
      </c>
      <c r="X64" s="762">
        <f t="shared" si="5"/>
        <v>0</v>
      </c>
      <c r="Y64" s="758">
        <v>0.67</v>
      </c>
      <c r="Z64" s="762">
        <f t="shared" si="6"/>
        <v>0</v>
      </c>
      <c r="AA64" s="762">
        <f t="shared" si="7"/>
        <v>0</v>
      </c>
      <c r="AB64" s="762">
        <f t="shared" si="8"/>
        <v>0</v>
      </c>
      <c r="AC64" s="762">
        <f t="shared" si="9"/>
        <v>0</v>
      </c>
      <c r="AD64" s="762">
        <f t="shared" si="10"/>
        <v>0</v>
      </c>
      <c r="AE64" s="762">
        <f t="shared" si="11"/>
        <v>0</v>
      </c>
      <c r="AF64" s="762">
        <f t="shared" si="12"/>
        <v>1</v>
      </c>
      <c r="AG64" s="762">
        <f t="shared" si="13"/>
        <v>0</v>
      </c>
      <c r="AH64" s="762">
        <f t="shared" si="13"/>
        <v>0</v>
      </c>
      <c r="AI64" s="762">
        <f t="shared" si="13"/>
        <v>0</v>
      </c>
      <c r="AJ64" s="762">
        <f t="shared" si="1"/>
        <v>0</v>
      </c>
    </row>
    <row r="65" spans="2:36">
      <c r="B65" s="723">
        <v>2024</v>
      </c>
      <c r="C65" s="723" t="s">
        <v>539</v>
      </c>
      <c r="D65" s="723" t="s">
        <v>540</v>
      </c>
      <c r="E65" s="723" t="s">
        <v>230</v>
      </c>
      <c r="F65" s="762">
        <v>0</v>
      </c>
      <c r="G65" s="762">
        <v>0</v>
      </c>
      <c r="H65" s="762">
        <v>0</v>
      </c>
      <c r="I65" s="762">
        <v>0</v>
      </c>
      <c r="J65" s="762">
        <v>0</v>
      </c>
      <c r="K65" s="762">
        <v>0</v>
      </c>
      <c r="L65" s="762">
        <v>0</v>
      </c>
      <c r="M65" s="762">
        <v>0</v>
      </c>
      <c r="N65" s="762">
        <v>0</v>
      </c>
      <c r="O65" s="762">
        <v>0</v>
      </c>
      <c r="P65" s="762">
        <v>0</v>
      </c>
      <c r="Q65" s="762">
        <v>0</v>
      </c>
      <c r="R65" s="762">
        <v>0</v>
      </c>
      <c r="S65" s="823">
        <v>0.32888999999999996</v>
      </c>
      <c r="T65" s="823">
        <v>0.4428334525017909</v>
      </c>
      <c r="U65" s="762">
        <f t="shared" si="2"/>
        <v>0</v>
      </c>
      <c r="V65" s="762">
        <f t="shared" si="3"/>
        <v>0</v>
      </c>
      <c r="W65" s="762">
        <f t="shared" si="4"/>
        <v>0</v>
      </c>
      <c r="X65" s="762">
        <f t="shared" si="5"/>
        <v>0</v>
      </c>
      <c r="Y65" s="758">
        <v>0.67</v>
      </c>
      <c r="Z65" s="762">
        <f t="shared" si="6"/>
        <v>0</v>
      </c>
      <c r="AA65" s="762">
        <f t="shared" si="7"/>
        <v>0</v>
      </c>
      <c r="AB65" s="762">
        <f t="shared" si="8"/>
        <v>0</v>
      </c>
      <c r="AC65" s="762">
        <f t="shared" si="9"/>
        <v>0</v>
      </c>
      <c r="AD65" s="762">
        <f t="shared" si="10"/>
        <v>0</v>
      </c>
      <c r="AE65" s="762">
        <f t="shared" si="11"/>
        <v>0</v>
      </c>
      <c r="AF65" s="762">
        <f t="shared" si="12"/>
        <v>1</v>
      </c>
      <c r="AG65" s="762">
        <f t="shared" si="13"/>
        <v>0</v>
      </c>
      <c r="AH65" s="762">
        <f t="shared" si="13"/>
        <v>0</v>
      </c>
      <c r="AI65" s="762">
        <f t="shared" si="13"/>
        <v>0</v>
      </c>
      <c r="AJ65" s="762">
        <f t="shared" si="1"/>
        <v>0</v>
      </c>
    </row>
    <row r="66" spans="2:36">
      <c r="B66" s="723">
        <v>2024</v>
      </c>
      <c r="C66" s="723" t="s">
        <v>543</v>
      </c>
      <c r="D66" s="723" t="s">
        <v>544</v>
      </c>
      <c r="E66" s="723" t="s">
        <v>230</v>
      </c>
      <c r="F66" s="762">
        <v>0</v>
      </c>
      <c r="G66" s="762">
        <v>0</v>
      </c>
      <c r="H66" s="762">
        <v>0</v>
      </c>
      <c r="I66" s="762">
        <v>0</v>
      </c>
      <c r="J66" s="762">
        <v>0</v>
      </c>
      <c r="K66" s="762">
        <v>0</v>
      </c>
      <c r="L66" s="762">
        <v>0</v>
      </c>
      <c r="M66" s="762">
        <v>0</v>
      </c>
      <c r="N66" s="762">
        <v>0</v>
      </c>
      <c r="O66" s="762">
        <v>0</v>
      </c>
      <c r="P66" s="762">
        <v>0</v>
      </c>
      <c r="Q66" s="762">
        <v>0</v>
      </c>
      <c r="R66" s="762">
        <v>0</v>
      </c>
      <c r="S66" s="823">
        <v>0.32888999999999996</v>
      </c>
      <c r="T66" s="823">
        <v>0.4428334525017909</v>
      </c>
      <c r="U66" s="762">
        <f t="shared" si="2"/>
        <v>0</v>
      </c>
      <c r="V66" s="762">
        <f t="shared" si="3"/>
        <v>0</v>
      </c>
      <c r="W66" s="762">
        <f t="shared" si="4"/>
        <v>0</v>
      </c>
      <c r="X66" s="762">
        <f t="shared" si="5"/>
        <v>0</v>
      </c>
      <c r="Y66" s="758">
        <v>0.67</v>
      </c>
      <c r="Z66" s="762">
        <f t="shared" si="6"/>
        <v>0</v>
      </c>
      <c r="AA66" s="762">
        <f t="shared" si="7"/>
        <v>0</v>
      </c>
      <c r="AB66" s="762">
        <f t="shared" si="8"/>
        <v>0</v>
      </c>
      <c r="AC66" s="762">
        <f t="shared" si="9"/>
        <v>0</v>
      </c>
      <c r="AD66" s="762">
        <f t="shared" si="10"/>
        <v>0</v>
      </c>
      <c r="AE66" s="762">
        <f t="shared" si="11"/>
        <v>0</v>
      </c>
      <c r="AF66" s="762">
        <f t="shared" si="12"/>
        <v>1</v>
      </c>
      <c r="AG66" s="762">
        <f t="shared" si="13"/>
        <v>0</v>
      </c>
      <c r="AH66" s="762">
        <f t="shared" si="13"/>
        <v>0</v>
      </c>
      <c r="AI66" s="762">
        <f t="shared" si="13"/>
        <v>0</v>
      </c>
      <c r="AJ66" s="762">
        <f t="shared" si="1"/>
        <v>0</v>
      </c>
    </row>
    <row r="67" spans="2:36">
      <c r="B67" s="723">
        <v>2024</v>
      </c>
      <c r="C67" s="723" t="s">
        <v>545</v>
      </c>
      <c r="D67" s="723" t="s">
        <v>546</v>
      </c>
      <c r="E67" s="723" t="s">
        <v>230</v>
      </c>
      <c r="F67" s="762">
        <v>0</v>
      </c>
      <c r="G67" s="762">
        <v>0</v>
      </c>
      <c r="H67" s="762">
        <v>0</v>
      </c>
      <c r="I67" s="762">
        <v>0</v>
      </c>
      <c r="J67" s="762">
        <v>0</v>
      </c>
      <c r="K67" s="762">
        <v>0</v>
      </c>
      <c r="L67" s="762">
        <v>0</v>
      </c>
      <c r="M67" s="762">
        <v>0</v>
      </c>
      <c r="N67" s="762">
        <v>0</v>
      </c>
      <c r="O67" s="762">
        <v>0</v>
      </c>
      <c r="P67" s="762">
        <v>0</v>
      </c>
      <c r="Q67" s="762">
        <v>0</v>
      </c>
      <c r="R67" s="762">
        <v>0</v>
      </c>
      <c r="S67" s="823">
        <v>0.32888999999999996</v>
      </c>
      <c r="T67" s="823">
        <v>0.4428334525017909</v>
      </c>
      <c r="U67" s="762">
        <f t="shared" si="2"/>
        <v>0</v>
      </c>
      <c r="V67" s="762">
        <f t="shared" si="3"/>
        <v>0</v>
      </c>
      <c r="W67" s="762">
        <f t="shared" si="4"/>
        <v>0</v>
      </c>
      <c r="X67" s="762">
        <f t="shared" si="5"/>
        <v>0</v>
      </c>
      <c r="Y67" s="758">
        <v>0.67</v>
      </c>
      <c r="Z67" s="762">
        <f t="shared" si="6"/>
        <v>0</v>
      </c>
      <c r="AA67" s="762">
        <f t="shared" si="7"/>
        <v>0</v>
      </c>
      <c r="AB67" s="762">
        <f t="shared" si="8"/>
        <v>0</v>
      </c>
      <c r="AC67" s="762">
        <f t="shared" si="9"/>
        <v>0</v>
      </c>
      <c r="AD67" s="762">
        <f t="shared" si="10"/>
        <v>0</v>
      </c>
      <c r="AE67" s="762">
        <f t="shared" si="11"/>
        <v>0</v>
      </c>
      <c r="AF67" s="762">
        <f t="shared" si="12"/>
        <v>1</v>
      </c>
      <c r="AG67" s="762">
        <f t="shared" si="13"/>
        <v>0</v>
      </c>
      <c r="AH67" s="762">
        <f t="shared" si="13"/>
        <v>0</v>
      </c>
      <c r="AI67" s="762">
        <f t="shared" si="13"/>
        <v>0</v>
      </c>
      <c r="AJ67" s="762">
        <f t="shared" si="1"/>
        <v>0</v>
      </c>
    </row>
    <row r="68" spans="2:36">
      <c r="B68" s="723">
        <v>2024</v>
      </c>
      <c r="C68" s="723" t="s">
        <v>548</v>
      </c>
      <c r="D68" s="723" t="s">
        <v>549</v>
      </c>
      <c r="E68" s="723" t="s">
        <v>230</v>
      </c>
      <c r="F68" s="762">
        <v>0</v>
      </c>
      <c r="G68" s="762">
        <v>0</v>
      </c>
      <c r="H68" s="762">
        <v>0</v>
      </c>
      <c r="I68" s="762">
        <v>0</v>
      </c>
      <c r="J68" s="762">
        <v>0</v>
      </c>
      <c r="K68" s="762">
        <v>0</v>
      </c>
      <c r="L68" s="762">
        <v>0</v>
      </c>
      <c r="M68" s="762">
        <v>0</v>
      </c>
      <c r="N68" s="762">
        <v>0</v>
      </c>
      <c r="O68" s="762">
        <v>0</v>
      </c>
      <c r="P68" s="762">
        <v>0</v>
      </c>
      <c r="Q68" s="762">
        <v>0</v>
      </c>
      <c r="R68" s="762">
        <v>0</v>
      </c>
      <c r="S68" s="823">
        <v>0.32888999999999996</v>
      </c>
      <c r="T68" s="823">
        <v>0.4428334525017909</v>
      </c>
      <c r="U68" s="762">
        <f t="shared" si="2"/>
        <v>0</v>
      </c>
      <c r="V68" s="762">
        <f t="shared" si="3"/>
        <v>0</v>
      </c>
      <c r="W68" s="762">
        <f t="shared" si="4"/>
        <v>0</v>
      </c>
      <c r="X68" s="762">
        <f t="shared" si="5"/>
        <v>0</v>
      </c>
      <c r="Y68" s="758">
        <v>0.67</v>
      </c>
      <c r="Z68" s="762">
        <f t="shared" si="6"/>
        <v>0</v>
      </c>
      <c r="AA68" s="762">
        <f t="shared" si="7"/>
        <v>0</v>
      </c>
      <c r="AB68" s="762">
        <f t="shared" si="8"/>
        <v>0</v>
      </c>
      <c r="AC68" s="762">
        <f t="shared" si="9"/>
        <v>0</v>
      </c>
      <c r="AD68" s="762">
        <f t="shared" si="10"/>
        <v>0</v>
      </c>
      <c r="AE68" s="762">
        <f t="shared" si="11"/>
        <v>0</v>
      </c>
      <c r="AF68" s="762">
        <f t="shared" si="12"/>
        <v>1</v>
      </c>
      <c r="AG68" s="762">
        <f t="shared" si="13"/>
        <v>0</v>
      </c>
      <c r="AH68" s="762">
        <f t="shared" si="13"/>
        <v>0</v>
      </c>
      <c r="AI68" s="762">
        <f t="shared" si="13"/>
        <v>0</v>
      </c>
      <c r="AJ68" s="762">
        <f t="shared" si="1"/>
        <v>0</v>
      </c>
    </row>
    <row r="69" spans="2:36">
      <c r="B69" s="723">
        <v>2024</v>
      </c>
      <c r="C69" s="723" t="s">
        <v>1438</v>
      </c>
      <c r="D69" s="723" t="s">
        <v>1439</v>
      </c>
      <c r="E69" s="723" t="s">
        <v>45</v>
      </c>
      <c r="F69" s="762">
        <v>42018.171331500009</v>
      </c>
      <c r="G69" s="762">
        <v>0</v>
      </c>
      <c r="H69" s="762">
        <v>827.30696400000011</v>
      </c>
      <c r="I69" s="762">
        <v>0</v>
      </c>
      <c r="J69" s="762">
        <v>135928.17324450001</v>
      </c>
      <c r="K69" s="762">
        <v>0</v>
      </c>
      <c r="L69" s="762">
        <v>16281.836604</v>
      </c>
      <c r="M69" s="762">
        <v>0</v>
      </c>
      <c r="N69" s="762">
        <v>11.367912248040314</v>
      </c>
      <c r="O69" s="762">
        <v>12631.898569164285</v>
      </c>
      <c r="P69" s="762">
        <v>15292.687471449299</v>
      </c>
      <c r="Q69" s="762">
        <v>0</v>
      </c>
      <c r="R69" s="762">
        <v>0</v>
      </c>
      <c r="S69" s="823">
        <v>0.32019166666666671</v>
      </c>
      <c r="T69" s="823">
        <v>5.9347843056824626E-2</v>
      </c>
      <c r="U69" s="762">
        <f t="shared" si="2"/>
        <v>43523.068338111872</v>
      </c>
      <c r="V69" s="762">
        <f t="shared" si="3"/>
        <v>966.29188345105445</v>
      </c>
      <c r="W69" s="762">
        <f t="shared" si="4"/>
        <v>0</v>
      </c>
      <c r="X69" s="762">
        <f t="shared" si="5"/>
        <v>0</v>
      </c>
      <c r="Y69" s="758">
        <v>0.67</v>
      </c>
      <c r="Z69" s="762">
        <f t="shared" si="6"/>
        <v>4704.4440566563253</v>
      </c>
      <c r="AA69" s="762">
        <f t="shared" si="7"/>
        <v>104.44728006724375</v>
      </c>
      <c r="AB69" s="762">
        <f t="shared" si="8"/>
        <v>12631.898569164285</v>
      </c>
      <c r="AC69" s="762">
        <f t="shared" si="9"/>
        <v>15292.687471449299</v>
      </c>
      <c r="AD69" s="762">
        <f t="shared" si="10"/>
        <v>43530.684839318063</v>
      </c>
      <c r="AE69" s="762">
        <f t="shared" si="11"/>
        <v>970.04329449290776</v>
      </c>
      <c r="AF69" s="762">
        <f t="shared" si="12"/>
        <v>9.2514796252133156</v>
      </c>
      <c r="AG69" s="762">
        <f t="shared" si="13"/>
        <v>1365.3922486883307</v>
      </c>
      <c r="AH69" s="762">
        <f t="shared" si="13"/>
        <v>1652.9990975467006</v>
      </c>
      <c r="AI69" s="762">
        <f t="shared" si="13"/>
        <v>4705.2673305016715</v>
      </c>
      <c r="AJ69" s="762">
        <f t="shared" si="1"/>
        <v>104.85277315524986</v>
      </c>
    </row>
    <row r="70" spans="2:36">
      <c r="B70" s="723">
        <v>2024</v>
      </c>
      <c r="C70" s="723" t="s">
        <v>1440</v>
      </c>
      <c r="D70" s="723" t="s">
        <v>1441</v>
      </c>
      <c r="E70" s="723" t="s">
        <v>45</v>
      </c>
      <c r="F70" s="762">
        <v>0</v>
      </c>
      <c r="G70" s="762">
        <v>0</v>
      </c>
      <c r="H70" s="762">
        <v>0</v>
      </c>
      <c r="I70" s="762">
        <v>0</v>
      </c>
      <c r="J70" s="762">
        <v>0</v>
      </c>
      <c r="K70" s="762">
        <v>0</v>
      </c>
      <c r="L70" s="762">
        <v>0</v>
      </c>
      <c r="M70" s="762">
        <v>0</v>
      </c>
      <c r="N70" s="762">
        <v>0</v>
      </c>
      <c r="O70" s="762">
        <v>0</v>
      </c>
      <c r="P70" s="762">
        <v>0</v>
      </c>
      <c r="Q70" s="762">
        <v>0</v>
      </c>
      <c r="R70" s="762">
        <v>0</v>
      </c>
      <c r="S70" s="823">
        <v>0.32019166666666671</v>
      </c>
      <c r="T70" s="823">
        <v>5.9347843056824626E-2</v>
      </c>
      <c r="U70" s="762">
        <f t="shared" si="2"/>
        <v>0</v>
      </c>
      <c r="V70" s="762">
        <f t="shared" si="3"/>
        <v>0</v>
      </c>
      <c r="W70" s="762">
        <f t="shared" si="4"/>
        <v>0</v>
      </c>
      <c r="X70" s="762">
        <f t="shared" si="5"/>
        <v>0</v>
      </c>
      <c r="Y70" s="758">
        <v>0.67</v>
      </c>
      <c r="Z70" s="762">
        <f t="shared" si="6"/>
        <v>0</v>
      </c>
      <c r="AA70" s="762">
        <f t="shared" si="7"/>
        <v>0</v>
      </c>
      <c r="AB70" s="762">
        <f t="shared" si="8"/>
        <v>0</v>
      </c>
      <c r="AC70" s="762">
        <f t="shared" si="9"/>
        <v>0</v>
      </c>
      <c r="AD70" s="762">
        <f t="shared" si="10"/>
        <v>0</v>
      </c>
      <c r="AE70" s="762">
        <f t="shared" si="11"/>
        <v>0</v>
      </c>
      <c r="AF70" s="762">
        <f t="shared" si="12"/>
        <v>1</v>
      </c>
      <c r="AG70" s="762">
        <f t="shared" si="13"/>
        <v>0</v>
      </c>
      <c r="AH70" s="762">
        <f t="shared" si="13"/>
        <v>0</v>
      </c>
      <c r="AI70" s="762">
        <f t="shared" si="13"/>
        <v>0</v>
      </c>
      <c r="AJ70" s="762">
        <f t="shared" si="1"/>
        <v>0</v>
      </c>
    </row>
    <row r="71" spans="2:36">
      <c r="B71" s="723">
        <v>2024</v>
      </c>
      <c r="C71" s="723" t="s">
        <v>1442</v>
      </c>
      <c r="D71" s="723" t="s">
        <v>1443</v>
      </c>
      <c r="E71" s="723" t="s">
        <v>27</v>
      </c>
      <c r="F71" s="762">
        <v>410888.65499999997</v>
      </c>
      <c r="G71" s="762">
        <v>0</v>
      </c>
      <c r="H71" s="762">
        <v>4836.1950000000006</v>
      </c>
      <c r="I71" s="762">
        <v>0</v>
      </c>
      <c r="J71" s="762">
        <v>5457040.0199999986</v>
      </c>
      <c r="K71" s="762">
        <v>0</v>
      </c>
      <c r="L71" s="762">
        <v>83642.264999999999</v>
      </c>
      <c r="M71" s="762">
        <v>0</v>
      </c>
      <c r="N71" s="762">
        <v>22.506432808258442</v>
      </c>
      <c r="O71" s="762">
        <v>423743.70004883269</v>
      </c>
      <c r="P71" s="762">
        <v>117445.9563812368</v>
      </c>
      <c r="Q71" s="762">
        <v>0</v>
      </c>
      <c r="R71" s="762">
        <v>0</v>
      </c>
      <c r="S71" s="823">
        <v>0.34503333333333325</v>
      </c>
      <c r="T71" s="823">
        <v>0.70556354610838379</v>
      </c>
      <c r="U71" s="762">
        <f t="shared" si="2"/>
        <v>1882860.7082339991</v>
      </c>
      <c r="V71" s="762">
        <f t="shared" si="3"/>
        <v>59014.933097937152</v>
      </c>
      <c r="W71" s="762">
        <f t="shared" si="4"/>
        <v>0</v>
      </c>
      <c r="X71" s="762">
        <f t="shared" si="5"/>
        <v>0</v>
      </c>
      <c r="Y71" s="758">
        <v>0.67</v>
      </c>
      <c r="Z71" s="762">
        <f t="shared" si="6"/>
        <v>131573.09076081359</v>
      </c>
      <c r="AA71" s="762">
        <f t="shared" si="7"/>
        <v>4123.925426231388</v>
      </c>
      <c r="AB71" s="762">
        <f t="shared" si="8"/>
        <v>423743.70004883269</v>
      </c>
      <c r="AC71" s="762">
        <f t="shared" si="9"/>
        <v>117445.9563812368</v>
      </c>
      <c r="AD71" s="762">
        <f t="shared" si="10"/>
        <v>1882875.7875439806</v>
      </c>
      <c r="AE71" s="762">
        <f t="shared" si="11"/>
        <v>59022.360220763876</v>
      </c>
      <c r="AF71" s="762">
        <f t="shared" si="12"/>
        <v>14.310378340635374</v>
      </c>
      <c r="AG71" s="762">
        <f t="shared" si="13"/>
        <v>29610.936200448399</v>
      </c>
      <c r="AH71" s="762">
        <f t="shared" si="13"/>
        <v>8207.0476115743459</v>
      </c>
      <c r="AI71" s="762">
        <f t="shared" si="13"/>
        <v>131574.14449326025</v>
      </c>
      <c r="AJ71" s="762">
        <f t="shared" si="1"/>
        <v>4124.4444287797432</v>
      </c>
    </row>
    <row r="72" spans="2:36">
      <c r="B72" s="723">
        <v>2024</v>
      </c>
      <c r="C72" s="723" t="s">
        <v>1444</v>
      </c>
      <c r="D72" s="723" t="s">
        <v>1445</v>
      </c>
      <c r="E72" s="723" t="s">
        <v>27</v>
      </c>
      <c r="F72" s="762">
        <v>0</v>
      </c>
      <c r="G72" s="762">
        <v>152922</v>
      </c>
      <c r="H72" s="762">
        <v>45324.612000000008</v>
      </c>
      <c r="I72" s="762">
        <v>0</v>
      </c>
      <c r="J72" s="762">
        <v>0</v>
      </c>
      <c r="K72" s="762">
        <v>1529220</v>
      </c>
      <c r="L72" s="762">
        <v>318498.7319999999</v>
      </c>
      <c r="M72" s="762">
        <v>0</v>
      </c>
      <c r="N72" s="762">
        <v>202.73480220020733</v>
      </c>
      <c r="O72" s="762">
        <v>0</v>
      </c>
      <c r="P72" s="762">
        <v>697008.77900551108</v>
      </c>
      <c r="Q72" s="762">
        <v>0</v>
      </c>
      <c r="R72" s="762">
        <v>0</v>
      </c>
      <c r="S72" s="823">
        <v>0.34503333333333325</v>
      </c>
      <c r="T72" s="823">
        <v>0.70556354610838379</v>
      </c>
      <c r="U72" s="762">
        <f t="shared" si="2"/>
        <v>0</v>
      </c>
      <c r="V72" s="762">
        <f t="shared" si="3"/>
        <v>224721.09478094371</v>
      </c>
      <c r="W72" s="762">
        <f t="shared" si="4"/>
        <v>527631.87399999984</v>
      </c>
      <c r="X72" s="762">
        <f t="shared" si="5"/>
        <v>0</v>
      </c>
      <c r="Y72" s="758">
        <v>0.67</v>
      </c>
      <c r="Z72" s="762">
        <f t="shared" si="6"/>
        <v>-75085.730538741642</v>
      </c>
      <c r="AA72" s="762">
        <f t="shared" si="7"/>
        <v>31979.393968706609</v>
      </c>
      <c r="AB72" s="762">
        <f t="shared" si="8"/>
        <v>527631.87399999984</v>
      </c>
      <c r="AC72" s="762">
        <f t="shared" si="9"/>
        <v>697008.77900551108</v>
      </c>
      <c r="AD72" s="762">
        <f t="shared" si="10"/>
        <v>135.8323174741389</v>
      </c>
      <c r="AE72" s="762">
        <f t="shared" si="11"/>
        <v>224787.99726566978</v>
      </c>
      <c r="AF72" s="762">
        <f t="shared" si="12"/>
        <v>7.0270592057136607</v>
      </c>
      <c r="AG72" s="762">
        <f t="shared" si="13"/>
        <v>75085.730538741642</v>
      </c>
      <c r="AH72" s="762">
        <f t="shared" si="13"/>
        <v>99189.256643629429</v>
      </c>
      <c r="AI72" s="762">
        <f t="shared" si="13"/>
        <v>19.329895123652072</v>
      </c>
      <c r="AJ72" s="762">
        <f t="shared" si="13"/>
        <v>31988.914663319752</v>
      </c>
    </row>
    <row r="73" spans="2:36">
      <c r="B73" s="723">
        <v>2024</v>
      </c>
      <c r="C73" s="723" t="s">
        <v>1446</v>
      </c>
      <c r="D73" s="723" t="s">
        <v>1447</v>
      </c>
      <c r="E73" s="723" t="s">
        <v>34</v>
      </c>
      <c r="F73" s="762">
        <v>0</v>
      </c>
      <c r="G73" s="762">
        <v>0</v>
      </c>
      <c r="H73" s="762">
        <v>0</v>
      </c>
      <c r="I73" s="762">
        <v>0</v>
      </c>
      <c r="J73" s="762">
        <v>0</v>
      </c>
      <c r="K73" s="762">
        <v>0</v>
      </c>
      <c r="L73" s="762">
        <v>0</v>
      </c>
      <c r="M73" s="762">
        <v>0</v>
      </c>
      <c r="N73" s="762">
        <v>0</v>
      </c>
      <c r="O73" s="762">
        <v>0</v>
      </c>
      <c r="P73" s="762">
        <v>0</v>
      </c>
      <c r="Q73" s="762">
        <v>0</v>
      </c>
      <c r="R73" s="762">
        <v>0</v>
      </c>
      <c r="S73" s="823">
        <v>0.32019166666666671</v>
      </c>
      <c r="T73" s="823">
        <v>5.9347843056824626E-2</v>
      </c>
      <c r="U73" s="762">
        <f t="shared" ref="U73:U102" si="14">J73*S73</f>
        <v>0</v>
      </c>
      <c r="V73" s="762">
        <f t="shared" ref="V73:V102" si="15">L73*T73</f>
        <v>0</v>
      </c>
      <c r="W73" s="762">
        <f t="shared" ref="W73:W102" si="16">K73*S73</f>
        <v>0</v>
      </c>
      <c r="X73" s="762">
        <f t="shared" ref="X73:X102" si="17">M73*T73</f>
        <v>0</v>
      </c>
      <c r="Y73" s="758">
        <v>0.67</v>
      </c>
      <c r="Z73" s="762">
        <f t="shared" ref="Z73:Z102" si="18">IF(AF73=0,0,($U73-$W73)/$AF73)</f>
        <v>0</v>
      </c>
      <c r="AA73" s="762">
        <f t="shared" ref="AA73:AA102" si="19">IF(AF73=0,0,($V73-$X73)/$AF73)</f>
        <v>0</v>
      </c>
      <c r="AB73" s="762">
        <f t="shared" ref="AB73:AB102" si="20">O73+R73+W73+Y73*Q73</f>
        <v>0</v>
      </c>
      <c r="AC73" s="762">
        <f t="shared" ref="AC73:AC102" si="21">P73+X73+(1-Y73)*Q73</f>
        <v>0</v>
      </c>
      <c r="AD73" s="762">
        <f t="shared" ref="AD73:AD102" si="22">N73*Y73+U73</f>
        <v>0</v>
      </c>
      <c r="AE73" s="762">
        <f t="shared" ref="AE73:AE102" si="23">N73*(1-Y73)+V73</f>
        <v>0</v>
      </c>
      <c r="AF73" s="762">
        <f t="shared" ref="AF73:AF102" si="24">IFERROR(($L73*99976.1+$J73*3412.14)/($H73*99976.1+$F73*3412.14),1)</f>
        <v>1</v>
      </c>
      <c r="AG73" s="762">
        <f t="shared" ref="AG73:AJ102" si="25">IF($AF73=0,0,AB73/$AF73)</f>
        <v>0</v>
      </c>
      <c r="AH73" s="762">
        <f t="shared" si="25"/>
        <v>0</v>
      </c>
      <c r="AI73" s="762">
        <f t="shared" si="25"/>
        <v>0</v>
      </c>
      <c r="AJ73" s="762">
        <f t="shared" si="25"/>
        <v>0</v>
      </c>
    </row>
    <row r="74" spans="2:36">
      <c r="B74" s="723">
        <v>2024</v>
      </c>
      <c r="C74" s="723" t="s">
        <v>470</v>
      </c>
      <c r="D74" s="723" t="s">
        <v>471</v>
      </c>
      <c r="E74" s="723" t="s">
        <v>230</v>
      </c>
      <c r="F74" s="762">
        <v>0</v>
      </c>
      <c r="G74" s="762">
        <v>0</v>
      </c>
      <c r="H74" s="762">
        <v>0</v>
      </c>
      <c r="I74" s="762">
        <v>0</v>
      </c>
      <c r="J74" s="762">
        <v>0</v>
      </c>
      <c r="K74" s="762">
        <v>0</v>
      </c>
      <c r="L74" s="762">
        <v>0</v>
      </c>
      <c r="M74" s="762">
        <v>0</v>
      </c>
      <c r="N74" s="762">
        <v>0</v>
      </c>
      <c r="O74" s="762">
        <v>0</v>
      </c>
      <c r="P74" s="762">
        <v>0</v>
      </c>
      <c r="Q74" s="762">
        <v>0</v>
      </c>
      <c r="R74" s="762">
        <v>0</v>
      </c>
      <c r="S74" s="823">
        <v>0.32888999999999996</v>
      </c>
      <c r="T74" s="823">
        <v>0.4428334525017909</v>
      </c>
      <c r="U74" s="762">
        <f t="shared" si="14"/>
        <v>0</v>
      </c>
      <c r="V74" s="762">
        <f t="shared" si="15"/>
        <v>0</v>
      </c>
      <c r="W74" s="762">
        <f t="shared" si="16"/>
        <v>0</v>
      </c>
      <c r="X74" s="762">
        <f t="shared" si="17"/>
        <v>0</v>
      </c>
      <c r="Y74" s="758">
        <v>0.67</v>
      </c>
      <c r="Z74" s="762">
        <f t="shared" si="18"/>
        <v>0</v>
      </c>
      <c r="AA74" s="762">
        <f t="shared" si="19"/>
        <v>0</v>
      </c>
      <c r="AB74" s="762">
        <f t="shared" si="20"/>
        <v>0</v>
      </c>
      <c r="AC74" s="762">
        <f t="shared" si="21"/>
        <v>0</v>
      </c>
      <c r="AD74" s="762">
        <f t="shared" si="22"/>
        <v>0</v>
      </c>
      <c r="AE74" s="762">
        <f t="shared" si="23"/>
        <v>0</v>
      </c>
      <c r="AF74" s="762">
        <f t="shared" si="24"/>
        <v>1</v>
      </c>
      <c r="AG74" s="762">
        <f t="shared" si="25"/>
        <v>0</v>
      </c>
      <c r="AH74" s="762">
        <f t="shared" si="25"/>
        <v>0</v>
      </c>
      <c r="AI74" s="762">
        <f t="shared" si="25"/>
        <v>0</v>
      </c>
      <c r="AJ74" s="762">
        <f t="shared" si="25"/>
        <v>0</v>
      </c>
    </row>
    <row r="75" spans="2:36">
      <c r="B75" s="723">
        <v>2024</v>
      </c>
      <c r="C75" s="723" t="s">
        <v>472</v>
      </c>
      <c r="D75" s="723" t="s">
        <v>473</v>
      </c>
      <c r="E75" s="723" t="s">
        <v>230</v>
      </c>
      <c r="F75" s="762">
        <v>0</v>
      </c>
      <c r="G75" s="762">
        <v>0</v>
      </c>
      <c r="H75" s="762">
        <v>0</v>
      </c>
      <c r="I75" s="762">
        <v>0</v>
      </c>
      <c r="J75" s="762">
        <v>0</v>
      </c>
      <c r="K75" s="762">
        <v>0</v>
      </c>
      <c r="L75" s="762">
        <v>0</v>
      </c>
      <c r="M75" s="762">
        <v>0</v>
      </c>
      <c r="N75" s="762">
        <v>0</v>
      </c>
      <c r="O75" s="762">
        <v>0</v>
      </c>
      <c r="P75" s="762">
        <v>0</v>
      </c>
      <c r="Q75" s="762">
        <v>0</v>
      </c>
      <c r="R75" s="762">
        <v>0</v>
      </c>
      <c r="S75" s="823">
        <v>0.32888999999999996</v>
      </c>
      <c r="T75" s="823">
        <v>0.4428334525017909</v>
      </c>
      <c r="U75" s="762">
        <f t="shared" si="14"/>
        <v>0</v>
      </c>
      <c r="V75" s="762">
        <f t="shared" si="15"/>
        <v>0</v>
      </c>
      <c r="W75" s="762">
        <f t="shared" si="16"/>
        <v>0</v>
      </c>
      <c r="X75" s="762">
        <f t="shared" si="17"/>
        <v>0</v>
      </c>
      <c r="Y75" s="758">
        <v>0.67</v>
      </c>
      <c r="Z75" s="762">
        <f t="shared" si="18"/>
        <v>0</v>
      </c>
      <c r="AA75" s="762">
        <f t="shared" si="19"/>
        <v>0</v>
      </c>
      <c r="AB75" s="762">
        <f t="shared" si="20"/>
        <v>0</v>
      </c>
      <c r="AC75" s="762">
        <f t="shared" si="21"/>
        <v>0</v>
      </c>
      <c r="AD75" s="762">
        <f t="shared" si="22"/>
        <v>0</v>
      </c>
      <c r="AE75" s="762">
        <f t="shared" si="23"/>
        <v>0</v>
      </c>
      <c r="AF75" s="762">
        <f t="shared" si="24"/>
        <v>1</v>
      </c>
      <c r="AG75" s="762">
        <f t="shared" si="25"/>
        <v>0</v>
      </c>
      <c r="AH75" s="762">
        <f t="shared" si="25"/>
        <v>0</v>
      </c>
      <c r="AI75" s="762">
        <f t="shared" si="25"/>
        <v>0</v>
      </c>
      <c r="AJ75" s="762">
        <f t="shared" si="25"/>
        <v>0</v>
      </c>
    </row>
    <row r="76" spans="2:36">
      <c r="B76" s="723">
        <v>2024</v>
      </c>
      <c r="C76" s="723" t="s">
        <v>474</v>
      </c>
      <c r="D76" s="723" t="s">
        <v>475</v>
      </c>
      <c r="E76" s="723" t="s">
        <v>230</v>
      </c>
      <c r="F76" s="762">
        <v>0</v>
      </c>
      <c r="G76" s="762">
        <v>0</v>
      </c>
      <c r="H76" s="762">
        <v>0</v>
      </c>
      <c r="I76" s="762">
        <v>0</v>
      </c>
      <c r="J76" s="762">
        <v>0</v>
      </c>
      <c r="K76" s="762">
        <v>0</v>
      </c>
      <c r="L76" s="762">
        <v>0</v>
      </c>
      <c r="M76" s="762">
        <v>0</v>
      </c>
      <c r="N76" s="762">
        <v>0</v>
      </c>
      <c r="O76" s="762">
        <v>0</v>
      </c>
      <c r="P76" s="762">
        <v>0</v>
      </c>
      <c r="Q76" s="762">
        <v>0</v>
      </c>
      <c r="R76" s="762">
        <v>0</v>
      </c>
      <c r="S76" s="823">
        <v>0.32888999999999996</v>
      </c>
      <c r="T76" s="823">
        <v>0.4428334525017909</v>
      </c>
      <c r="U76" s="762">
        <f t="shared" si="14"/>
        <v>0</v>
      </c>
      <c r="V76" s="762">
        <f t="shared" si="15"/>
        <v>0</v>
      </c>
      <c r="W76" s="762">
        <f t="shared" si="16"/>
        <v>0</v>
      </c>
      <c r="X76" s="762">
        <f t="shared" si="17"/>
        <v>0</v>
      </c>
      <c r="Y76" s="758">
        <v>0.67</v>
      </c>
      <c r="Z76" s="762">
        <f t="shared" si="18"/>
        <v>0</v>
      </c>
      <c r="AA76" s="762">
        <f t="shared" si="19"/>
        <v>0</v>
      </c>
      <c r="AB76" s="762">
        <f t="shared" si="20"/>
        <v>0</v>
      </c>
      <c r="AC76" s="762">
        <f t="shared" si="21"/>
        <v>0</v>
      </c>
      <c r="AD76" s="762">
        <f t="shared" si="22"/>
        <v>0</v>
      </c>
      <c r="AE76" s="762">
        <f t="shared" si="23"/>
        <v>0</v>
      </c>
      <c r="AF76" s="762">
        <f t="shared" si="24"/>
        <v>1</v>
      </c>
      <c r="AG76" s="762">
        <f t="shared" si="25"/>
        <v>0</v>
      </c>
      <c r="AH76" s="762">
        <f t="shared" si="25"/>
        <v>0</v>
      </c>
      <c r="AI76" s="762">
        <f t="shared" si="25"/>
        <v>0</v>
      </c>
      <c r="AJ76" s="762">
        <f t="shared" si="25"/>
        <v>0</v>
      </c>
    </row>
    <row r="77" spans="2:36">
      <c r="B77" s="723">
        <v>2024</v>
      </c>
      <c r="C77" s="723" t="s">
        <v>1448</v>
      </c>
      <c r="D77" s="723" t="s">
        <v>1449</v>
      </c>
      <c r="E77" s="723" t="s">
        <v>230</v>
      </c>
      <c r="F77" s="762">
        <v>0</v>
      </c>
      <c r="G77" s="762">
        <v>0</v>
      </c>
      <c r="H77" s="762">
        <v>0</v>
      </c>
      <c r="I77" s="762">
        <v>0</v>
      </c>
      <c r="J77" s="762">
        <v>0</v>
      </c>
      <c r="K77" s="762">
        <v>0</v>
      </c>
      <c r="L77" s="762">
        <v>0</v>
      </c>
      <c r="M77" s="762">
        <v>0</v>
      </c>
      <c r="N77" s="762">
        <v>0</v>
      </c>
      <c r="O77" s="762">
        <v>0</v>
      </c>
      <c r="P77" s="762">
        <v>0</v>
      </c>
      <c r="Q77" s="762">
        <v>0</v>
      </c>
      <c r="R77" s="762">
        <v>0</v>
      </c>
      <c r="S77" s="823">
        <v>0.32888999999999996</v>
      </c>
      <c r="T77" s="823">
        <v>0.4428334525017909</v>
      </c>
      <c r="U77" s="762">
        <f t="shared" si="14"/>
        <v>0</v>
      </c>
      <c r="V77" s="762">
        <f t="shared" si="15"/>
        <v>0</v>
      </c>
      <c r="W77" s="762">
        <f t="shared" si="16"/>
        <v>0</v>
      </c>
      <c r="X77" s="762">
        <f t="shared" si="17"/>
        <v>0</v>
      </c>
      <c r="Y77" s="758">
        <v>0.67</v>
      </c>
      <c r="Z77" s="762">
        <f t="shared" si="18"/>
        <v>0</v>
      </c>
      <c r="AA77" s="762">
        <f t="shared" si="19"/>
        <v>0</v>
      </c>
      <c r="AB77" s="762">
        <f t="shared" si="20"/>
        <v>0</v>
      </c>
      <c r="AC77" s="762">
        <f t="shared" si="21"/>
        <v>0</v>
      </c>
      <c r="AD77" s="762">
        <f t="shared" si="22"/>
        <v>0</v>
      </c>
      <c r="AE77" s="762">
        <f t="shared" si="23"/>
        <v>0</v>
      </c>
      <c r="AF77" s="762">
        <f t="shared" si="24"/>
        <v>1</v>
      </c>
      <c r="AG77" s="762">
        <f t="shared" si="25"/>
        <v>0</v>
      </c>
      <c r="AH77" s="762">
        <f t="shared" si="25"/>
        <v>0</v>
      </c>
      <c r="AI77" s="762">
        <f t="shared" si="25"/>
        <v>0</v>
      </c>
      <c r="AJ77" s="762">
        <f t="shared" si="25"/>
        <v>0</v>
      </c>
    </row>
    <row r="78" spans="2:36">
      <c r="B78" s="723">
        <v>2024</v>
      </c>
      <c r="C78" s="723" t="s">
        <v>476</v>
      </c>
      <c r="D78" s="723" t="s">
        <v>477</v>
      </c>
      <c r="E78" s="723" t="s">
        <v>27</v>
      </c>
      <c r="F78" s="762">
        <v>0</v>
      </c>
      <c r="G78" s="762">
        <v>0</v>
      </c>
      <c r="H78" s="762">
        <v>0</v>
      </c>
      <c r="I78" s="762">
        <v>0</v>
      </c>
      <c r="J78" s="762">
        <v>0</v>
      </c>
      <c r="K78" s="762">
        <v>0</v>
      </c>
      <c r="L78" s="762">
        <v>0</v>
      </c>
      <c r="M78" s="762">
        <v>0</v>
      </c>
      <c r="N78" s="762">
        <v>0</v>
      </c>
      <c r="O78" s="762">
        <v>0</v>
      </c>
      <c r="P78" s="762">
        <v>0</v>
      </c>
      <c r="Q78" s="762">
        <v>0</v>
      </c>
      <c r="R78" s="762">
        <v>0</v>
      </c>
      <c r="S78" s="823">
        <v>0.34503333333333325</v>
      </c>
      <c r="T78" s="823">
        <v>0.70556354610838379</v>
      </c>
      <c r="U78" s="762">
        <f t="shared" si="14"/>
        <v>0</v>
      </c>
      <c r="V78" s="762">
        <f t="shared" si="15"/>
        <v>0</v>
      </c>
      <c r="W78" s="762">
        <f t="shared" si="16"/>
        <v>0</v>
      </c>
      <c r="X78" s="762">
        <f t="shared" si="17"/>
        <v>0</v>
      </c>
      <c r="Y78" s="758">
        <v>0.67</v>
      </c>
      <c r="Z78" s="762">
        <f t="shared" si="18"/>
        <v>0</v>
      </c>
      <c r="AA78" s="762">
        <f t="shared" si="19"/>
        <v>0</v>
      </c>
      <c r="AB78" s="762">
        <f t="shared" si="20"/>
        <v>0</v>
      </c>
      <c r="AC78" s="762">
        <f t="shared" si="21"/>
        <v>0</v>
      </c>
      <c r="AD78" s="762">
        <f t="shared" si="22"/>
        <v>0</v>
      </c>
      <c r="AE78" s="762">
        <f t="shared" si="23"/>
        <v>0</v>
      </c>
      <c r="AF78" s="762">
        <f t="shared" si="24"/>
        <v>1</v>
      </c>
      <c r="AG78" s="762">
        <f t="shared" si="25"/>
        <v>0</v>
      </c>
      <c r="AH78" s="762">
        <f t="shared" si="25"/>
        <v>0</v>
      </c>
      <c r="AI78" s="762">
        <f t="shared" si="25"/>
        <v>0</v>
      </c>
      <c r="AJ78" s="762">
        <f t="shared" si="25"/>
        <v>0</v>
      </c>
    </row>
    <row r="79" spans="2:36">
      <c r="B79" s="723">
        <v>2024</v>
      </c>
      <c r="C79" s="723" t="s">
        <v>1450</v>
      </c>
      <c r="D79" s="723" t="s">
        <v>1451</v>
      </c>
      <c r="E79" s="723" t="s">
        <v>27</v>
      </c>
      <c r="F79" s="762">
        <v>0</v>
      </c>
      <c r="G79" s="762">
        <v>0</v>
      </c>
      <c r="H79" s="762">
        <v>0</v>
      </c>
      <c r="I79" s="762">
        <v>0</v>
      </c>
      <c r="J79" s="762">
        <v>0</v>
      </c>
      <c r="K79" s="762">
        <v>0</v>
      </c>
      <c r="L79" s="762">
        <v>0</v>
      </c>
      <c r="M79" s="762">
        <v>0</v>
      </c>
      <c r="N79" s="762">
        <v>0</v>
      </c>
      <c r="O79" s="762">
        <v>0</v>
      </c>
      <c r="P79" s="762">
        <v>0</v>
      </c>
      <c r="Q79" s="762">
        <v>0</v>
      </c>
      <c r="R79" s="762">
        <v>0</v>
      </c>
      <c r="S79" s="823">
        <v>0.34503333333333325</v>
      </c>
      <c r="T79" s="823">
        <v>0.70556354610838379</v>
      </c>
      <c r="U79" s="762">
        <f t="shared" si="14"/>
        <v>0</v>
      </c>
      <c r="V79" s="762">
        <f t="shared" si="15"/>
        <v>0</v>
      </c>
      <c r="W79" s="762">
        <f t="shared" si="16"/>
        <v>0</v>
      </c>
      <c r="X79" s="762">
        <f t="shared" si="17"/>
        <v>0</v>
      </c>
      <c r="Y79" s="758">
        <v>0.67</v>
      </c>
      <c r="Z79" s="762">
        <f t="shared" si="18"/>
        <v>0</v>
      </c>
      <c r="AA79" s="762">
        <f t="shared" si="19"/>
        <v>0</v>
      </c>
      <c r="AB79" s="762">
        <f t="shared" si="20"/>
        <v>0</v>
      </c>
      <c r="AC79" s="762">
        <f t="shared" si="21"/>
        <v>0</v>
      </c>
      <c r="AD79" s="762">
        <f t="shared" si="22"/>
        <v>0</v>
      </c>
      <c r="AE79" s="762">
        <f t="shared" si="23"/>
        <v>0</v>
      </c>
      <c r="AF79" s="762">
        <f t="shared" si="24"/>
        <v>1</v>
      </c>
      <c r="AG79" s="762">
        <f t="shared" si="25"/>
        <v>0</v>
      </c>
      <c r="AH79" s="762">
        <f t="shared" si="25"/>
        <v>0</v>
      </c>
      <c r="AI79" s="762">
        <f t="shared" si="25"/>
        <v>0</v>
      </c>
      <c r="AJ79" s="762">
        <f t="shared" si="25"/>
        <v>0</v>
      </c>
    </row>
    <row r="80" spans="2:36">
      <c r="B80" s="723">
        <v>2024</v>
      </c>
      <c r="C80" s="723" t="s">
        <v>479</v>
      </c>
      <c r="D80" s="723" t="s">
        <v>480</v>
      </c>
      <c r="E80" s="723" t="s">
        <v>230</v>
      </c>
      <c r="F80" s="762">
        <v>0</v>
      </c>
      <c r="G80" s="762">
        <v>0</v>
      </c>
      <c r="H80" s="762">
        <v>0</v>
      </c>
      <c r="I80" s="762">
        <v>0</v>
      </c>
      <c r="J80" s="762">
        <v>0</v>
      </c>
      <c r="K80" s="762">
        <v>0</v>
      </c>
      <c r="L80" s="762">
        <v>0</v>
      </c>
      <c r="M80" s="762">
        <v>0</v>
      </c>
      <c r="N80" s="762">
        <v>0</v>
      </c>
      <c r="O80" s="762">
        <v>0</v>
      </c>
      <c r="P80" s="762">
        <v>0</v>
      </c>
      <c r="Q80" s="762">
        <v>0</v>
      </c>
      <c r="R80" s="762">
        <v>0</v>
      </c>
      <c r="S80" s="823">
        <v>0.32888999999999996</v>
      </c>
      <c r="T80" s="823">
        <v>0.4428334525017909</v>
      </c>
      <c r="U80" s="762">
        <f t="shared" si="14"/>
        <v>0</v>
      </c>
      <c r="V80" s="762">
        <f t="shared" si="15"/>
        <v>0</v>
      </c>
      <c r="W80" s="762">
        <f t="shared" si="16"/>
        <v>0</v>
      </c>
      <c r="X80" s="762">
        <f t="shared" si="17"/>
        <v>0</v>
      </c>
      <c r="Y80" s="758">
        <v>0.67</v>
      </c>
      <c r="Z80" s="762">
        <f t="shared" si="18"/>
        <v>0</v>
      </c>
      <c r="AA80" s="762">
        <f t="shared" si="19"/>
        <v>0</v>
      </c>
      <c r="AB80" s="762">
        <f t="shared" si="20"/>
        <v>0</v>
      </c>
      <c r="AC80" s="762">
        <f t="shared" si="21"/>
        <v>0</v>
      </c>
      <c r="AD80" s="762">
        <f t="shared" si="22"/>
        <v>0</v>
      </c>
      <c r="AE80" s="762">
        <f t="shared" si="23"/>
        <v>0</v>
      </c>
      <c r="AF80" s="762">
        <f t="shared" si="24"/>
        <v>1</v>
      </c>
      <c r="AG80" s="762">
        <f t="shared" si="25"/>
        <v>0</v>
      </c>
      <c r="AH80" s="762">
        <f t="shared" si="25"/>
        <v>0</v>
      </c>
      <c r="AI80" s="762">
        <f t="shared" si="25"/>
        <v>0</v>
      </c>
      <c r="AJ80" s="762">
        <f t="shared" si="25"/>
        <v>0</v>
      </c>
    </row>
    <row r="81" spans="2:36">
      <c r="B81" s="723">
        <v>2024</v>
      </c>
      <c r="C81" s="723" t="s">
        <v>483</v>
      </c>
      <c r="D81" s="723" t="s">
        <v>484</v>
      </c>
      <c r="E81" s="723" t="s">
        <v>230</v>
      </c>
      <c r="F81" s="762">
        <v>0</v>
      </c>
      <c r="G81" s="762">
        <v>0</v>
      </c>
      <c r="H81" s="762">
        <v>0</v>
      </c>
      <c r="I81" s="762">
        <v>0</v>
      </c>
      <c r="J81" s="762">
        <v>0</v>
      </c>
      <c r="K81" s="762">
        <v>0</v>
      </c>
      <c r="L81" s="762">
        <v>0</v>
      </c>
      <c r="M81" s="762">
        <v>0</v>
      </c>
      <c r="N81" s="762">
        <v>0</v>
      </c>
      <c r="O81" s="762">
        <v>0</v>
      </c>
      <c r="P81" s="762">
        <v>0</v>
      </c>
      <c r="Q81" s="762">
        <v>0</v>
      </c>
      <c r="R81" s="762">
        <v>0</v>
      </c>
      <c r="S81" s="823">
        <v>0.32888999999999996</v>
      </c>
      <c r="T81" s="823">
        <v>0.4428334525017909</v>
      </c>
      <c r="U81" s="762">
        <f t="shared" si="14"/>
        <v>0</v>
      </c>
      <c r="V81" s="762">
        <f t="shared" si="15"/>
        <v>0</v>
      </c>
      <c r="W81" s="762">
        <f t="shared" si="16"/>
        <v>0</v>
      </c>
      <c r="X81" s="762">
        <f t="shared" si="17"/>
        <v>0</v>
      </c>
      <c r="Y81" s="758">
        <v>0.67</v>
      </c>
      <c r="Z81" s="762">
        <f t="shared" si="18"/>
        <v>0</v>
      </c>
      <c r="AA81" s="762">
        <f t="shared" si="19"/>
        <v>0</v>
      </c>
      <c r="AB81" s="762">
        <f t="shared" si="20"/>
        <v>0</v>
      </c>
      <c r="AC81" s="762">
        <f t="shared" si="21"/>
        <v>0</v>
      </c>
      <c r="AD81" s="762">
        <f t="shared" si="22"/>
        <v>0</v>
      </c>
      <c r="AE81" s="762">
        <f t="shared" si="23"/>
        <v>0</v>
      </c>
      <c r="AF81" s="762">
        <f t="shared" si="24"/>
        <v>1</v>
      </c>
      <c r="AG81" s="762">
        <f t="shared" si="25"/>
        <v>0</v>
      </c>
      <c r="AH81" s="762">
        <f t="shared" si="25"/>
        <v>0</v>
      </c>
      <c r="AI81" s="762">
        <f t="shared" si="25"/>
        <v>0</v>
      </c>
      <c r="AJ81" s="762">
        <f t="shared" si="25"/>
        <v>0</v>
      </c>
    </row>
    <row r="82" spans="2:36">
      <c r="B82" s="723">
        <v>2024</v>
      </c>
      <c r="C82" s="723" t="s">
        <v>1452</v>
      </c>
      <c r="D82" s="723" t="s">
        <v>1453</v>
      </c>
      <c r="E82" s="723" t="s">
        <v>27</v>
      </c>
      <c r="F82" s="762">
        <v>0</v>
      </c>
      <c r="G82" s="762">
        <v>0</v>
      </c>
      <c r="H82" s="762">
        <v>0</v>
      </c>
      <c r="I82" s="762">
        <v>0</v>
      </c>
      <c r="J82" s="762">
        <v>0</v>
      </c>
      <c r="K82" s="762">
        <v>0</v>
      </c>
      <c r="L82" s="762">
        <v>0</v>
      </c>
      <c r="M82" s="762">
        <v>0</v>
      </c>
      <c r="N82" s="762">
        <v>0</v>
      </c>
      <c r="O82" s="762">
        <v>0</v>
      </c>
      <c r="P82" s="762">
        <v>0</v>
      </c>
      <c r="Q82" s="762">
        <v>0</v>
      </c>
      <c r="R82" s="762">
        <v>0</v>
      </c>
      <c r="S82" s="823">
        <v>0.34503333333333325</v>
      </c>
      <c r="T82" s="823">
        <v>0.70556354610838379</v>
      </c>
      <c r="U82" s="762">
        <f t="shared" si="14"/>
        <v>0</v>
      </c>
      <c r="V82" s="762">
        <f t="shared" si="15"/>
        <v>0</v>
      </c>
      <c r="W82" s="762">
        <f t="shared" si="16"/>
        <v>0</v>
      </c>
      <c r="X82" s="762">
        <f t="shared" si="17"/>
        <v>0</v>
      </c>
      <c r="Y82" s="758">
        <v>0.67</v>
      </c>
      <c r="Z82" s="762">
        <f t="shared" si="18"/>
        <v>0</v>
      </c>
      <c r="AA82" s="762">
        <f t="shared" si="19"/>
        <v>0</v>
      </c>
      <c r="AB82" s="762">
        <f t="shared" si="20"/>
        <v>0</v>
      </c>
      <c r="AC82" s="762">
        <f t="shared" si="21"/>
        <v>0</v>
      </c>
      <c r="AD82" s="762">
        <f t="shared" si="22"/>
        <v>0</v>
      </c>
      <c r="AE82" s="762">
        <f t="shared" si="23"/>
        <v>0</v>
      </c>
      <c r="AF82" s="762">
        <f t="shared" si="24"/>
        <v>1</v>
      </c>
      <c r="AG82" s="762">
        <f t="shared" si="25"/>
        <v>0</v>
      </c>
      <c r="AH82" s="762">
        <f t="shared" si="25"/>
        <v>0</v>
      </c>
      <c r="AI82" s="762">
        <f t="shared" si="25"/>
        <v>0</v>
      </c>
      <c r="AJ82" s="762">
        <f t="shared" si="25"/>
        <v>0</v>
      </c>
    </row>
    <row r="83" spans="2:36">
      <c r="B83" s="723">
        <v>2024</v>
      </c>
      <c r="C83" s="723" t="s">
        <v>1454</v>
      </c>
      <c r="D83" s="723" t="s">
        <v>1455</v>
      </c>
      <c r="E83" s="723" t="s">
        <v>230</v>
      </c>
      <c r="F83" s="762">
        <v>0</v>
      </c>
      <c r="G83" s="762">
        <v>0</v>
      </c>
      <c r="H83" s="762">
        <v>0</v>
      </c>
      <c r="I83" s="762">
        <v>0</v>
      </c>
      <c r="J83" s="762">
        <v>0</v>
      </c>
      <c r="K83" s="762">
        <v>0</v>
      </c>
      <c r="L83" s="762">
        <v>0</v>
      </c>
      <c r="M83" s="762">
        <v>0</v>
      </c>
      <c r="N83" s="762">
        <v>0</v>
      </c>
      <c r="O83" s="762">
        <v>0</v>
      </c>
      <c r="P83" s="762">
        <v>0</v>
      </c>
      <c r="Q83" s="762">
        <v>0</v>
      </c>
      <c r="R83" s="762">
        <v>0</v>
      </c>
      <c r="S83" s="823">
        <v>0.32888999999999996</v>
      </c>
      <c r="T83" s="823">
        <v>0.4428334525017909</v>
      </c>
      <c r="U83" s="762">
        <f t="shared" si="14"/>
        <v>0</v>
      </c>
      <c r="V83" s="762">
        <f t="shared" si="15"/>
        <v>0</v>
      </c>
      <c r="W83" s="762">
        <f t="shared" si="16"/>
        <v>0</v>
      </c>
      <c r="X83" s="762">
        <f t="shared" si="17"/>
        <v>0</v>
      </c>
      <c r="Y83" s="758">
        <v>0.67</v>
      </c>
      <c r="Z83" s="762">
        <f t="shared" si="18"/>
        <v>0</v>
      </c>
      <c r="AA83" s="762">
        <f t="shared" si="19"/>
        <v>0</v>
      </c>
      <c r="AB83" s="762">
        <f t="shared" si="20"/>
        <v>0</v>
      </c>
      <c r="AC83" s="762">
        <f t="shared" si="21"/>
        <v>0</v>
      </c>
      <c r="AD83" s="762">
        <f t="shared" si="22"/>
        <v>0</v>
      </c>
      <c r="AE83" s="762">
        <f t="shared" si="23"/>
        <v>0</v>
      </c>
      <c r="AF83" s="762">
        <f t="shared" si="24"/>
        <v>1</v>
      </c>
      <c r="AG83" s="762">
        <f t="shared" si="25"/>
        <v>0</v>
      </c>
      <c r="AH83" s="762">
        <f t="shared" si="25"/>
        <v>0</v>
      </c>
      <c r="AI83" s="762">
        <f t="shared" si="25"/>
        <v>0</v>
      </c>
      <c r="AJ83" s="762">
        <f t="shared" si="25"/>
        <v>0</v>
      </c>
    </row>
    <row r="84" spans="2:36">
      <c r="B84" s="723">
        <v>2024</v>
      </c>
      <c r="C84" s="723" t="s">
        <v>1456</v>
      </c>
      <c r="D84" s="723" t="s">
        <v>1457</v>
      </c>
      <c r="E84" s="723" t="s">
        <v>27</v>
      </c>
      <c r="F84" s="762">
        <v>-228243.53564999992</v>
      </c>
      <c r="G84" s="762">
        <v>0</v>
      </c>
      <c r="H84" s="762">
        <v>-218104.90649999998</v>
      </c>
      <c r="I84" s="762">
        <v>0</v>
      </c>
      <c r="J84" s="762">
        <v>-684730.60694999993</v>
      </c>
      <c r="K84" s="762">
        <v>0</v>
      </c>
      <c r="L84" s="762">
        <v>-654314.71950000001</v>
      </c>
      <c r="M84" s="762">
        <v>0</v>
      </c>
      <c r="N84" s="762">
        <v>-334.9333803324584</v>
      </c>
      <c r="O84" s="762">
        <v>-78697.24574570969</v>
      </c>
      <c r="P84" s="762">
        <v>-951432.28745023184</v>
      </c>
      <c r="Q84" s="762">
        <v>0</v>
      </c>
      <c r="R84" s="762">
        <v>0</v>
      </c>
      <c r="S84" s="823">
        <v>0.34503333333333325</v>
      </c>
      <c r="T84" s="823">
        <v>0.70556354610838379</v>
      </c>
      <c r="U84" s="762">
        <f t="shared" si="14"/>
        <v>-236254.88375131492</v>
      </c>
      <c r="V84" s="762">
        <f t="shared" si="15"/>
        <v>-461660.61376133247</v>
      </c>
      <c r="W84" s="762">
        <f t="shared" si="16"/>
        <v>0</v>
      </c>
      <c r="X84" s="762">
        <f t="shared" si="17"/>
        <v>0</v>
      </c>
      <c r="Y84" s="758">
        <v>0.67</v>
      </c>
      <c r="Z84" s="762">
        <f t="shared" si="18"/>
        <v>-78751.627917104968</v>
      </c>
      <c r="AA84" s="762">
        <f t="shared" si="19"/>
        <v>-153886.8712537775</v>
      </c>
      <c r="AB84" s="762">
        <f t="shared" si="20"/>
        <v>-78697.24574570969</v>
      </c>
      <c r="AC84" s="762">
        <f t="shared" si="21"/>
        <v>-951432.28745023184</v>
      </c>
      <c r="AD84" s="762">
        <f t="shared" si="22"/>
        <v>-236479.28911613766</v>
      </c>
      <c r="AE84" s="762">
        <f t="shared" si="23"/>
        <v>-461771.14177684218</v>
      </c>
      <c r="AF84" s="762">
        <f t="shared" si="24"/>
        <v>3</v>
      </c>
      <c r="AG84" s="762">
        <f t="shared" si="25"/>
        <v>-26232.415248569898</v>
      </c>
      <c r="AH84" s="762">
        <f t="shared" si="25"/>
        <v>-317144.09581674397</v>
      </c>
      <c r="AI84" s="762">
        <f t="shared" si="25"/>
        <v>-78826.429705379225</v>
      </c>
      <c r="AJ84" s="762">
        <f t="shared" si="25"/>
        <v>-153923.71392561405</v>
      </c>
    </row>
    <row r="85" spans="2:36">
      <c r="B85" s="723">
        <v>2024</v>
      </c>
      <c r="C85" s="723" t="s">
        <v>1458</v>
      </c>
      <c r="D85" s="723" t="s">
        <v>1459</v>
      </c>
      <c r="E85" s="723" t="s">
        <v>230</v>
      </c>
      <c r="F85" s="762">
        <v>0</v>
      </c>
      <c r="G85" s="762">
        <v>0</v>
      </c>
      <c r="H85" s="762">
        <v>0</v>
      </c>
      <c r="I85" s="762">
        <v>0</v>
      </c>
      <c r="J85" s="762">
        <v>0</v>
      </c>
      <c r="K85" s="762">
        <v>0</v>
      </c>
      <c r="L85" s="762">
        <v>0</v>
      </c>
      <c r="M85" s="762">
        <v>0</v>
      </c>
      <c r="N85" s="762">
        <v>0</v>
      </c>
      <c r="O85" s="762">
        <v>0</v>
      </c>
      <c r="P85" s="762">
        <v>0</v>
      </c>
      <c r="Q85" s="762">
        <v>0</v>
      </c>
      <c r="R85" s="762">
        <v>0</v>
      </c>
      <c r="S85" s="823">
        <v>0.32888999999999996</v>
      </c>
      <c r="T85" s="823">
        <v>0.4428334525017909</v>
      </c>
      <c r="U85" s="762">
        <f t="shared" si="14"/>
        <v>0</v>
      </c>
      <c r="V85" s="762">
        <f t="shared" si="15"/>
        <v>0</v>
      </c>
      <c r="W85" s="762">
        <f t="shared" si="16"/>
        <v>0</v>
      </c>
      <c r="X85" s="762">
        <f t="shared" si="17"/>
        <v>0</v>
      </c>
      <c r="Y85" s="758">
        <v>0.67</v>
      </c>
      <c r="Z85" s="762">
        <f t="shared" si="18"/>
        <v>0</v>
      </c>
      <c r="AA85" s="762">
        <f t="shared" si="19"/>
        <v>0</v>
      </c>
      <c r="AB85" s="762">
        <f t="shared" si="20"/>
        <v>0</v>
      </c>
      <c r="AC85" s="762">
        <f t="shared" si="21"/>
        <v>0</v>
      </c>
      <c r="AD85" s="762">
        <f t="shared" si="22"/>
        <v>0</v>
      </c>
      <c r="AE85" s="762">
        <f t="shared" si="23"/>
        <v>0</v>
      </c>
      <c r="AF85" s="762">
        <f t="shared" si="24"/>
        <v>1</v>
      </c>
      <c r="AG85" s="762">
        <f t="shared" si="25"/>
        <v>0</v>
      </c>
      <c r="AH85" s="762">
        <f t="shared" si="25"/>
        <v>0</v>
      </c>
      <c r="AI85" s="762">
        <f t="shared" si="25"/>
        <v>0</v>
      </c>
      <c r="AJ85" s="762">
        <f t="shared" si="25"/>
        <v>0</v>
      </c>
    </row>
    <row r="86" spans="2:36">
      <c r="B86" s="723">
        <v>2024</v>
      </c>
      <c r="C86" s="723" t="s">
        <v>487</v>
      </c>
      <c r="D86" s="723" t="s">
        <v>488</v>
      </c>
      <c r="E86" s="723" t="s">
        <v>18</v>
      </c>
      <c r="F86" s="762">
        <v>458210.08277749817</v>
      </c>
      <c r="G86" s="762">
        <v>0</v>
      </c>
      <c r="H86" s="762">
        <v>26473.090622000214</v>
      </c>
      <c r="I86" s="762">
        <v>0</v>
      </c>
      <c r="J86" s="762">
        <v>2992815.2720537609</v>
      </c>
      <c r="K86" s="762">
        <v>0</v>
      </c>
      <c r="L86" s="762">
        <v>213601.11878602218</v>
      </c>
      <c r="M86" s="762">
        <v>0</v>
      </c>
      <c r="N86" s="762">
        <v>3267.6083488070994</v>
      </c>
      <c r="O86" s="762">
        <v>551933.1919608051</v>
      </c>
      <c r="P86" s="762">
        <v>309142.97491767537</v>
      </c>
      <c r="Q86" s="762">
        <v>190588.79302500008</v>
      </c>
      <c r="R86" s="762">
        <v>601.15040489758405</v>
      </c>
      <c r="S86" s="823">
        <v>0.34383333333333327</v>
      </c>
      <c r="T86" s="823">
        <v>0.56358896834016425</v>
      </c>
      <c r="U86" s="762">
        <f t="shared" si="14"/>
        <v>1029029.6510411513</v>
      </c>
      <c r="V86" s="762">
        <f t="shared" si="15"/>
        <v>120383.23417291912</v>
      </c>
      <c r="W86" s="762">
        <f t="shared" si="16"/>
        <v>0</v>
      </c>
      <c r="X86" s="762">
        <f t="shared" si="17"/>
        <v>0</v>
      </c>
      <c r="Y86" s="758">
        <v>0.67</v>
      </c>
      <c r="Z86" s="762">
        <f t="shared" si="18"/>
        <v>137244.10722171122</v>
      </c>
      <c r="AA86" s="762">
        <f t="shared" si="19"/>
        <v>16055.795361978122</v>
      </c>
      <c r="AB86" s="762">
        <f t="shared" si="20"/>
        <v>680228.83369245275</v>
      </c>
      <c r="AC86" s="762">
        <f t="shared" si="21"/>
        <v>372037.27661592537</v>
      </c>
      <c r="AD86" s="762">
        <f t="shared" si="22"/>
        <v>1031218.948634852</v>
      </c>
      <c r="AE86" s="762">
        <f t="shared" si="23"/>
        <v>121461.54492802547</v>
      </c>
      <c r="AF86" s="762">
        <f t="shared" si="24"/>
        <v>7.4978057118241415</v>
      </c>
      <c r="AG86" s="762">
        <f t="shared" si="25"/>
        <v>90723.721024102109</v>
      </c>
      <c r="AH86" s="762">
        <f t="shared" si="25"/>
        <v>49619.487476078175</v>
      </c>
      <c r="AI86" s="762">
        <f t="shared" si="25"/>
        <v>137536.09899608436</v>
      </c>
      <c r="AJ86" s="762">
        <f t="shared" si="25"/>
        <v>16199.612206072366</v>
      </c>
    </row>
    <row r="87" spans="2:36">
      <c r="B87" s="723">
        <v>2024</v>
      </c>
      <c r="C87" s="723" t="s">
        <v>490</v>
      </c>
      <c r="D87" s="723" t="s">
        <v>491</v>
      </c>
      <c r="E87" s="723" t="s">
        <v>18</v>
      </c>
      <c r="F87" s="762">
        <v>884186.07274998084</v>
      </c>
      <c r="G87" s="762">
        <v>32319</v>
      </c>
      <c r="H87" s="762">
        <v>634191.84477023233</v>
      </c>
      <c r="I87" s="762">
        <v>0</v>
      </c>
      <c r="J87" s="762">
        <v>6920021.0027758982</v>
      </c>
      <c r="K87" s="762">
        <v>323190</v>
      </c>
      <c r="L87" s="762">
        <v>5684048.642553594</v>
      </c>
      <c r="M87" s="762">
        <v>0</v>
      </c>
      <c r="N87" s="762">
        <v>5913.2178629786285</v>
      </c>
      <c r="O87" s="762">
        <v>1163064.3349297673</v>
      </c>
      <c r="P87" s="762">
        <v>8278834.3648233898</v>
      </c>
      <c r="Q87" s="762">
        <v>188121.53399999891</v>
      </c>
      <c r="R87" s="762">
        <v>459.91540335597955</v>
      </c>
      <c r="S87" s="823">
        <v>0.34383333333333327</v>
      </c>
      <c r="T87" s="823">
        <v>0.56358896834016425</v>
      </c>
      <c r="U87" s="762">
        <f t="shared" si="14"/>
        <v>2379333.8881211127</v>
      </c>
      <c r="V87" s="762">
        <f t="shared" si="15"/>
        <v>3203467.1104520909</v>
      </c>
      <c r="W87" s="762">
        <f t="shared" si="16"/>
        <v>111123.49499999998</v>
      </c>
      <c r="X87" s="762">
        <f t="shared" si="17"/>
        <v>0</v>
      </c>
      <c r="Y87" s="758">
        <v>0.67</v>
      </c>
      <c r="Z87" s="762">
        <f t="shared" si="18"/>
        <v>254538.94345753684</v>
      </c>
      <c r="AA87" s="762">
        <f t="shared" si="19"/>
        <v>359493.60613475699</v>
      </c>
      <c r="AB87" s="762">
        <f t="shared" si="20"/>
        <v>1400689.1731131226</v>
      </c>
      <c r="AC87" s="762">
        <f t="shared" si="21"/>
        <v>8340914.4710433893</v>
      </c>
      <c r="AD87" s="762">
        <f t="shared" si="22"/>
        <v>2383295.7440893082</v>
      </c>
      <c r="AE87" s="762">
        <f t="shared" si="23"/>
        <v>3205418.472346874</v>
      </c>
      <c r="AF87" s="762">
        <f t="shared" si="24"/>
        <v>8.9110544827082787</v>
      </c>
      <c r="AG87" s="762">
        <f t="shared" si="25"/>
        <v>157185.5694330151</v>
      </c>
      <c r="AH87" s="762">
        <f t="shared" si="25"/>
        <v>936018.79409768677</v>
      </c>
      <c r="AI87" s="762">
        <f t="shared" si="25"/>
        <v>267453.84047578718</v>
      </c>
      <c r="AJ87" s="762">
        <f t="shared" si="25"/>
        <v>359712.58828760654</v>
      </c>
    </row>
    <row r="88" spans="2:36">
      <c r="B88" s="723">
        <v>2024</v>
      </c>
      <c r="C88" s="723" t="s">
        <v>1460</v>
      </c>
      <c r="D88" s="723" t="s">
        <v>1461</v>
      </c>
      <c r="E88" s="723" t="s">
        <v>27</v>
      </c>
      <c r="F88" s="762">
        <v>323516.75595000014</v>
      </c>
      <c r="G88" s="762">
        <v>5686625.9687999999</v>
      </c>
      <c r="H88" s="762">
        <v>155968.24284999981</v>
      </c>
      <c r="I88" s="762">
        <v>0</v>
      </c>
      <c r="J88" s="762">
        <v>4892827.3671000078</v>
      </c>
      <c r="K88" s="762">
        <v>56866259.687999994</v>
      </c>
      <c r="L88" s="762">
        <v>1447537.7733450029</v>
      </c>
      <c r="M88" s="762">
        <v>0</v>
      </c>
      <c r="N88" s="762">
        <v>688.12174528364892</v>
      </c>
      <c r="O88" s="762">
        <v>481126.95315147319</v>
      </c>
      <c r="P88" s="762">
        <v>12667469.02887704</v>
      </c>
      <c r="Q88" s="762">
        <v>0</v>
      </c>
      <c r="R88" s="762">
        <v>0</v>
      </c>
      <c r="S88" s="823">
        <v>0.34503333333333325</v>
      </c>
      <c r="T88" s="823">
        <v>0.70556354610838379</v>
      </c>
      <c r="U88" s="762">
        <f t="shared" si="14"/>
        <v>1688188.5358950724</v>
      </c>
      <c r="V88" s="762">
        <f t="shared" si="15"/>
        <v>1021329.8844871342</v>
      </c>
      <c r="W88" s="762">
        <f t="shared" si="16"/>
        <v>19620755.134349592</v>
      </c>
      <c r="X88" s="762">
        <f t="shared" si="17"/>
        <v>0</v>
      </c>
      <c r="Y88" s="758">
        <v>0.67</v>
      </c>
      <c r="Z88" s="762">
        <f t="shared" si="18"/>
        <v>-1854977.6810525327</v>
      </c>
      <c r="AA88" s="762">
        <f t="shared" si="19"/>
        <v>105648.24228110618</v>
      </c>
      <c r="AB88" s="762">
        <f t="shared" si="20"/>
        <v>20101882.087501064</v>
      </c>
      <c r="AC88" s="762">
        <f t="shared" si="21"/>
        <v>12667469.02887704</v>
      </c>
      <c r="AD88" s="762">
        <f t="shared" si="22"/>
        <v>1688649.5774644124</v>
      </c>
      <c r="AE88" s="762">
        <f t="shared" si="23"/>
        <v>1021556.9646630777</v>
      </c>
      <c r="AF88" s="762">
        <f t="shared" si="24"/>
        <v>9.6672681195168906</v>
      </c>
      <c r="AG88" s="762">
        <f t="shared" si="25"/>
        <v>2079375.6663186073</v>
      </c>
      <c r="AH88" s="762">
        <f t="shared" si="25"/>
        <v>1310346.3017957632</v>
      </c>
      <c r="AI88" s="762">
        <f t="shared" si="25"/>
        <v>174677.01904897622</v>
      </c>
      <c r="AJ88" s="762">
        <f t="shared" si="25"/>
        <v>105671.731872285</v>
      </c>
    </row>
    <row r="89" spans="2:36">
      <c r="B89" s="723">
        <v>2024</v>
      </c>
      <c r="C89" s="723" t="s">
        <v>492</v>
      </c>
      <c r="D89" s="723" t="s">
        <v>493</v>
      </c>
      <c r="E89" s="723" t="s">
        <v>34</v>
      </c>
      <c r="F89" s="762">
        <v>4173304.7000000007</v>
      </c>
      <c r="G89" s="762">
        <v>0</v>
      </c>
      <c r="H89" s="762">
        <v>378283.08555000002</v>
      </c>
      <c r="I89" s="762">
        <v>0</v>
      </c>
      <c r="J89" s="762">
        <v>20866523.500000004</v>
      </c>
      <c r="K89" s="762">
        <v>0</v>
      </c>
      <c r="L89" s="762">
        <v>2045947.2408349998</v>
      </c>
      <c r="M89" s="762">
        <v>0</v>
      </c>
      <c r="N89" s="762">
        <v>29.699314183486209</v>
      </c>
      <c r="O89" s="762">
        <v>2401855.7331746719</v>
      </c>
      <c r="P89" s="762">
        <v>2907444.4955693209</v>
      </c>
      <c r="Q89" s="762">
        <v>0</v>
      </c>
      <c r="R89" s="762">
        <v>0</v>
      </c>
      <c r="S89" s="823">
        <v>0.32019166666666671</v>
      </c>
      <c r="T89" s="823">
        <v>5.9347843056824626E-2</v>
      </c>
      <c r="U89" s="762">
        <f t="shared" si="14"/>
        <v>6681286.9370041685</v>
      </c>
      <c r="V89" s="762">
        <f t="shared" si="15"/>
        <v>121422.55575161894</v>
      </c>
      <c r="W89" s="762">
        <f t="shared" si="16"/>
        <v>0</v>
      </c>
      <c r="X89" s="762">
        <f t="shared" si="17"/>
        <v>0</v>
      </c>
      <c r="Y89" s="758">
        <v>0.67</v>
      </c>
      <c r="Z89" s="762">
        <f t="shared" si="18"/>
        <v>1261389.4184291405</v>
      </c>
      <c r="AA89" s="762">
        <f t="shared" si="19"/>
        <v>22923.896014020112</v>
      </c>
      <c r="AB89" s="762">
        <f t="shared" si="20"/>
        <v>2401855.7331746719</v>
      </c>
      <c r="AC89" s="762">
        <f t="shared" si="21"/>
        <v>2907444.4955693209</v>
      </c>
      <c r="AD89" s="762">
        <f t="shared" si="22"/>
        <v>6681306.8355446719</v>
      </c>
      <c r="AE89" s="762">
        <f t="shared" si="23"/>
        <v>121432.35652529949</v>
      </c>
      <c r="AF89" s="762">
        <f t="shared" si="24"/>
        <v>5.2967678651725549</v>
      </c>
      <c r="AG89" s="762">
        <f t="shared" si="25"/>
        <v>453456.86167736666</v>
      </c>
      <c r="AH89" s="762">
        <f t="shared" si="25"/>
        <v>548909.17812094907</v>
      </c>
      <c r="AI89" s="762">
        <f t="shared" si="25"/>
        <v>1261393.1751617384</v>
      </c>
      <c r="AJ89" s="762">
        <f t="shared" si="25"/>
        <v>22925.746345001196</v>
      </c>
    </row>
    <row r="90" spans="2:36">
      <c r="B90" s="723">
        <v>2024</v>
      </c>
      <c r="C90" s="723" t="s">
        <v>1462</v>
      </c>
      <c r="D90" s="723" t="s">
        <v>1463</v>
      </c>
      <c r="E90" s="723" t="s">
        <v>39</v>
      </c>
      <c r="F90" s="762">
        <v>1977.3000000000002</v>
      </c>
      <c r="G90" s="762">
        <v>0</v>
      </c>
      <c r="H90" s="762">
        <v>90969.583320000005</v>
      </c>
      <c r="I90" s="762">
        <v>0</v>
      </c>
      <c r="J90" s="762">
        <v>29659.5</v>
      </c>
      <c r="K90" s="762">
        <v>0</v>
      </c>
      <c r="L90" s="762">
        <v>454847.91660000006</v>
      </c>
      <c r="M90" s="762">
        <v>0</v>
      </c>
      <c r="N90" s="762">
        <v>9.8072523547342048</v>
      </c>
      <c r="O90" s="762">
        <v>2019.506471420462</v>
      </c>
      <c r="P90" s="762">
        <v>655504.83121509396</v>
      </c>
      <c r="Q90" s="762">
        <v>0</v>
      </c>
      <c r="R90" s="762">
        <v>0</v>
      </c>
      <c r="S90" s="823">
        <v>0.24953166666666668</v>
      </c>
      <c r="T90" s="823">
        <v>5.9347843056824626E-2</v>
      </c>
      <c r="U90" s="762">
        <f t="shared" si="14"/>
        <v>7400.9844675000004</v>
      </c>
      <c r="V90" s="762">
        <f t="shared" si="15"/>
        <v>26994.24276910046</v>
      </c>
      <c r="W90" s="762">
        <f t="shared" si="16"/>
        <v>0</v>
      </c>
      <c r="X90" s="762">
        <f t="shared" si="17"/>
        <v>0</v>
      </c>
      <c r="Y90" s="758">
        <v>0.67</v>
      </c>
      <c r="Z90" s="762">
        <f t="shared" si="18"/>
        <v>1478.0056479568714</v>
      </c>
      <c r="AA90" s="762">
        <f t="shared" si="19"/>
        <v>5390.8562367955565</v>
      </c>
      <c r="AB90" s="762">
        <f t="shared" si="20"/>
        <v>2019.506471420462</v>
      </c>
      <c r="AC90" s="762">
        <f t="shared" si="21"/>
        <v>655504.83121509396</v>
      </c>
      <c r="AD90" s="762">
        <f t="shared" si="22"/>
        <v>7407.5553265776725</v>
      </c>
      <c r="AE90" s="762">
        <f t="shared" si="23"/>
        <v>26997.479162377524</v>
      </c>
      <c r="AF90" s="762">
        <f t="shared" si="24"/>
        <v>5.0074128456347839</v>
      </c>
      <c r="AG90" s="762">
        <f t="shared" si="25"/>
        <v>403.30336916017785</v>
      </c>
      <c r="AH90" s="762">
        <f t="shared" si="25"/>
        <v>130906.88773276021</v>
      </c>
      <c r="AI90" s="762">
        <f t="shared" si="25"/>
        <v>1479.3178743061328</v>
      </c>
      <c r="AJ90" s="762">
        <f t="shared" si="25"/>
        <v>5391.5025572362374</v>
      </c>
    </row>
    <row r="91" spans="2:36">
      <c r="B91" s="723">
        <v>2024</v>
      </c>
      <c r="C91" s="723" t="s">
        <v>1464</v>
      </c>
      <c r="D91" s="723" t="s">
        <v>1465</v>
      </c>
      <c r="E91" s="723" t="s">
        <v>45</v>
      </c>
      <c r="F91" s="762">
        <v>6494.4</v>
      </c>
      <c r="G91" s="762">
        <v>0</v>
      </c>
      <c r="H91" s="762">
        <v>0</v>
      </c>
      <c r="I91" s="762">
        <v>0</v>
      </c>
      <c r="J91" s="762">
        <v>97416</v>
      </c>
      <c r="K91" s="762">
        <v>0</v>
      </c>
      <c r="L91" s="762">
        <v>0</v>
      </c>
      <c r="M91" s="762">
        <v>0</v>
      </c>
      <c r="N91" s="762">
        <v>2.0751275687692E-2</v>
      </c>
      <c r="O91" s="762">
        <v>8313.34047756564</v>
      </c>
      <c r="P91" s="762">
        <v>0</v>
      </c>
      <c r="Q91" s="762">
        <v>0</v>
      </c>
      <c r="R91" s="762">
        <v>0</v>
      </c>
      <c r="S91" s="823">
        <v>0.32019166666666671</v>
      </c>
      <c r="T91" s="823">
        <v>5.9347843056824626E-2</v>
      </c>
      <c r="U91" s="762">
        <f t="shared" si="14"/>
        <v>31191.791400000006</v>
      </c>
      <c r="V91" s="762">
        <f t="shared" si="15"/>
        <v>0</v>
      </c>
      <c r="W91" s="762">
        <f t="shared" si="16"/>
        <v>0</v>
      </c>
      <c r="X91" s="762">
        <f t="shared" si="17"/>
        <v>0</v>
      </c>
      <c r="Y91" s="758">
        <v>0.67</v>
      </c>
      <c r="Z91" s="762">
        <f t="shared" si="18"/>
        <v>2079.4527600000001</v>
      </c>
      <c r="AA91" s="762">
        <f t="shared" si="19"/>
        <v>0</v>
      </c>
      <c r="AB91" s="762">
        <f t="shared" si="20"/>
        <v>8313.34047756564</v>
      </c>
      <c r="AC91" s="762">
        <f t="shared" si="21"/>
        <v>0</v>
      </c>
      <c r="AD91" s="762">
        <f t="shared" si="22"/>
        <v>31191.805303354715</v>
      </c>
      <c r="AE91" s="762">
        <f t="shared" si="23"/>
        <v>6.8479209769383596E-3</v>
      </c>
      <c r="AF91" s="762">
        <f t="shared" si="24"/>
        <v>15.000000000000002</v>
      </c>
      <c r="AG91" s="762">
        <f t="shared" si="25"/>
        <v>554.2226985043759</v>
      </c>
      <c r="AH91" s="762">
        <f t="shared" si="25"/>
        <v>0</v>
      </c>
      <c r="AI91" s="762">
        <f t="shared" si="25"/>
        <v>2079.4536868903142</v>
      </c>
      <c r="AJ91" s="762">
        <f t="shared" si="25"/>
        <v>4.5652806512922394E-4</v>
      </c>
    </row>
    <row r="92" spans="2:36">
      <c r="B92" s="723">
        <v>2024</v>
      </c>
      <c r="C92" s="723" t="s">
        <v>1466</v>
      </c>
      <c r="D92" s="723" t="s">
        <v>1467</v>
      </c>
      <c r="E92" s="723" t="s">
        <v>45</v>
      </c>
      <c r="F92" s="762">
        <v>0</v>
      </c>
      <c r="G92" s="762">
        <v>0</v>
      </c>
      <c r="H92" s="762">
        <v>0</v>
      </c>
      <c r="I92" s="762">
        <v>0</v>
      </c>
      <c r="J92" s="762">
        <v>0</v>
      </c>
      <c r="K92" s="762">
        <v>0</v>
      </c>
      <c r="L92" s="762">
        <v>0</v>
      </c>
      <c r="M92" s="762">
        <v>0</v>
      </c>
      <c r="N92" s="762">
        <v>0</v>
      </c>
      <c r="O92" s="762">
        <v>0</v>
      </c>
      <c r="P92" s="762">
        <v>0</v>
      </c>
      <c r="Q92" s="762">
        <v>0</v>
      </c>
      <c r="R92" s="762">
        <v>0</v>
      </c>
      <c r="S92" s="823">
        <v>0.32019166666666671</v>
      </c>
      <c r="T92" s="823">
        <v>5.9347843056824626E-2</v>
      </c>
      <c r="U92" s="762">
        <f t="shared" si="14"/>
        <v>0</v>
      </c>
      <c r="V92" s="762">
        <f t="shared" si="15"/>
        <v>0</v>
      </c>
      <c r="W92" s="762">
        <f t="shared" si="16"/>
        <v>0</v>
      </c>
      <c r="X92" s="762">
        <f t="shared" si="17"/>
        <v>0</v>
      </c>
      <c r="Y92" s="758">
        <v>0.67</v>
      </c>
      <c r="Z92" s="762">
        <f t="shared" si="18"/>
        <v>0</v>
      </c>
      <c r="AA92" s="762">
        <f t="shared" si="19"/>
        <v>0</v>
      </c>
      <c r="AB92" s="762">
        <f t="shared" si="20"/>
        <v>0</v>
      </c>
      <c r="AC92" s="762">
        <f t="shared" si="21"/>
        <v>0</v>
      </c>
      <c r="AD92" s="762">
        <f t="shared" si="22"/>
        <v>0</v>
      </c>
      <c r="AE92" s="762">
        <f t="shared" si="23"/>
        <v>0</v>
      </c>
      <c r="AF92" s="762">
        <f t="shared" si="24"/>
        <v>1</v>
      </c>
      <c r="AG92" s="762">
        <f t="shared" si="25"/>
        <v>0</v>
      </c>
      <c r="AH92" s="762">
        <f t="shared" si="25"/>
        <v>0</v>
      </c>
      <c r="AI92" s="762">
        <f t="shared" si="25"/>
        <v>0</v>
      </c>
      <c r="AJ92" s="762">
        <f t="shared" si="25"/>
        <v>0</v>
      </c>
    </row>
    <row r="93" spans="2:36">
      <c r="B93" s="723">
        <v>2024</v>
      </c>
      <c r="C93" s="723" t="s">
        <v>1468</v>
      </c>
      <c r="D93" s="723" t="s">
        <v>1469</v>
      </c>
      <c r="E93" s="723" t="s">
        <v>45</v>
      </c>
      <c r="F93" s="762">
        <v>123106.48694999998</v>
      </c>
      <c r="G93" s="762">
        <v>0</v>
      </c>
      <c r="H93" s="762">
        <v>4335.9599999999991</v>
      </c>
      <c r="I93" s="762">
        <v>0</v>
      </c>
      <c r="J93" s="762">
        <v>1045567.0317200001</v>
      </c>
      <c r="K93" s="762">
        <v>0</v>
      </c>
      <c r="L93" s="762">
        <v>30693.16</v>
      </c>
      <c r="M93" s="762">
        <v>0</v>
      </c>
      <c r="N93" s="762">
        <v>13.1749445732094</v>
      </c>
      <c r="O93" s="762">
        <v>36320.701809615013</v>
      </c>
      <c r="P93" s="762">
        <v>43415.973176722815</v>
      </c>
      <c r="Q93" s="762">
        <v>0</v>
      </c>
      <c r="R93" s="762">
        <v>0</v>
      </c>
      <c r="S93" s="823">
        <v>0.32019166666666671</v>
      </c>
      <c r="T93" s="823">
        <v>5.9347843056824626E-2</v>
      </c>
      <c r="U93" s="762">
        <f t="shared" si="14"/>
        <v>334781.85049814638</v>
      </c>
      <c r="V93" s="762">
        <f t="shared" si="15"/>
        <v>1821.5728425980074</v>
      </c>
      <c r="W93" s="762">
        <f t="shared" si="16"/>
        <v>0</v>
      </c>
      <c r="X93" s="762">
        <f t="shared" si="17"/>
        <v>0</v>
      </c>
      <c r="Y93" s="758">
        <v>0.67</v>
      </c>
      <c r="Z93" s="762">
        <f t="shared" si="18"/>
        <v>43059.663885823058</v>
      </c>
      <c r="AA93" s="762">
        <f t="shared" si="19"/>
        <v>234.29082021352815</v>
      </c>
      <c r="AB93" s="762">
        <f t="shared" si="20"/>
        <v>36320.701809615013</v>
      </c>
      <c r="AC93" s="762">
        <f t="shared" si="21"/>
        <v>43415.973176722815</v>
      </c>
      <c r="AD93" s="762">
        <f t="shared" si="22"/>
        <v>334790.67771101044</v>
      </c>
      <c r="AE93" s="762">
        <f t="shared" si="23"/>
        <v>1825.9205743071664</v>
      </c>
      <c r="AF93" s="762">
        <f t="shared" si="24"/>
        <v>7.7748365938446113</v>
      </c>
      <c r="AG93" s="762">
        <f t="shared" si="25"/>
        <v>4671.5710833550311</v>
      </c>
      <c r="AH93" s="762">
        <f t="shared" si="25"/>
        <v>5584.1653586771872</v>
      </c>
      <c r="AI93" s="762">
        <f t="shared" si="25"/>
        <v>43060.799242528956</v>
      </c>
      <c r="AJ93" s="762">
        <f t="shared" si="25"/>
        <v>234.85002575523703</v>
      </c>
    </row>
    <row r="94" spans="2:36">
      <c r="B94" s="723">
        <v>2024</v>
      </c>
      <c r="C94" s="723" t="s">
        <v>494</v>
      </c>
      <c r="D94" s="723" t="s">
        <v>495</v>
      </c>
      <c r="E94" s="723" t="s">
        <v>18</v>
      </c>
      <c r="F94" s="762">
        <v>27119959.651890006</v>
      </c>
      <c r="G94" s="762">
        <v>0</v>
      </c>
      <c r="H94" s="762">
        <v>1504452.2849999999</v>
      </c>
      <c r="I94" s="762">
        <v>0</v>
      </c>
      <c r="J94" s="762">
        <v>27119959.651890006</v>
      </c>
      <c r="K94" s="762">
        <v>0</v>
      </c>
      <c r="L94" s="762">
        <v>1504452.2849999999</v>
      </c>
      <c r="M94" s="762">
        <v>0</v>
      </c>
      <c r="N94" s="762">
        <v>39.830481359200569</v>
      </c>
      <c r="O94" s="762">
        <v>4583602.8198150489</v>
      </c>
      <c r="P94" s="762">
        <v>2566584.9442644557</v>
      </c>
      <c r="Q94" s="762">
        <v>0</v>
      </c>
      <c r="R94" s="762">
        <v>0</v>
      </c>
      <c r="S94" s="823">
        <v>0.34383333333333327</v>
      </c>
      <c r="T94" s="823">
        <v>0.56358896834016425</v>
      </c>
      <c r="U94" s="762">
        <f t="shared" si="14"/>
        <v>9324746.1269748453</v>
      </c>
      <c r="V94" s="762">
        <f t="shared" si="15"/>
        <v>847892.71122015268</v>
      </c>
      <c r="W94" s="762">
        <f t="shared" si="16"/>
        <v>0</v>
      </c>
      <c r="X94" s="762">
        <f t="shared" si="17"/>
        <v>0</v>
      </c>
      <c r="Y94" s="758">
        <v>0.67</v>
      </c>
      <c r="Z94" s="762">
        <f t="shared" si="18"/>
        <v>9324746.1269748453</v>
      </c>
      <c r="AA94" s="762">
        <f t="shared" si="19"/>
        <v>847892.71122015268</v>
      </c>
      <c r="AB94" s="762">
        <f t="shared" si="20"/>
        <v>4583602.8198150489</v>
      </c>
      <c r="AC94" s="762">
        <f t="shared" si="21"/>
        <v>2566584.9442644557</v>
      </c>
      <c r="AD94" s="762">
        <f t="shared" si="22"/>
        <v>9324772.8133973554</v>
      </c>
      <c r="AE94" s="762">
        <f t="shared" si="23"/>
        <v>847905.85527900117</v>
      </c>
      <c r="AF94" s="762">
        <f t="shared" si="24"/>
        <v>1</v>
      </c>
      <c r="AG94" s="762">
        <f t="shared" si="25"/>
        <v>4583602.8198150489</v>
      </c>
      <c r="AH94" s="762">
        <f t="shared" si="25"/>
        <v>2566584.9442644557</v>
      </c>
      <c r="AI94" s="762">
        <f t="shared" si="25"/>
        <v>9324772.8133973554</v>
      </c>
      <c r="AJ94" s="762">
        <f t="shared" si="25"/>
        <v>847905.85527900117</v>
      </c>
    </row>
    <row r="95" spans="2:36">
      <c r="B95" s="723">
        <v>2024</v>
      </c>
      <c r="C95" s="723" t="s">
        <v>1470</v>
      </c>
      <c r="D95" s="723" t="s">
        <v>1471</v>
      </c>
      <c r="E95" s="723" t="s">
        <v>27</v>
      </c>
      <c r="F95" s="762">
        <v>83.080000000000013</v>
      </c>
      <c r="G95" s="762">
        <v>0</v>
      </c>
      <c r="H95" s="762">
        <v>291.03500000000008</v>
      </c>
      <c r="I95" s="762">
        <v>0</v>
      </c>
      <c r="J95" s="762">
        <v>484.25409999999999</v>
      </c>
      <c r="K95" s="762">
        <v>0</v>
      </c>
      <c r="L95" s="762">
        <v>2838.6180499999991</v>
      </c>
      <c r="M95" s="762">
        <v>0</v>
      </c>
      <c r="N95" s="762">
        <v>4.6256840033169995E-2</v>
      </c>
      <c r="O95" s="762">
        <v>0</v>
      </c>
      <c r="P95" s="762">
        <v>3905.6020273419185</v>
      </c>
      <c r="Q95" s="762">
        <v>0</v>
      </c>
      <c r="R95" s="762">
        <v>30.984539937609512</v>
      </c>
      <c r="S95" s="823">
        <v>0.34503333333333325</v>
      </c>
      <c r="T95" s="823">
        <v>0.70556354610838379</v>
      </c>
      <c r="U95" s="762">
        <f t="shared" si="14"/>
        <v>167.08380630333329</v>
      </c>
      <c r="V95" s="762">
        <f t="shared" si="15"/>
        <v>2002.8254174052649</v>
      </c>
      <c r="W95" s="762">
        <f t="shared" si="16"/>
        <v>0</v>
      </c>
      <c r="X95" s="762">
        <f t="shared" si="17"/>
        <v>0</v>
      </c>
      <c r="Y95" s="758">
        <v>0.67</v>
      </c>
      <c r="Z95" s="762">
        <f t="shared" si="18"/>
        <v>17.197372322683268</v>
      </c>
      <c r="AA95" s="762">
        <f t="shared" si="19"/>
        <v>206.14406124984674</v>
      </c>
      <c r="AB95" s="762">
        <f t="shared" si="20"/>
        <v>30.984539937609512</v>
      </c>
      <c r="AC95" s="762">
        <f t="shared" si="21"/>
        <v>3905.6020273419185</v>
      </c>
      <c r="AD95" s="762">
        <f t="shared" si="22"/>
        <v>167.11479838615551</v>
      </c>
      <c r="AE95" s="762">
        <f t="shared" si="23"/>
        <v>2002.8406821624758</v>
      </c>
      <c r="AF95" s="762">
        <f t="shared" si="24"/>
        <v>9.715659065132316</v>
      </c>
      <c r="AG95" s="762">
        <f t="shared" si="25"/>
        <v>3.1891341318065836</v>
      </c>
      <c r="AH95" s="762">
        <f t="shared" si="25"/>
        <v>401.99043638309564</v>
      </c>
      <c r="AI95" s="762">
        <f t="shared" si="25"/>
        <v>17.200562233178733</v>
      </c>
      <c r="AJ95" s="762">
        <f t="shared" si="25"/>
        <v>206.14563239979228</v>
      </c>
    </row>
    <row r="96" spans="2:36">
      <c r="B96" s="723">
        <v>2024</v>
      </c>
      <c r="C96" s="723" t="s">
        <v>1472</v>
      </c>
      <c r="D96" s="723" t="s">
        <v>1473</v>
      </c>
      <c r="E96" s="723" t="s">
        <v>230</v>
      </c>
      <c r="F96" s="762">
        <v>0</v>
      </c>
      <c r="G96" s="762">
        <v>0</v>
      </c>
      <c r="H96" s="762">
        <v>0</v>
      </c>
      <c r="I96" s="762">
        <v>0</v>
      </c>
      <c r="J96" s="762">
        <v>0</v>
      </c>
      <c r="K96" s="762">
        <v>0</v>
      </c>
      <c r="L96" s="762">
        <v>0</v>
      </c>
      <c r="M96" s="762">
        <v>0</v>
      </c>
      <c r="N96" s="762">
        <v>0</v>
      </c>
      <c r="O96" s="762">
        <v>0</v>
      </c>
      <c r="P96" s="762">
        <v>0</v>
      </c>
      <c r="Q96" s="762">
        <v>0</v>
      </c>
      <c r="R96" s="762">
        <v>0</v>
      </c>
      <c r="S96" s="823">
        <v>0.32888999999999996</v>
      </c>
      <c r="T96" s="823">
        <v>0.4428334525017909</v>
      </c>
      <c r="U96" s="762">
        <f t="shared" si="14"/>
        <v>0</v>
      </c>
      <c r="V96" s="762">
        <f t="shared" si="15"/>
        <v>0</v>
      </c>
      <c r="W96" s="762">
        <f t="shared" si="16"/>
        <v>0</v>
      </c>
      <c r="X96" s="762">
        <f t="shared" si="17"/>
        <v>0</v>
      </c>
      <c r="Y96" s="758">
        <v>0.67</v>
      </c>
      <c r="Z96" s="762">
        <f t="shared" si="18"/>
        <v>0</v>
      </c>
      <c r="AA96" s="762">
        <f t="shared" si="19"/>
        <v>0</v>
      </c>
      <c r="AB96" s="762">
        <f t="shared" si="20"/>
        <v>0</v>
      </c>
      <c r="AC96" s="762">
        <f t="shared" si="21"/>
        <v>0</v>
      </c>
      <c r="AD96" s="762">
        <f t="shared" si="22"/>
        <v>0</v>
      </c>
      <c r="AE96" s="762">
        <f t="shared" si="23"/>
        <v>0</v>
      </c>
      <c r="AF96" s="762">
        <f t="shared" si="24"/>
        <v>1</v>
      </c>
      <c r="AG96" s="762">
        <f t="shared" si="25"/>
        <v>0</v>
      </c>
      <c r="AH96" s="762">
        <f t="shared" si="25"/>
        <v>0</v>
      </c>
      <c r="AI96" s="762">
        <f t="shared" si="25"/>
        <v>0</v>
      </c>
      <c r="AJ96" s="762">
        <f t="shared" si="25"/>
        <v>0</v>
      </c>
    </row>
    <row r="97" spans="2:36">
      <c r="B97" s="723">
        <v>2024</v>
      </c>
      <c r="C97" s="723" t="s">
        <v>1474</v>
      </c>
      <c r="D97" s="723" t="s">
        <v>1475</v>
      </c>
      <c r="E97" s="723" t="s">
        <v>18</v>
      </c>
      <c r="F97" s="762">
        <v>0</v>
      </c>
      <c r="G97" s="762">
        <v>0</v>
      </c>
      <c r="H97" s="762">
        <v>0</v>
      </c>
      <c r="I97" s="762">
        <v>0</v>
      </c>
      <c r="J97" s="762">
        <v>0</v>
      </c>
      <c r="K97" s="762">
        <v>0</v>
      </c>
      <c r="L97" s="762">
        <v>0</v>
      </c>
      <c r="M97" s="762">
        <v>0</v>
      </c>
      <c r="N97" s="762">
        <v>0</v>
      </c>
      <c r="O97" s="762">
        <v>0</v>
      </c>
      <c r="P97" s="762">
        <v>0</v>
      </c>
      <c r="Q97" s="762">
        <v>0</v>
      </c>
      <c r="R97" s="762">
        <v>0</v>
      </c>
      <c r="S97" s="823">
        <v>0.34383333333333327</v>
      </c>
      <c r="T97" s="823">
        <v>0.56358896834016425</v>
      </c>
      <c r="U97" s="762">
        <f t="shared" si="14"/>
        <v>0</v>
      </c>
      <c r="V97" s="762">
        <f t="shared" si="15"/>
        <v>0</v>
      </c>
      <c r="W97" s="762">
        <f t="shared" si="16"/>
        <v>0</v>
      </c>
      <c r="X97" s="762">
        <f t="shared" si="17"/>
        <v>0</v>
      </c>
      <c r="Y97" s="758">
        <v>0.67</v>
      </c>
      <c r="Z97" s="762">
        <f t="shared" si="18"/>
        <v>0</v>
      </c>
      <c r="AA97" s="762">
        <f t="shared" si="19"/>
        <v>0</v>
      </c>
      <c r="AB97" s="762">
        <f t="shared" si="20"/>
        <v>0</v>
      </c>
      <c r="AC97" s="762">
        <f t="shared" si="21"/>
        <v>0</v>
      </c>
      <c r="AD97" s="762">
        <f t="shared" si="22"/>
        <v>0</v>
      </c>
      <c r="AE97" s="762">
        <f t="shared" si="23"/>
        <v>0</v>
      </c>
      <c r="AF97" s="762">
        <f t="shared" si="24"/>
        <v>1</v>
      </c>
      <c r="AG97" s="762">
        <f t="shared" si="25"/>
        <v>0</v>
      </c>
      <c r="AH97" s="762">
        <f t="shared" si="25"/>
        <v>0</v>
      </c>
      <c r="AI97" s="762">
        <f t="shared" si="25"/>
        <v>0</v>
      </c>
      <c r="AJ97" s="762">
        <f t="shared" si="25"/>
        <v>0</v>
      </c>
    </row>
    <row r="98" spans="2:36">
      <c r="B98" s="723">
        <v>2024</v>
      </c>
      <c r="C98" s="723" t="s">
        <v>1476</v>
      </c>
      <c r="D98" s="723" t="s">
        <v>1477</v>
      </c>
      <c r="E98" s="723" t="s">
        <v>27</v>
      </c>
      <c r="F98" s="762">
        <v>0</v>
      </c>
      <c r="G98" s="762">
        <v>0</v>
      </c>
      <c r="H98" s="762">
        <v>0</v>
      </c>
      <c r="I98" s="762">
        <v>0</v>
      </c>
      <c r="J98" s="762">
        <v>0</v>
      </c>
      <c r="K98" s="762">
        <v>0</v>
      </c>
      <c r="L98" s="762">
        <v>0</v>
      </c>
      <c r="M98" s="762">
        <v>0</v>
      </c>
      <c r="N98" s="762">
        <v>0</v>
      </c>
      <c r="O98" s="762">
        <v>0</v>
      </c>
      <c r="P98" s="762">
        <v>0</v>
      </c>
      <c r="Q98" s="762">
        <v>0</v>
      </c>
      <c r="R98" s="762">
        <v>0</v>
      </c>
      <c r="S98" s="823">
        <v>0.34503333333333325</v>
      </c>
      <c r="T98" s="823">
        <v>0.70556354610838379</v>
      </c>
      <c r="U98" s="762">
        <f t="shared" si="14"/>
        <v>0</v>
      </c>
      <c r="V98" s="762">
        <f t="shared" si="15"/>
        <v>0</v>
      </c>
      <c r="W98" s="762">
        <f t="shared" si="16"/>
        <v>0</v>
      </c>
      <c r="X98" s="762">
        <f t="shared" si="17"/>
        <v>0</v>
      </c>
      <c r="Y98" s="758">
        <v>0.67</v>
      </c>
      <c r="Z98" s="762">
        <f t="shared" si="18"/>
        <v>0</v>
      </c>
      <c r="AA98" s="762">
        <f t="shared" si="19"/>
        <v>0</v>
      </c>
      <c r="AB98" s="762">
        <f t="shared" si="20"/>
        <v>0</v>
      </c>
      <c r="AC98" s="762">
        <f t="shared" si="21"/>
        <v>0</v>
      </c>
      <c r="AD98" s="762">
        <f t="shared" si="22"/>
        <v>0</v>
      </c>
      <c r="AE98" s="762">
        <f t="shared" si="23"/>
        <v>0</v>
      </c>
      <c r="AF98" s="762">
        <f t="shared" si="24"/>
        <v>1</v>
      </c>
      <c r="AG98" s="762">
        <f t="shared" si="25"/>
        <v>0</v>
      </c>
      <c r="AH98" s="762">
        <f t="shared" si="25"/>
        <v>0</v>
      </c>
      <c r="AI98" s="762">
        <f t="shared" si="25"/>
        <v>0</v>
      </c>
      <c r="AJ98" s="762">
        <f t="shared" si="25"/>
        <v>0</v>
      </c>
    </row>
    <row r="99" spans="2:36">
      <c r="B99" s="723">
        <v>2024</v>
      </c>
      <c r="C99" s="723" t="s">
        <v>1478</v>
      </c>
      <c r="D99" s="723" t="s">
        <v>1479</v>
      </c>
      <c r="E99" s="723" t="s">
        <v>18</v>
      </c>
      <c r="F99" s="762">
        <v>0</v>
      </c>
      <c r="G99" s="762">
        <v>0</v>
      </c>
      <c r="H99" s="762">
        <v>0</v>
      </c>
      <c r="I99" s="762">
        <v>0</v>
      </c>
      <c r="J99" s="762">
        <v>0</v>
      </c>
      <c r="K99" s="762">
        <v>0</v>
      </c>
      <c r="L99" s="762">
        <v>0</v>
      </c>
      <c r="M99" s="762">
        <v>0</v>
      </c>
      <c r="N99" s="762">
        <v>0</v>
      </c>
      <c r="O99" s="762">
        <v>0</v>
      </c>
      <c r="P99" s="762">
        <v>0</v>
      </c>
      <c r="Q99" s="762">
        <v>0</v>
      </c>
      <c r="R99" s="762">
        <v>0</v>
      </c>
      <c r="S99" s="823">
        <v>0.34383333333333327</v>
      </c>
      <c r="T99" s="823">
        <v>0.56358896834016425</v>
      </c>
      <c r="U99" s="762">
        <f t="shared" si="14"/>
        <v>0</v>
      </c>
      <c r="V99" s="762">
        <f t="shared" si="15"/>
        <v>0</v>
      </c>
      <c r="W99" s="762">
        <f t="shared" si="16"/>
        <v>0</v>
      </c>
      <c r="X99" s="762">
        <f t="shared" si="17"/>
        <v>0</v>
      </c>
      <c r="Y99" s="758">
        <v>0.67</v>
      </c>
      <c r="Z99" s="762">
        <f t="shared" si="18"/>
        <v>0</v>
      </c>
      <c r="AA99" s="762">
        <f t="shared" si="19"/>
        <v>0</v>
      </c>
      <c r="AB99" s="762">
        <f t="shared" si="20"/>
        <v>0</v>
      </c>
      <c r="AC99" s="762">
        <f t="shared" si="21"/>
        <v>0</v>
      </c>
      <c r="AD99" s="762">
        <f t="shared" si="22"/>
        <v>0</v>
      </c>
      <c r="AE99" s="762">
        <f t="shared" si="23"/>
        <v>0</v>
      </c>
      <c r="AF99" s="762">
        <f t="shared" si="24"/>
        <v>1</v>
      </c>
      <c r="AG99" s="762">
        <f t="shared" si="25"/>
        <v>0</v>
      </c>
      <c r="AH99" s="762">
        <f t="shared" si="25"/>
        <v>0</v>
      </c>
      <c r="AI99" s="762">
        <f t="shared" si="25"/>
        <v>0</v>
      </c>
      <c r="AJ99" s="762">
        <f t="shared" si="25"/>
        <v>0</v>
      </c>
    </row>
    <row r="100" spans="2:36">
      <c r="B100" s="723">
        <v>2024</v>
      </c>
      <c r="C100" s="723" t="s">
        <v>1480</v>
      </c>
      <c r="D100" s="723" t="s">
        <v>1481</v>
      </c>
      <c r="E100" s="723" t="s">
        <v>27</v>
      </c>
      <c r="F100" s="762">
        <v>421272</v>
      </c>
      <c r="G100" s="762">
        <v>0</v>
      </c>
      <c r="H100" s="762">
        <v>0</v>
      </c>
      <c r="I100" s="762">
        <v>0</v>
      </c>
      <c r="J100" s="762">
        <v>5265900</v>
      </c>
      <c r="K100" s="762">
        <v>0</v>
      </c>
      <c r="L100" s="762">
        <v>0</v>
      </c>
      <c r="M100" s="762">
        <v>0</v>
      </c>
      <c r="N100" s="762">
        <v>0.75035654764456405</v>
      </c>
      <c r="O100" s="762">
        <v>445675.03023091401</v>
      </c>
      <c r="P100" s="762">
        <v>0</v>
      </c>
      <c r="Q100" s="762">
        <v>0</v>
      </c>
      <c r="R100" s="762">
        <v>0</v>
      </c>
      <c r="S100" s="823">
        <v>0.34503333333333325</v>
      </c>
      <c r="T100" s="823">
        <v>0.70556354610838379</v>
      </c>
      <c r="U100" s="762">
        <f t="shared" si="14"/>
        <v>1816911.0299999996</v>
      </c>
      <c r="V100" s="762">
        <f t="shared" si="15"/>
        <v>0</v>
      </c>
      <c r="W100" s="762">
        <f t="shared" si="16"/>
        <v>0</v>
      </c>
      <c r="X100" s="762">
        <f t="shared" si="17"/>
        <v>0</v>
      </c>
      <c r="Y100" s="758">
        <v>0.67</v>
      </c>
      <c r="Z100" s="762">
        <f t="shared" si="18"/>
        <v>145352.88239999997</v>
      </c>
      <c r="AA100" s="762">
        <f t="shared" si="19"/>
        <v>0</v>
      </c>
      <c r="AB100" s="762">
        <f t="shared" si="20"/>
        <v>445675.03023091401</v>
      </c>
      <c r="AC100" s="762">
        <f t="shared" si="21"/>
        <v>0</v>
      </c>
      <c r="AD100" s="762">
        <f t="shared" si="22"/>
        <v>1816911.5327388865</v>
      </c>
      <c r="AE100" s="762">
        <f t="shared" si="23"/>
        <v>0.24761766072270611</v>
      </c>
      <c r="AF100" s="762">
        <f t="shared" si="24"/>
        <v>12.5</v>
      </c>
      <c r="AG100" s="762">
        <f t="shared" si="25"/>
        <v>35654.002418473123</v>
      </c>
      <c r="AH100" s="762">
        <f t="shared" si="25"/>
        <v>0</v>
      </c>
      <c r="AI100" s="762">
        <f t="shared" si="25"/>
        <v>145352.92261911093</v>
      </c>
      <c r="AJ100" s="762">
        <f t="shared" si="25"/>
        <v>1.980941285781649E-2</v>
      </c>
    </row>
    <row r="101" spans="2:36">
      <c r="B101" s="723">
        <v>2024</v>
      </c>
      <c r="C101" s="723" t="s">
        <v>1482</v>
      </c>
      <c r="D101" s="723" t="s">
        <v>1483</v>
      </c>
      <c r="E101" s="723" t="s">
        <v>230</v>
      </c>
      <c r="F101" s="762">
        <v>0</v>
      </c>
      <c r="G101" s="762">
        <v>0</v>
      </c>
      <c r="H101" s="762">
        <v>0</v>
      </c>
      <c r="I101" s="762">
        <v>0</v>
      </c>
      <c r="J101" s="762">
        <v>0</v>
      </c>
      <c r="K101" s="762">
        <v>0</v>
      </c>
      <c r="L101" s="762">
        <v>0</v>
      </c>
      <c r="M101" s="762">
        <v>0</v>
      </c>
      <c r="N101" s="762">
        <v>0</v>
      </c>
      <c r="O101" s="762">
        <v>0</v>
      </c>
      <c r="P101" s="762">
        <v>0</v>
      </c>
      <c r="Q101" s="762">
        <v>0</v>
      </c>
      <c r="R101" s="762">
        <v>0</v>
      </c>
      <c r="S101" s="823">
        <v>0.32888999999999996</v>
      </c>
      <c r="T101" s="823">
        <v>0.4428334525017909</v>
      </c>
      <c r="U101" s="762">
        <f t="shared" si="14"/>
        <v>0</v>
      </c>
      <c r="V101" s="762">
        <f t="shared" si="15"/>
        <v>0</v>
      </c>
      <c r="W101" s="762">
        <f t="shared" si="16"/>
        <v>0</v>
      </c>
      <c r="X101" s="762">
        <f t="shared" si="17"/>
        <v>0</v>
      </c>
      <c r="Y101" s="758">
        <v>0.67</v>
      </c>
      <c r="Z101" s="762">
        <f t="shared" si="18"/>
        <v>0</v>
      </c>
      <c r="AA101" s="762">
        <f t="shared" si="19"/>
        <v>0</v>
      </c>
      <c r="AB101" s="762">
        <f t="shared" si="20"/>
        <v>0</v>
      </c>
      <c r="AC101" s="762">
        <f t="shared" si="21"/>
        <v>0</v>
      </c>
      <c r="AD101" s="762">
        <f t="shared" si="22"/>
        <v>0</v>
      </c>
      <c r="AE101" s="762">
        <f t="shared" si="23"/>
        <v>0</v>
      </c>
      <c r="AF101" s="762">
        <f t="shared" si="24"/>
        <v>1</v>
      </c>
      <c r="AG101" s="762">
        <f t="shared" si="25"/>
        <v>0</v>
      </c>
      <c r="AH101" s="762">
        <f t="shared" si="25"/>
        <v>0</v>
      </c>
      <c r="AI101" s="762">
        <f t="shared" si="25"/>
        <v>0</v>
      </c>
      <c r="AJ101" s="762">
        <f t="shared" si="25"/>
        <v>0</v>
      </c>
    </row>
    <row r="102" spans="2:36">
      <c r="B102" s="723">
        <v>2024</v>
      </c>
      <c r="C102" s="723" t="s">
        <v>1484</v>
      </c>
      <c r="D102" s="723" t="s">
        <v>1485</v>
      </c>
      <c r="E102" s="723" t="s">
        <v>230</v>
      </c>
      <c r="F102" s="762">
        <v>0</v>
      </c>
      <c r="G102" s="762">
        <v>0</v>
      </c>
      <c r="H102" s="762">
        <v>0</v>
      </c>
      <c r="I102" s="762">
        <v>0</v>
      </c>
      <c r="J102" s="762">
        <v>0</v>
      </c>
      <c r="K102" s="762">
        <v>0</v>
      </c>
      <c r="L102" s="762">
        <v>0</v>
      </c>
      <c r="M102" s="762">
        <v>0</v>
      </c>
      <c r="N102" s="762">
        <v>0</v>
      </c>
      <c r="O102" s="762">
        <v>0</v>
      </c>
      <c r="P102" s="762">
        <v>0</v>
      </c>
      <c r="Q102" s="762">
        <v>0</v>
      </c>
      <c r="R102" s="762">
        <v>0</v>
      </c>
      <c r="S102" s="823">
        <v>0.32888999999999996</v>
      </c>
      <c r="T102" s="823">
        <v>0.4428334525017909</v>
      </c>
      <c r="U102" s="762">
        <f t="shared" si="14"/>
        <v>0</v>
      </c>
      <c r="V102" s="762">
        <f t="shared" si="15"/>
        <v>0</v>
      </c>
      <c r="W102" s="762">
        <f t="shared" si="16"/>
        <v>0</v>
      </c>
      <c r="X102" s="762">
        <f t="shared" si="17"/>
        <v>0</v>
      </c>
      <c r="Y102" s="758">
        <v>0.67</v>
      </c>
      <c r="Z102" s="762">
        <f t="shared" si="18"/>
        <v>0</v>
      </c>
      <c r="AA102" s="762">
        <f t="shared" si="19"/>
        <v>0</v>
      </c>
      <c r="AB102" s="762">
        <f t="shared" si="20"/>
        <v>0</v>
      </c>
      <c r="AC102" s="762">
        <f t="shared" si="21"/>
        <v>0</v>
      </c>
      <c r="AD102" s="762">
        <f t="shared" si="22"/>
        <v>0</v>
      </c>
      <c r="AE102" s="762">
        <f t="shared" si="23"/>
        <v>0</v>
      </c>
      <c r="AF102" s="762">
        <f t="shared" si="24"/>
        <v>1</v>
      </c>
      <c r="AG102" s="762">
        <f t="shared" si="25"/>
        <v>0</v>
      </c>
      <c r="AH102" s="762">
        <f t="shared" si="25"/>
        <v>0</v>
      </c>
      <c r="AI102" s="762">
        <f t="shared" si="25"/>
        <v>0</v>
      </c>
      <c r="AJ102" s="762">
        <f t="shared" si="25"/>
        <v>0</v>
      </c>
    </row>
    <row r="103" spans="2:36" ht="16.5" customHeight="1">
      <c r="B103" s="1005" t="s">
        <v>1486</v>
      </c>
      <c r="C103" s="1005"/>
      <c r="D103" s="1005"/>
      <c r="E103" s="1005"/>
      <c r="F103" s="1005"/>
      <c r="G103" s="1005"/>
      <c r="H103" s="1005"/>
      <c r="I103" s="669"/>
      <c r="J103" s="669"/>
      <c r="K103" s="669"/>
      <c r="L103" s="669"/>
      <c r="M103" s="669"/>
      <c r="N103" s="669"/>
      <c r="O103" s="669"/>
      <c r="P103" s="669"/>
      <c r="Q103" s="669"/>
      <c r="R103" s="669"/>
      <c r="S103" s="669"/>
      <c r="T103" s="669"/>
      <c r="U103" s="669"/>
      <c r="V103" s="669"/>
      <c r="W103" s="669"/>
      <c r="X103" s="669"/>
      <c r="Y103" s="669"/>
      <c r="Z103" s="669"/>
      <c r="AA103" s="669"/>
      <c r="AB103" s="669"/>
      <c r="AC103" s="669"/>
      <c r="AD103" s="669"/>
      <c r="AE103" s="669"/>
      <c r="AF103" s="669"/>
      <c r="AG103" s="669"/>
      <c r="AH103" s="669"/>
      <c r="AI103" s="669"/>
      <c r="AJ103" s="669"/>
    </row>
    <row r="104" spans="2:36">
      <c r="B104" s="1006"/>
      <c r="C104" s="1006"/>
      <c r="D104" s="1006"/>
      <c r="E104" s="1006"/>
      <c r="F104" s="1006"/>
      <c r="G104" s="1006"/>
      <c r="H104" s="1006"/>
      <c r="I104" s="669"/>
      <c r="J104" s="669"/>
      <c r="K104" s="669"/>
      <c r="L104" s="669"/>
      <c r="M104" s="669"/>
      <c r="N104" s="669"/>
      <c r="O104" s="669"/>
      <c r="P104" s="669"/>
      <c r="Q104" s="669"/>
      <c r="R104" s="669"/>
      <c r="S104" s="669"/>
      <c r="T104" s="669"/>
      <c r="U104" s="669"/>
      <c r="V104" s="669"/>
      <c r="W104" s="669"/>
      <c r="X104" s="669"/>
      <c r="Y104" s="669"/>
      <c r="Z104" s="669"/>
      <c r="AA104" s="669"/>
      <c r="AB104" s="669"/>
      <c r="AC104" s="669"/>
      <c r="AD104" s="669"/>
      <c r="AE104" s="669"/>
      <c r="AF104" s="669"/>
      <c r="AG104" s="669"/>
      <c r="AH104" s="669"/>
      <c r="AI104" s="669"/>
      <c r="AJ104" s="669"/>
    </row>
    <row r="105" spans="2:36" ht="16.5" customHeight="1">
      <c r="B105" s="1006" t="s">
        <v>1487</v>
      </c>
      <c r="C105" s="1006"/>
      <c r="D105" s="1006"/>
      <c r="E105" s="1006"/>
      <c r="F105" s="1006"/>
      <c r="G105" s="1006"/>
      <c r="H105" s="1006"/>
      <c r="I105" s="669"/>
      <c r="J105" s="669"/>
      <c r="K105" s="669"/>
      <c r="L105" s="669"/>
      <c r="M105" s="669"/>
      <c r="N105" s="669"/>
      <c r="O105" s="669"/>
      <c r="P105" s="669"/>
      <c r="Q105" s="669"/>
      <c r="R105" s="669"/>
      <c r="S105" s="669"/>
      <c r="T105" s="669"/>
      <c r="U105" s="669"/>
      <c r="V105" s="669"/>
      <c r="W105" s="669"/>
      <c r="X105" s="669"/>
      <c r="Y105" s="669"/>
      <c r="Z105" s="669"/>
      <c r="AA105" s="669"/>
      <c r="AB105" s="669"/>
      <c r="AC105" s="669"/>
      <c r="AD105" s="669"/>
      <c r="AE105" s="669"/>
      <c r="AF105" s="669"/>
      <c r="AG105" s="669"/>
      <c r="AH105" s="669"/>
      <c r="AI105" s="669"/>
      <c r="AJ105" s="669"/>
    </row>
    <row r="106" spans="2:36">
      <c r="B106" s="1006"/>
      <c r="C106" s="1006"/>
      <c r="D106" s="1006"/>
      <c r="E106" s="1006"/>
      <c r="F106" s="1006"/>
      <c r="G106" s="1006"/>
      <c r="H106" s="1006"/>
      <c r="I106" s="669"/>
      <c r="J106" s="669"/>
      <c r="K106" s="669"/>
      <c r="L106" s="669"/>
      <c r="M106" s="669"/>
      <c r="N106" s="669"/>
      <c r="O106" s="669"/>
      <c r="P106" s="669"/>
      <c r="Q106" s="669"/>
      <c r="R106" s="669"/>
      <c r="S106" s="669"/>
      <c r="T106" s="669"/>
      <c r="U106" s="669"/>
      <c r="V106" s="669"/>
      <c r="W106" s="669"/>
      <c r="X106" s="669"/>
      <c r="Y106" s="669"/>
      <c r="Z106" s="669"/>
      <c r="AA106" s="669"/>
      <c r="AB106" s="669"/>
      <c r="AC106" s="669"/>
      <c r="AD106" s="669"/>
      <c r="AE106" s="669"/>
      <c r="AF106" s="669"/>
      <c r="AG106" s="669"/>
      <c r="AH106" s="669"/>
      <c r="AI106" s="669"/>
      <c r="AJ106" s="669"/>
    </row>
  </sheetData>
  <mergeCells count="3">
    <mergeCell ref="C2:J2"/>
    <mergeCell ref="B103:H104"/>
    <mergeCell ref="B105:H106"/>
  </mergeCells>
  <pageMargins left="0.25" right="0.25" top="0.75" bottom="0.75" header="0.3" footer="0.3"/>
  <pageSetup paperSize="17" orientation="landscape"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8C84-D562-444B-8CA5-0C0FFA194488}">
  <sheetPr codeName="Sheet17">
    <tabColor theme="4"/>
    <pageSetUpPr fitToPage="1"/>
  </sheetPr>
  <dimension ref="A1:AD52"/>
  <sheetViews>
    <sheetView showGridLines="0" zoomScaleNormal="100" workbookViewId="0">
      <selection activeCell="S13" sqref="S13"/>
    </sheetView>
  </sheetViews>
  <sheetFormatPr defaultColWidth="9" defaultRowHeight="15"/>
  <cols>
    <col min="1" max="1" width="11" style="106" customWidth="1"/>
    <col min="2" max="2" width="57.5" style="106" bestFit="1" customWidth="1"/>
    <col min="3" max="3" width="29.75" style="106" bestFit="1" customWidth="1"/>
    <col min="4" max="4" width="16.625" style="106" hidden="1" customWidth="1"/>
    <col min="5" max="5" width="23.25" style="106" hidden="1" customWidth="1"/>
    <col min="6" max="6" width="17.25" style="106" hidden="1" customWidth="1"/>
    <col min="7" max="7" width="16.75" style="106" hidden="1" customWidth="1"/>
    <col min="8" max="8" width="56" style="106" hidden="1" customWidth="1"/>
    <col min="9" max="9" width="19" style="106" hidden="1" customWidth="1"/>
    <col min="10" max="10" width="18.5" style="106" hidden="1" customWidth="1"/>
    <col min="11" max="13" width="57.125" style="106" hidden="1" customWidth="1"/>
    <col min="14" max="15" width="22.75" style="106" hidden="1" customWidth="1"/>
    <col min="16" max="16" width="20.25" style="106" hidden="1" customWidth="1"/>
    <col min="17" max="17" width="15.75" style="106" hidden="1" customWidth="1"/>
    <col min="18" max="18" width="16.25" style="106" hidden="1" customWidth="1"/>
    <col min="19" max="19" width="16.25" style="106" bestFit="1" customWidth="1"/>
    <col min="20" max="20" width="20.25" style="106" customWidth="1"/>
    <col min="21" max="21" width="15.25" style="106" customWidth="1"/>
    <col min="22" max="22" width="24.5" style="106" customWidth="1"/>
    <col min="23" max="23" width="51.25" style="106" customWidth="1"/>
    <col min="24" max="24" width="57.125" style="106" customWidth="1"/>
    <col min="25" max="25" width="19" style="106" customWidth="1"/>
    <col min="26" max="26" width="17.5" style="106" customWidth="1"/>
    <col min="27" max="27" width="40.75" style="106" customWidth="1"/>
    <col min="28" max="28" width="92.75" style="106" customWidth="1"/>
    <col min="29" max="29" width="33.625" style="106" customWidth="1"/>
    <col min="30" max="30" width="32.125" style="106" customWidth="1"/>
    <col min="31" max="31" width="23.75" style="106" customWidth="1"/>
    <col min="32" max="16384" width="9" style="106"/>
  </cols>
  <sheetData>
    <row r="1" spans="1:30" ht="15.75" thickBot="1">
      <c r="A1" s="669"/>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row>
    <row r="2" spans="1:30">
      <c r="A2" s="669"/>
      <c r="B2" s="224" t="s">
        <v>58</v>
      </c>
      <c r="C2" s="859" t="s">
        <v>1488</v>
      </c>
      <c r="D2" s="859"/>
      <c r="E2" s="859"/>
      <c r="F2" s="859"/>
      <c r="G2" s="859"/>
      <c r="H2" s="859"/>
      <c r="I2" s="859"/>
      <c r="J2" s="860"/>
      <c r="K2" s="669"/>
      <c r="L2" s="669"/>
      <c r="M2" s="669"/>
      <c r="N2" s="669"/>
      <c r="O2" s="669"/>
      <c r="P2" s="669"/>
      <c r="Q2" s="669"/>
      <c r="R2" s="669"/>
      <c r="S2" s="669"/>
      <c r="T2" s="669"/>
      <c r="U2" s="669"/>
      <c r="V2" s="669"/>
      <c r="W2" s="669"/>
      <c r="X2" s="669"/>
      <c r="Y2" s="669"/>
      <c r="Z2" s="669"/>
      <c r="AA2" s="669"/>
      <c r="AB2" s="669"/>
      <c r="AC2" s="669"/>
      <c r="AD2" s="669"/>
    </row>
    <row r="3" spans="1:30" ht="15.75" thickBot="1">
      <c r="A3" s="669"/>
      <c r="B3" s="436" t="s">
        <v>102</v>
      </c>
      <c r="C3" s="863" t="s">
        <v>1489</v>
      </c>
      <c r="D3" s="863"/>
      <c r="E3" s="863"/>
      <c r="F3" s="863"/>
      <c r="G3" s="863"/>
      <c r="H3" s="863"/>
      <c r="I3" s="863"/>
      <c r="J3" s="864"/>
      <c r="K3" s="669"/>
      <c r="L3" s="669"/>
      <c r="M3" s="669"/>
      <c r="N3" s="669"/>
      <c r="O3" s="669"/>
      <c r="P3" s="669"/>
      <c r="Q3" s="669"/>
      <c r="R3" s="669"/>
      <c r="S3" s="669"/>
      <c r="T3" s="669"/>
      <c r="U3" s="669"/>
      <c r="V3" s="669"/>
      <c r="W3" s="669"/>
      <c r="X3" s="669"/>
      <c r="Y3" s="669"/>
      <c r="Z3" s="669"/>
      <c r="AA3" s="669"/>
      <c r="AB3" s="669"/>
      <c r="AC3" s="669"/>
      <c r="AD3" s="669"/>
    </row>
    <row r="4" spans="1:30" ht="15.75" thickBot="1">
      <c r="A4" s="669"/>
      <c r="B4" s="669"/>
      <c r="C4" s="669"/>
      <c r="D4" s="669"/>
      <c r="E4" s="669"/>
      <c r="F4" s="669"/>
      <c r="G4" s="669"/>
      <c r="H4" s="669"/>
      <c r="I4" s="669"/>
      <c r="J4" s="669"/>
      <c r="K4" s="669"/>
      <c r="L4" s="669"/>
      <c r="M4" s="669"/>
      <c r="N4" s="669"/>
      <c r="O4" s="669"/>
      <c r="P4" s="669"/>
      <c r="Q4" s="669"/>
      <c r="R4" s="669"/>
      <c r="S4" s="669"/>
      <c r="T4" s="669"/>
      <c r="U4" s="669"/>
      <c r="V4" s="669"/>
      <c r="W4" s="669"/>
      <c r="X4" s="669"/>
      <c r="Y4" s="669"/>
      <c r="Z4" s="669"/>
      <c r="AA4" s="669"/>
      <c r="AB4" s="669"/>
      <c r="AC4" s="669"/>
      <c r="AD4" s="669"/>
    </row>
    <row r="5" spans="1:30">
      <c r="A5" s="669"/>
      <c r="B5" s="172" t="s">
        <v>104</v>
      </c>
      <c r="C5" s="173" t="str">
        <f>'Read Me'!B10</f>
        <v>SDG&amp;E</v>
      </c>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row>
    <row r="6" spans="1:30" ht="15.75" thickBot="1">
      <c r="A6" s="669"/>
      <c r="B6" s="428" t="s">
        <v>105</v>
      </c>
      <c r="C6" s="429" t="str">
        <f>'Read Me'!B11</f>
        <v>2028-2035</v>
      </c>
      <c r="D6" s="669"/>
      <c r="E6" s="669"/>
      <c r="F6" s="669"/>
      <c r="G6" s="669"/>
      <c r="H6" s="669"/>
      <c r="I6" s="669"/>
      <c r="J6" s="669"/>
      <c r="K6" s="669"/>
      <c r="L6" s="669"/>
      <c r="M6" s="669"/>
      <c r="N6" s="669"/>
      <c r="O6" s="669"/>
      <c r="P6" s="669"/>
      <c r="Q6" s="669"/>
      <c r="R6" s="669"/>
      <c r="S6" s="669"/>
      <c r="T6" s="669"/>
      <c r="U6" s="669"/>
      <c r="V6" s="669"/>
      <c r="W6" s="669"/>
      <c r="X6" s="669"/>
      <c r="Y6" s="669"/>
      <c r="Z6" s="669"/>
      <c r="AA6" s="669"/>
      <c r="AB6" s="669"/>
      <c r="AC6" s="669"/>
      <c r="AD6" s="669"/>
    </row>
    <row r="7" spans="1:30" ht="33" customHeight="1">
      <c r="A7" s="669"/>
      <c r="B7" s="64" t="s">
        <v>1490</v>
      </c>
      <c r="C7" s="64"/>
      <c r="D7" s="64"/>
      <c r="E7" s="64"/>
      <c r="F7" s="669"/>
      <c r="G7" s="669"/>
      <c r="H7" s="669"/>
      <c r="I7" s="669"/>
      <c r="J7" s="669"/>
      <c r="K7" s="669"/>
      <c r="L7" s="669"/>
      <c r="M7" s="669"/>
      <c r="N7" s="669"/>
      <c r="O7" s="669"/>
      <c r="P7" s="669"/>
      <c r="Q7" s="669"/>
      <c r="R7" s="669"/>
      <c r="S7" s="669"/>
      <c r="T7" s="669"/>
      <c r="U7" s="669"/>
      <c r="V7" s="669"/>
      <c r="W7" s="669"/>
      <c r="X7" s="669"/>
      <c r="Y7" s="669"/>
      <c r="Z7" s="669"/>
      <c r="AA7" s="669"/>
      <c r="AB7" s="669"/>
      <c r="AC7" s="669"/>
      <c r="AD7" s="669"/>
    </row>
    <row r="8" spans="1:30" s="124" customFormat="1" ht="97.5" customHeight="1">
      <c r="A8" s="824"/>
      <c r="B8" s="657" t="s">
        <v>290</v>
      </c>
      <c r="C8" s="657" t="s">
        <v>1491</v>
      </c>
      <c r="D8" s="657" t="s">
        <v>1492</v>
      </c>
      <c r="E8" s="657" t="s">
        <v>1493</v>
      </c>
      <c r="F8" s="657" t="s">
        <v>1494</v>
      </c>
      <c r="G8" s="657" t="s">
        <v>1495</v>
      </c>
      <c r="H8" s="657" t="s">
        <v>1496</v>
      </c>
      <c r="I8" s="657" t="s">
        <v>1497</v>
      </c>
      <c r="J8" s="657" t="s">
        <v>1498</v>
      </c>
      <c r="K8" s="657" t="s">
        <v>1499</v>
      </c>
      <c r="L8" s="657" t="s">
        <v>1500</v>
      </c>
      <c r="M8" s="657" t="s">
        <v>1501</v>
      </c>
      <c r="N8" s="657" t="s">
        <v>1502</v>
      </c>
      <c r="O8" s="657" t="s">
        <v>1503</v>
      </c>
      <c r="P8" s="657" t="s">
        <v>1504</v>
      </c>
      <c r="Q8" s="657" t="s">
        <v>1505</v>
      </c>
      <c r="R8" s="657" t="s">
        <v>1506</v>
      </c>
      <c r="S8" s="657" t="s">
        <v>1507</v>
      </c>
      <c r="T8" s="657" t="s">
        <v>1508</v>
      </c>
      <c r="U8" s="657" t="s">
        <v>1509</v>
      </c>
      <c r="V8" s="657" t="s">
        <v>1510</v>
      </c>
      <c r="W8" s="657" t="s">
        <v>1511</v>
      </c>
      <c r="X8" s="657" t="s">
        <v>1512</v>
      </c>
      <c r="Y8" s="657" t="s">
        <v>1513</v>
      </c>
      <c r="Z8" s="657" t="s">
        <v>1514</v>
      </c>
      <c r="AA8" s="657" t="s">
        <v>1515</v>
      </c>
      <c r="AB8" s="657" t="s">
        <v>1516</v>
      </c>
      <c r="AC8" s="657" t="s">
        <v>1517</v>
      </c>
      <c r="AD8" s="657" t="s">
        <v>1518</v>
      </c>
    </row>
    <row r="9" spans="1:30" ht="345">
      <c r="A9" s="669">
        <v>1</v>
      </c>
      <c r="B9" s="771" t="str">
        <f>INDEX('Budget Filing Data'!$E$10:$E$297,MATCH('11 Program Card'!C9,'Budget Filing Data'!$D$10:$D$297,0))</f>
        <v>SW C&amp;S - Compliance Enhancement</v>
      </c>
      <c r="C9" s="771" t="s">
        <v>470</v>
      </c>
      <c r="D9" s="771" t="str">
        <f>_xlfn.LET(_xlpm.result,INDEX('Budget Filing Data'!$M$10:$M$297,MATCH('11 Program Card'!C9,'Budget Filing Data'!$D$10:$D$297,0)),IF(_xlpm.result="Active","Existing",_xlpm.result))</f>
        <v>Existing</v>
      </c>
      <c r="E9" s="771" t="s">
        <v>1519</v>
      </c>
      <c r="F9" s="771" t="s">
        <v>41</v>
      </c>
      <c r="G9" s="771" t="str">
        <f>INDEX('Budget Filing Data'!$J$10:$J$296,MATCH('11 Program Card'!C9,'Budget Filing Data'!$D$10:$D$297,0))</f>
        <v>IOU Core</v>
      </c>
      <c r="H9" s="771" t="s">
        <v>1520</v>
      </c>
      <c r="I9" s="824" t="str">
        <f>INDEX('Budget Filing Data'!$G$10:$G$297,MATCH('11 Program Card'!C9,'Budget Filing Data'!$D$10:$D$297,0))</f>
        <v>Cross Cutting</v>
      </c>
      <c r="J9" s="771" t="s">
        <v>50</v>
      </c>
      <c r="K9" s="825" t="s">
        <v>1521</v>
      </c>
      <c r="L9" s="825" t="s">
        <v>1522</v>
      </c>
      <c r="M9" s="825" t="s">
        <v>1523</v>
      </c>
      <c r="N9" s="658" t="s">
        <v>1524</v>
      </c>
      <c r="O9" s="658" t="s">
        <v>1525</v>
      </c>
      <c r="P9" s="825" t="s">
        <v>1526</v>
      </c>
      <c r="Q9" s="771" t="s">
        <v>41</v>
      </c>
      <c r="R9" s="771" t="s">
        <v>46</v>
      </c>
      <c r="S9" s="826">
        <v>0</v>
      </c>
      <c r="T9" s="827" t="s">
        <v>1527</v>
      </c>
      <c r="U9" s="828" t="s">
        <v>1528</v>
      </c>
      <c r="V9" s="825" t="s">
        <v>1529</v>
      </c>
      <c r="W9" s="825" t="s">
        <v>1530</v>
      </c>
      <c r="X9" s="825" t="s">
        <v>1531</v>
      </c>
      <c r="Y9" s="825" t="s">
        <v>1532</v>
      </c>
      <c r="Z9" s="825" t="s">
        <v>1533</v>
      </c>
      <c r="AA9" s="825" t="s">
        <v>1534</v>
      </c>
      <c r="AB9" s="825" t="s">
        <v>1535</v>
      </c>
      <c r="AC9" s="825" t="s">
        <v>1536</v>
      </c>
      <c r="AD9" s="659" t="s">
        <v>1537</v>
      </c>
    </row>
    <row r="10" spans="1:30" ht="330">
      <c r="A10" s="669">
        <v>2</v>
      </c>
      <c r="B10" s="771" t="str">
        <f>INDEX('Budget Filing Data'!$E$10:$E$297,MATCH('11 Program Card'!C10,'Budget Filing Data'!$D$10:$D$297,0))</f>
        <v>SW C&amp;S - Reach Codes</v>
      </c>
      <c r="C10" s="771" t="s">
        <v>472</v>
      </c>
      <c r="D10" s="771" t="str">
        <f>_xlfn.LET(_xlpm.result,INDEX('Budget Filing Data'!$M$10:$M$297,MATCH('11 Program Card'!C10,'Budget Filing Data'!$D$10:$D$297,0)),IF(_xlpm.result="Active","Existing",_xlpm.result))</f>
        <v>Existing</v>
      </c>
      <c r="E10" s="771" t="s">
        <v>1519</v>
      </c>
      <c r="F10" s="771" t="s">
        <v>41</v>
      </c>
      <c r="G10" s="771" t="str">
        <f>INDEX('Budget Filing Data'!$J$10:$J$296,MATCH('11 Program Card'!C10,'Budget Filing Data'!$D$10:$D$297,0))</f>
        <v>IOU Core</v>
      </c>
      <c r="H10" s="771" t="s">
        <v>1520</v>
      </c>
      <c r="I10" s="771" t="str">
        <f>INDEX('Budget Filing Data'!$G$10:$G$297,MATCH('11 Program Card'!C10,'Budget Filing Data'!$D$10:$D$297,0))</f>
        <v>Cross Cutting</v>
      </c>
      <c r="J10" s="771" t="s">
        <v>50</v>
      </c>
      <c r="K10" s="825" t="s">
        <v>1538</v>
      </c>
      <c r="L10" s="825" t="s">
        <v>1539</v>
      </c>
      <c r="M10" s="825" t="s">
        <v>1540</v>
      </c>
      <c r="N10" s="658" t="s">
        <v>1524</v>
      </c>
      <c r="O10" s="658" t="s">
        <v>1525</v>
      </c>
      <c r="P10" s="825" t="s">
        <v>1526</v>
      </c>
      <c r="Q10" s="771" t="s">
        <v>41</v>
      </c>
      <c r="R10" s="771" t="s">
        <v>46</v>
      </c>
      <c r="S10" s="826">
        <v>0</v>
      </c>
      <c r="T10" s="827" t="s">
        <v>1541</v>
      </c>
      <c r="U10" s="828" t="s">
        <v>1528</v>
      </c>
      <c r="V10" s="825" t="s">
        <v>1529</v>
      </c>
      <c r="W10" s="825" t="s">
        <v>1530</v>
      </c>
      <c r="X10" s="825" t="s">
        <v>1542</v>
      </c>
      <c r="Y10" s="825" t="s">
        <v>1543</v>
      </c>
      <c r="Z10" s="825" t="s">
        <v>1543</v>
      </c>
      <c r="AA10" s="825" t="s">
        <v>1544</v>
      </c>
      <c r="AB10" s="825" t="s">
        <v>1545</v>
      </c>
      <c r="AC10" s="825" t="s">
        <v>1536</v>
      </c>
      <c r="AD10" s="659" t="s">
        <v>1546</v>
      </c>
    </row>
    <row r="11" spans="1:30" ht="150">
      <c r="A11" s="669">
        <v>3</v>
      </c>
      <c r="B11" s="771" t="str">
        <f>INDEX('Budget Filing Data'!$E$10:$E$297,MATCH('11 Program Card'!C11,'Budget Filing Data'!$D$10:$D$297,0))</f>
        <v>SW C&amp;S - Planning Coordination</v>
      </c>
      <c r="C11" s="771" t="s">
        <v>474</v>
      </c>
      <c r="D11" s="771" t="str">
        <f>_xlfn.LET(_xlpm.result,INDEX('Budget Filing Data'!$M$10:$M$297,MATCH('11 Program Card'!C11,'Budget Filing Data'!$D$10:$D$297,0)),IF(_xlpm.result="Active","Existing",_xlpm.result))</f>
        <v>Existing</v>
      </c>
      <c r="E11" s="771" t="s">
        <v>1519</v>
      </c>
      <c r="F11" s="771" t="s">
        <v>41</v>
      </c>
      <c r="G11" s="771" t="str">
        <f>INDEX('Budget Filing Data'!$J$10:$J$296,MATCH('11 Program Card'!C11,'Budget Filing Data'!$D$10:$D$297,0))</f>
        <v>IOU Core</v>
      </c>
      <c r="H11" s="771" t="s">
        <v>1520</v>
      </c>
      <c r="I11" s="771" t="str">
        <f>INDEX('Budget Filing Data'!$G$10:$G$297,MATCH('11 Program Card'!C11,'Budget Filing Data'!$D$10:$D$297,0))</f>
        <v>Cross Cutting</v>
      </c>
      <c r="J11" s="771" t="s">
        <v>50</v>
      </c>
      <c r="K11" s="825" t="s">
        <v>1547</v>
      </c>
      <c r="L11" s="825" t="s">
        <v>1522</v>
      </c>
      <c r="M11" s="825" t="s">
        <v>1548</v>
      </c>
      <c r="N11" s="658" t="s">
        <v>1524</v>
      </c>
      <c r="O11" s="658" t="s">
        <v>1525</v>
      </c>
      <c r="P11" s="825" t="s">
        <v>1526</v>
      </c>
      <c r="Q11" s="771" t="s">
        <v>41</v>
      </c>
      <c r="R11" s="771" t="s">
        <v>46</v>
      </c>
      <c r="S11" s="826">
        <v>0</v>
      </c>
      <c r="T11" s="827" t="s">
        <v>1549</v>
      </c>
      <c r="U11" s="828" t="s">
        <v>1528</v>
      </c>
      <c r="V11" s="825" t="s">
        <v>1529</v>
      </c>
      <c r="W11" s="825" t="s">
        <v>1530</v>
      </c>
      <c r="X11" s="825" t="s">
        <v>1550</v>
      </c>
      <c r="Y11" s="825" t="s">
        <v>1551</v>
      </c>
      <c r="Z11" s="825" t="s">
        <v>1552</v>
      </c>
      <c r="AA11" s="825" t="s">
        <v>1544</v>
      </c>
      <c r="AB11" s="825" t="s">
        <v>1545</v>
      </c>
      <c r="AC11" s="825" t="s">
        <v>1536</v>
      </c>
      <c r="AD11" s="659" t="s">
        <v>1553</v>
      </c>
    </row>
    <row r="12" spans="1:30" ht="210">
      <c r="A12" s="669">
        <v>4</v>
      </c>
      <c r="B12" s="771" t="str">
        <f>INDEX('Budget Filing Data'!$E$10:$E$297,MATCH('11 Program Card'!C12,'Budget Filing Data'!$D$10:$D$297,0))</f>
        <v>SW-FIN-On-Bill Finance</v>
      </c>
      <c r="C12" s="771" t="s">
        <v>476</v>
      </c>
      <c r="D12" s="771" t="str">
        <f>_xlfn.LET(_xlpm.result,INDEX('Budget Filing Data'!$M$10:$M$297,MATCH('11 Program Card'!C12,'Budget Filing Data'!$D$10:$D$297,0)),IF(_xlpm.result="Active","Existing",_xlpm.result))</f>
        <v>Existing</v>
      </c>
      <c r="E12" s="771" t="s">
        <v>1519</v>
      </c>
      <c r="F12" s="771" t="s">
        <v>29</v>
      </c>
      <c r="G12" s="771" t="str">
        <f>INDEX('Budget Filing Data'!$J$10:$J$296,MATCH('11 Program Card'!C12,'Budget Filing Data'!$D$10:$D$297,0))</f>
        <v>IOU Core</v>
      </c>
      <c r="H12" s="771" t="s">
        <v>1520</v>
      </c>
      <c r="I12" s="771" t="s">
        <v>1554</v>
      </c>
      <c r="J12" s="825" t="s">
        <v>1555</v>
      </c>
      <c r="K12" s="825" t="s">
        <v>1556</v>
      </c>
      <c r="L12" s="825" t="s">
        <v>1557</v>
      </c>
      <c r="M12" s="825" t="s">
        <v>1558</v>
      </c>
      <c r="N12" s="658" t="s">
        <v>1559</v>
      </c>
      <c r="O12" s="658" t="s">
        <v>1560</v>
      </c>
      <c r="P12" s="825" t="s">
        <v>187</v>
      </c>
      <c r="Q12" s="771" t="s">
        <v>1561</v>
      </c>
      <c r="R12" s="771" t="s">
        <v>46</v>
      </c>
      <c r="S12" s="826">
        <v>0</v>
      </c>
      <c r="T12" s="827" t="s">
        <v>1562</v>
      </c>
      <c r="U12" s="828" t="s">
        <v>1528</v>
      </c>
      <c r="V12" s="825" t="s">
        <v>1563</v>
      </c>
      <c r="W12" s="825" t="s">
        <v>1564</v>
      </c>
      <c r="X12" s="825" t="s">
        <v>1565</v>
      </c>
      <c r="Y12" s="825" t="s">
        <v>1566</v>
      </c>
      <c r="Z12" s="825" t="s">
        <v>1566</v>
      </c>
      <c r="AA12" s="825" t="s">
        <v>1567</v>
      </c>
      <c r="AB12" s="825" t="s">
        <v>1568</v>
      </c>
      <c r="AC12" s="771" t="s">
        <v>478</v>
      </c>
      <c r="AD12" s="659" t="s">
        <v>1569</v>
      </c>
    </row>
    <row r="13" spans="1:30" ht="165">
      <c r="A13" s="669">
        <v>5</v>
      </c>
      <c r="B13" s="771" t="str">
        <f>INDEX('Budget Filing Data'!$E$10:$E$297,MATCH('11 Program Card'!C13,'Budget Filing Data'!$D$10:$D$297,0))</f>
        <v>Single Family Program</v>
      </c>
      <c r="C13" s="771" t="s">
        <v>487</v>
      </c>
      <c r="D13" s="771" t="str">
        <f>_xlfn.LET(_xlpm.result,INDEX('Budget Filing Data'!$M$10:$M$297,MATCH('11 Program Card'!C13,'Budget Filing Data'!$D$10:$D$297,0)),IF(_xlpm.result="Active","Existing",_xlpm.result))</f>
        <v>Existing</v>
      </c>
      <c r="E13" s="771" t="s">
        <v>1519</v>
      </c>
      <c r="F13" s="771" t="s">
        <v>20</v>
      </c>
      <c r="G13" s="771" t="str">
        <f>INDEX('Budget Filing Data'!$J$10:$J$296,MATCH('11 Program Card'!C13,'Budget Filing Data'!$D$10:$D$297,0))</f>
        <v>Third-Party Solicited</v>
      </c>
      <c r="H13" s="825" t="s">
        <v>1570</v>
      </c>
      <c r="I13" s="771" t="str">
        <f>INDEX('Budget Filing Data'!$G$10:$G$297,MATCH('11 Program Card'!C13,'Budget Filing Data'!$D$10:$D$297,0))</f>
        <v>Residential</v>
      </c>
      <c r="J13" s="825" t="s">
        <v>1571</v>
      </c>
      <c r="K13" s="825" t="s">
        <v>1572</v>
      </c>
      <c r="L13" s="825" t="s">
        <v>1573</v>
      </c>
      <c r="M13" s="825" t="s">
        <v>1574</v>
      </c>
      <c r="N13" s="825" t="s">
        <v>1575</v>
      </c>
      <c r="O13" s="825" t="s">
        <v>1576</v>
      </c>
      <c r="P13" s="825" t="s">
        <v>1577</v>
      </c>
      <c r="Q13" s="825" t="s">
        <v>1578</v>
      </c>
      <c r="R13" s="771" t="s">
        <v>1579</v>
      </c>
      <c r="S13" s="829">
        <f>SUMIF('Budget Filing Data'!$D$10:$D$297,'11 Program Card'!C13,'Budget Filing Data'!$X$10:$X$297)</f>
        <v>21989119.038613901</v>
      </c>
      <c r="T13" s="827" t="s">
        <v>1580</v>
      </c>
      <c r="U13" s="828" t="s">
        <v>1581</v>
      </c>
      <c r="V13" s="825" t="s">
        <v>1529</v>
      </c>
      <c r="W13" s="825" t="s">
        <v>1582</v>
      </c>
      <c r="X13" s="825" t="s">
        <v>1583</v>
      </c>
      <c r="Y13" s="825" t="s">
        <v>1584</v>
      </c>
      <c r="Z13" s="825" t="s">
        <v>1585</v>
      </c>
      <c r="AA13" s="825" t="s">
        <v>1586</v>
      </c>
      <c r="AB13" s="825" t="s">
        <v>1587</v>
      </c>
      <c r="AC13" s="771" t="s">
        <v>1588</v>
      </c>
      <c r="AD13" s="659" t="s">
        <v>1589</v>
      </c>
    </row>
    <row r="14" spans="1:30" ht="165">
      <c r="A14" s="669">
        <v>6</v>
      </c>
      <c r="B14" s="771" t="str">
        <f>INDEX('Budget Filing Data'!$E$10:$E$297,MATCH('11 Program Card'!C14,'Budget Filing Data'!$D$10:$D$297,0))</f>
        <v>Multi Family Program</v>
      </c>
      <c r="C14" s="771" t="s">
        <v>490</v>
      </c>
      <c r="D14" s="771" t="str">
        <f>_xlfn.LET(_xlpm.result,INDEX('Budget Filing Data'!$M$10:$M$297,MATCH('11 Program Card'!C14,'Budget Filing Data'!$D$10:$D$297,0)),IF(_xlpm.result="Active","Existing",_xlpm.result))</f>
        <v>Existing</v>
      </c>
      <c r="E14" s="771" t="s">
        <v>1519</v>
      </c>
      <c r="F14" s="771" t="s">
        <v>20</v>
      </c>
      <c r="G14" s="771" t="str">
        <f>INDEX('Budget Filing Data'!$J$10:$J$296,MATCH('11 Program Card'!C14,'Budget Filing Data'!$D$10:$D$297,0))</f>
        <v>Third-Party Solicited</v>
      </c>
      <c r="H14" s="771" t="s">
        <v>1570</v>
      </c>
      <c r="I14" s="771" t="str">
        <f>INDEX('Budget Filing Data'!$G$10:$G$297,MATCH('11 Program Card'!C14,'Budget Filing Data'!$D$10:$D$297,0))</f>
        <v>Residential</v>
      </c>
      <c r="J14" s="825" t="s">
        <v>899</v>
      </c>
      <c r="K14" s="825" t="s">
        <v>900</v>
      </c>
      <c r="L14" s="825" t="s">
        <v>1590</v>
      </c>
      <c r="M14" s="825" t="s">
        <v>1591</v>
      </c>
      <c r="N14" s="825" t="s">
        <v>1592</v>
      </c>
      <c r="O14" s="825" t="s">
        <v>1593</v>
      </c>
      <c r="P14" s="825" t="s">
        <v>1577</v>
      </c>
      <c r="Q14" s="825" t="s">
        <v>1578</v>
      </c>
      <c r="R14" s="771" t="s">
        <v>1579</v>
      </c>
      <c r="S14" s="829">
        <f>SUMIF('Budget Filing Data'!$D$10:$D$297,'11 Program Card'!C14,'Budget Filing Data'!$X$10:$X$297)</f>
        <v>52941820.043146096</v>
      </c>
      <c r="T14" s="827" t="s">
        <v>1594</v>
      </c>
      <c r="U14" s="828" t="s">
        <v>1595</v>
      </c>
      <c r="V14" s="825" t="s">
        <v>1529</v>
      </c>
      <c r="W14" s="825" t="s">
        <v>1596</v>
      </c>
      <c r="X14" s="825" t="s">
        <v>1583</v>
      </c>
      <c r="Y14" s="825" t="s">
        <v>1597</v>
      </c>
      <c r="Z14" s="825" t="s">
        <v>1598</v>
      </c>
      <c r="AA14" s="825" t="s">
        <v>1586</v>
      </c>
      <c r="AB14" s="825" t="s">
        <v>1587</v>
      </c>
      <c r="AC14" s="771" t="s">
        <v>478</v>
      </c>
      <c r="AD14" s="659" t="s">
        <v>1599</v>
      </c>
    </row>
    <row r="15" spans="1:30" ht="180">
      <c r="A15" s="669">
        <v>7</v>
      </c>
      <c r="B15" s="771" t="str">
        <f>INDEX('Budget Filing Data'!$E$10:$E$297,MATCH('11 Program Card'!C15,'Budget Filing Data'!$D$10:$D$297,0))</f>
        <v>Industrial Sector Program</v>
      </c>
      <c r="C15" s="771" t="s">
        <v>492</v>
      </c>
      <c r="D15" s="771" t="str">
        <f>_xlfn.LET(_xlpm.result,INDEX('Budget Filing Data'!$M$10:$M$297,MATCH('11 Program Card'!C15,'Budget Filing Data'!$D$10:$D$297,0)),IF(_xlpm.result="Active","Existing",_xlpm.result))</f>
        <v>Existing</v>
      </c>
      <c r="E15" s="771" t="s">
        <v>1519</v>
      </c>
      <c r="F15" s="771" t="s">
        <v>20</v>
      </c>
      <c r="G15" s="771" t="str">
        <f>INDEX('Budget Filing Data'!$J$10:$J$296,MATCH('11 Program Card'!C15,'Budget Filing Data'!$D$10:$D$297,0))</f>
        <v>Third-Party Solicited</v>
      </c>
      <c r="H15" s="771" t="s">
        <v>1600</v>
      </c>
      <c r="I15" s="825" t="s">
        <v>1601</v>
      </c>
      <c r="J15" s="825" t="s">
        <v>1602</v>
      </c>
      <c r="K15" s="825" t="s">
        <v>1603</v>
      </c>
      <c r="L15" s="825" t="s">
        <v>1604</v>
      </c>
      <c r="M15" s="825" t="s">
        <v>1605</v>
      </c>
      <c r="N15" s="825" t="s">
        <v>1606</v>
      </c>
      <c r="O15" s="825" t="s">
        <v>1607</v>
      </c>
      <c r="P15" s="825" t="s">
        <v>1608</v>
      </c>
      <c r="Q15" s="825" t="s">
        <v>1561</v>
      </c>
      <c r="R15" s="771" t="s">
        <v>1609</v>
      </c>
      <c r="S15" s="829">
        <f>SUMIF('Budget Filing Data'!$D$10:$D$297,'11 Program Card'!C15,'Budget Filing Data'!$X$10:$X$297)</f>
        <v>39004559.017243676</v>
      </c>
      <c r="T15" s="827" t="s">
        <v>1610</v>
      </c>
      <c r="U15" s="828" t="s">
        <v>1611</v>
      </c>
      <c r="V15" s="825" t="s">
        <v>1529</v>
      </c>
      <c r="W15" s="825" t="s">
        <v>1612</v>
      </c>
      <c r="X15" s="825" t="s">
        <v>1613</v>
      </c>
      <c r="Y15" s="825" t="s">
        <v>1614</v>
      </c>
      <c r="Z15" s="825" t="s">
        <v>1615</v>
      </c>
      <c r="AA15" s="825" t="s">
        <v>1616</v>
      </c>
      <c r="AB15" s="825" t="s">
        <v>1587</v>
      </c>
      <c r="AC15" s="771" t="s">
        <v>1588</v>
      </c>
      <c r="AD15" s="659" t="s">
        <v>1617</v>
      </c>
    </row>
    <row r="16" spans="1:30" ht="285">
      <c r="A16" s="669">
        <v>8</v>
      </c>
      <c r="B16" s="771" t="str">
        <f>INDEX('Budget Filing Data'!$E$10:$E$297,MATCH('11 Program Card'!C16,'Budget Filing Data'!$D$10:$D$297,0))</f>
        <v>IDSM Local Residential Behavioral Program (EE)</v>
      </c>
      <c r="C16" s="771" t="s">
        <v>494</v>
      </c>
      <c r="D16" s="771" t="str">
        <f>_xlfn.LET(_xlpm.result,INDEX('Budget Filing Data'!$M$10:$M$297,MATCH('11 Program Card'!C16,'Budget Filing Data'!$D$10:$D$297,0)),IF(_xlpm.result="Active","Existing",_xlpm.result))</f>
        <v>Existing</v>
      </c>
      <c r="E16" s="771" t="s">
        <v>1519</v>
      </c>
      <c r="F16" s="771" t="s">
        <v>20</v>
      </c>
      <c r="G16" s="771" t="str">
        <f>INDEX('Budget Filing Data'!$J$10:$J$296,MATCH('11 Program Card'!C16,'Budget Filing Data'!$D$10:$D$297,0))</f>
        <v>Third-Party Solicited</v>
      </c>
      <c r="H16" s="771" t="s">
        <v>1618</v>
      </c>
      <c r="I16" s="771" t="str">
        <f>INDEX('Budget Filing Data'!$G$10:$G$297,MATCH('11 Program Card'!C16,'Budget Filing Data'!$D$10:$D$297,0))</f>
        <v>Residential</v>
      </c>
      <c r="J16" s="825" t="s">
        <v>1619</v>
      </c>
      <c r="K16" s="825" t="s">
        <v>1620</v>
      </c>
      <c r="L16" s="825" t="s">
        <v>1621</v>
      </c>
      <c r="M16" s="825" t="s">
        <v>1622</v>
      </c>
      <c r="N16" s="825" t="s">
        <v>1623</v>
      </c>
      <c r="O16" s="825" t="s">
        <v>1624</v>
      </c>
      <c r="P16" s="771" t="s">
        <v>1625</v>
      </c>
      <c r="Q16" s="825" t="s">
        <v>1561</v>
      </c>
      <c r="R16" s="825" t="s">
        <v>1626</v>
      </c>
      <c r="S16" s="829">
        <f>SUMIF('Budget Filing Data'!$D$10:$D$297,'11 Program Card'!C16,'Budget Filing Data'!$X$10:$X$297)</f>
        <v>34586408.627533749</v>
      </c>
      <c r="T16" s="827" t="s">
        <v>1627</v>
      </c>
      <c r="U16" s="828" t="s">
        <v>1628</v>
      </c>
      <c r="V16" s="825" t="s">
        <v>1529</v>
      </c>
      <c r="W16" s="825" t="s">
        <v>1629</v>
      </c>
      <c r="X16" s="825" t="s">
        <v>1630</v>
      </c>
      <c r="Y16" s="825" t="s">
        <v>1631</v>
      </c>
      <c r="Z16" s="825" t="s">
        <v>1632</v>
      </c>
      <c r="AA16" s="825" t="s">
        <v>1633</v>
      </c>
      <c r="AB16" s="825" t="s">
        <v>1634</v>
      </c>
      <c r="AC16" s="771" t="s">
        <v>1588</v>
      </c>
      <c r="AD16" s="659" t="s">
        <v>1635</v>
      </c>
    </row>
    <row r="17" spans="1:30" ht="165">
      <c r="A17" s="669">
        <v>9</v>
      </c>
      <c r="B17" s="771" t="str">
        <f>INDEX('Budget Filing Data'!$E$10:$E$297,MATCH('11 Program Card'!C17,'Budget Filing Data'!$D$10:$D$297,0))</f>
        <v>Lodging (Hotels/Motels)</v>
      </c>
      <c r="C17" s="771" t="s">
        <v>617</v>
      </c>
      <c r="D17" s="771" t="str">
        <f>_xlfn.LET(_xlpm.result,INDEX('Budget Filing Data'!$M$10:$M$297,MATCH('11 Program Card'!C17,'Budget Filing Data'!$D$10:$D$297,0)),IF(_xlpm.result="Active","Existing",_xlpm.result))</f>
        <v>Existing</v>
      </c>
      <c r="E17" s="771" t="s">
        <v>1519</v>
      </c>
      <c r="F17" s="771" t="s">
        <v>20</v>
      </c>
      <c r="G17" s="771" t="str">
        <f>INDEX('Budget Filing Data'!$J$10:$J$296,MATCH('11 Program Card'!C17,'Budget Filing Data'!$D$10:$D$297,0))</f>
        <v>Third-Party Solicited</v>
      </c>
      <c r="H17" s="771" t="s">
        <v>1636</v>
      </c>
      <c r="I17" s="771" t="str">
        <f>INDEX('Budget Filing Data'!$G$10:$G$297,MATCH('11 Program Card'!C17,'Budget Filing Data'!$D$10:$D$297,0))</f>
        <v>Commercial</v>
      </c>
      <c r="J17" s="825" t="s">
        <v>1637</v>
      </c>
      <c r="K17" s="825" t="s">
        <v>1638</v>
      </c>
      <c r="L17" s="825" t="s">
        <v>1639</v>
      </c>
      <c r="M17" s="825" t="s">
        <v>1640</v>
      </c>
      <c r="N17" s="825" t="s">
        <v>1606</v>
      </c>
      <c r="O17" s="825" t="s">
        <v>1641</v>
      </c>
      <c r="P17" s="825" t="s">
        <v>1642</v>
      </c>
      <c r="Q17" s="825" t="s">
        <v>1561</v>
      </c>
      <c r="R17" s="825" t="s">
        <v>1643</v>
      </c>
      <c r="S17" s="829">
        <f>SUMIF('Budget Filing Data'!$D$10:$D$297,'11 Program Card'!C17,'Budget Filing Data'!$X$10:$X$297)</f>
        <v>9814513.770613879</v>
      </c>
      <c r="T17" s="827" t="s">
        <v>1644</v>
      </c>
      <c r="U17" s="828" t="s">
        <v>1645</v>
      </c>
      <c r="V17" s="825" t="s">
        <v>1529</v>
      </c>
      <c r="W17" s="825" t="s">
        <v>1646</v>
      </c>
      <c r="X17" s="825" t="s">
        <v>1647</v>
      </c>
      <c r="Y17" s="825" t="s">
        <v>1648</v>
      </c>
      <c r="Z17" s="825" t="s">
        <v>1649</v>
      </c>
      <c r="AA17" s="825" t="s">
        <v>1616</v>
      </c>
      <c r="AB17" s="825" t="s">
        <v>1587</v>
      </c>
      <c r="AC17" s="771" t="s">
        <v>1588</v>
      </c>
      <c r="AD17" s="659" t="s">
        <v>1650</v>
      </c>
    </row>
    <row r="18" spans="1:30" ht="135">
      <c r="A18" s="669">
        <v>10</v>
      </c>
      <c r="B18" s="771" t="str">
        <f>INDEX('Budget Filing Data'!$E$10:$E$297,MATCH('11 Program Card'!C18,'Budget Filing Data'!$D$10:$D$297,0))</f>
        <v>Groceries, Restaurants and Food Storage</v>
      </c>
      <c r="C18" s="771" t="s">
        <v>619</v>
      </c>
      <c r="D18" s="771" t="str">
        <f>_xlfn.LET(_xlpm.result,INDEX('Budget Filing Data'!$M$10:$M$297,MATCH('11 Program Card'!C18,'Budget Filing Data'!$D$10:$D$297,0)),IF(_xlpm.result="Active","Existing",_xlpm.result))</f>
        <v>Existing</v>
      </c>
      <c r="E18" s="771" t="s">
        <v>1519</v>
      </c>
      <c r="F18" s="771" t="s">
        <v>20</v>
      </c>
      <c r="G18" s="771" t="str">
        <f>INDEX('Budget Filing Data'!$J$10:$J$296,MATCH('11 Program Card'!C18,'Budget Filing Data'!$D$10:$D$297,0))</f>
        <v>Third-Party Solicited</v>
      </c>
      <c r="H18" s="771" t="s">
        <v>1651</v>
      </c>
      <c r="I18" s="771" t="str">
        <f>INDEX('Budget Filing Data'!$G$10:$G$297,MATCH('11 Program Card'!C18,'Budget Filing Data'!$D$10:$D$297,0))</f>
        <v>Commercial</v>
      </c>
      <c r="J18" s="825" t="s">
        <v>1652</v>
      </c>
      <c r="K18" s="825" t="s">
        <v>1653</v>
      </c>
      <c r="L18" s="825" t="s">
        <v>1654</v>
      </c>
      <c r="M18" s="825" t="s">
        <v>1655</v>
      </c>
      <c r="N18" s="825" t="s">
        <v>1606</v>
      </c>
      <c r="O18" s="825" t="s">
        <v>1656</v>
      </c>
      <c r="P18" s="825" t="s">
        <v>1642</v>
      </c>
      <c r="Q18" s="825" t="s">
        <v>1561</v>
      </c>
      <c r="R18" s="825" t="s">
        <v>1657</v>
      </c>
      <c r="S18" s="829">
        <f>SUMIF('Budget Filing Data'!$D$10:$D$297,'11 Program Card'!C18,'Budget Filing Data'!$X$10:$X$297)</f>
        <v>11752346.537048105</v>
      </c>
      <c r="T18" s="827" t="s">
        <v>1658</v>
      </c>
      <c r="U18" s="828" t="s">
        <v>1659</v>
      </c>
      <c r="V18" s="825" t="s">
        <v>1529</v>
      </c>
      <c r="W18" s="825" t="s">
        <v>1646</v>
      </c>
      <c r="X18" s="825" t="s">
        <v>1660</v>
      </c>
      <c r="Y18" s="825" t="s">
        <v>1661</v>
      </c>
      <c r="Z18" s="825" t="s">
        <v>1662</v>
      </c>
      <c r="AA18" s="825" t="s">
        <v>1616</v>
      </c>
      <c r="AB18" s="825" t="s">
        <v>1587</v>
      </c>
      <c r="AC18" s="771" t="s">
        <v>478</v>
      </c>
      <c r="AD18" s="659" t="s">
        <v>1663</v>
      </c>
    </row>
    <row r="19" spans="1:30" ht="180">
      <c r="A19" s="669">
        <v>11</v>
      </c>
      <c r="B19" s="771" t="str">
        <f>INDEX('Budget Filing Data'!$E$10:$E$297,MATCH('11 Program Card'!C19,'Budget Filing Data'!$D$10:$D$297,0))</f>
        <v>Wholesale/Retail/Office, including Entertainment Services</v>
      </c>
      <c r="C19" s="771" t="s">
        <v>621</v>
      </c>
      <c r="D19" s="771" t="str">
        <f>_xlfn.LET(_xlpm.result,INDEX('Budget Filing Data'!$M$10:$M$297,MATCH('11 Program Card'!C19,'Budget Filing Data'!$D$10:$D$297,0)),IF(_xlpm.result="Active","Existing",_xlpm.result))</f>
        <v>Existing</v>
      </c>
      <c r="E19" s="771" t="s">
        <v>1519</v>
      </c>
      <c r="F19" s="771" t="s">
        <v>20</v>
      </c>
      <c r="G19" s="771" t="str">
        <f>INDEX('Budget Filing Data'!$J$10:$J$296,MATCH('11 Program Card'!C19,'Budget Filing Data'!$D$10:$D$297,0))</f>
        <v>Third-Party Solicited</v>
      </c>
      <c r="H19" s="771" t="s">
        <v>1664</v>
      </c>
      <c r="I19" s="771" t="str">
        <f>INDEX('Budget Filing Data'!$G$10:$G$297,MATCH('11 Program Card'!C19,'Budget Filing Data'!$D$10:$D$297,0))</f>
        <v>Commercial</v>
      </c>
      <c r="J19" s="825" t="s">
        <v>1665</v>
      </c>
      <c r="K19" s="825" t="s">
        <v>1666</v>
      </c>
      <c r="L19" s="825" t="s">
        <v>1667</v>
      </c>
      <c r="M19" s="825" t="s">
        <v>1668</v>
      </c>
      <c r="N19" s="825" t="s">
        <v>1606</v>
      </c>
      <c r="O19" s="825" t="s">
        <v>1669</v>
      </c>
      <c r="P19" s="825" t="s">
        <v>1670</v>
      </c>
      <c r="Q19" s="825" t="s">
        <v>1561</v>
      </c>
      <c r="R19" s="825" t="s">
        <v>1671</v>
      </c>
      <c r="S19" s="829">
        <f>SUMIF('Budget Filing Data'!$D$10:$D$297,'11 Program Card'!C19,'Budget Filing Data'!$X$10:$X$297)</f>
        <v>38748100.045104101</v>
      </c>
      <c r="T19" s="827" t="s">
        <v>1672</v>
      </c>
      <c r="U19" s="828" t="s">
        <v>1673</v>
      </c>
      <c r="V19" s="825" t="s">
        <v>1529</v>
      </c>
      <c r="W19" s="825" t="s">
        <v>1674</v>
      </c>
      <c r="X19" s="825" t="s">
        <v>1675</v>
      </c>
      <c r="Y19" s="825" t="s">
        <v>1676</v>
      </c>
      <c r="Z19" s="825" t="s">
        <v>1677</v>
      </c>
      <c r="AA19" s="825" t="s">
        <v>1616</v>
      </c>
      <c r="AB19" s="825" t="s">
        <v>1587</v>
      </c>
      <c r="AC19" s="771" t="s">
        <v>1588</v>
      </c>
      <c r="AD19" s="659" t="s">
        <v>1678</v>
      </c>
    </row>
    <row r="20" spans="1:30" ht="165">
      <c r="A20" s="669">
        <v>12</v>
      </c>
      <c r="B20" s="771" t="str">
        <f>INDEX('Budget Filing Data'!$E$10:$E$297,MATCH('11 Program Card'!C20,'Budget Filing Data'!$D$10:$D$297,0))</f>
        <v>Private Institutions/Healthcare</v>
      </c>
      <c r="C20" s="771" t="s">
        <v>623</v>
      </c>
      <c r="D20" s="771" t="str">
        <f>_xlfn.LET(_xlpm.result,INDEX('Budget Filing Data'!$M$10:$M$297,MATCH('11 Program Card'!C20,'Budget Filing Data'!$D$10:$D$297,0)),IF(_xlpm.result="Active","Existing",_xlpm.result))</f>
        <v>Existing</v>
      </c>
      <c r="E20" s="771" t="s">
        <v>1519</v>
      </c>
      <c r="F20" s="771" t="s">
        <v>20</v>
      </c>
      <c r="G20" s="771" t="str">
        <f>INDEX('Budget Filing Data'!$J$10:$J$296,MATCH('11 Program Card'!C20,'Budget Filing Data'!$D$10:$D$297,0))</f>
        <v>Third-Party Solicited</v>
      </c>
      <c r="H20" s="771" t="s">
        <v>1636</v>
      </c>
      <c r="I20" s="771" t="str">
        <f>INDEX('Budget Filing Data'!$G$10:$G$297,MATCH('11 Program Card'!C20,'Budget Filing Data'!$D$10:$D$297,0))</f>
        <v>Commercial</v>
      </c>
      <c r="J20" s="825" t="s">
        <v>1679</v>
      </c>
      <c r="K20" s="825" t="s">
        <v>1680</v>
      </c>
      <c r="L20" s="825" t="s">
        <v>1681</v>
      </c>
      <c r="M20" s="825" t="s">
        <v>1682</v>
      </c>
      <c r="N20" s="825" t="s">
        <v>1606</v>
      </c>
      <c r="O20" s="825" t="s">
        <v>1641</v>
      </c>
      <c r="P20" s="825" t="s">
        <v>1642</v>
      </c>
      <c r="Q20" s="825" t="s">
        <v>1561</v>
      </c>
      <c r="R20" s="825" t="s">
        <v>1643</v>
      </c>
      <c r="S20" s="829">
        <f>SUMIF('Budget Filing Data'!$D$10:$D$297,'11 Program Card'!C20,'Budget Filing Data'!$X$10:$X$297)</f>
        <v>13038904.01232446</v>
      </c>
      <c r="T20" s="827" t="s">
        <v>1683</v>
      </c>
      <c r="U20" s="828" t="s">
        <v>1684</v>
      </c>
      <c r="V20" s="825" t="s">
        <v>1529</v>
      </c>
      <c r="W20" s="825" t="s">
        <v>1646</v>
      </c>
      <c r="X20" s="825" t="s">
        <v>1685</v>
      </c>
      <c r="Y20" s="825" t="s">
        <v>1686</v>
      </c>
      <c r="Z20" s="825" t="s">
        <v>1687</v>
      </c>
      <c r="AA20" s="825" t="s">
        <v>1616</v>
      </c>
      <c r="AB20" s="825" t="s">
        <v>1587</v>
      </c>
      <c r="AC20" s="771" t="s">
        <v>1588</v>
      </c>
      <c r="AD20" s="659" t="s">
        <v>1688</v>
      </c>
    </row>
    <row r="21" spans="1:30" ht="330">
      <c r="A21" s="669">
        <v>13</v>
      </c>
      <c r="B21" s="771" t="str">
        <f>INDEX('Budget Filing Data'!$E$10:$E$297,MATCH('11 Program Card'!C21,'Budget Filing Data'!$D$10:$D$297,0))</f>
        <v>Local Residential Fuel-Substitution</v>
      </c>
      <c r="C21" s="771" t="s">
        <v>625</v>
      </c>
      <c r="D21" s="771" t="str">
        <f>_xlfn.LET(_xlpm.result,INDEX('Budget Filing Data'!$M$10:$M$297,MATCH('11 Program Card'!C21,'Budget Filing Data'!$D$10:$D$297,0)),IF(_xlpm.result="Active","Existing",_xlpm.result))</f>
        <v>Existing</v>
      </c>
      <c r="E21" s="771" t="s">
        <v>1519</v>
      </c>
      <c r="F21" s="771" t="s">
        <v>29</v>
      </c>
      <c r="G21" s="771" t="str">
        <f>INDEX('Budget Filing Data'!$J$10:$J$296,MATCH('11 Program Card'!C21,'Budget Filing Data'!$D$10:$D$297,0))</f>
        <v>IOU Core</v>
      </c>
      <c r="H21" s="771" t="s">
        <v>1520</v>
      </c>
      <c r="I21" s="771" t="str">
        <f>INDEX('Budget Filing Data'!$G$10:$G$297,MATCH('11 Program Card'!C21,'Budget Filing Data'!$D$10:$D$297,0))</f>
        <v>Residential</v>
      </c>
      <c r="J21" s="825" t="s">
        <v>1571</v>
      </c>
      <c r="K21" s="825" t="s">
        <v>1689</v>
      </c>
      <c r="L21" s="825" t="s">
        <v>1690</v>
      </c>
      <c r="M21" s="825" t="s">
        <v>1691</v>
      </c>
      <c r="N21" s="825" t="s">
        <v>1692</v>
      </c>
      <c r="O21" s="825" t="s">
        <v>1693</v>
      </c>
      <c r="P21" s="771" t="s">
        <v>1694</v>
      </c>
      <c r="Q21" s="771" t="s">
        <v>1695</v>
      </c>
      <c r="R21" s="771" t="s">
        <v>46</v>
      </c>
      <c r="S21" s="826">
        <v>0</v>
      </c>
      <c r="T21" s="827" t="s">
        <v>1696</v>
      </c>
      <c r="U21" s="828" t="s">
        <v>1528</v>
      </c>
      <c r="V21" s="825" t="s">
        <v>1529</v>
      </c>
      <c r="W21" s="825" t="s">
        <v>1697</v>
      </c>
      <c r="X21" s="825" t="s">
        <v>1698</v>
      </c>
      <c r="Y21" s="825" t="s">
        <v>1699</v>
      </c>
      <c r="Z21" s="825" t="s">
        <v>1700</v>
      </c>
      <c r="AA21" s="830" t="s">
        <v>1701</v>
      </c>
      <c r="AB21" s="825" t="s">
        <v>1702</v>
      </c>
      <c r="AC21" s="771" t="s">
        <v>478</v>
      </c>
      <c r="AD21" s="659" t="s">
        <v>1703</v>
      </c>
    </row>
    <row r="22" spans="1:30" ht="180">
      <c r="A22" s="669">
        <v>14</v>
      </c>
      <c r="B22" s="771" t="str">
        <f>INDEX('Budget Filing Data'!$E$10:$E$297,MATCH('11 Program Card'!C22,'Budget Filing Data'!$D$10:$D$297,0))</f>
        <v>Market Access Program - Residential</v>
      </c>
      <c r="C22" s="771" t="s">
        <v>641</v>
      </c>
      <c r="D22" s="771" t="str">
        <f>_xlfn.LET(_xlpm.result,INDEX('Budget Filing Data'!$M$10:$M$297,MATCH('11 Program Card'!C22,'Budget Filing Data'!$D$10:$D$297,0)),IF(_xlpm.result="Active","Existing",_xlpm.result))</f>
        <v>Existing</v>
      </c>
      <c r="E22" s="771" t="s">
        <v>1519</v>
      </c>
      <c r="F22" s="771" t="s">
        <v>20</v>
      </c>
      <c r="G22" s="771" t="str">
        <f>INDEX('Budget Filing Data'!$J$10:$J$296,MATCH('11 Program Card'!C22,'Budget Filing Data'!$D$10:$D$297,0))</f>
        <v>Third-Party Solicited</v>
      </c>
      <c r="H22" s="771" t="s">
        <v>1636</v>
      </c>
      <c r="I22" s="771" t="str">
        <f>INDEX('Budget Filing Data'!$G$10:$G$297,MATCH('11 Program Card'!C22,'Budget Filing Data'!$D$10:$D$297,0))</f>
        <v>Residential</v>
      </c>
      <c r="J22" s="825" t="s">
        <v>1704</v>
      </c>
      <c r="K22" s="825" t="s">
        <v>1705</v>
      </c>
      <c r="L22" s="825" t="s">
        <v>1706</v>
      </c>
      <c r="M22" s="825" t="s">
        <v>1707</v>
      </c>
      <c r="N22" s="825" t="s">
        <v>1708</v>
      </c>
      <c r="O22" s="825" t="s">
        <v>1641</v>
      </c>
      <c r="P22" s="825" t="s">
        <v>1642</v>
      </c>
      <c r="Q22" s="771" t="s">
        <v>1695</v>
      </c>
      <c r="R22" s="825" t="s">
        <v>1643</v>
      </c>
      <c r="S22" s="829">
        <f>SUMIF('Budget Filing Data'!$D$10:$D$297,'11 Program Card'!C22,'Budget Filing Data'!$X$10:$X$297)</f>
        <v>1285645.3001510676</v>
      </c>
      <c r="T22" s="827" t="s">
        <v>1709</v>
      </c>
      <c r="U22" s="828" t="s">
        <v>1710</v>
      </c>
      <c r="V22" s="825" t="s">
        <v>1529</v>
      </c>
      <c r="W22" s="825" t="s">
        <v>1646</v>
      </c>
      <c r="X22" s="825" t="s">
        <v>1711</v>
      </c>
      <c r="Y22" s="825" t="s">
        <v>1661</v>
      </c>
      <c r="Z22" s="825" t="s">
        <v>1712</v>
      </c>
      <c r="AA22" s="825" t="s">
        <v>1713</v>
      </c>
      <c r="AB22" s="825" t="s">
        <v>1587</v>
      </c>
      <c r="AC22" s="771" t="s">
        <v>1588</v>
      </c>
      <c r="AD22" s="659" t="s">
        <v>1714</v>
      </c>
    </row>
    <row r="23" spans="1:30" ht="195">
      <c r="A23" s="669">
        <v>15</v>
      </c>
      <c r="B23" s="771" t="str">
        <f>INDEX('Budget Filing Data'!$E$10:$E$297,MATCH('11 Program Card'!C23,'Budget Filing Data'!$D$10:$D$297,0))</f>
        <v>Market Access Program - Commercial</v>
      </c>
      <c r="C23" s="771" t="s">
        <v>643</v>
      </c>
      <c r="D23" s="771" t="str">
        <f>_xlfn.LET(_xlpm.result,INDEX('Budget Filing Data'!$M$10:$M$297,MATCH('11 Program Card'!C23,'Budget Filing Data'!$D$10:$D$297,0)),IF(_xlpm.result="Active","Existing",_xlpm.result))</f>
        <v>Existing</v>
      </c>
      <c r="E23" s="771" t="s">
        <v>1519</v>
      </c>
      <c r="F23" s="771" t="s">
        <v>20</v>
      </c>
      <c r="G23" s="771" t="str">
        <f>INDEX('Budget Filing Data'!$J$10:$J$296,MATCH('11 Program Card'!C23,'Budget Filing Data'!$D$10:$D$297,0))</f>
        <v>Third-Party Solicited</v>
      </c>
      <c r="H23" s="771" t="s">
        <v>1636</v>
      </c>
      <c r="I23" s="771" t="str">
        <f>INDEX('Budget Filing Data'!$G$10:$G$297,MATCH('11 Program Card'!C23,'Budget Filing Data'!$D$10:$D$297,0))</f>
        <v>Commercial</v>
      </c>
      <c r="J23" s="825" t="s">
        <v>1715</v>
      </c>
      <c r="K23" s="825" t="s">
        <v>1716</v>
      </c>
      <c r="L23" s="825" t="s">
        <v>1717</v>
      </c>
      <c r="M23" s="825" t="s">
        <v>1718</v>
      </c>
      <c r="N23" s="825" t="s">
        <v>1606</v>
      </c>
      <c r="O23" s="825" t="s">
        <v>1641</v>
      </c>
      <c r="P23" s="825" t="s">
        <v>1642</v>
      </c>
      <c r="Q23" s="771" t="s">
        <v>1695</v>
      </c>
      <c r="R23" s="825" t="s">
        <v>1643</v>
      </c>
      <c r="S23" s="829">
        <f>SUMIF('Budget Filing Data'!$D$10:$D$297,'11 Program Card'!C23,'Budget Filing Data'!$X$10:$X$297)</f>
        <v>10424980.105438285</v>
      </c>
      <c r="T23" s="827" t="s">
        <v>1719</v>
      </c>
      <c r="U23" s="828" t="s">
        <v>1720</v>
      </c>
      <c r="V23" s="825" t="s">
        <v>1529</v>
      </c>
      <c r="W23" s="825" t="s">
        <v>1646</v>
      </c>
      <c r="X23" s="825" t="s">
        <v>1721</v>
      </c>
      <c r="Y23" s="825" t="s">
        <v>1722</v>
      </c>
      <c r="Z23" s="825" t="s">
        <v>1677</v>
      </c>
      <c r="AA23" s="825" t="s">
        <v>1616</v>
      </c>
      <c r="AB23" s="825" t="s">
        <v>1587</v>
      </c>
      <c r="AC23" s="771" t="s">
        <v>1588</v>
      </c>
      <c r="AD23" s="659" t="s">
        <v>1723</v>
      </c>
    </row>
    <row r="24" spans="1:30" ht="75">
      <c r="A24" s="669">
        <v>16</v>
      </c>
      <c r="B24" s="771" t="str">
        <f>INDEX('Budget Filing Data'!$E$10:$E$297,MATCH('11 Program Card'!C24,'Budget Filing Data'!$D$10:$D$297,0))</f>
        <v>SW Codes &amp; Standards Advocacy - National Codes &amp; Standards Advocacy</v>
      </c>
      <c r="C24" s="771" t="s">
        <v>497</v>
      </c>
      <c r="D24" s="771" t="str">
        <f>_xlfn.LET(_xlpm.result,INDEX('Budget Filing Data'!$M$10:$M$297,MATCH('11 Program Card'!C24,'Budget Filing Data'!$D$10:$D$297,0)),IF(_xlpm.result="Active","Existing",_xlpm.result))</f>
        <v>Existing</v>
      </c>
      <c r="E24" s="771" t="s">
        <v>1724</v>
      </c>
      <c r="F24" s="771" t="s">
        <v>41</v>
      </c>
      <c r="G24" s="771" t="str">
        <f>INDEX('Budget Filing Data'!$J$10:$J$296,MATCH('11 Program Card'!C24,'Budget Filing Data'!$D$10:$D$297,0))</f>
        <v>Third-Party Solicited</v>
      </c>
      <c r="H24" s="825" t="s">
        <v>1725</v>
      </c>
      <c r="I24" s="771" t="str">
        <f>INDEX('Budget Filing Data'!$G$10:$G$297,MATCH('11 Program Card'!C24,'Budget Filing Data'!$D$10:$D$297,0))</f>
        <v>Cross Cutting</v>
      </c>
      <c r="J24" s="831"/>
      <c r="K24" s="832"/>
      <c r="L24" s="832"/>
      <c r="M24" s="832"/>
      <c r="N24" s="832"/>
      <c r="O24" s="832"/>
      <c r="P24" s="832"/>
      <c r="Q24" s="832"/>
      <c r="R24" s="832"/>
      <c r="S24" s="829">
        <f>SUMIF('Budget Filing Data'!$D$10:$D$297,'11 Program Card'!C24,'Budget Filing Data'!$X$10:$X$297)</f>
        <v>110387552.02886668</v>
      </c>
      <c r="T24" s="827" t="s">
        <v>1726</v>
      </c>
      <c r="U24" s="828" t="s">
        <v>1727</v>
      </c>
      <c r="V24" s="832"/>
      <c r="W24" s="832"/>
      <c r="X24" s="832"/>
      <c r="Y24" s="832"/>
      <c r="Z24" s="832"/>
      <c r="AA24" s="832"/>
      <c r="AB24" s="832"/>
      <c r="AC24" s="832"/>
      <c r="AD24" s="832"/>
    </row>
    <row r="25" spans="1:30" ht="75">
      <c r="A25" s="669">
        <v>17</v>
      </c>
      <c r="B25" s="771" t="str">
        <f>INDEX('Budget Filing Data'!$E$10:$E$297,MATCH('11 Program Card'!C25,'Budget Filing Data'!$D$10:$D$297,0))</f>
        <v>SW Codes &amp; Standards Advocacy - State Appliance Standards</v>
      </c>
      <c r="C25" s="771" t="s">
        <v>502</v>
      </c>
      <c r="D25" s="771" t="str">
        <f>_xlfn.LET(_xlpm.result,INDEX('Budget Filing Data'!$M$10:$M$297,MATCH('11 Program Card'!C25,'Budget Filing Data'!$D$10:$D$297,0)),IF(_xlpm.result="Active","Existing",_xlpm.result))</f>
        <v>Existing</v>
      </c>
      <c r="E25" s="771" t="s">
        <v>1724</v>
      </c>
      <c r="F25" s="771" t="s">
        <v>41</v>
      </c>
      <c r="G25" s="771" t="str">
        <f>INDEX('Budget Filing Data'!$J$10:$J$296,MATCH('11 Program Card'!C25,'Budget Filing Data'!$D$10:$D$297,0))</f>
        <v>Third-Party Solicited</v>
      </c>
      <c r="H25" s="825" t="s">
        <v>1725</v>
      </c>
      <c r="I25" s="771" t="str">
        <f>INDEX('Budget Filing Data'!$G$10:$G$297,MATCH('11 Program Card'!C25,'Budget Filing Data'!$D$10:$D$297,0))</f>
        <v>Cross Cutting</v>
      </c>
      <c r="J25" s="831"/>
      <c r="K25" s="832"/>
      <c r="L25" s="832"/>
      <c r="M25" s="832"/>
      <c r="N25" s="832"/>
      <c r="O25" s="832"/>
      <c r="P25" s="832"/>
      <c r="Q25" s="832"/>
      <c r="R25" s="832"/>
      <c r="S25" s="829">
        <f>SUMIF('Budget Filing Data'!$D$10:$D$297,'11 Program Card'!C25,'Budget Filing Data'!$X$10:$X$297)</f>
        <v>57461330.546299778</v>
      </c>
      <c r="T25" s="827" t="s">
        <v>1728</v>
      </c>
      <c r="U25" s="828" t="s">
        <v>1729</v>
      </c>
      <c r="V25" s="832"/>
      <c r="W25" s="832"/>
      <c r="X25" s="832"/>
      <c r="Y25" s="832"/>
      <c r="Z25" s="832"/>
      <c r="AA25" s="832"/>
      <c r="AB25" s="832"/>
      <c r="AC25" s="832"/>
      <c r="AD25" s="832"/>
    </row>
    <row r="26" spans="1:30" ht="75">
      <c r="A26" s="669">
        <v>18</v>
      </c>
      <c r="B26" s="771" t="str">
        <f>INDEX('Budget Filing Data'!$E$10:$E$297,MATCH('11 Program Card'!C26,'Budget Filing Data'!$D$10:$D$297,0))</f>
        <v>SW Codes &amp; Standards Advocacy - State Building Codes</v>
      </c>
      <c r="C26" s="771" t="s">
        <v>507</v>
      </c>
      <c r="D26" s="771" t="str">
        <f>_xlfn.LET(_xlpm.result,INDEX('Budget Filing Data'!$M$10:$M$297,MATCH('11 Program Card'!C26,'Budget Filing Data'!$D$10:$D$297,0)),IF(_xlpm.result="Active","Existing",_xlpm.result))</f>
        <v>Existing</v>
      </c>
      <c r="E26" s="771" t="s">
        <v>1724</v>
      </c>
      <c r="F26" s="771" t="s">
        <v>41</v>
      </c>
      <c r="G26" s="771" t="str">
        <f>INDEX('Budget Filing Data'!$J$10:$J$296,MATCH('11 Program Card'!C26,'Budget Filing Data'!$D$10:$D$297,0))</f>
        <v>Third-Party Solicited</v>
      </c>
      <c r="H26" s="825" t="s">
        <v>1725</v>
      </c>
      <c r="I26" s="771" t="str">
        <f>INDEX('Budget Filing Data'!$G$10:$G$297,MATCH('11 Program Card'!C26,'Budget Filing Data'!$D$10:$D$297,0))</f>
        <v>Cross Cutting</v>
      </c>
      <c r="J26" s="831"/>
      <c r="K26" s="832"/>
      <c r="L26" s="832"/>
      <c r="M26" s="832"/>
      <c r="N26" s="832"/>
      <c r="O26" s="832"/>
      <c r="P26" s="832"/>
      <c r="Q26" s="832"/>
      <c r="R26" s="832"/>
      <c r="S26" s="829">
        <f>SUMIF('Budget Filing Data'!$D$10:$D$297,'11 Program Card'!C26,'Budget Filing Data'!$X$10:$X$297)</f>
        <v>561858535.74778569</v>
      </c>
      <c r="T26" s="827" t="s">
        <v>1730</v>
      </c>
      <c r="U26" s="828" t="s">
        <v>1731</v>
      </c>
      <c r="V26" s="832"/>
      <c r="W26" s="832"/>
      <c r="X26" s="832"/>
      <c r="Y26" s="832"/>
      <c r="Z26" s="832"/>
      <c r="AA26" s="832"/>
      <c r="AB26" s="832"/>
      <c r="AC26" s="832"/>
      <c r="AD26" s="832"/>
    </row>
    <row r="27" spans="1:30" ht="60">
      <c r="A27" s="669">
        <v>19</v>
      </c>
      <c r="B27" s="771" t="str">
        <f>INDEX('Budget Filing Data'!$E$10:$E$297,MATCH('11 Program Card'!C27,'Budget Filing Data'!$D$10:$D$297,0))</f>
        <v>SW Emerging Technologies - Electric</v>
      </c>
      <c r="C27" s="771" t="s">
        <v>512</v>
      </c>
      <c r="D27" s="771" t="str">
        <f>_xlfn.LET(_xlpm.result,INDEX('Budget Filing Data'!$M$10:$M$297,MATCH('11 Program Card'!C27,'Budget Filing Data'!$D$10:$D$297,0)),IF(_xlpm.result="Active","Existing",_xlpm.result))</f>
        <v>Existing</v>
      </c>
      <c r="E27" s="771" t="s">
        <v>1724</v>
      </c>
      <c r="F27" s="771" t="s">
        <v>29</v>
      </c>
      <c r="G27" s="771" t="str">
        <f>INDEX('Budget Filing Data'!$J$10:$J$296,MATCH('11 Program Card'!C27,'Budget Filing Data'!$D$10:$D$297,0))</f>
        <v>Third-Party Solicited</v>
      </c>
      <c r="H27" s="771" t="s">
        <v>1732</v>
      </c>
      <c r="I27" s="771" t="str">
        <f>INDEX('Budget Filing Data'!$G$10:$G$297,MATCH('11 Program Card'!C27,'Budget Filing Data'!$D$10:$D$297,0))</f>
        <v>Cross Cutting</v>
      </c>
      <c r="J27" s="831"/>
      <c r="K27" s="832"/>
      <c r="L27" s="832"/>
      <c r="M27" s="832"/>
      <c r="N27" s="832"/>
      <c r="O27" s="832"/>
      <c r="P27" s="832"/>
      <c r="Q27" s="832"/>
      <c r="R27" s="832"/>
      <c r="S27" s="826">
        <v>0</v>
      </c>
      <c r="T27" s="827" t="s">
        <v>1733</v>
      </c>
      <c r="U27" s="828" t="s">
        <v>1528</v>
      </c>
      <c r="V27" s="832"/>
      <c r="W27" s="832"/>
      <c r="X27" s="832"/>
      <c r="Y27" s="832"/>
      <c r="Z27" s="832"/>
      <c r="AA27" s="832"/>
      <c r="AB27" s="832"/>
      <c r="AC27" s="832"/>
      <c r="AD27" s="832"/>
    </row>
    <row r="28" spans="1:30" ht="60">
      <c r="A28" s="669">
        <v>20</v>
      </c>
      <c r="B28" s="771" t="str">
        <f>INDEX('Budget Filing Data'!$E$10:$E$297,MATCH('11 Program Card'!C28,'Budget Filing Data'!$D$10:$D$297,0))</f>
        <v>SW Institutional Partnerships: DGS &amp; DoC</v>
      </c>
      <c r="C28" s="771" t="s">
        <v>518</v>
      </c>
      <c r="D28" s="771" t="str">
        <f>_xlfn.LET(_xlpm.result,INDEX('Budget Filing Data'!$M$10:$M$297,MATCH('11 Program Card'!C28,'Budget Filing Data'!$D$10:$D$297,0)),IF(_xlpm.result="Active","Existing",_xlpm.result))</f>
        <v>Existing</v>
      </c>
      <c r="E28" s="771" t="s">
        <v>1724</v>
      </c>
      <c r="F28" s="771" t="s">
        <v>20</v>
      </c>
      <c r="G28" s="771" t="str">
        <f>INDEX('Budget Filing Data'!$J$10:$J$296,MATCH('11 Program Card'!C28,'Budget Filing Data'!$D$10:$D$297,0))</f>
        <v>Third-Party Solicited</v>
      </c>
      <c r="H28" s="771" t="s">
        <v>1734</v>
      </c>
      <c r="I28" s="771" t="str">
        <f>INDEX('Budget Filing Data'!$G$10:$G$297,MATCH('11 Program Card'!C28,'Budget Filing Data'!$D$10:$D$297,0))</f>
        <v>Public</v>
      </c>
      <c r="J28" s="831"/>
      <c r="K28" s="832"/>
      <c r="L28" s="832"/>
      <c r="M28" s="832"/>
      <c r="N28" s="832"/>
      <c r="O28" s="832"/>
      <c r="P28" s="832"/>
      <c r="Q28" s="832"/>
      <c r="R28" s="832"/>
      <c r="S28" s="829">
        <f>SUMIF('Budget Filing Data'!$D$10:$D$297,'11 Program Card'!C28,'Budget Filing Data'!$X$10:$X$297)</f>
        <v>991687.76608475391</v>
      </c>
      <c r="T28" s="827" t="s">
        <v>1735</v>
      </c>
      <c r="U28" s="828" t="s">
        <v>1736</v>
      </c>
      <c r="V28" s="832"/>
      <c r="W28" s="832"/>
      <c r="X28" s="832"/>
      <c r="Y28" s="832"/>
      <c r="Z28" s="832"/>
      <c r="AA28" s="832"/>
      <c r="AB28" s="832"/>
      <c r="AC28" s="832"/>
      <c r="AD28" s="832"/>
    </row>
    <row r="29" spans="1:30" ht="60">
      <c r="A29" s="669">
        <v>21</v>
      </c>
      <c r="B29" s="771" t="str">
        <f>INDEX('Budget Filing Data'!$E$10:$E$297,MATCH('11 Program Card'!C29,'Budget Filing Data'!$D$10:$D$297,0))</f>
        <v>SW Higher Education</v>
      </c>
      <c r="C29" s="771" t="s">
        <v>524</v>
      </c>
      <c r="D29" s="771" t="str">
        <f>_xlfn.LET(_xlpm.result,INDEX('Budget Filing Data'!$M$10:$M$297,MATCH('11 Program Card'!C29,'Budget Filing Data'!$D$10:$D$297,0)),IF(_xlpm.result="Active","Existing",_xlpm.result))</f>
        <v>Existing</v>
      </c>
      <c r="E29" s="771" t="s">
        <v>1724</v>
      </c>
      <c r="F29" s="771" t="s">
        <v>20</v>
      </c>
      <c r="G29" s="771" t="str">
        <f>INDEX('Budget Filing Data'!$J$10:$J$296,MATCH('11 Program Card'!C29,'Budget Filing Data'!$D$10:$D$297,0))</f>
        <v>Third-Party Solicited</v>
      </c>
      <c r="H29" s="771" t="s">
        <v>1737</v>
      </c>
      <c r="I29" s="771" t="str">
        <f>INDEX('Budget Filing Data'!$G$10:$G$297,MATCH('11 Program Card'!C29,'Budget Filing Data'!$D$10:$D$297,0))</f>
        <v>Public</v>
      </c>
      <c r="J29" s="831"/>
      <c r="K29" s="832"/>
      <c r="L29" s="832"/>
      <c r="M29" s="832"/>
      <c r="N29" s="832"/>
      <c r="O29" s="832"/>
      <c r="P29" s="832"/>
      <c r="Q29" s="832"/>
      <c r="R29" s="832"/>
      <c r="S29" s="829">
        <f>SUMIF('Budget Filing Data'!$D$10:$D$297,'11 Program Card'!C29,'Budget Filing Data'!$X$10:$X$297)</f>
        <v>3469592.3450751463</v>
      </c>
      <c r="T29" s="827" t="s">
        <v>1738</v>
      </c>
      <c r="U29" s="828" t="s">
        <v>1739</v>
      </c>
      <c r="V29" s="832"/>
      <c r="W29" s="832"/>
      <c r="X29" s="832"/>
      <c r="Y29" s="832"/>
      <c r="Z29" s="832"/>
      <c r="AA29" s="832"/>
      <c r="AB29" s="832"/>
      <c r="AC29" s="832"/>
      <c r="AD29" s="832"/>
    </row>
    <row r="30" spans="1:30" ht="60">
      <c r="A30" s="669">
        <v>22</v>
      </c>
      <c r="B30" s="771" t="str">
        <f>INDEX('Budget Filing Data'!$E$10:$E$297,MATCH('11 Program Card'!C30,'Budget Filing Data'!$D$10:$D$297,0))</f>
        <v>SW Midstream Commercial Water Heating</v>
      </c>
      <c r="C30" s="771" t="s">
        <v>529</v>
      </c>
      <c r="D30" s="771" t="str">
        <f>_xlfn.LET(_xlpm.result,INDEX('Budget Filing Data'!$M$10:$M$297,MATCH('11 Program Card'!C30,'Budget Filing Data'!$D$10:$D$297,0)),IF(_xlpm.result="Active","Existing",_xlpm.result))</f>
        <v>Existing</v>
      </c>
      <c r="E30" s="771" t="s">
        <v>1724</v>
      </c>
      <c r="F30" s="771" t="s">
        <v>20</v>
      </c>
      <c r="G30" s="771" t="str">
        <f>INDEX('Budget Filing Data'!$J$10:$J$296,MATCH('11 Program Card'!C30,'Budget Filing Data'!$D$10:$D$297,0))</f>
        <v>Third-Party Solicited</v>
      </c>
      <c r="H30" s="771" t="s">
        <v>1740</v>
      </c>
      <c r="I30" s="771" t="str">
        <f>INDEX('Budget Filing Data'!$G$10:$G$297,MATCH('11 Program Card'!C30,'Budget Filing Data'!$D$10:$D$297,0))</f>
        <v>Commercial</v>
      </c>
      <c r="J30" s="831"/>
      <c r="K30" s="832"/>
      <c r="L30" s="832"/>
      <c r="M30" s="832"/>
      <c r="N30" s="832"/>
      <c r="O30" s="832"/>
      <c r="P30" s="832"/>
      <c r="Q30" s="832"/>
      <c r="R30" s="832"/>
      <c r="S30" s="829">
        <f>SUMIF('Budget Filing Data'!$D$10:$D$297,'11 Program Card'!C30,'Budget Filing Data'!$X$10:$X$297)</f>
        <v>62620078.445612431</v>
      </c>
      <c r="T30" s="827" t="s">
        <v>1741</v>
      </c>
      <c r="U30" s="828" t="s">
        <v>1742</v>
      </c>
      <c r="V30" s="832"/>
      <c r="W30" s="832"/>
      <c r="X30" s="832"/>
      <c r="Y30" s="832"/>
      <c r="Z30" s="832"/>
      <c r="AA30" s="832"/>
      <c r="AB30" s="832"/>
      <c r="AC30" s="832"/>
      <c r="AD30" s="832"/>
    </row>
    <row r="31" spans="1:30" ht="60">
      <c r="A31" s="669">
        <v>23</v>
      </c>
      <c r="B31" s="771" t="str">
        <f>INDEX('Budget Filing Data'!$E$10:$E$297,MATCH('11 Program Card'!C31,'Budget Filing Data'!$D$10:$D$297,0))</f>
        <v>SW Foodservice Point of Sale Program</v>
      </c>
      <c r="C31" s="771" t="s">
        <v>534</v>
      </c>
      <c r="D31" s="771" t="str">
        <f>_xlfn.LET(_xlpm.result,INDEX('Budget Filing Data'!$M$10:$M$297,MATCH('11 Program Card'!C31,'Budget Filing Data'!$D$10:$D$297,0)),IF(_xlpm.result="Active","Existing",_xlpm.result))</f>
        <v>Existing</v>
      </c>
      <c r="E31" s="771" t="s">
        <v>1724</v>
      </c>
      <c r="F31" s="771" t="s">
        <v>20</v>
      </c>
      <c r="G31" s="771" t="str">
        <f>INDEX('Budget Filing Data'!$J$10:$J$296,MATCH('11 Program Card'!C31,'Budget Filing Data'!$D$10:$D$297,0))</f>
        <v>Third-Party Solicited</v>
      </c>
      <c r="H31" s="771" t="s">
        <v>1732</v>
      </c>
      <c r="I31" s="771" t="str">
        <f>INDEX('Budget Filing Data'!$G$10:$G$297,MATCH('11 Program Card'!C31,'Budget Filing Data'!$D$10:$D$297,0))</f>
        <v>Commercial</v>
      </c>
      <c r="J31" s="831"/>
      <c r="K31" s="832"/>
      <c r="L31" s="832"/>
      <c r="M31" s="832"/>
      <c r="N31" s="832"/>
      <c r="O31" s="832"/>
      <c r="P31" s="832"/>
      <c r="Q31" s="832"/>
      <c r="R31" s="832"/>
      <c r="S31" s="829">
        <f>SUMIF('Budget Filing Data'!$D$10:$D$297,'11 Program Card'!C31,'Budget Filing Data'!$X$10:$X$297)</f>
        <v>18644249.917819664</v>
      </c>
      <c r="T31" s="827" t="s">
        <v>1743</v>
      </c>
      <c r="U31" s="828" t="s">
        <v>1744</v>
      </c>
      <c r="V31" s="832"/>
      <c r="W31" s="832"/>
      <c r="X31" s="832"/>
      <c r="Y31" s="832"/>
      <c r="Z31" s="832"/>
      <c r="AA31" s="832"/>
      <c r="AB31" s="832"/>
      <c r="AC31" s="832"/>
      <c r="AD31" s="832"/>
    </row>
    <row r="32" spans="1:30" ht="60">
      <c r="A32" s="669">
        <v>24</v>
      </c>
      <c r="B32" s="771" t="str">
        <f>INDEX('Budget Filing Data'!$E$10:$E$297,MATCH('11 Program Card'!C32,'Budget Filing Data'!$D$10:$D$297,0))</f>
        <v>SW WET Career Connections</v>
      </c>
      <c r="C32" s="771" t="s">
        <v>539</v>
      </c>
      <c r="D32" s="771" t="str">
        <f>_xlfn.LET(_xlpm.result,INDEX('Budget Filing Data'!$M$10:$M$297,MATCH('11 Program Card'!C32,'Budget Filing Data'!$D$10:$D$297,0)),IF(_xlpm.result="Active","Existing",_xlpm.result))</f>
        <v>Existing</v>
      </c>
      <c r="E32" s="771" t="s">
        <v>1724</v>
      </c>
      <c r="F32" s="771" t="s">
        <v>29</v>
      </c>
      <c r="G32" s="771" t="str">
        <f>INDEX('Budget Filing Data'!$J$10:$J$296,MATCH('11 Program Card'!C32,'Budget Filing Data'!$D$10:$D$297,0))</f>
        <v>Third-Party Solicited</v>
      </c>
      <c r="H32" s="771" t="s">
        <v>1745</v>
      </c>
      <c r="I32" s="771" t="str">
        <f>INDEX('Budget Filing Data'!$G$10:$G$297,MATCH('11 Program Card'!C32,'Budget Filing Data'!$D$10:$D$297,0))</f>
        <v>Cross Cutting</v>
      </c>
      <c r="J32" s="831"/>
      <c r="K32" s="832"/>
      <c r="L32" s="832"/>
      <c r="M32" s="832"/>
      <c r="N32" s="832"/>
      <c r="O32" s="832"/>
      <c r="P32" s="832"/>
      <c r="Q32" s="832"/>
      <c r="R32" s="832"/>
      <c r="S32" s="826">
        <v>0</v>
      </c>
      <c r="T32" s="827" t="s">
        <v>1746</v>
      </c>
      <c r="U32" s="828" t="s">
        <v>1528</v>
      </c>
      <c r="V32" s="832"/>
      <c r="W32" s="832"/>
      <c r="X32" s="832"/>
      <c r="Y32" s="832"/>
      <c r="Z32" s="832"/>
      <c r="AA32" s="832"/>
      <c r="AB32" s="832"/>
      <c r="AC32" s="832"/>
      <c r="AD32" s="832"/>
    </row>
    <row r="33" spans="1:30" ht="60">
      <c r="A33" s="669">
        <v>25</v>
      </c>
      <c r="B33" s="771" t="str">
        <f>INDEX('Budget Filing Data'!$E$10:$E$297,MATCH('11 Program Card'!C33,'Budget Filing Data'!$D$10:$D$297,0))</f>
        <v>SW WE&amp;T Career &amp; Workforce Readiness (CWR)</v>
      </c>
      <c r="C33" s="771" t="s">
        <v>545</v>
      </c>
      <c r="D33" s="771" t="str">
        <f>_xlfn.LET(_xlpm.result,INDEX('Budget Filing Data'!$M$10:$M$297,MATCH('11 Program Card'!C33,'Budget Filing Data'!$D$10:$D$297,0)),IF(_xlpm.result="Active","Existing",_xlpm.result))</f>
        <v>Existing</v>
      </c>
      <c r="E33" s="771" t="s">
        <v>1724</v>
      </c>
      <c r="F33" s="771" t="s">
        <v>36</v>
      </c>
      <c r="G33" s="771" t="str">
        <f>INDEX('Budget Filing Data'!$J$10:$J$296,MATCH('11 Program Card'!C33,'Budget Filing Data'!$D$10:$D$297,0))</f>
        <v>Third-Party Solicited</v>
      </c>
      <c r="H33" s="771" t="s">
        <v>1747</v>
      </c>
      <c r="I33" s="771" t="str">
        <f>INDEX('Budget Filing Data'!$G$10:$G$297,MATCH('11 Program Card'!C33,'Budget Filing Data'!$D$10:$D$297,0))</f>
        <v>Cross Cutting</v>
      </c>
      <c r="J33" s="831"/>
      <c r="K33" s="832"/>
      <c r="L33" s="832"/>
      <c r="M33" s="832"/>
      <c r="N33" s="832"/>
      <c r="O33" s="832"/>
      <c r="P33" s="832"/>
      <c r="Q33" s="832"/>
      <c r="R33" s="832"/>
      <c r="S33" s="826">
        <v>0</v>
      </c>
      <c r="T33" s="827" t="s">
        <v>1748</v>
      </c>
      <c r="U33" s="828" t="s">
        <v>1528</v>
      </c>
      <c r="V33" s="832"/>
      <c r="W33" s="832"/>
      <c r="X33" s="832"/>
      <c r="Y33" s="832"/>
      <c r="Z33" s="832"/>
      <c r="AA33" s="832"/>
      <c r="AB33" s="832"/>
      <c r="AC33" s="832"/>
      <c r="AD33" s="832"/>
    </row>
    <row r="34" spans="1:30" ht="285">
      <c r="A34" s="669">
        <v>26</v>
      </c>
      <c r="B34" s="771" t="str">
        <f>INDEX('Budget Filing Data'!$E$10:$E$297,MATCH('11 Program Card'!C34,'Budget Filing Data'!$D$10:$D$297,0))</f>
        <v>SW HVAC QI/QM Program</v>
      </c>
      <c r="C34" s="771" t="s">
        <v>550</v>
      </c>
      <c r="D34" s="771" t="str">
        <f>_xlfn.LET(_xlpm.result,INDEX('Budget Filing Data'!$M$10:$M$297,MATCH('11 Program Card'!C34,'Budget Filing Data'!$D$10:$D$297,0)),IF(_xlpm.result="Active","Existing",_xlpm.result))</f>
        <v>Existing</v>
      </c>
      <c r="E34" s="771" t="s">
        <v>1519</v>
      </c>
      <c r="F34" s="771" t="s">
        <v>29</v>
      </c>
      <c r="G34" s="771" t="str">
        <f>INDEX('Budget Filing Data'!$J$10:$J$296,MATCH('11 Program Card'!C34,'Budget Filing Data'!$D$10:$D$297,0))</f>
        <v>Third-Party Solicited</v>
      </c>
      <c r="H34" s="771" t="s">
        <v>1749</v>
      </c>
      <c r="I34" s="771" t="str">
        <f>INDEX('Budget Filing Data'!$G$10:$G$297,MATCH('11 Program Card'!C34,'Budget Filing Data'!$D$10:$D$297,0))</f>
        <v>Residential</v>
      </c>
      <c r="J34" s="825" t="s">
        <v>1704</v>
      </c>
      <c r="K34" s="830" t="s">
        <v>1750</v>
      </c>
      <c r="L34" s="825" t="s">
        <v>1751</v>
      </c>
      <c r="M34" s="830" t="s">
        <v>1752</v>
      </c>
      <c r="N34" s="825" t="s">
        <v>1753</v>
      </c>
      <c r="O34" s="825" t="s">
        <v>1754</v>
      </c>
      <c r="P34" s="825" t="s">
        <v>1755</v>
      </c>
      <c r="Q34" s="825" t="s">
        <v>1756</v>
      </c>
      <c r="R34" s="825" t="s">
        <v>46</v>
      </c>
      <c r="S34" s="826">
        <v>0</v>
      </c>
      <c r="T34" s="827" t="s">
        <v>1757</v>
      </c>
      <c r="U34" s="828" t="s">
        <v>1528</v>
      </c>
      <c r="V34" s="825" t="s">
        <v>1529</v>
      </c>
      <c r="W34" s="825" t="s">
        <v>1758</v>
      </c>
      <c r="X34" s="825" t="s">
        <v>1759</v>
      </c>
      <c r="Y34" s="825" t="s">
        <v>1760</v>
      </c>
      <c r="Z34" s="825" t="s">
        <v>1761</v>
      </c>
      <c r="AA34" s="825" t="s">
        <v>1762</v>
      </c>
      <c r="AB34" s="825" t="s">
        <v>1763</v>
      </c>
      <c r="AC34" s="771" t="s">
        <v>478</v>
      </c>
      <c r="AD34" s="659" t="s">
        <v>1764</v>
      </c>
    </row>
    <row r="35" spans="1:30" ht="60">
      <c r="A35" s="669">
        <v>27</v>
      </c>
      <c r="B35" s="771" t="str">
        <f>INDEX('Budget Filing Data'!$E$10:$E$297,MATCH('11 Program Card'!C35,'Budget Filing Data'!$D$10:$D$297,0))</f>
        <v>SW Emerging Technologies - Gas</v>
      </c>
      <c r="C35" s="771" t="s">
        <v>556</v>
      </c>
      <c r="D35" s="771" t="str">
        <f>_xlfn.LET(_xlpm.result,INDEX('Budget Filing Data'!$M$10:$M$297,MATCH('11 Program Card'!C35,'Budget Filing Data'!$D$10:$D$297,0)),IF(_xlpm.result="Active","Existing",_xlpm.result))</f>
        <v>Existing</v>
      </c>
      <c r="E35" s="771" t="s">
        <v>1724</v>
      </c>
      <c r="F35" s="771" t="s">
        <v>29</v>
      </c>
      <c r="G35" s="771" t="str">
        <f>INDEX('Budget Filing Data'!$J$10:$J$296,MATCH('11 Program Card'!C35,'Budget Filing Data'!$D$10:$D$297,0))</f>
        <v>Third-Party Solicited</v>
      </c>
      <c r="H35" s="771" t="s">
        <v>1765</v>
      </c>
      <c r="I35" s="771" t="str">
        <f>INDEX('Budget Filing Data'!$G$10:$G$297,MATCH('11 Program Card'!C35,'Budget Filing Data'!$D$10:$D$297,0))</f>
        <v>Cross Cutting</v>
      </c>
      <c r="J35" s="831"/>
      <c r="K35" s="832"/>
      <c r="L35" s="832"/>
      <c r="M35" s="832"/>
      <c r="N35" s="832"/>
      <c r="O35" s="832"/>
      <c r="P35" s="832"/>
      <c r="Q35" s="832"/>
      <c r="R35" s="832"/>
      <c r="S35" s="826">
        <v>0</v>
      </c>
      <c r="T35" s="827" t="s">
        <v>1766</v>
      </c>
      <c r="U35" s="828" t="s">
        <v>1528</v>
      </c>
      <c r="V35" s="832"/>
      <c r="W35" s="832"/>
      <c r="X35" s="832"/>
      <c r="Y35" s="832"/>
      <c r="Z35" s="832"/>
      <c r="AA35" s="832"/>
      <c r="AB35" s="832"/>
      <c r="AC35" s="832"/>
      <c r="AD35" s="832"/>
    </row>
    <row r="36" spans="1:30" ht="60">
      <c r="A36" s="669">
        <v>28</v>
      </c>
      <c r="B36" s="771" t="str">
        <f>INDEX('Budget Filing Data'!$E$10:$E$297,MATCH('11 Program Card'!C36,'Budget Filing Data'!$D$10:$D$297,0))</f>
        <v>SW New Construction Non Residential - Agricultural - All Electric</v>
      </c>
      <c r="C36" s="771" t="s">
        <v>561</v>
      </c>
      <c r="D36" s="771" t="str">
        <f>_xlfn.LET(_xlpm.result,INDEX('Budget Filing Data'!$M$10:$M$297,MATCH('11 Program Card'!C36,'Budget Filing Data'!$D$10:$D$297,0)),IF(_xlpm.result="Active","Existing",_xlpm.result))</f>
        <v>Existing</v>
      </c>
      <c r="E36" s="771" t="s">
        <v>1724</v>
      </c>
      <c r="F36" s="771" t="s">
        <v>29</v>
      </c>
      <c r="G36" s="771" t="str">
        <f>INDEX('Budget Filing Data'!$J$10:$J$296,MATCH('11 Program Card'!C36,'Budget Filing Data'!$D$10:$D$297,0))</f>
        <v>Third-Party Solicited</v>
      </c>
      <c r="H36" s="771" t="s">
        <v>1767</v>
      </c>
      <c r="I36" s="771" t="str">
        <f>INDEX('Budget Filing Data'!$G$10:$G$297,MATCH('11 Program Card'!C36,'Budget Filing Data'!$D$10:$D$297,0))</f>
        <v>Agricultural</v>
      </c>
      <c r="J36" s="831"/>
      <c r="K36" s="832"/>
      <c r="L36" s="832"/>
      <c r="M36" s="832"/>
      <c r="N36" s="832"/>
      <c r="O36" s="832"/>
      <c r="P36" s="832"/>
      <c r="Q36" s="832"/>
      <c r="R36" s="832"/>
      <c r="S36" s="829">
        <f>SUMIF('Budget Filing Data'!$D$10:$D$297,'11 Program Card'!C36,'Budget Filing Data'!$X$10:$X$297)</f>
        <v>11517.371702592243</v>
      </c>
      <c r="T36" s="827" t="s">
        <v>1768</v>
      </c>
      <c r="U36" s="828" t="s">
        <v>1769</v>
      </c>
      <c r="V36" s="832"/>
      <c r="W36" s="832"/>
      <c r="X36" s="832"/>
      <c r="Y36" s="832"/>
      <c r="Z36" s="832"/>
      <c r="AA36" s="832"/>
      <c r="AB36" s="832"/>
      <c r="AC36" s="832"/>
      <c r="AD36" s="832"/>
    </row>
    <row r="37" spans="1:30" ht="60">
      <c r="A37" s="669">
        <v>29</v>
      </c>
      <c r="B37" s="771" t="str">
        <f>INDEX('Budget Filing Data'!$E$10:$E$297,MATCH('11 Program Card'!C37,'Budget Filing Data'!$D$10:$D$297,0))</f>
        <v>SW New Construction Non Residential - Commercial - All Electric</v>
      </c>
      <c r="C37" s="771" t="s">
        <v>566</v>
      </c>
      <c r="D37" s="771" t="str">
        <f>_xlfn.LET(_xlpm.result,INDEX('Budget Filing Data'!$M$10:$M$297,MATCH('11 Program Card'!C37,'Budget Filing Data'!$D$10:$D$297,0)),IF(_xlpm.result="Active","Existing",_xlpm.result))</f>
        <v>Existing</v>
      </c>
      <c r="E37" s="771" t="s">
        <v>1724</v>
      </c>
      <c r="F37" s="771" t="s">
        <v>29</v>
      </c>
      <c r="G37" s="771" t="str">
        <f>INDEX('Budget Filing Data'!$J$10:$J$296,MATCH('11 Program Card'!C37,'Budget Filing Data'!$D$10:$D$297,0))</f>
        <v>Third-Party Solicited</v>
      </c>
      <c r="H37" s="771" t="s">
        <v>1767</v>
      </c>
      <c r="I37" s="771" t="str">
        <f>INDEX('Budget Filing Data'!$G$10:$G$297,MATCH('11 Program Card'!C37,'Budget Filing Data'!$D$10:$D$297,0))</f>
        <v>Commercial</v>
      </c>
      <c r="J37" s="831"/>
      <c r="K37" s="832"/>
      <c r="L37" s="832"/>
      <c r="M37" s="832"/>
      <c r="N37" s="832"/>
      <c r="O37" s="832"/>
      <c r="P37" s="832"/>
      <c r="Q37" s="832"/>
      <c r="R37" s="832"/>
      <c r="S37" s="829">
        <f>SUMIF('Budget Filing Data'!$D$10:$D$297,'11 Program Card'!C37,'Budget Filing Data'!$X$10:$X$297)</f>
        <v>790139.41954828182</v>
      </c>
      <c r="T37" s="827" t="s">
        <v>1770</v>
      </c>
      <c r="U37" s="828" t="s">
        <v>1771</v>
      </c>
      <c r="V37" s="832"/>
      <c r="W37" s="832"/>
      <c r="X37" s="832"/>
      <c r="Y37" s="832"/>
      <c r="Z37" s="832"/>
      <c r="AA37" s="832"/>
      <c r="AB37" s="832"/>
      <c r="AC37" s="832"/>
      <c r="AD37" s="832"/>
    </row>
    <row r="38" spans="1:30" ht="60">
      <c r="A38" s="669">
        <v>30</v>
      </c>
      <c r="B38" s="771" t="str">
        <f>INDEX('Budget Filing Data'!$E$10:$E$297,MATCH('11 Program Card'!C38,'Budget Filing Data'!$D$10:$D$297,0))</f>
        <v>SW New Construction Non Residential - Industrial - All Electric</v>
      </c>
      <c r="C38" s="771" t="s">
        <v>571</v>
      </c>
      <c r="D38" s="771" t="str">
        <f>_xlfn.LET(_xlpm.result,INDEX('Budget Filing Data'!$M$10:$M$297,MATCH('11 Program Card'!C38,'Budget Filing Data'!$D$10:$D$297,0)),IF(_xlpm.result="Active","Existing",_xlpm.result))</f>
        <v>Existing</v>
      </c>
      <c r="E38" s="771" t="s">
        <v>1724</v>
      </c>
      <c r="F38" s="771" t="s">
        <v>29</v>
      </c>
      <c r="G38" s="771" t="str">
        <f>INDEX('Budget Filing Data'!$J$10:$J$296,MATCH('11 Program Card'!C38,'Budget Filing Data'!$D$10:$D$297,0))</f>
        <v>Third-Party Solicited</v>
      </c>
      <c r="H38" s="771" t="s">
        <v>1767</v>
      </c>
      <c r="I38" s="771" t="str">
        <f>INDEX('Budget Filing Data'!$G$10:$G$297,MATCH('11 Program Card'!C38,'Budget Filing Data'!$D$10:$D$297,0))</f>
        <v>Industrial</v>
      </c>
      <c r="J38" s="831"/>
      <c r="K38" s="832"/>
      <c r="L38" s="832"/>
      <c r="M38" s="832"/>
      <c r="N38" s="832"/>
      <c r="O38" s="832"/>
      <c r="P38" s="832"/>
      <c r="Q38" s="832"/>
      <c r="R38" s="832"/>
      <c r="S38" s="829">
        <f>SUMIF('Budget Filing Data'!$D$10:$D$297,'11 Program Card'!C38,'Budget Filing Data'!$X$10:$X$297)</f>
        <v>6597.3368055864275</v>
      </c>
      <c r="T38" s="827" t="s">
        <v>1768</v>
      </c>
      <c r="U38" s="828" t="s">
        <v>1772</v>
      </c>
      <c r="V38" s="832"/>
      <c r="W38" s="832"/>
      <c r="X38" s="832"/>
      <c r="Y38" s="832"/>
      <c r="Z38" s="832"/>
      <c r="AA38" s="832"/>
      <c r="AB38" s="832"/>
      <c r="AC38" s="832"/>
      <c r="AD38" s="832"/>
    </row>
    <row r="39" spans="1:30" ht="60">
      <c r="A39" s="669">
        <v>31</v>
      </c>
      <c r="B39" s="771" t="str">
        <f>INDEX('Budget Filing Data'!$E$10:$E$297,MATCH('11 Program Card'!C39,'Budget Filing Data'!$D$10:$D$297,0))</f>
        <v>SW New Construction Non Residential - Public - All Electric</v>
      </c>
      <c r="C39" s="771" t="s">
        <v>576</v>
      </c>
      <c r="D39" s="771" t="str">
        <f>_xlfn.LET(_xlpm.result,INDEX('Budget Filing Data'!$M$10:$M$297,MATCH('11 Program Card'!C39,'Budget Filing Data'!$D$10:$D$297,0)),IF(_xlpm.result="Active","Existing",_xlpm.result))</f>
        <v>Existing</v>
      </c>
      <c r="E39" s="771" t="s">
        <v>1724</v>
      </c>
      <c r="F39" s="771" t="s">
        <v>29</v>
      </c>
      <c r="G39" s="771" t="str">
        <f>INDEX('Budget Filing Data'!$J$10:$J$296,MATCH('11 Program Card'!C39,'Budget Filing Data'!$D$10:$D$297,0))</f>
        <v>Third-Party Solicited</v>
      </c>
      <c r="H39" s="771" t="s">
        <v>1767</v>
      </c>
      <c r="I39" s="771" t="str">
        <f>INDEX('Budget Filing Data'!$G$10:$G$297,MATCH('11 Program Card'!C39,'Budget Filing Data'!$D$10:$D$297,0))</f>
        <v>Public</v>
      </c>
      <c r="J39" s="831"/>
      <c r="K39" s="832"/>
      <c r="L39" s="832"/>
      <c r="M39" s="832"/>
      <c r="N39" s="832"/>
      <c r="O39" s="832"/>
      <c r="P39" s="832"/>
      <c r="Q39" s="832"/>
      <c r="R39" s="832"/>
      <c r="S39" s="829">
        <f>SUMIF('Budget Filing Data'!$D$10:$D$297,'11 Program Card'!C39,'Budget Filing Data'!$X$10:$X$297)</f>
        <v>172136.58037396349</v>
      </c>
      <c r="T39" s="827" t="s">
        <v>1773</v>
      </c>
      <c r="U39" s="828" t="s">
        <v>1774</v>
      </c>
      <c r="V39" s="832"/>
      <c r="W39" s="832"/>
      <c r="X39" s="832"/>
      <c r="Y39" s="832"/>
      <c r="Z39" s="832"/>
      <c r="AA39" s="832"/>
      <c r="AB39" s="832"/>
      <c r="AC39" s="832"/>
      <c r="AD39" s="832"/>
    </row>
    <row r="40" spans="1:30" ht="60">
      <c r="A40" s="669">
        <v>32</v>
      </c>
      <c r="B40" s="771" t="str">
        <f>INDEX('Budget Filing Data'!$E$10:$E$297,MATCH('11 Program Card'!C40,'Budget Filing Data'!$D$10:$D$297,0))</f>
        <v>SW New Construction NonResidential - Residential - All Electric</v>
      </c>
      <c r="C40" s="771" t="s">
        <v>581</v>
      </c>
      <c r="D40" s="771" t="str">
        <f>_xlfn.LET(_xlpm.result,INDEX('Budget Filing Data'!$M$10:$M$297,MATCH('11 Program Card'!C40,'Budget Filing Data'!$D$10:$D$297,0)),IF(_xlpm.result="Active","Existing",_xlpm.result))</f>
        <v>Existing</v>
      </c>
      <c r="E40" s="771" t="s">
        <v>1724</v>
      </c>
      <c r="F40" s="771" t="s">
        <v>29</v>
      </c>
      <c r="G40" s="771" t="str">
        <f>INDEX('Budget Filing Data'!$J$10:$J$296,MATCH('11 Program Card'!C40,'Budget Filing Data'!$D$10:$D$297,0))</f>
        <v>Third-Party Solicited</v>
      </c>
      <c r="H40" s="771" t="s">
        <v>1767</v>
      </c>
      <c r="I40" s="771" t="str">
        <f>INDEX('Budget Filing Data'!$G$10:$G$297,MATCH('11 Program Card'!C40,'Budget Filing Data'!$D$10:$D$297,0))</f>
        <v>Residential</v>
      </c>
      <c r="J40" s="831"/>
      <c r="K40" s="832"/>
      <c r="L40" s="832"/>
      <c r="M40" s="832"/>
      <c r="N40" s="832"/>
      <c r="O40" s="832"/>
      <c r="P40" s="832"/>
      <c r="Q40" s="832"/>
      <c r="R40" s="832"/>
      <c r="S40" s="829">
        <f>SUMIF('Budget Filing Data'!$D$10:$D$297,'11 Program Card'!C40,'Budget Filing Data'!$X$10:$X$297)</f>
        <v>1741153.7042167084</v>
      </c>
      <c r="T40" s="827" t="s">
        <v>1775</v>
      </c>
      <c r="U40" s="828" t="s">
        <v>1776</v>
      </c>
      <c r="V40" s="832"/>
      <c r="W40" s="832"/>
      <c r="X40" s="832"/>
      <c r="Y40" s="832"/>
      <c r="Z40" s="832"/>
      <c r="AA40" s="832"/>
      <c r="AB40" s="832"/>
      <c r="AC40" s="832"/>
      <c r="AD40" s="832"/>
    </row>
    <row r="41" spans="1:30" ht="60">
      <c r="A41" s="669">
        <v>33</v>
      </c>
      <c r="B41" s="771" t="str">
        <f>INDEX('Budget Filing Data'!$E$10:$E$297,MATCH('11 Program Card'!C41,'Budget Filing Data'!$D$10:$D$297,0))</f>
        <v>SW New Construction Non Residential - Agricultural - Mixed Fuel</v>
      </c>
      <c r="C41" s="771" t="s">
        <v>586</v>
      </c>
      <c r="D41" s="771" t="str">
        <f>_xlfn.LET(_xlpm.result,INDEX('Budget Filing Data'!$M$10:$M$297,MATCH('11 Program Card'!C41,'Budget Filing Data'!$D$10:$D$297,0)),IF(_xlpm.result="Active","Existing",_xlpm.result))</f>
        <v>Existing</v>
      </c>
      <c r="E41" s="771" t="s">
        <v>1724</v>
      </c>
      <c r="F41" s="771" t="s">
        <v>29</v>
      </c>
      <c r="G41" s="771" t="str">
        <f>INDEX('Budget Filing Data'!$J$10:$J$296,MATCH('11 Program Card'!C41,'Budget Filing Data'!$D$10:$D$297,0))</f>
        <v>Third-Party Solicited</v>
      </c>
      <c r="H41" s="771" t="s">
        <v>1767</v>
      </c>
      <c r="I41" s="771" t="str">
        <f>INDEX('Budget Filing Data'!$G$10:$G$297,MATCH('11 Program Card'!C41,'Budget Filing Data'!$D$10:$D$297,0))</f>
        <v>Agricultural</v>
      </c>
      <c r="J41" s="831"/>
      <c r="K41" s="832"/>
      <c r="L41" s="832"/>
      <c r="M41" s="832"/>
      <c r="N41" s="832"/>
      <c r="O41" s="832"/>
      <c r="P41" s="832"/>
      <c r="Q41" s="832"/>
      <c r="R41" s="832"/>
      <c r="S41" s="829">
        <f>SUMIF('Budget Filing Data'!$D$10:$D$297,'11 Program Card'!C41,'Budget Filing Data'!$X$10:$X$297)</f>
        <v>64943.9595032672</v>
      </c>
      <c r="T41" s="827" t="s">
        <v>1777</v>
      </c>
      <c r="U41" s="828" t="s">
        <v>1778</v>
      </c>
      <c r="V41" s="832"/>
      <c r="W41" s="832"/>
      <c r="X41" s="832"/>
      <c r="Y41" s="832"/>
      <c r="Z41" s="832"/>
      <c r="AA41" s="832"/>
      <c r="AB41" s="832"/>
      <c r="AC41" s="832"/>
      <c r="AD41" s="832"/>
    </row>
    <row r="42" spans="1:30" ht="60">
      <c r="A42" s="669">
        <v>34</v>
      </c>
      <c r="B42" s="771" t="str">
        <f>INDEX('Budget Filing Data'!$E$10:$E$297,MATCH('11 Program Card'!C42,'Budget Filing Data'!$D$10:$D$297,0))</f>
        <v>SW New Construction Non Residential - Commercial - Mixed Fuel</v>
      </c>
      <c r="C42" s="771" t="s">
        <v>591</v>
      </c>
      <c r="D42" s="771" t="str">
        <f>_xlfn.LET(_xlpm.result,INDEX('Budget Filing Data'!$M$10:$M$297,MATCH('11 Program Card'!C42,'Budget Filing Data'!$D$10:$D$297,0)),IF(_xlpm.result="Active","Existing",_xlpm.result))</f>
        <v>Existing</v>
      </c>
      <c r="E42" s="771" t="s">
        <v>1724</v>
      </c>
      <c r="F42" s="771" t="s">
        <v>29</v>
      </c>
      <c r="G42" s="771" t="str">
        <f>INDEX('Budget Filing Data'!$J$10:$J$296,MATCH('11 Program Card'!C42,'Budget Filing Data'!$D$10:$D$297,0))</f>
        <v>Third-Party Solicited</v>
      </c>
      <c r="H42" s="771" t="s">
        <v>1767</v>
      </c>
      <c r="I42" s="771" t="str">
        <f>INDEX('Budget Filing Data'!$G$10:$G$297,MATCH('11 Program Card'!C42,'Budget Filing Data'!$D$10:$D$297,0))</f>
        <v>Commercial</v>
      </c>
      <c r="J42" s="831"/>
      <c r="K42" s="832"/>
      <c r="L42" s="832"/>
      <c r="M42" s="832"/>
      <c r="N42" s="832"/>
      <c r="O42" s="832"/>
      <c r="P42" s="832"/>
      <c r="Q42" s="832"/>
      <c r="R42" s="832"/>
      <c r="S42" s="829">
        <f>SUMIF('Budget Filing Data'!$D$10:$D$297,'11 Program Card'!C42,'Budget Filing Data'!$X$10:$X$297)</f>
        <v>259534.08993935573</v>
      </c>
      <c r="T42" s="827" t="s">
        <v>1779</v>
      </c>
      <c r="U42" s="828" t="s">
        <v>1780</v>
      </c>
      <c r="V42" s="832"/>
      <c r="W42" s="832"/>
      <c r="X42" s="832"/>
      <c r="Y42" s="832"/>
      <c r="Z42" s="832"/>
      <c r="AA42" s="832"/>
      <c r="AB42" s="832"/>
      <c r="AC42" s="832"/>
      <c r="AD42" s="832"/>
    </row>
    <row r="43" spans="1:30" ht="60">
      <c r="A43" s="669">
        <v>35</v>
      </c>
      <c r="B43" s="771" t="str">
        <f>INDEX('Budget Filing Data'!$E$10:$E$297,MATCH('11 Program Card'!C43,'Budget Filing Data'!$D$10:$D$297,0))</f>
        <v>SW New Construction Non Residential - Industrial - Mixed Fuel</v>
      </c>
      <c r="C43" s="771" t="s">
        <v>596</v>
      </c>
      <c r="D43" s="771" t="str">
        <f>_xlfn.LET(_xlpm.result,INDEX('Budget Filing Data'!$M$10:$M$297,MATCH('11 Program Card'!C43,'Budget Filing Data'!$D$10:$D$297,0)),IF(_xlpm.result="Active","Existing",_xlpm.result))</f>
        <v>Existing</v>
      </c>
      <c r="E43" s="771" t="s">
        <v>1724</v>
      </c>
      <c r="F43" s="771" t="s">
        <v>29</v>
      </c>
      <c r="G43" s="771" t="str">
        <f>INDEX('Budget Filing Data'!$J$10:$J$296,MATCH('11 Program Card'!C43,'Budget Filing Data'!$D$10:$D$297,0))</f>
        <v>Third-Party Solicited</v>
      </c>
      <c r="H43" s="771" t="s">
        <v>1767</v>
      </c>
      <c r="I43" s="771" t="str">
        <f>INDEX('Budget Filing Data'!$G$10:$G$297,MATCH('11 Program Card'!C43,'Budget Filing Data'!$D$10:$D$297,0))</f>
        <v>Industrial</v>
      </c>
      <c r="J43" s="831"/>
      <c r="K43" s="832"/>
      <c r="L43" s="832"/>
      <c r="M43" s="832"/>
      <c r="N43" s="832"/>
      <c r="O43" s="832"/>
      <c r="P43" s="832"/>
      <c r="Q43" s="832"/>
      <c r="R43" s="832"/>
      <c r="S43" s="829">
        <f>SUMIF('Budget Filing Data'!$D$10:$D$297,'11 Program Card'!C43,'Budget Filing Data'!$X$10:$X$297)</f>
        <v>80560.682431623223</v>
      </c>
      <c r="T43" s="827" t="s">
        <v>1777</v>
      </c>
      <c r="U43" s="828" t="s">
        <v>1781</v>
      </c>
      <c r="V43" s="832"/>
      <c r="W43" s="832"/>
      <c r="X43" s="832"/>
      <c r="Y43" s="832"/>
      <c r="Z43" s="832"/>
      <c r="AA43" s="832"/>
      <c r="AB43" s="832"/>
      <c r="AC43" s="832"/>
      <c r="AD43" s="832"/>
    </row>
    <row r="44" spans="1:30" ht="60">
      <c r="A44" s="669">
        <v>36</v>
      </c>
      <c r="B44" s="771" t="str">
        <f>INDEX('Budget Filing Data'!$E$10:$E$297,MATCH('11 Program Card'!C44,'Budget Filing Data'!$D$10:$D$297,0))</f>
        <v>SW New Construction Non Residential - Public - Mixed Fuel</v>
      </c>
      <c r="C44" s="771" t="s">
        <v>601</v>
      </c>
      <c r="D44" s="771" t="str">
        <f>_xlfn.LET(_xlpm.result,INDEX('Budget Filing Data'!$M$10:$M$297,MATCH('11 Program Card'!C44,'Budget Filing Data'!$D$10:$D$297,0)),IF(_xlpm.result="Active","Existing",_xlpm.result))</f>
        <v>Existing</v>
      </c>
      <c r="E44" s="771" t="s">
        <v>1724</v>
      </c>
      <c r="F44" s="771" t="s">
        <v>29</v>
      </c>
      <c r="G44" s="771" t="str">
        <f>INDEX('Budget Filing Data'!$J$10:$J$296,MATCH('11 Program Card'!C44,'Budget Filing Data'!$D$10:$D$297,0))</f>
        <v>Third-Party Solicited</v>
      </c>
      <c r="H44" s="771" t="s">
        <v>1767</v>
      </c>
      <c r="I44" s="771" t="str">
        <f>INDEX('Budget Filing Data'!$G$10:$G$297,MATCH('11 Program Card'!C44,'Budget Filing Data'!$D$10:$D$297,0))</f>
        <v>Public</v>
      </c>
      <c r="J44" s="831"/>
      <c r="K44" s="832"/>
      <c r="L44" s="832"/>
      <c r="M44" s="832"/>
      <c r="N44" s="832"/>
      <c r="O44" s="832"/>
      <c r="P44" s="832"/>
      <c r="Q44" s="832"/>
      <c r="R44" s="832"/>
      <c r="S44" s="829">
        <f>SUMIF('Budget Filing Data'!$D$10:$D$297,'11 Program Card'!C44,'Budget Filing Data'!$X$10:$X$297)</f>
        <v>78709.875367660992</v>
      </c>
      <c r="T44" s="827" t="s">
        <v>1782</v>
      </c>
      <c r="U44" s="828" t="s">
        <v>1783</v>
      </c>
      <c r="V44" s="832"/>
      <c r="W44" s="832"/>
      <c r="X44" s="832"/>
      <c r="Y44" s="832"/>
      <c r="Z44" s="832"/>
      <c r="AA44" s="832"/>
      <c r="AB44" s="832"/>
      <c r="AC44" s="832"/>
      <c r="AD44" s="832"/>
    </row>
    <row r="45" spans="1:30" ht="60">
      <c r="A45" s="669">
        <v>37</v>
      </c>
      <c r="B45" s="771" t="str">
        <f>INDEX('Budget Filing Data'!$E$10:$E$297,MATCH('11 Program Card'!C45,'Budget Filing Data'!$D$10:$D$297,0))</f>
        <v>SW New Construction NonResidential - Residential - Mixed Fuel</v>
      </c>
      <c r="C45" s="771" t="s">
        <v>606</v>
      </c>
      <c r="D45" s="771" t="str">
        <f>_xlfn.LET(_xlpm.result,INDEX('Budget Filing Data'!$M$10:$M$297,MATCH('11 Program Card'!C45,'Budget Filing Data'!$D$10:$D$297,0)),IF(_xlpm.result="Active","Existing",_xlpm.result))</f>
        <v>Existing</v>
      </c>
      <c r="E45" s="771" t="s">
        <v>1724</v>
      </c>
      <c r="F45" s="771" t="s">
        <v>29</v>
      </c>
      <c r="G45" s="771" t="str">
        <f>INDEX('Budget Filing Data'!$J$10:$J$296,MATCH('11 Program Card'!C45,'Budget Filing Data'!$D$10:$D$297,0))</f>
        <v>Third-Party Solicited</v>
      </c>
      <c r="H45" s="771" t="s">
        <v>1767</v>
      </c>
      <c r="I45" s="771" t="str">
        <f>INDEX('Budget Filing Data'!$G$10:$G$297,MATCH('11 Program Card'!C45,'Budget Filing Data'!$D$10:$D$297,0))</f>
        <v>Residential</v>
      </c>
      <c r="J45" s="831"/>
      <c r="K45" s="832"/>
      <c r="L45" s="832"/>
      <c r="M45" s="832"/>
      <c r="N45" s="832"/>
      <c r="O45" s="832"/>
      <c r="P45" s="832"/>
      <c r="Q45" s="832"/>
      <c r="R45" s="832"/>
      <c r="S45" s="829">
        <f>SUMIF('Budget Filing Data'!$D$10:$D$297,'11 Program Card'!C45,'Budget Filing Data'!$X$10:$X$297)</f>
        <v>133864.44713408669</v>
      </c>
      <c r="T45" s="827" t="s">
        <v>1784</v>
      </c>
      <c r="U45" s="828" t="s">
        <v>1785</v>
      </c>
      <c r="V45" s="832"/>
      <c r="W45" s="832"/>
      <c r="X45" s="832"/>
      <c r="Y45" s="832"/>
      <c r="Z45" s="832"/>
      <c r="AA45" s="832"/>
      <c r="AB45" s="832"/>
      <c r="AC45" s="832"/>
      <c r="AD45" s="832"/>
    </row>
    <row r="46" spans="1:30" ht="60">
      <c r="A46" s="669">
        <v>38</v>
      </c>
      <c r="B46" s="771" t="str">
        <f>INDEX('Budget Filing Data'!$E$10:$E$297,MATCH('11 Program Card'!C46,'Budget Filing Data'!$D$10:$D$297,0))</f>
        <v>SW New Construction Residential - All Electric</v>
      </c>
      <c r="C46" s="771" t="s">
        <v>611</v>
      </c>
      <c r="D46" s="771" t="str">
        <f>_xlfn.LET(_xlpm.result,INDEX('Budget Filing Data'!$M$10:$M$297,MATCH('11 Program Card'!C46,'Budget Filing Data'!$D$10:$D$297,0)),IF(_xlpm.result="Active","Existing",_xlpm.result))</f>
        <v>Existing</v>
      </c>
      <c r="E46" s="771" t="s">
        <v>1724</v>
      </c>
      <c r="F46" s="771" t="s">
        <v>29</v>
      </c>
      <c r="G46" s="771" t="str">
        <f>INDEX('Budget Filing Data'!$J$10:$J$296,MATCH('11 Program Card'!C46,'Budget Filing Data'!$D$10:$D$297,0))</f>
        <v>Third-Party Solicited</v>
      </c>
      <c r="H46" s="771" t="s">
        <v>1786</v>
      </c>
      <c r="I46" s="771" t="str">
        <f>INDEX('Budget Filing Data'!$G$10:$G$297,MATCH('11 Program Card'!C46,'Budget Filing Data'!$D$10:$D$297,0))</f>
        <v>Residential</v>
      </c>
      <c r="J46" s="831"/>
      <c r="K46" s="832"/>
      <c r="L46" s="832"/>
      <c r="M46" s="832"/>
      <c r="N46" s="832"/>
      <c r="O46" s="832"/>
      <c r="P46" s="832"/>
      <c r="Q46" s="832"/>
      <c r="R46" s="832"/>
      <c r="S46" s="829">
        <f>SUMIF('Budget Filing Data'!$D$10:$D$297,'11 Program Card'!C46,'Budget Filing Data'!$X$10:$X$297)</f>
        <v>2500924.3536096364</v>
      </c>
      <c r="T46" s="827" t="s">
        <v>1787</v>
      </c>
      <c r="U46" s="828" t="s">
        <v>1788</v>
      </c>
      <c r="V46" s="832"/>
      <c r="W46" s="832"/>
      <c r="X46" s="832"/>
      <c r="Y46" s="832"/>
      <c r="Z46" s="832"/>
      <c r="AA46" s="832"/>
      <c r="AB46" s="832"/>
      <c r="AC46" s="832"/>
      <c r="AD46" s="832"/>
    </row>
    <row r="47" spans="1:30" ht="60">
      <c r="A47" s="669">
        <v>39</v>
      </c>
      <c r="B47" s="771" t="str">
        <f>INDEX('Budget Filing Data'!$E$10:$E$297,MATCH('11 Program Card'!C47,'Budget Filing Data'!$D$10:$D$297,0))</f>
        <v>SW Home Energy Score California</v>
      </c>
      <c r="C47" s="771" t="s">
        <v>635</v>
      </c>
      <c r="D47" s="771" t="str">
        <f>_xlfn.LET(_xlpm.result,INDEX('Budget Filing Data'!$M$10:$M$297,MATCH('11 Program Card'!C47,'Budget Filing Data'!$D$10:$D$297,0)),IF(_xlpm.result="Active","Existing",_xlpm.result))</f>
        <v>New</v>
      </c>
      <c r="E47" s="771" t="s">
        <v>1724</v>
      </c>
      <c r="F47" s="771" t="s">
        <v>29</v>
      </c>
      <c r="G47" s="771" t="str">
        <f>INDEX('Budget Filing Data'!$J$10:$J$296,MATCH('11 Program Card'!C47,'Budget Filing Data'!$D$10:$D$297,0))</f>
        <v>REN/CCA</v>
      </c>
      <c r="H47" s="771" t="s">
        <v>1789</v>
      </c>
      <c r="I47" s="771" t="str">
        <f>INDEX('Budget Filing Data'!$G$10:$G$297,MATCH('11 Program Card'!C47,'Budget Filing Data'!$D$10:$D$297,0))</f>
        <v>Residential</v>
      </c>
      <c r="J47" s="831"/>
      <c r="K47" s="832"/>
      <c r="L47" s="832"/>
      <c r="M47" s="832"/>
      <c r="N47" s="832"/>
      <c r="O47" s="832"/>
      <c r="P47" s="832"/>
      <c r="Q47" s="832"/>
      <c r="R47" s="832"/>
      <c r="S47" s="826">
        <v>0</v>
      </c>
      <c r="T47" s="827" t="s">
        <v>1790</v>
      </c>
      <c r="U47" s="828" t="s">
        <v>1528</v>
      </c>
      <c r="V47" s="832"/>
      <c r="W47" s="832"/>
      <c r="X47" s="832"/>
      <c r="Y47" s="832"/>
      <c r="Z47" s="832"/>
      <c r="AA47" s="832"/>
      <c r="AB47" s="832"/>
      <c r="AC47" s="832"/>
      <c r="AD47" s="832"/>
    </row>
    <row r="48" spans="1:30" ht="60">
      <c r="A48" s="669">
        <v>40</v>
      </c>
      <c r="B48" s="771" t="str">
        <f>INDEX('Budget Filing Data'!$E$10:$E$297,MATCH('11 Program Card'!C48,'Budget Filing Data'!$D$10:$D$297,0))</f>
        <v>SW HVAC All Electric Non-Residential</v>
      </c>
      <c r="C48" s="771" t="s">
        <v>645</v>
      </c>
      <c r="D48" s="771" t="str">
        <f>_xlfn.LET(_xlpm.result,INDEX('Budget Filing Data'!$M$10:$M$297,MATCH('11 Program Card'!C48,'Budget Filing Data'!$D$10:$D$297,0)),IF(_xlpm.result="Active","Existing",_xlpm.result))</f>
        <v>New</v>
      </c>
      <c r="E48" s="771" t="s">
        <v>1724</v>
      </c>
      <c r="F48" s="771" t="s">
        <v>20</v>
      </c>
      <c r="G48" s="771" t="str">
        <f>INDEX('Budget Filing Data'!$J$10:$J$296,MATCH('11 Program Card'!C48,'Budget Filing Data'!$D$10:$D$297,0))</f>
        <v>Third-Party Solicited</v>
      </c>
      <c r="H48" s="771" t="s">
        <v>1362</v>
      </c>
      <c r="I48" s="771" t="str">
        <f>INDEX('Budget Filing Data'!$G$10:$G$297,MATCH('11 Program Card'!C48,'Budget Filing Data'!$D$10:$D$297,0))</f>
        <v>Commercial</v>
      </c>
      <c r="J48" s="831"/>
      <c r="K48" s="832"/>
      <c r="L48" s="832"/>
      <c r="M48" s="832"/>
      <c r="N48" s="832"/>
      <c r="O48" s="832"/>
      <c r="P48" s="832"/>
      <c r="Q48" s="832"/>
      <c r="R48" s="832"/>
      <c r="S48" s="829">
        <f>SUMIF('Budget Filing Data'!$D$10:$D$297,'11 Program Card'!C48,'Budget Filing Data'!$X$10:$X$297)</f>
        <v>3098735.0557550825</v>
      </c>
      <c r="T48" s="827" t="s">
        <v>1791</v>
      </c>
      <c r="U48" s="828" t="s">
        <v>1792</v>
      </c>
      <c r="V48" s="832"/>
      <c r="W48" s="832"/>
      <c r="X48" s="832"/>
      <c r="Y48" s="832"/>
      <c r="Z48" s="832"/>
      <c r="AA48" s="832"/>
      <c r="AB48" s="832"/>
      <c r="AC48" s="832"/>
      <c r="AD48" s="832"/>
    </row>
    <row r="49" spans="1:30" ht="17.25">
      <c r="A49" s="669"/>
      <c r="B49" s="700" t="s">
        <v>1793</v>
      </c>
      <c r="C49" s="669"/>
      <c r="D49" s="669"/>
      <c r="E49" s="669"/>
      <c r="F49" s="669"/>
      <c r="G49" s="669"/>
      <c r="H49" s="669"/>
      <c r="I49" s="669"/>
      <c r="J49" s="669"/>
      <c r="K49" s="669"/>
      <c r="L49" s="669"/>
      <c r="M49" s="669"/>
      <c r="N49" s="669"/>
      <c r="O49" s="669"/>
      <c r="P49" s="669"/>
      <c r="Q49" s="669"/>
      <c r="R49" s="669"/>
      <c r="S49" s="669"/>
      <c r="T49" s="669"/>
      <c r="U49" s="669"/>
      <c r="V49" s="669"/>
      <c r="W49" s="669"/>
      <c r="X49" s="669"/>
      <c r="Y49" s="669"/>
      <c r="Z49" s="669"/>
      <c r="AA49" s="669"/>
      <c r="AB49" s="669"/>
      <c r="AC49" s="669"/>
      <c r="AD49" s="669"/>
    </row>
    <row r="50" spans="1:30" ht="17.25">
      <c r="A50" s="669"/>
      <c r="B50" s="669" t="s">
        <v>1794</v>
      </c>
      <c r="C50" s="669"/>
      <c r="D50" s="669"/>
      <c r="E50" s="669"/>
      <c r="F50" s="669"/>
      <c r="G50" s="669"/>
      <c r="H50" s="669"/>
      <c r="I50" s="669"/>
      <c r="J50" s="669"/>
      <c r="K50" s="669"/>
      <c r="L50" s="669"/>
      <c r="M50" s="669"/>
      <c r="N50" s="669"/>
      <c r="O50" s="669"/>
      <c r="P50" s="669"/>
      <c r="Q50" s="669"/>
      <c r="R50" s="669"/>
      <c r="S50" s="669"/>
      <c r="T50" s="669"/>
      <c r="U50" s="669"/>
      <c r="V50" s="669"/>
      <c r="W50" s="669"/>
      <c r="X50" s="669"/>
      <c r="Y50" s="669"/>
      <c r="Z50" s="669"/>
      <c r="AA50" s="669"/>
      <c r="AB50" s="669"/>
      <c r="AC50" s="669"/>
      <c r="AD50" s="669"/>
    </row>
    <row r="51" spans="1:30" ht="17.25">
      <c r="A51" s="669"/>
      <c r="B51" s="669" t="s">
        <v>1795</v>
      </c>
      <c r="C51" s="669"/>
      <c r="D51" s="669"/>
      <c r="E51" s="669"/>
      <c r="F51" s="669"/>
      <c r="G51" s="669"/>
      <c r="H51" s="669"/>
      <c r="I51" s="669"/>
      <c r="J51" s="669"/>
      <c r="K51" s="669"/>
      <c r="L51" s="669"/>
      <c r="M51" s="669"/>
      <c r="N51" s="669"/>
      <c r="O51" s="669"/>
      <c r="P51" s="669"/>
      <c r="Q51" s="669"/>
      <c r="R51" s="669"/>
      <c r="S51" s="669"/>
      <c r="T51" s="669"/>
      <c r="U51" s="669"/>
      <c r="V51" s="669"/>
      <c r="W51" s="669"/>
      <c r="X51" s="669"/>
      <c r="Y51" s="669"/>
      <c r="Z51" s="669"/>
      <c r="AA51" s="669"/>
      <c r="AB51" s="669"/>
      <c r="AC51" s="669"/>
      <c r="AD51" s="669"/>
    </row>
    <row r="52" spans="1:30" ht="17.25">
      <c r="A52" s="669"/>
      <c r="B52" s="669" t="s">
        <v>1796</v>
      </c>
      <c r="C52" s="669"/>
      <c r="D52" s="669"/>
      <c r="E52" s="669"/>
      <c r="F52" s="669"/>
      <c r="G52" s="669"/>
      <c r="H52" s="669"/>
      <c r="I52" s="669"/>
      <c r="J52" s="669"/>
      <c r="K52" s="669"/>
      <c r="L52" s="669"/>
      <c r="M52" s="669"/>
      <c r="N52" s="669"/>
      <c r="O52" s="669"/>
      <c r="P52" s="669"/>
      <c r="Q52" s="669"/>
      <c r="R52" s="669"/>
      <c r="S52" s="669"/>
      <c r="T52" s="669"/>
      <c r="U52" s="669"/>
      <c r="V52" s="669"/>
      <c r="W52" s="669"/>
      <c r="X52" s="669"/>
      <c r="Y52" s="669"/>
      <c r="Z52" s="669"/>
      <c r="AA52" s="669"/>
      <c r="AB52" s="669"/>
      <c r="AC52" s="669"/>
      <c r="AD52" s="669"/>
    </row>
  </sheetData>
  <autoFilter ref="B8:AD52" xr:uid="{F0118C84-D562-444B-8CA5-0C0FFA194488}"/>
  <mergeCells count="2">
    <mergeCell ref="C2:J2"/>
    <mergeCell ref="C3:J3"/>
  </mergeCells>
  <phoneticPr fontId="185" type="noConversion"/>
  <hyperlinks>
    <hyperlink ref="AD10" r:id="rId1" xr:uid="{3938C0AE-BEFA-49E9-BF23-C406655F0804}"/>
    <hyperlink ref="AD9" r:id="rId2" xr:uid="{16DDE6E0-6B26-41F7-83D5-67B8B3ADC576}"/>
    <hyperlink ref="AD11" r:id="rId3" xr:uid="{9E28AE74-B230-4AA3-96CD-148F29A483CF}"/>
    <hyperlink ref="AD12" r:id="rId4" xr:uid="{7D048B89-ABCB-477C-AD89-09FCE6C0BBD3}"/>
    <hyperlink ref="AD15" r:id="rId5" xr:uid="{AAE1D17D-5674-43C4-B6EC-D80A9AA30663}"/>
    <hyperlink ref="AD21" r:id="rId6" xr:uid="{F6A6D4BE-2A1C-44E8-AE67-62E2EE787F18}"/>
    <hyperlink ref="AD16" r:id="rId7" xr:uid="{E871C0D0-E66B-42CA-9C86-2900D1D86FE6}"/>
    <hyperlink ref="AD13" r:id="rId8" xr:uid="{86EAAD3F-2523-430F-8748-7FC9E2B63EF5}"/>
    <hyperlink ref="AD22" r:id="rId9" xr:uid="{FA0DD108-E257-4926-9E54-20B0B7E75787}"/>
    <hyperlink ref="AD23" r:id="rId10" xr:uid="{63CFC239-1049-455C-BE02-B54494FCEBDF}"/>
    <hyperlink ref="AD34" r:id="rId11" xr:uid="{FC39AE41-C621-4079-AE45-D0B6B042D2D7}"/>
  </hyperlinks>
  <pageMargins left="0.25" right="0.25" top="0.75" bottom="0.75" header="0.3" footer="0.3"/>
  <pageSetup paperSize="17" scale="40" fitToWidth="3" fitToHeight="3" orientation="landscape" r:id="rId12"/>
  <headerFooter>
    <oddFooter>&amp;C&amp;A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DB3F3DF-7973-47B0-8639-82A60EFC1F33}">
          <x14:formula1>
            <xm:f>'Read Me'!$I$10:$I$16</xm:f>
          </x14:formula1>
          <xm:sqref>J9:J11 J24:J26</xm:sqref>
        </x14:dataValidation>
        <x14:dataValidation type="list" allowBlank="1" showInputMessage="1" showErrorMessage="1" xr:uid="{88DCA87D-0DD9-424B-A628-44DBD2163EBD}">
          <x14:formula1>
            <xm:f>'Read Me'!$K$10:$K$14</xm:f>
          </x14:formula1>
          <xm:sqref>F9:F48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7d0d543-5bbc-4586-ab0e-1c8391228024" xsi:nil="true"/>
    <lcf76f155ced4ddcb4097134ff3c332f xmlns="66e8ffee-413a-4321-934f-9d2588dbcb17">
      <Terms xmlns="http://schemas.microsoft.com/office/infopath/2007/PartnerControls"/>
    </lcf76f155ced4ddcb4097134ff3c332f>
    <_Flow_SignoffStatus xmlns="66e8ffee-413a-4321-934f-9d2588dbcb17" xsi:nil="true"/>
    <AssignedTo xmlns="http://schemas.microsoft.com/sharepoint/v3">
      <UserInfo>
        <DisplayName/>
        <AccountId xsi:nil="true"/>
        <AccountType/>
      </UserInfo>
    </AssignedTo>
    <TaskDueDate xmlns="http://schemas.microsoft.com/sharepoint/v3/fields" xsi:nil="true"/>
    <_Status xmlns="http://schemas.microsoft.com/sharepoint/v3/fields">Not Started</_Status>
    <ProposedSchedule xmlns="66e8ffee-413a-4321-934f-9d2588dbcb17" xsi:nil="true"/>
    <Notes xmlns="66e8ffee-413a-4321-934f-9d2588dbcb1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D12F91F3B1E54384D717647B243C76" ma:contentTypeVersion="22" ma:contentTypeDescription="Create a new document." ma:contentTypeScope="" ma:versionID="f2210e6aa3803ece68d01afd17870fdf">
  <xsd:schema xmlns:xsd="http://www.w3.org/2001/XMLSchema" xmlns:xs="http://www.w3.org/2001/XMLSchema" xmlns:p="http://schemas.microsoft.com/office/2006/metadata/properties" xmlns:ns1="http://schemas.microsoft.com/sharepoint/v3" xmlns:ns2="66e8ffee-413a-4321-934f-9d2588dbcb17" xmlns:ns3="http://schemas.microsoft.com/sharepoint/v3/fields" xmlns:ns4="f7d0d543-5bbc-4586-ab0e-1c8391228024" targetNamespace="http://schemas.microsoft.com/office/2006/metadata/properties" ma:root="true" ma:fieldsID="18762fea852c267fffb0fe95c60f2f4a" ns1:_="" ns2:_="" ns3:_="" ns4:_="">
    <xsd:import namespace="http://schemas.microsoft.com/sharepoint/v3"/>
    <xsd:import namespace="66e8ffee-413a-4321-934f-9d2588dbcb17"/>
    <xsd:import namespace="http://schemas.microsoft.com/sharepoint/v3/fields"/>
    <xsd:import namespace="f7d0d543-5bbc-4586-ab0e-1c8391228024"/>
    <xsd:element name="properties">
      <xsd:complexType>
        <xsd:sequence>
          <xsd:element name="documentManagement">
            <xsd:complexType>
              <xsd:all>
                <xsd:element ref="ns1:AssignedTo" minOccurs="0"/>
                <xsd:element ref="ns3:TaskDueDate" minOccurs="0"/>
                <xsd:element ref="ns3:_Status" minOccurs="0"/>
                <xsd:element ref="ns2:_Flow_SignoffStatus" minOccurs="0"/>
                <xsd:element ref="ns2:ProposedSchedule" minOccurs="0"/>
                <xsd:element ref="ns2:MediaServiceMetadata" minOccurs="0"/>
                <xsd:element ref="ns2:MediaServiceFastMetadata" minOccurs="0"/>
                <xsd:element ref="ns4:SharedWithUsers" minOccurs="0"/>
                <xsd:element ref="ns4: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3" nillable="true" ma:displayName="Assigned To"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6e8ffee-413a-4321-934f-9d2588dbcb17" elementFormDefault="qualified">
    <xsd:import namespace="http://schemas.microsoft.com/office/2006/documentManagement/types"/>
    <xsd:import namespace="http://schemas.microsoft.com/office/infopath/2007/PartnerControls"/>
    <xsd:element name="_Flow_SignoffStatus" ma:index="6" nillable="true" ma:displayName="Sign-off status" ma:internalName="Sign_x002d_off_x0020_status">
      <xsd:simpleType>
        <xsd:restriction base="dms:Text"/>
      </xsd:simpleType>
    </xsd:element>
    <xsd:element name="ProposedSchedule" ma:index="7" nillable="true" ma:displayName="Proposed Schedule" ma:format="Thumbnail" ma:internalName="ProposedSchedule">
      <xsd:simpleType>
        <xsd:restriction base="dms:Unknow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Notes" ma:index="27" nillable="true" ma:displayName="Notes" ma:format="Dropdown" ma:internalName="Notes">
      <xsd:simpleType>
        <xsd:restriction base="dms:Text">
          <xsd:maxLength value="255"/>
        </xsd:restrictio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4" nillable="true" ma:displayName="Due Date" ma:format="DateOnly" ma:internalName="TaskDueDate">
      <xsd:simpleType>
        <xsd:restriction base="dms:DateTime"/>
      </xsd:simpleType>
    </xsd:element>
    <xsd:element name="_Status" ma:index="5" nillable="true" ma:displayName="Status" ma:default="Not Started" ma:format="Dropdown" ma:internalName="_Status">
      <xsd:simpleType>
        <xsd:union memberTypes="dms:Text">
          <xsd:simpleType>
            <xsd:restriction base="dms:Choice">
              <xsd:enumeration value="Not Started"/>
              <xsd:enumeration value="Program/Marketing Advisor Editing"/>
              <xsd:enumeration value="At Policy Advisor Review"/>
              <xsd:enumeration value="At Program/Policy Supervisor Review"/>
              <xsd:enumeration value="At Program/Policy Manager Review"/>
              <xsd:enumeration value="At Legal/Regulatory Review"/>
              <xsd:enumeration value="Filed"/>
              <xsd:enumeration value="Complete"/>
              <xsd:enumeration value="Data Tables Program/Policy Supervisor Review"/>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f7d0d543-5bbc-4586-ab0e-1c839122802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bf74ecd-d7b6-43a6-a643-8ae2ae5f4afa}" ma:internalName="TaxCatchAll" ma:showField="CatchAllData" ma:web="f7d0d543-5bbc-4586-ab0e-1c83912280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6EE21C-712C-4F46-A870-85D0B8F58495}">
  <ds:schemaRefs>
    <ds:schemaRef ds:uri="http://schemas.microsoft.com/sharepoint/v3/contenttype/forms"/>
  </ds:schemaRefs>
</ds:datastoreItem>
</file>

<file path=customXml/itemProps2.xml><?xml version="1.0" encoding="utf-8"?>
<ds:datastoreItem xmlns:ds="http://schemas.openxmlformats.org/officeDocument/2006/customXml" ds:itemID="{19C614E2-92FA-457C-84CF-E5112FFC73BD}">
  <ds:schemaRefs>
    <ds:schemaRef ds:uri="http://purl.org/dc/terms/"/>
    <ds:schemaRef ds:uri="http://schemas.microsoft.com/sharepoint/v3/fields"/>
    <ds:schemaRef ds:uri="http://schemas.microsoft.com/sharepoint/v3"/>
    <ds:schemaRef ds:uri="http://schemas.microsoft.com/office/2006/metadata/properties"/>
    <ds:schemaRef ds:uri="http://schemas.microsoft.com/office/2006/documentManagement/types"/>
    <ds:schemaRef ds:uri="f7d0d543-5bbc-4586-ab0e-1c8391228024"/>
    <ds:schemaRef ds:uri="66e8ffee-413a-4321-934f-9d2588dbcb17"/>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D1944F7-7B05-4D61-AD58-3034774C3D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e8ffee-413a-4321-934f-9d2588dbcb17"/>
    <ds:schemaRef ds:uri="http://schemas.microsoft.com/sharepoint/v3/fields"/>
    <ds:schemaRef ds:uri="f7d0d543-5bbc-4586-ab0e-1c8391228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23</vt:i4>
      </vt:variant>
    </vt:vector>
  </HeadingPairs>
  <TitlesOfParts>
    <vt:vector size="42" baseType="lpstr">
      <vt:lpstr>Read Me</vt:lpstr>
      <vt:lpstr>Function Definitions</vt:lpstr>
      <vt:lpstr>0 Validations</vt:lpstr>
      <vt:lpstr>1 Participant Bill Impacts</vt:lpstr>
      <vt:lpstr>2 Rates Rev- IOU Only</vt:lpstr>
      <vt:lpstr>3.1 Funding Category</vt:lpstr>
      <vt:lpstr>3.2 Funding CCA_REN only</vt:lpstr>
      <vt:lpstr>4.1 Program Budget 2028-2031</vt:lpstr>
      <vt:lpstr>4.2 Sector Seg Budget 2032-2035</vt:lpstr>
      <vt:lpstr>4.3 TSB and C&amp;S Targets</vt:lpstr>
      <vt:lpstr>Budget Filing Data</vt:lpstr>
      <vt:lpstr>6 Statewide Programs</vt:lpstr>
      <vt:lpstr>7 PA PY Budget</vt:lpstr>
      <vt:lpstr>8 Cap &amp; Target </vt:lpstr>
      <vt:lpstr>9 Portfolio FTE and Budget</vt:lpstr>
      <vt:lpstr>10 Indicators &amp; Metrics</vt:lpstr>
      <vt:lpstr>SDGE - IOU-3P Budgets 2028-31</vt:lpstr>
      <vt:lpstr>Rates Rev - 2024</vt:lpstr>
      <vt:lpstr>11 Program Card</vt:lpstr>
      <vt:lpstr>'0 Validations'!Print_Area</vt:lpstr>
      <vt:lpstr>'1 Participant Bill Impacts'!Print_Area</vt:lpstr>
      <vt:lpstr>'10 Indicators &amp; Metrics'!Print_Area</vt:lpstr>
      <vt:lpstr>'11 Program Card'!Print_Area</vt:lpstr>
      <vt:lpstr>'2 Rates Rev- IOU Only'!Print_Area</vt:lpstr>
      <vt:lpstr>'3.1 Funding Category'!Print_Area</vt:lpstr>
      <vt:lpstr>'3.2 Funding CCA_REN only'!Print_Area</vt:lpstr>
      <vt:lpstr>'4.1 Program Budget 2028-2031'!Print_Area</vt:lpstr>
      <vt:lpstr>'4.2 Sector Seg Budget 2032-2035'!Print_Area</vt:lpstr>
      <vt:lpstr>'4.3 TSB and C&amp;S Targets'!Print_Area</vt:lpstr>
      <vt:lpstr>'6 Statewide Programs'!Print_Area</vt:lpstr>
      <vt:lpstr>'7 PA PY Budget'!Print_Area</vt:lpstr>
      <vt:lpstr>'8 Cap &amp; Target '!Print_Area</vt:lpstr>
      <vt:lpstr>'9 Portfolio FTE and Budget'!Print_Area</vt:lpstr>
      <vt:lpstr>'Budget Filing Data'!Print_Area</vt:lpstr>
      <vt:lpstr>'Function Definitions'!Print_Area</vt:lpstr>
      <vt:lpstr>'Rates Rev - 2024'!Print_Area</vt:lpstr>
      <vt:lpstr>'Read Me'!Print_Area</vt:lpstr>
      <vt:lpstr>'SDGE - IOU-3P Budgets 2028-31'!Print_Area</vt:lpstr>
      <vt:lpstr>'4.1 Program Budget 2028-2031'!Print_Titles</vt:lpstr>
      <vt:lpstr>'4.2 Sector Seg Budget 2032-2035'!Print_Titles</vt:lpstr>
      <vt:lpstr>'4.3 TSB and C&amp;S Targets'!Print_Titles</vt:lpstr>
      <vt:lpstr>'SDGE - IOU-3P Budgets 2028-31'!Print_Titles</vt:lpstr>
    </vt:vector>
  </TitlesOfParts>
  <Manager/>
  <Company>Itron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Hungeling, Christine</dc:creator>
  <cp:keywords/>
  <dc:description/>
  <cp:lastModifiedBy>Norin, Jenny</cp:lastModifiedBy>
  <cp:revision/>
  <dcterms:created xsi:type="dcterms:W3CDTF">2017-07-18T23:45:09Z</dcterms:created>
  <dcterms:modified xsi:type="dcterms:W3CDTF">2026-09-29T22:41:48Z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0x01010029D12F91F3B1E54384D717647B243C76</vt:lpwstr>
  </property>
  <property fmtid="{D5CDD505-2E9C-101B-9397-08002B2CF9AE}" pid="3" name="_dlc_DocIdItemGuid">
    <vt:lpwstr>dd108ff2-9c45-40ae-ae78-dfa6f5fb826e</vt:lpwstr>
  </property>
  <property fmtid="{D5CDD505-2E9C-101B-9397-08002B2CF9AE}" pid="4" name="MediaServiceImageTags">
    <vt:lpwstr/>
  </property>
  <property fmtid="{D5CDD505-2E9C-101B-9397-08002B2CF9AE}" pid="5" name="Order">
    <vt:r8>37200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SIP_Label_bc3dd1c7-2c40-4a31-84b2-bec599b321a0_Enabled">
    <vt:lpwstr>true</vt:lpwstr>
  </property>
  <property fmtid="{D5CDD505-2E9C-101B-9397-08002B2CF9AE}" pid="13" name="MSIP_Label_bc3dd1c7-2c40-4a31-84b2-bec599b321a0_SetDate">
    <vt:lpwstr>2025-07-02T07:17:38Z</vt:lpwstr>
  </property>
  <property fmtid="{D5CDD505-2E9C-101B-9397-08002B2CF9AE}" pid="14" name="MSIP_Label_bc3dd1c7-2c40-4a31-84b2-bec599b321a0_Method">
    <vt:lpwstr>Standard</vt:lpwstr>
  </property>
  <property fmtid="{D5CDD505-2E9C-101B-9397-08002B2CF9AE}" pid="15" name="MSIP_Label_bc3dd1c7-2c40-4a31-84b2-bec599b321a0_Name">
    <vt:lpwstr>bc3dd1c7-2c40-4a31-84b2-bec599b321a0</vt:lpwstr>
  </property>
  <property fmtid="{D5CDD505-2E9C-101B-9397-08002B2CF9AE}" pid="16" name="MSIP_Label_bc3dd1c7-2c40-4a31-84b2-bec599b321a0_SiteId">
    <vt:lpwstr>5b2a8fee-4c95-4bdc-8aae-196f8aacb1b6</vt:lpwstr>
  </property>
  <property fmtid="{D5CDD505-2E9C-101B-9397-08002B2CF9AE}" pid="17" name="MSIP_Label_bc3dd1c7-2c40-4a31-84b2-bec599b321a0_ActionId">
    <vt:lpwstr>30c67080-0fa0-48e2-9abb-1e95b17df19d</vt:lpwstr>
  </property>
  <property fmtid="{D5CDD505-2E9C-101B-9397-08002B2CF9AE}" pid="18" name="MSIP_Label_bc3dd1c7-2c40-4a31-84b2-bec599b321a0_ContentBits">
    <vt:lpwstr>0</vt:lpwstr>
  </property>
  <property fmtid="{D5CDD505-2E9C-101B-9397-08002B2CF9AE}" pid="19" name="MSIP_Label_bc3dd1c7-2c40-4a31-84b2-bec599b321a0_Tag">
    <vt:lpwstr>10, 3, 0, 1</vt:lpwstr>
  </property>
  <property fmtid="{D5CDD505-2E9C-101B-9397-08002B2CF9AE}" pid="20" name="MSIP_Label_cd97076e-e5a9-49b1-9873-62b6e38f493d_Enabled">
    <vt:lpwstr>true</vt:lpwstr>
  </property>
  <property fmtid="{D5CDD505-2E9C-101B-9397-08002B2CF9AE}" pid="21" name="MSIP_Label_cd97076e-e5a9-49b1-9873-62b6e38f493d_SetDate">
    <vt:lpwstr>2026-09-11T20:46:51Z</vt:lpwstr>
  </property>
  <property fmtid="{D5CDD505-2E9C-101B-9397-08002B2CF9AE}" pid="22" name="MSIP_Label_cd97076e-e5a9-49b1-9873-62b6e38f493d_Method">
    <vt:lpwstr>Standard</vt:lpwstr>
  </property>
  <property fmtid="{D5CDD505-2E9C-101B-9397-08002B2CF9AE}" pid="23" name="MSIP_Label_cd97076e-e5a9-49b1-9873-62b6e38f493d_Name">
    <vt:lpwstr>IP-Internal</vt:lpwstr>
  </property>
  <property fmtid="{D5CDD505-2E9C-101B-9397-08002B2CF9AE}" pid="24" name="MSIP_Label_cd97076e-e5a9-49b1-9873-62b6e38f493d_SiteId">
    <vt:lpwstr>a2e7980c-11ea-4838-8f1a-2f497d8c4072</vt:lpwstr>
  </property>
  <property fmtid="{D5CDD505-2E9C-101B-9397-08002B2CF9AE}" pid="25" name="MSIP_Label_cd97076e-e5a9-49b1-9873-62b6e38f493d_ActionId">
    <vt:lpwstr>6b7396e0-72af-4b97-9cb8-dd9feec9db6a</vt:lpwstr>
  </property>
  <property fmtid="{D5CDD505-2E9C-101B-9397-08002B2CF9AE}" pid="26" name="MSIP_Label_cd97076e-e5a9-49b1-9873-62b6e38f493d_ContentBits">
    <vt:lpwstr>0</vt:lpwstr>
  </property>
  <property fmtid="{D5CDD505-2E9C-101B-9397-08002B2CF9AE}" pid="27" name="MSIP_Label_cd97076e-e5a9-49b1-9873-62b6e38f493d_Tag">
    <vt:lpwstr>10, 3, 0, 1</vt:lpwstr>
  </property>
</Properties>
</file>